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 defaultThemeVersion="124226"/>
  <xr:revisionPtr revIDLastSave="246" documentId="11_B6BA0AE4B39272AA37D88E83DFC22C12412D1384" xr6:coauthVersionLast="47" xr6:coauthVersionMax="47" xr10:uidLastSave="{9EF0D6E9-8FA9-4BDB-9DAA-20CD5CCCBB74}"/>
  <bookViews>
    <workbookView xWindow="-120" yWindow="-120" windowWidth="20640" windowHeight="11040" tabRatio="794" firstSheet="3" activeTab="3" xr2:uid="{00000000-000D-0000-FFFF-FFFF00000000}"/>
  </bookViews>
  <sheets>
    <sheet name="Premisas" sheetId="48" r:id="rId1"/>
    <sheet name="EEFFun" sheetId="44" r:id="rId2"/>
    <sheet name="BGhoriz" sheetId="21" r:id="rId3"/>
    <sheet name="BGresu" sheetId="47" r:id="rId4"/>
    <sheet name="BRhoriz" sheetId="32" r:id="rId5"/>
    <sheet name="BRresu" sheetId="65" r:id="rId6"/>
    <sheet name="BRmarg" sheetId="39" r:id="rId7"/>
    <sheet name="FlujoCaja" sheetId="61" r:id="rId8"/>
    <sheet name="INV" sheetId="64" r:id="rId9"/>
    <sheet name="FlujoEfect" sheetId="62" r:id="rId10"/>
    <sheet name="PT" sheetId="51" r:id="rId11"/>
    <sheet name="Nómina" sheetId="60" r:id="rId12"/>
    <sheet name="RecupProv" sheetId="12" r:id="rId13"/>
    <sheet name="DesglColoc" sheetId="10" r:id="rId14"/>
    <sheet name="ProyCartCre" sheetId="13" r:id="rId15"/>
    <sheet name="ColocPorSegm" sheetId="9" r:id="rId16"/>
    <sheet name="CalcIntCart" sheetId="11" r:id="rId17"/>
    <sheet name="ProyCapt" sheetId="14" r:id="rId18"/>
    <sheet name="DesglCapt" sheetId="18" r:id="rId19"/>
    <sheet name="CaptObFin" sheetId="15" r:id="rId20"/>
    <sheet name="IntCaptac" sheetId="16" r:id="rId21"/>
    <sheet name="OVA" sheetId="63" r:id="rId22"/>
    <sheet name="ECU" sheetId="69" r:id="rId23"/>
    <sheet name="DIFERPROV" sheetId="70" r:id="rId24"/>
    <sheet name="SEGUROS" sheetId="71" r:id="rId25"/>
    <sheet name="LEYENDA_MAPA" sheetId="1" r:id="rId26"/>
  </sheets>
  <definedNames>
    <definedName name="_xlnm._FilterDatabase">Nómina!$A$8:$AN$134</definedName>
    <definedName name="_xlnm.Print_Area" localSheetId="2">BGhoriz!$B1:$C229</definedName>
    <definedName name="_xlnm.Print_Area" localSheetId="3">BGresu!$A1:$B122</definedName>
    <definedName name="_xlnm.Print_Area" localSheetId="4">BRhoriz!$B4:$BW215</definedName>
    <definedName name="_xlnm.Print_Area" localSheetId="6">BRmarg!$A1:$C41</definedName>
    <definedName name="_xlnm.Print_Area" localSheetId="5">BRresu!$A1:$G61</definedName>
    <definedName name="_xlnm.Print_Area" localSheetId="20">IntCaptac!$A1:$C11</definedName>
    <definedName name="_xlnm.Print_Area" localSheetId="11">Nómina!$B1:$AN71</definedName>
    <definedName name="_xlnm.Print_Area" localSheetId="17">ProyCapt!$A3:$G12</definedName>
    <definedName name="_xlnm.Print_Area" localSheetId="12">RecupProv!$A1:$O1</definedName>
    <definedName name="_xlnm.Print_Titles" localSheetId="2">BGhoriz!$B:$C,BGhoriz!$1:$4</definedName>
    <definedName name="_xlnm.Print_Titles" localSheetId="3">BGresu!$A:$B,BGresu!$1:$3</definedName>
    <definedName name="_xlnm.Print_Titles" localSheetId="4">BRhoriz!$B:$C,BRhoriz!$4:$5</definedName>
    <definedName name="_xlnm.Print_Titles" localSheetId="6">BRmarg!$1:$2</definedName>
    <definedName name="_xlnm.Print_Titles" localSheetId="5">BRresu!$A:$B,BRresu!$1:$3</definedName>
    <definedName name="_xlnm.Print_Titles" localSheetId="15">ColocPorSegm!$3:$3</definedName>
    <definedName name="_xlnm.Print_Titles" localSheetId="11">Nómina!$H:$H</definedName>
    <definedName name="_xlnm.Print_Titles" localSheetId="10">PT!$2:$3</definedName>
    <definedName name="_xlnm.Print_Titles" localSheetId="12">RecupProv!$1:$1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8" i="47" l="1"/>
  <c r="I37" i="47"/>
  <c r="I36" i="47"/>
  <c r="I35" i="47"/>
  <c r="I34" i="47"/>
  <c r="I33" i="47"/>
  <c r="B44" i="47"/>
  <c r="B43" i="47"/>
  <c r="B42" i="47"/>
  <c r="B41" i="47"/>
  <c r="B40" i="47"/>
  <c r="B39" i="47"/>
  <c r="B38" i="47"/>
  <c r="B37" i="47"/>
  <c r="B36" i="47"/>
  <c r="B35" i="47"/>
  <c r="B34" i="47"/>
  <c r="B33" i="47"/>
  <c r="K28" i="47"/>
  <c r="J28" i="47"/>
  <c r="I28" i="47"/>
  <c r="K27" i="47"/>
  <c r="J27" i="47"/>
  <c r="I27" i="47"/>
  <c r="K26" i="47"/>
  <c r="J26" i="47"/>
  <c r="I26" i="47"/>
  <c r="K25" i="47"/>
  <c r="J25" i="47"/>
  <c r="I25" i="47"/>
  <c r="K24" i="47"/>
  <c r="J24" i="47"/>
  <c r="I24" i="47"/>
  <c r="K23" i="47"/>
  <c r="J23" i="47"/>
  <c r="I23" i="47"/>
  <c r="K22" i="47"/>
  <c r="J22" i="47"/>
  <c r="I22" i="47"/>
  <c r="K21" i="47"/>
  <c r="J21" i="47"/>
  <c r="I21" i="47"/>
  <c r="K20" i="47"/>
  <c r="J20" i="47"/>
  <c r="I20" i="47"/>
  <c r="K19" i="47"/>
  <c r="J19" i="47"/>
  <c r="I19" i="47"/>
  <c r="K18" i="47"/>
  <c r="J18" i="47"/>
  <c r="I18" i="47"/>
  <c r="K17" i="47"/>
  <c r="J17" i="47"/>
  <c r="I17" i="47"/>
  <c r="J11" i="47"/>
  <c r="J10" i="47"/>
  <c r="J9" i="47"/>
  <c r="J8" i="47"/>
  <c r="J7" i="47"/>
  <c r="I11" i="47"/>
  <c r="I10" i="47"/>
  <c r="I9" i="47"/>
  <c r="I8" i="47"/>
  <c r="I7" i="47"/>
  <c r="D28" i="47"/>
  <c r="C28" i="47"/>
  <c r="B28" i="47"/>
  <c r="D27" i="47"/>
  <c r="C27" i="47"/>
  <c r="B27" i="47"/>
  <c r="D26" i="47"/>
  <c r="C26" i="47"/>
  <c r="B26" i="47"/>
  <c r="D25" i="47"/>
  <c r="C25" i="47"/>
  <c r="B25" i="47"/>
  <c r="D24" i="47"/>
  <c r="C24" i="47"/>
  <c r="B24" i="47"/>
  <c r="D23" i="47"/>
  <c r="C23" i="47"/>
  <c r="B23" i="47"/>
  <c r="D22" i="47"/>
  <c r="C22" i="47"/>
  <c r="B22" i="47"/>
  <c r="D21" i="47"/>
  <c r="C21" i="47"/>
  <c r="B21" i="47"/>
  <c r="D20" i="47"/>
  <c r="C20" i="47"/>
  <c r="B20" i="47"/>
  <c r="D19" i="47"/>
  <c r="C19" i="47"/>
  <c r="B19" i="47"/>
  <c r="D18" i="47"/>
  <c r="C18" i="47"/>
  <c r="B18" i="47"/>
  <c r="D17" i="47"/>
  <c r="C17" i="47"/>
  <c r="B17" i="47"/>
  <c r="F6" i="47"/>
  <c r="E6" i="47"/>
  <c r="D6" i="47"/>
  <c r="C6" i="47"/>
  <c r="B6" i="47"/>
  <c r="A6" i="47"/>
  <c r="F4" i="48"/>
  <c r="I8" i="70"/>
  <c r="D8" i="70"/>
  <c r="O7" i="70"/>
  <c r="N7" i="70"/>
  <c r="M7" i="70"/>
  <c r="L7" i="70"/>
  <c r="K7" i="70"/>
  <c r="J7" i="70"/>
  <c r="I7" i="70"/>
  <c r="H7" i="70"/>
  <c r="H8" i="70" s="1"/>
  <c r="G7" i="70"/>
  <c r="G8" i="70" s="1"/>
  <c r="F7" i="70"/>
  <c r="F8" i="70" s="1"/>
  <c r="E7" i="70"/>
  <c r="E8" i="70" s="1"/>
  <c r="D7" i="70"/>
  <c r="E6" i="70"/>
  <c r="F6" i="70" s="1"/>
  <c r="G6" i="70" s="1"/>
  <c r="H6" i="70" s="1"/>
  <c r="I6" i="70" s="1"/>
  <c r="J6" i="70" s="1"/>
  <c r="H1" i="70"/>
  <c r="A1" i="70"/>
  <c r="O9" i="69"/>
  <c r="N9" i="69"/>
  <c r="M9" i="69"/>
  <c r="L9" i="69"/>
  <c r="K9" i="69"/>
  <c r="J9" i="69"/>
  <c r="I9" i="69"/>
  <c r="H9" i="69"/>
  <c r="G9" i="69"/>
  <c r="F9" i="69"/>
  <c r="E9" i="69"/>
  <c r="D9" i="69"/>
  <c r="P8" i="69"/>
  <c r="P7" i="69"/>
  <c r="P9" i="69" s="1"/>
  <c r="J6" i="69"/>
  <c r="F6" i="69"/>
  <c r="G6" i="69" s="1"/>
  <c r="H6" i="69" s="1"/>
  <c r="I6" i="69" s="1"/>
  <c r="J41" i="11" s="1"/>
  <c r="E6" i="69"/>
  <c r="H1" i="69"/>
  <c r="A1" i="69"/>
  <c r="O9" i="63"/>
  <c r="N9" i="63"/>
  <c r="M9" i="63"/>
  <c r="L9" i="63"/>
  <c r="K9" i="63"/>
  <c r="J9" i="63"/>
  <c r="I9" i="63"/>
  <c r="H9" i="63"/>
  <c r="G9" i="63"/>
  <c r="F9" i="63"/>
  <c r="E9" i="63"/>
  <c r="D9" i="63"/>
  <c r="D8" i="63"/>
  <c r="O7" i="63"/>
  <c r="N7" i="63"/>
  <c r="M7" i="63"/>
  <c r="L7" i="63"/>
  <c r="K7" i="63"/>
  <c r="J7" i="63"/>
  <c r="I7" i="63"/>
  <c r="H7" i="63"/>
  <c r="G7" i="63"/>
  <c r="F7" i="63"/>
  <c r="F8" i="63" s="1"/>
  <c r="E7" i="63"/>
  <c r="E8" i="63" s="1"/>
  <c r="D7" i="63"/>
  <c r="P6" i="63"/>
  <c r="H1" i="63"/>
  <c r="A1" i="63"/>
  <c r="D7" i="16"/>
  <c r="C7" i="16"/>
  <c r="D6" i="16"/>
  <c r="C6" i="16"/>
  <c r="K1" i="16"/>
  <c r="H1" i="15"/>
  <c r="C18" i="18"/>
  <c r="N9" i="18"/>
  <c r="M10" i="18" s="1"/>
  <c r="N8" i="18"/>
  <c r="M9" i="18" s="1"/>
  <c r="B8" i="18"/>
  <c r="N6" i="18"/>
  <c r="M7" i="18" s="1"/>
  <c r="N7" i="18" s="1"/>
  <c r="M8" i="18" s="1"/>
  <c r="B6" i="18"/>
  <c r="E13" i="14"/>
  <c r="E10" i="14"/>
  <c r="E8" i="14"/>
  <c r="F6" i="14" s="1"/>
  <c r="F7" i="14"/>
  <c r="AL224" i="11"/>
  <c r="AL223" i="11"/>
  <c r="I41" i="11"/>
  <c r="H41" i="11"/>
  <c r="G41" i="11"/>
  <c r="F41" i="11"/>
  <c r="E41" i="11"/>
  <c r="C39" i="11"/>
  <c r="D32" i="11"/>
  <c r="A29" i="11"/>
  <c r="K28" i="11"/>
  <c r="I28" i="11"/>
  <c r="A27" i="11"/>
  <c r="A33" i="11" s="1"/>
  <c r="D26" i="11"/>
  <c r="C23" i="11"/>
  <c r="L22" i="11"/>
  <c r="L28" i="11" s="1"/>
  <c r="J22" i="11"/>
  <c r="J28" i="11" s="1"/>
  <c r="C20" i="11"/>
  <c r="D18" i="11"/>
  <c r="D24" i="11" s="1"/>
  <c r="D30" i="11" s="1"/>
  <c r="P16" i="11"/>
  <c r="P22" i="11" s="1"/>
  <c r="P28" i="11" s="1"/>
  <c r="K16" i="11"/>
  <c r="K22" i="11" s="1"/>
  <c r="I16" i="11"/>
  <c r="I22" i="11" s="1"/>
  <c r="A15" i="11"/>
  <c r="A21" i="11" s="1"/>
  <c r="D14" i="11"/>
  <c r="D20" i="11" s="1"/>
  <c r="C14" i="11"/>
  <c r="D13" i="11"/>
  <c r="D19" i="11" s="1"/>
  <c r="D25" i="11" s="1"/>
  <c r="D31" i="11" s="1"/>
  <c r="D12" i="11"/>
  <c r="C11" i="11"/>
  <c r="P10" i="11"/>
  <c r="O10" i="11"/>
  <c r="O16" i="11" s="1"/>
  <c r="O22" i="11" s="1"/>
  <c r="O28" i="11" s="1"/>
  <c r="N10" i="11"/>
  <c r="N16" i="11" s="1"/>
  <c r="N22" i="11" s="1"/>
  <c r="N28" i="11" s="1"/>
  <c r="M10" i="11"/>
  <c r="M16" i="11" s="1"/>
  <c r="M22" i="11" s="1"/>
  <c r="M28" i="11" s="1"/>
  <c r="L10" i="11"/>
  <c r="L16" i="11" s="1"/>
  <c r="K10" i="11"/>
  <c r="J10" i="11"/>
  <c r="J16" i="11" s="1"/>
  <c r="I10" i="11"/>
  <c r="H10" i="11"/>
  <c r="H16" i="11" s="1"/>
  <c r="H22" i="11" s="1"/>
  <c r="H28" i="11" s="1"/>
  <c r="G10" i="11"/>
  <c r="G16" i="11" s="1"/>
  <c r="G22" i="11" s="1"/>
  <c r="G28" i="11" s="1"/>
  <c r="F10" i="11"/>
  <c r="F16" i="11" s="1"/>
  <c r="F22" i="11" s="1"/>
  <c r="F28" i="11" s="1"/>
  <c r="E10" i="11"/>
  <c r="E16" i="11" s="1"/>
  <c r="E22" i="11" s="1"/>
  <c r="E28" i="11" s="1"/>
  <c r="E3" i="11"/>
  <c r="F3" i="11" s="1"/>
  <c r="G3" i="11" s="1"/>
  <c r="H3" i="11" s="1"/>
  <c r="I3" i="11" s="1"/>
  <c r="J3" i="11" s="1"/>
  <c r="K3" i="11" s="1"/>
  <c r="L3" i="11" s="1"/>
  <c r="M3" i="11" s="1"/>
  <c r="N3" i="11" s="1"/>
  <c r="O3" i="11" s="1"/>
  <c r="P3" i="11" s="1"/>
  <c r="M30" i="9"/>
  <c r="H30" i="9"/>
  <c r="B27" i="9"/>
  <c r="B26" i="9"/>
  <c r="B25" i="9"/>
  <c r="B24" i="9"/>
  <c r="B23" i="9"/>
  <c r="K22" i="9"/>
  <c r="K30" i="9" s="1"/>
  <c r="H22" i="9"/>
  <c r="B18" i="9"/>
  <c r="B17" i="9"/>
  <c r="B16" i="9"/>
  <c r="B15" i="9"/>
  <c r="B14" i="9"/>
  <c r="O13" i="9"/>
  <c r="O22" i="9" s="1"/>
  <c r="O30" i="9" s="1"/>
  <c r="N13" i="9"/>
  <c r="N22" i="9" s="1"/>
  <c r="N30" i="9" s="1"/>
  <c r="M13" i="9"/>
  <c r="M22" i="9" s="1"/>
  <c r="L13" i="9"/>
  <c r="L22" i="9" s="1"/>
  <c r="L30" i="9" s="1"/>
  <c r="K13" i="9"/>
  <c r="J13" i="9"/>
  <c r="J22" i="9" s="1"/>
  <c r="J30" i="9" s="1"/>
  <c r="I13" i="9"/>
  <c r="I22" i="9" s="1"/>
  <c r="I30" i="9" s="1"/>
  <c r="H13" i="9"/>
  <c r="G13" i="9"/>
  <c r="G22" i="9" s="1"/>
  <c r="G30" i="9" s="1"/>
  <c r="F13" i="9"/>
  <c r="F22" i="9" s="1"/>
  <c r="F30" i="9" s="1"/>
  <c r="E13" i="9"/>
  <c r="E22" i="9" s="1"/>
  <c r="E30" i="9" s="1"/>
  <c r="D13" i="9"/>
  <c r="D22" i="9" s="1"/>
  <c r="D30" i="9" s="1"/>
  <c r="B10" i="9"/>
  <c r="B9" i="9"/>
  <c r="B8" i="9"/>
  <c r="B7" i="9"/>
  <c r="B6" i="9"/>
  <c r="J11" i="13"/>
  <c r="J7" i="13"/>
  <c r="O7" i="13" s="1"/>
  <c r="O11" i="13" s="1"/>
  <c r="C3" i="13"/>
  <c r="B1" i="13"/>
  <c r="F26" i="10"/>
  <c r="E26" i="10"/>
  <c r="D26" i="10"/>
  <c r="C26" i="10"/>
  <c r="B26" i="10"/>
  <c r="E16" i="10"/>
  <c r="D16" i="10"/>
  <c r="C16" i="10"/>
  <c r="B16" i="10"/>
  <c r="N15" i="10"/>
  <c r="N14" i="10"/>
  <c r="N13" i="10"/>
  <c r="N12" i="10"/>
  <c r="N11" i="10"/>
  <c r="N10" i="10"/>
  <c r="AV9" i="10"/>
  <c r="N9" i="10"/>
  <c r="AZ8" i="10"/>
  <c r="AY8" i="10"/>
  <c r="AX8" i="10"/>
  <c r="AW8" i="10"/>
  <c r="AV8" i="10"/>
  <c r="AU8" i="10"/>
  <c r="AT8" i="10"/>
  <c r="AS8" i="10"/>
  <c r="AR8" i="10"/>
  <c r="AQ8" i="10"/>
  <c r="AP8" i="10"/>
  <c r="AO8" i="10"/>
  <c r="N8" i="10"/>
  <c r="AZ7" i="10"/>
  <c r="AY7" i="10"/>
  <c r="AX7" i="10"/>
  <c r="AW7" i="10"/>
  <c r="AV7" i="10"/>
  <c r="AU7" i="10"/>
  <c r="AT7" i="10"/>
  <c r="AS7" i="10"/>
  <c r="AR7" i="10"/>
  <c r="AQ7" i="10"/>
  <c r="AP7" i="10"/>
  <c r="AO7" i="10"/>
  <c r="BA7" i="10" s="1"/>
  <c r="F9" i="13" s="1"/>
  <c r="N7" i="10"/>
  <c r="AZ6" i="10"/>
  <c r="AY6" i="10"/>
  <c r="AX6" i="10"/>
  <c r="AW6" i="10"/>
  <c r="AV6" i="10"/>
  <c r="AU6" i="10"/>
  <c r="AT6" i="10"/>
  <c r="AS6" i="10"/>
  <c r="AR6" i="10"/>
  <c r="AQ6" i="10"/>
  <c r="AP6" i="10"/>
  <c r="AO6" i="10"/>
  <c r="BA6" i="10" s="1"/>
  <c r="F8" i="13" s="1"/>
  <c r="N6" i="10"/>
  <c r="AZ5" i="10"/>
  <c r="AY5" i="10"/>
  <c r="AY9" i="10" s="1"/>
  <c r="AX5" i="10"/>
  <c r="AW5" i="10"/>
  <c r="AV5" i="10"/>
  <c r="AU5" i="10"/>
  <c r="AT5" i="10"/>
  <c r="AS5" i="10"/>
  <c r="AR5" i="10"/>
  <c r="AQ5" i="10"/>
  <c r="AP5" i="10"/>
  <c r="AO5" i="10"/>
  <c r="BA5" i="10" s="1"/>
  <c r="F7" i="13" s="1"/>
  <c r="N5" i="10"/>
  <c r="AZ4" i="10"/>
  <c r="AZ9" i="10" s="1"/>
  <c r="AY4" i="10"/>
  <c r="AX4" i="10"/>
  <c r="AX9" i="10" s="1"/>
  <c r="AW4" i="10"/>
  <c r="AW9" i="10" s="1"/>
  <c r="AV4" i="10"/>
  <c r="AU4" i="10"/>
  <c r="AU9" i="10" s="1"/>
  <c r="AT4" i="10"/>
  <c r="AT9" i="10" s="1"/>
  <c r="AS4" i="10"/>
  <c r="AS9" i="10" s="1"/>
  <c r="AR4" i="10"/>
  <c r="AR9" i="10" s="1"/>
  <c r="AQ4" i="10"/>
  <c r="AQ9" i="10" s="1"/>
  <c r="AP4" i="10"/>
  <c r="AO4" i="10"/>
  <c r="N4" i="10"/>
  <c r="G1" i="10"/>
  <c r="A1" i="10"/>
  <c r="B1" i="9" s="1"/>
  <c r="A152" i="12"/>
  <c r="A151" i="12"/>
  <c r="A150" i="12"/>
  <c r="A149" i="12"/>
  <c r="A148" i="12"/>
  <c r="A147" i="12"/>
  <c r="A146" i="12"/>
  <c r="A145" i="12"/>
  <c r="A144" i="12"/>
  <c r="A143" i="12"/>
  <c r="A142" i="12"/>
  <c r="A141" i="12"/>
  <c r="A140" i="12"/>
  <c r="A13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O126" i="12"/>
  <c r="O125" i="12"/>
  <c r="O124" i="12"/>
  <c r="A120" i="12"/>
  <c r="A119" i="12"/>
  <c r="A118" i="12"/>
  <c r="A117" i="12"/>
  <c r="A116" i="12"/>
  <c r="B113" i="12"/>
  <c r="B112" i="12"/>
  <c r="B111" i="12"/>
  <c r="B110" i="12"/>
  <c r="B108" i="12" s="1"/>
  <c r="B109" i="12"/>
  <c r="B106" i="12"/>
  <c r="A105" i="12"/>
  <c r="C103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M92" i="12"/>
  <c r="L92" i="12"/>
  <c r="K92" i="12"/>
  <c r="J92" i="12"/>
  <c r="I92" i="12"/>
  <c r="H92" i="12"/>
  <c r="G92" i="12"/>
  <c r="F92" i="12"/>
  <c r="E92" i="12"/>
  <c r="D92" i="12"/>
  <c r="C92" i="12"/>
  <c r="B92" i="12"/>
  <c r="N92" i="12" s="1"/>
  <c r="A92" i="12"/>
  <c r="D91" i="12"/>
  <c r="E91" i="12" s="1"/>
  <c r="C91" i="12"/>
  <c r="B91" i="12"/>
  <c r="A91" i="12"/>
  <c r="L90" i="12"/>
  <c r="K90" i="12"/>
  <c r="L104" i="12" s="1"/>
  <c r="J90" i="12"/>
  <c r="K104" i="12" s="1"/>
  <c r="I90" i="12"/>
  <c r="J104" i="12" s="1"/>
  <c r="B90" i="12"/>
  <c r="H90" i="12" s="1"/>
  <c r="I104" i="12" s="1"/>
  <c r="A90" i="12"/>
  <c r="A104" i="12" s="1"/>
  <c r="B89" i="12"/>
  <c r="C89" i="12" s="1"/>
  <c r="A89" i="12"/>
  <c r="A103" i="12" s="1"/>
  <c r="B88" i="12"/>
  <c r="B120" i="12" s="1"/>
  <c r="A88" i="12"/>
  <c r="A102" i="12" s="1"/>
  <c r="B87" i="12"/>
  <c r="A87" i="12"/>
  <c r="A101" i="12" s="1"/>
  <c r="B86" i="12"/>
  <c r="B85" i="12"/>
  <c r="B84" i="12"/>
  <c r="B117" i="12" s="1"/>
  <c r="B83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O81" i="12"/>
  <c r="L81" i="12"/>
  <c r="M81" i="12" s="1"/>
  <c r="N81" i="12" s="1"/>
  <c r="K78" i="12"/>
  <c r="I78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M70" i="12"/>
  <c r="L70" i="12"/>
  <c r="K70" i="12"/>
  <c r="J70" i="12"/>
  <c r="I70" i="12"/>
  <c r="H70" i="12"/>
  <c r="G70" i="12"/>
  <c r="F70" i="12"/>
  <c r="E70" i="12"/>
  <c r="D70" i="12"/>
  <c r="C70" i="12"/>
  <c r="B70" i="12"/>
  <c r="M69" i="12"/>
  <c r="L69" i="12"/>
  <c r="K69" i="12"/>
  <c r="J69" i="12"/>
  <c r="J78" i="12" s="1"/>
  <c r="I69" i="12"/>
  <c r="H69" i="12"/>
  <c r="G69" i="12"/>
  <c r="F69" i="12"/>
  <c r="E69" i="12"/>
  <c r="D69" i="12"/>
  <c r="C69" i="12"/>
  <c r="B69" i="12"/>
  <c r="M68" i="12"/>
  <c r="M78" i="12" s="1"/>
  <c r="L68" i="12"/>
  <c r="L78" i="12" s="1"/>
  <c r="K68" i="12"/>
  <c r="J68" i="12"/>
  <c r="I68" i="12"/>
  <c r="H68" i="12"/>
  <c r="H78" i="12" s="1"/>
  <c r="G68" i="12"/>
  <c r="G78" i="12" s="1"/>
  <c r="F68" i="12"/>
  <c r="F78" i="12" s="1"/>
  <c r="E68" i="12"/>
  <c r="E78" i="12" s="1"/>
  <c r="D68" i="12"/>
  <c r="D78" i="12" s="1"/>
  <c r="C68" i="12"/>
  <c r="C78" i="12" s="1"/>
  <c r="B68" i="12"/>
  <c r="B78" i="12" s="1"/>
  <c r="A68" i="12"/>
  <c r="A83" i="12" s="1"/>
  <c r="A98" i="12" s="1"/>
  <c r="A62" i="12"/>
  <c r="G61" i="12"/>
  <c r="A61" i="12"/>
  <c r="A60" i="12"/>
  <c r="A71" i="12" s="1"/>
  <c r="A86" i="12" s="1"/>
  <c r="A100" i="12" s="1"/>
  <c r="A59" i="12"/>
  <c r="A69" i="12" s="1"/>
  <c r="A84" i="12" s="1"/>
  <c r="A99" i="12" s="1"/>
  <c r="A58" i="12"/>
  <c r="N57" i="12"/>
  <c r="M57" i="12"/>
  <c r="L57" i="12"/>
  <c r="K57" i="12"/>
  <c r="J57" i="12"/>
  <c r="I57" i="12"/>
  <c r="H57" i="12"/>
  <c r="G57" i="12"/>
  <c r="F57" i="12"/>
  <c r="E57" i="12"/>
  <c r="D57" i="12"/>
  <c r="C57" i="12"/>
  <c r="O56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O52" i="12"/>
  <c r="O51" i="12"/>
  <c r="O50" i="12"/>
  <c r="N49" i="12"/>
  <c r="N47" i="12" s="1"/>
  <c r="M49" i="12"/>
  <c r="L49" i="12"/>
  <c r="K49" i="12"/>
  <c r="J49" i="12"/>
  <c r="J47" i="12" s="1"/>
  <c r="I49" i="12"/>
  <c r="H49" i="12"/>
  <c r="G49" i="12"/>
  <c r="F49" i="12"/>
  <c r="F47" i="12" s="1"/>
  <c r="E49" i="12"/>
  <c r="E47" i="12" s="1"/>
  <c r="D49" i="12"/>
  <c r="D47" i="12" s="1"/>
  <c r="C49" i="12"/>
  <c r="B49" i="12"/>
  <c r="B47" i="12" s="1"/>
  <c r="O48" i="12"/>
  <c r="M47" i="12"/>
  <c r="L47" i="12"/>
  <c r="K47" i="12"/>
  <c r="I47" i="12"/>
  <c r="H47" i="12"/>
  <c r="G47" i="12"/>
  <c r="G62" i="12" s="1"/>
  <c r="A47" i="12"/>
  <c r="O46" i="12"/>
  <c r="O45" i="12"/>
  <c r="O44" i="12"/>
  <c r="N43" i="12"/>
  <c r="N41" i="12" s="1"/>
  <c r="M43" i="12"/>
  <c r="M41" i="12" s="1"/>
  <c r="L43" i="12"/>
  <c r="L41" i="12" s="1"/>
  <c r="K43" i="12"/>
  <c r="J43" i="12"/>
  <c r="I43" i="12"/>
  <c r="H43" i="12"/>
  <c r="G43" i="12"/>
  <c r="F43" i="12"/>
  <c r="F41" i="12" s="1"/>
  <c r="E43" i="12"/>
  <c r="D43" i="12"/>
  <c r="D41" i="12" s="1"/>
  <c r="C43" i="12"/>
  <c r="C41" i="12" s="1"/>
  <c r="B43" i="12"/>
  <c r="B41" i="12" s="1"/>
  <c r="O42" i="12"/>
  <c r="K41" i="12"/>
  <c r="J41" i="12"/>
  <c r="I41" i="12"/>
  <c r="H41" i="12"/>
  <c r="G41" i="12"/>
  <c r="E41" i="12"/>
  <c r="A41" i="12"/>
  <c r="O40" i="12"/>
  <c r="O38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A37" i="12"/>
  <c r="O36" i="12"/>
  <c r="A36" i="12"/>
  <c r="O35" i="12"/>
  <c r="O34" i="12"/>
  <c r="O33" i="12"/>
  <c r="N32" i="12"/>
  <c r="N53" i="12" s="1"/>
  <c r="N59" i="12" s="1"/>
  <c r="M32" i="12"/>
  <c r="L32" i="12"/>
  <c r="K32" i="12"/>
  <c r="J32" i="12"/>
  <c r="I32" i="12"/>
  <c r="H32" i="12"/>
  <c r="G32" i="12"/>
  <c r="G53" i="12" s="1"/>
  <c r="G59" i="12" s="1"/>
  <c r="F32" i="12"/>
  <c r="E32" i="12"/>
  <c r="D32" i="12"/>
  <c r="D53" i="12" s="1"/>
  <c r="C32" i="12"/>
  <c r="B32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O30" i="12"/>
  <c r="A30" i="12"/>
  <c r="A56" i="12" s="1"/>
  <c r="O26" i="12"/>
  <c r="O25" i="12"/>
  <c r="O24" i="12"/>
  <c r="N23" i="12"/>
  <c r="N21" i="12" s="1"/>
  <c r="M23" i="12"/>
  <c r="L23" i="12"/>
  <c r="K23" i="12"/>
  <c r="J23" i="12"/>
  <c r="I23" i="12"/>
  <c r="I21" i="12" s="1"/>
  <c r="H23" i="12"/>
  <c r="H21" i="12" s="1"/>
  <c r="G23" i="12"/>
  <c r="F23" i="12"/>
  <c r="E23" i="12"/>
  <c r="E21" i="12" s="1"/>
  <c r="D23" i="12"/>
  <c r="C23" i="12"/>
  <c r="O23" i="12" s="1"/>
  <c r="O22" i="12"/>
  <c r="M21" i="12"/>
  <c r="L21" i="12"/>
  <c r="K21" i="12"/>
  <c r="J21" i="12"/>
  <c r="G21" i="12"/>
  <c r="F21" i="12"/>
  <c r="D21" i="12"/>
  <c r="B21" i="12"/>
  <c r="O20" i="12"/>
  <c r="O19" i="12"/>
  <c r="O18" i="12"/>
  <c r="N17" i="12"/>
  <c r="M17" i="12"/>
  <c r="L17" i="12"/>
  <c r="L15" i="12" s="1"/>
  <c r="K17" i="12"/>
  <c r="J17" i="12"/>
  <c r="J15" i="12" s="1"/>
  <c r="I17" i="12"/>
  <c r="I15" i="12" s="1"/>
  <c r="H17" i="12"/>
  <c r="G17" i="12"/>
  <c r="F17" i="12"/>
  <c r="E17" i="12"/>
  <c r="D17" i="12"/>
  <c r="D15" i="12" s="1"/>
  <c r="C17" i="12"/>
  <c r="C15" i="12" s="1"/>
  <c r="O15" i="12" s="1"/>
  <c r="O16" i="12"/>
  <c r="N15" i="12"/>
  <c r="M15" i="12"/>
  <c r="K15" i="12"/>
  <c r="H15" i="12"/>
  <c r="G15" i="12"/>
  <c r="F15" i="12"/>
  <c r="E15" i="12"/>
  <c r="B15" i="12"/>
  <c r="O14" i="12"/>
  <c r="O13" i="12"/>
  <c r="O12" i="12"/>
  <c r="N11" i="12"/>
  <c r="M11" i="12"/>
  <c r="L11" i="12"/>
  <c r="K11" i="12"/>
  <c r="K27" i="12" s="1"/>
  <c r="J11" i="12"/>
  <c r="I11" i="12"/>
  <c r="H11" i="12"/>
  <c r="G11" i="12"/>
  <c r="F11" i="12"/>
  <c r="E11" i="12"/>
  <c r="D11" i="12"/>
  <c r="C11" i="12"/>
  <c r="O11" i="12" s="1"/>
  <c r="B11" i="12"/>
  <c r="O10" i="12"/>
  <c r="O9" i="12"/>
  <c r="O8" i="12"/>
  <c r="O7" i="12"/>
  <c r="N6" i="12"/>
  <c r="M6" i="12"/>
  <c r="M27" i="12" s="1"/>
  <c r="L6" i="12"/>
  <c r="L27" i="12" s="1"/>
  <c r="K6" i="12"/>
  <c r="J6" i="12"/>
  <c r="J27" i="12" s="1"/>
  <c r="I6" i="12"/>
  <c r="H6" i="12"/>
  <c r="H27" i="12" s="1"/>
  <c r="G6" i="12"/>
  <c r="G27" i="12" s="1"/>
  <c r="F6" i="12"/>
  <c r="F27" i="12" s="1"/>
  <c r="E6" i="12"/>
  <c r="D6" i="12"/>
  <c r="C6" i="12"/>
  <c r="O6" i="12" s="1"/>
  <c r="B6" i="12"/>
  <c r="B27" i="12" s="1"/>
  <c r="D162" i="60"/>
  <c r="D161" i="60"/>
  <c r="D160" i="60"/>
  <c r="D159" i="60"/>
  <c r="D158" i="60"/>
  <c r="D157" i="60"/>
  <c r="D156" i="60"/>
  <c r="D155" i="60"/>
  <c r="D154" i="60"/>
  <c r="D153" i="60"/>
  <c r="N151" i="60"/>
  <c r="M151" i="60"/>
  <c r="J151" i="60"/>
  <c r="N150" i="60"/>
  <c r="O150" i="60" s="1"/>
  <c r="L150" i="60"/>
  <c r="B150" i="60"/>
  <c r="O149" i="60"/>
  <c r="N149" i="60"/>
  <c r="L149" i="60"/>
  <c r="K149" i="60"/>
  <c r="B149" i="60"/>
  <c r="L148" i="60"/>
  <c r="K148" i="60"/>
  <c r="B148" i="60"/>
  <c r="K147" i="60"/>
  <c r="L147" i="60" s="1"/>
  <c r="B147" i="60"/>
  <c r="O146" i="60"/>
  <c r="N146" i="60"/>
  <c r="K146" i="60"/>
  <c r="L146" i="60" s="1"/>
  <c r="B146" i="60"/>
  <c r="O145" i="60"/>
  <c r="N145" i="60"/>
  <c r="L145" i="60"/>
  <c r="K145" i="60"/>
  <c r="B145" i="60"/>
  <c r="N144" i="60"/>
  <c r="M144" i="60"/>
  <c r="O144" i="60" s="1"/>
  <c r="L144" i="60"/>
  <c r="K144" i="60"/>
  <c r="B144" i="60"/>
  <c r="I154" i="60" s="1"/>
  <c r="O143" i="60"/>
  <c r="N143" i="60"/>
  <c r="L143" i="60"/>
  <c r="K143" i="60"/>
  <c r="B143" i="60"/>
  <c r="N142" i="60"/>
  <c r="O142" i="60" s="1"/>
  <c r="L142" i="60"/>
  <c r="K142" i="60"/>
  <c r="B142" i="60"/>
  <c r="E138" i="60"/>
  <c r="E137" i="60"/>
  <c r="E136" i="60"/>
  <c r="E135" i="60"/>
  <c r="E134" i="60"/>
  <c r="E133" i="60"/>
  <c r="E132" i="60"/>
  <c r="E131" i="60"/>
  <c r="E130" i="60"/>
  <c r="N129" i="60"/>
  <c r="J129" i="60"/>
  <c r="AC128" i="60"/>
  <c r="AB128" i="60"/>
  <c r="Y128" i="60"/>
  <c r="X128" i="60"/>
  <c r="W128" i="60"/>
  <c r="Q128" i="60"/>
  <c r="P128" i="60"/>
  <c r="N128" i="60"/>
  <c r="M128" i="60"/>
  <c r="L128" i="60"/>
  <c r="K128" i="60"/>
  <c r="J128" i="60"/>
  <c r="AG127" i="60"/>
  <c r="AG128" i="60" s="1"/>
  <c r="AF127" i="60"/>
  <c r="AF128" i="60" s="1"/>
  <c r="AE127" i="60"/>
  <c r="AE128" i="60" s="1"/>
  <c r="AD127" i="60"/>
  <c r="AD128" i="60" s="1"/>
  <c r="AC127" i="60"/>
  <c r="AB127" i="60"/>
  <c r="AA127" i="60"/>
  <c r="AA128" i="60" s="1"/>
  <c r="Z127" i="60"/>
  <c r="Z128" i="60" s="1"/>
  <c r="Y127" i="60"/>
  <c r="X127" i="60"/>
  <c r="T127" i="60"/>
  <c r="T128" i="60" s="1"/>
  <c r="R127" i="60"/>
  <c r="R128" i="60" s="1"/>
  <c r="Q127" i="60"/>
  <c r="AI127" i="60" s="1"/>
  <c r="AI128" i="60" s="1"/>
  <c r="O127" i="60"/>
  <c r="O128" i="60" s="1"/>
  <c r="L127" i="60"/>
  <c r="B127" i="60"/>
  <c r="AB126" i="60"/>
  <c r="X126" i="60"/>
  <c r="W126" i="60"/>
  <c r="P126" i="60"/>
  <c r="N126" i="60"/>
  <c r="M126" i="60"/>
  <c r="L126" i="60"/>
  <c r="K126" i="60"/>
  <c r="J126" i="60"/>
  <c r="AI125" i="60"/>
  <c r="AH125" i="60"/>
  <c r="AG125" i="60"/>
  <c r="AF125" i="60"/>
  <c r="AE125" i="60"/>
  <c r="AD125" i="60"/>
  <c r="AD126" i="60" s="1"/>
  <c r="AC125" i="60"/>
  <c r="AB125" i="60"/>
  <c r="AA125" i="60"/>
  <c r="Z125" i="60"/>
  <c r="Y125" i="60"/>
  <c r="X125" i="60"/>
  <c r="S125" i="60" s="1"/>
  <c r="U125" i="60"/>
  <c r="T125" i="60"/>
  <c r="Q125" i="60"/>
  <c r="O125" i="60"/>
  <c r="O126" i="60" s="1"/>
  <c r="L125" i="60"/>
  <c r="B125" i="60"/>
  <c r="AI124" i="60"/>
  <c r="AI126" i="60" s="1"/>
  <c r="AH124" i="60"/>
  <c r="AH126" i="60" s="1"/>
  <c r="AG124" i="60"/>
  <c r="AG126" i="60" s="1"/>
  <c r="AF124" i="60"/>
  <c r="AF126" i="60" s="1"/>
  <c r="AE124" i="60"/>
  <c r="AE126" i="60" s="1"/>
  <c r="AD124" i="60"/>
  <c r="AC124" i="60"/>
  <c r="AC126" i="60" s="1"/>
  <c r="AB124" i="60"/>
  <c r="AA124" i="60"/>
  <c r="S124" i="60" s="1"/>
  <c r="S126" i="60" s="1"/>
  <c r="Z124" i="60"/>
  <c r="Z126" i="60" s="1"/>
  <c r="Y124" i="60"/>
  <c r="Y126" i="60" s="1"/>
  <c r="X124" i="60"/>
  <c r="U124" i="60"/>
  <c r="U126" i="60" s="1"/>
  <c r="T124" i="60"/>
  <c r="T126" i="60" s="1"/>
  <c r="O124" i="60"/>
  <c r="L124" i="60"/>
  <c r="Q124" i="60" s="1"/>
  <c r="B124" i="60"/>
  <c r="AF123" i="60"/>
  <c r="X123" i="60"/>
  <c r="W123" i="60"/>
  <c r="T123" i="60"/>
  <c r="P123" i="60"/>
  <c r="N123" i="60"/>
  <c r="M123" i="60"/>
  <c r="L123" i="60"/>
  <c r="K123" i="60"/>
  <c r="J123" i="60"/>
  <c r="AI122" i="60"/>
  <c r="AH122" i="60"/>
  <c r="AG122" i="60"/>
  <c r="AF122" i="60"/>
  <c r="AE122" i="60"/>
  <c r="AD122" i="60"/>
  <c r="AC122" i="60"/>
  <c r="AB122" i="60"/>
  <c r="AA122" i="60"/>
  <c r="Z122" i="60"/>
  <c r="S122" i="60" s="1"/>
  <c r="Y122" i="60"/>
  <c r="X122" i="60"/>
  <c r="T122" i="60"/>
  <c r="L122" i="60"/>
  <c r="B122" i="60"/>
  <c r="AI121" i="60"/>
  <c r="AI123" i="60" s="1"/>
  <c r="AH121" i="60"/>
  <c r="AG121" i="60"/>
  <c r="AF121" i="60"/>
  <c r="AE121" i="60"/>
  <c r="AE123" i="60" s="1"/>
  <c r="AD121" i="60"/>
  <c r="AD123" i="60" s="1"/>
  <c r="AC121" i="60"/>
  <c r="AC123" i="60" s="1"/>
  <c r="AB121" i="60"/>
  <c r="AA121" i="60"/>
  <c r="Z121" i="60"/>
  <c r="Y121" i="60"/>
  <c r="X121" i="60"/>
  <c r="T121" i="60"/>
  <c r="R121" i="60"/>
  <c r="Q121" i="60"/>
  <c r="O121" i="60"/>
  <c r="L121" i="60"/>
  <c r="B121" i="60"/>
  <c r="AI120" i="60"/>
  <c r="AH120" i="60"/>
  <c r="AG120" i="60"/>
  <c r="AG123" i="60" s="1"/>
  <c r="AF120" i="60"/>
  <c r="AE120" i="60"/>
  <c r="AD120" i="60"/>
  <c r="AC120" i="60"/>
  <c r="AB120" i="60"/>
  <c r="AA120" i="60"/>
  <c r="AA123" i="60" s="1"/>
  <c r="Z120" i="60"/>
  <c r="Z123" i="60" s="1"/>
  <c r="Y120" i="60"/>
  <c r="Y123" i="60" s="1"/>
  <c r="X120" i="60"/>
  <c r="T120" i="60"/>
  <c r="R120" i="60"/>
  <c r="Q120" i="60"/>
  <c r="L120" i="60"/>
  <c r="B120" i="60"/>
  <c r="W119" i="60"/>
  <c r="W129" i="60" s="1"/>
  <c r="P119" i="60"/>
  <c r="P129" i="60" s="1"/>
  <c r="N119" i="60"/>
  <c r="M119" i="60"/>
  <c r="L119" i="60"/>
  <c r="L129" i="60" s="1"/>
  <c r="K119" i="60"/>
  <c r="K129" i="60" s="1"/>
  <c r="J119" i="60"/>
  <c r="AI118" i="60"/>
  <c r="AH118" i="60"/>
  <c r="AG118" i="60"/>
  <c r="AF118" i="60"/>
  <c r="AE118" i="60"/>
  <c r="AD118" i="60"/>
  <c r="AC118" i="60"/>
  <c r="AB118" i="60"/>
  <c r="AA118" i="60"/>
  <c r="Z118" i="60"/>
  <c r="Y118" i="60"/>
  <c r="X118" i="60"/>
  <c r="T118" i="60"/>
  <c r="Q118" i="60"/>
  <c r="L118" i="60"/>
  <c r="O118" i="60" s="1"/>
  <c r="B118" i="60"/>
  <c r="AI117" i="60"/>
  <c r="AH117" i="60"/>
  <c r="AG117" i="60"/>
  <c r="AF117" i="60"/>
  <c r="AE117" i="60"/>
  <c r="AD117" i="60"/>
  <c r="AC117" i="60"/>
  <c r="AB117" i="60"/>
  <c r="AA117" i="60"/>
  <c r="Z117" i="60"/>
  <c r="Y117" i="60"/>
  <c r="X117" i="60"/>
  <c r="T117" i="60"/>
  <c r="O117" i="60"/>
  <c r="L117" i="60"/>
  <c r="Q117" i="60" s="1"/>
  <c r="B117" i="60"/>
  <c r="B116" i="60"/>
  <c r="AI115" i="60"/>
  <c r="AH115" i="60"/>
  <c r="AG115" i="60"/>
  <c r="AF115" i="60"/>
  <c r="AE115" i="60"/>
  <c r="AD115" i="60"/>
  <c r="AC115" i="60"/>
  <c r="AB115" i="60"/>
  <c r="AA115" i="60"/>
  <c r="Z115" i="60"/>
  <c r="Y115" i="60"/>
  <c r="S115" i="60" s="1"/>
  <c r="X115" i="60"/>
  <c r="T115" i="60"/>
  <c r="R115" i="60"/>
  <c r="Q115" i="60"/>
  <c r="L115" i="60"/>
  <c r="B115" i="60"/>
  <c r="AI114" i="60"/>
  <c r="AH114" i="60"/>
  <c r="AG114" i="60"/>
  <c r="AF114" i="60"/>
  <c r="AE114" i="60"/>
  <c r="AD114" i="60"/>
  <c r="AC114" i="60"/>
  <c r="AB114" i="60"/>
  <c r="AA114" i="60"/>
  <c r="Z114" i="60"/>
  <c r="Y114" i="60"/>
  <c r="X114" i="60"/>
  <c r="T114" i="60"/>
  <c r="O114" i="60"/>
  <c r="L114" i="60"/>
  <c r="Q114" i="60" s="1"/>
  <c r="B114" i="60"/>
  <c r="AI113" i="60"/>
  <c r="AH113" i="60"/>
  <c r="AG113" i="60"/>
  <c r="AF113" i="60"/>
  <c r="AE113" i="60"/>
  <c r="AD113" i="60"/>
  <c r="AC113" i="60"/>
  <c r="AB113" i="60"/>
  <c r="AA113" i="60"/>
  <c r="Z113" i="60"/>
  <c r="Y113" i="60"/>
  <c r="X113" i="60"/>
  <c r="S113" i="60" s="1"/>
  <c r="T113" i="60"/>
  <c r="Q113" i="60"/>
  <c r="O113" i="60"/>
  <c r="L113" i="60"/>
  <c r="B113" i="60"/>
  <c r="AI112" i="60"/>
  <c r="AH112" i="60"/>
  <c r="AG112" i="60"/>
  <c r="AF112" i="60"/>
  <c r="AE112" i="60"/>
  <c r="AD112" i="60"/>
  <c r="AC112" i="60"/>
  <c r="AB112" i="60"/>
  <c r="AA112" i="60"/>
  <c r="S112" i="60" s="1"/>
  <c r="Z112" i="60"/>
  <c r="Y112" i="60"/>
  <c r="X112" i="60"/>
  <c r="T112" i="60"/>
  <c r="L112" i="60"/>
  <c r="B112" i="60"/>
  <c r="AI111" i="60"/>
  <c r="AH111" i="60"/>
  <c r="AG111" i="60"/>
  <c r="AF111" i="60"/>
  <c r="AE111" i="60"/>
  <c r="AD111" i="60"/>
  <c r="AC111" i="60"/>
  <c r="AB111" i="60"/>
  <c r="AA111" i="60"/>
  <c r="Z111" i="60"/>
  <c r="Y111" i="60"/>
  <c r="X111" i="60"/>
  <c r="S111" i="60" s="1"/>
  <c r="T111" i="60"/>
  <c r="R111" i="60"/>
  <c r="Q111" i="60"/>
  <c r="O111" i="60"/>
  <c r="L111" i="60"/>
  <c r="B111" i="60"/>
  <c r="AI110" i="60"/>
  <c r="AH110" i="60"/>
  <c r="AG110" i="60"/>
  <c r="AF110" i="60"/>
  <c r="AE110" i="60"/>
  <c r="AD110" i="60"/>
  <c r="AC110" i="60"/>
  <c r="AB110" i="60"/>
  <c r="AA110" i="60"/>
  <c r="Z110" i="60"/>
  <c r="S110" i="60" s="1"/>
  <c r="Y110" i="60"/>
  <c r="X110" i="60"/>
  <c r="T110" i="60"/>
  <c r="O110" i="60"/>
  <c r="L110" i="60"/>
  <c r="Q110" i="60" s="1"/>
  <c r="B110" i="60"/>
  <c r="AI109" i="60"/>
  <c r="AH109" i="60"/>
  <c r="AG109" i="60"/>
  <c r="AF109" i="60"/>
  <c r="AE109" i="60"/>
  <c r="AD109" i="60"/>
  <c r="AC109" i="60"/>
  <c r="AB109" i="60"/>
  <c r="AA109" i="60"/>
  <c r="Z109" i="60"/>
  <c r="Y109" i="60"/>
  <c r="X109" i="60"/>
  <c r="T109" i="60"/>
  <c r="L109" i="60"/>
  <c r="O109" i="60" s="1"/>
  <c r="Q109" i="60" s="1"/>
  <c r="B109" i="60"/>
  <c r="AI108" i="60"/>
  <c r="AI119" i="60" s="1"/>
  <c r="AI129" i="60" s="1"/>
  <c r="AH108" i="60"/>
  <c r="AG108" i="60"/>
  <c r="AF108" i="60"/>
  <c r="AE108" i="60"/>
  <c r="AD108" i="60"/>
  <c r="AC108" i="60"/>
  <c r="AB108" i="60"/>
  <c r="AA108" i="60"/>
  <c r="Z108" i="60"/>
  <c r="Y108" i="60"/>
  <c r="X108" i="60"/>
  <c r="T108" i="60"/>
  <c r="L108" i="60"/>
  <c r="B108" i="60"/>
  <c r="AI107" i="60"/>
  <c r="AH107" i="60"/>
  <c r="AG107" i="60"/>
  <c r="AF107" i="60"/>
  <c r="AE107" i="60"/>
  <c r="AD107" i="60"/>
  <c r="AC107" i="60"/>
  <c r="AC119" i="60" s="1"/>
  <c r="AB107" i="60"/>
  <c r="AA107" i="60"/>
  <c r="Z107" i="60"/>
  <c r="Y107" i="60"/>
  <c r="X107" i="60"/>
  <c r="T107" i="60"/>
  <c r="R107" i="60"/>
  <c r="Q107" i="60"/>
  <c r="L107" i="60"/>
  <c r="B107" i="60"/>
  <c r="AI106" i="60"/>
  <c r="AH106" i="60"/>
  <c r="AH119" i="60" s="1"/>
  <c r="AG106" i="60"/>
  <c r="AG119" i="60" s="1"/>
  <c r="AG129" i="60" s="1"/>
  <c r="AF106" i="60"/>
  <c r="AE106" i="60"/>
  <c r="AE119" i="60" s="1"/>
  <c r="AE129" i="60" s="1"/>
  <c r="AD106" i="60"/>
  <c r="AD119" i="60" s="1"/>
  <c r="AD129" i="60" s="1"/>
  <c r="AC106" i="60"/>
  <c r="AB106" i="60"/>
  <c r="AB119" i="60" s="1"/>
  <c r="AA106" i="60"/>
  <c r="Z106" i="60"/>
  <c r="Y106" i="60"/>
  <c r="Y119" i="60" s="1"/>
  <c r="X106" i="60"/>
  <c r="U106" i="60"/>
  <c r="T106" i="60"/>
  <c r="S106" i="60"/>
  <c r="Q106" i="60"/>
  <c r="L106" i="60"/>
  <c r="B106" i="60"/>
  <c r="AK100" i="60"/>
  <c r="AK129" i="60" s="1"/>
  <c r="AJ100" i="60"/>
  <c r="AJ129" i="60" s="1"/>
  <c r="W100" i="60"/>
  <c r="P100" i="60"/>
  <c r="N100" i="60"/>
  <c r="M100" i="60"/>
  <c r="K100" i="60"/>
  <c r="J100" i="60"/>
  <c r="AD94" i="60"/>
  <c r="T94" i="60"/>
  <c r="Q94" i="60"/>
  <c r="AI94" i="60" s="1"/>
  <c r="L94" i="60"/>
  <c r="B94" i="60"/>
  <c r="AA93" i="60"/>
  <c r="T93" i="60"/>
  <c r="L93" i="60"/>
  <c r="Q93" i="60" s="1"/>
  <c r="B93" i="60"/>
  <c r="AB92" i="60"/>
  <c r="AA92" i="60"/>
  <c r="Z92" i="60"/>
  <c r="Y92" i="60"/>
  <c r="X92" i="60"/>
  <c r="T92" i="60"/>
  <c r="O92" i="60"/>
  <c r="L92" i="60"/>
  <c r="B92" i="60"/>
  <c r="AE91" i="60"/>
  <c r="AD91" i="60"/>
  <c r="AC91" i="60"/>
  <c r="AB91" i="60"/>
  <c r="AA91" i="60"/>
  <c r="Z91" i="60"/>
  <c r="Y91" i="60"/>
  <c r="X91" i="60"/>
  <c r="T91" i="60"/>
  <c r="L91" i="60"/>
  <c r="Q91" i="60" s="1"/>
  <c r="B91" i="60"/>
  <c r="AH90" i="60"/>
  <c r="AG90" i="60"/>
  <c r="AF90" i="60"/>
  <c r="AE90" i="60"/>
  <c r="AD90" i="60"/>
  <c r="AC90" i="60"/>
  <c r="AB90" i="60"/>
  <c r="AA90" i="60"/>
  <c r="Z90" i="60"/>
  <c r="Y90" i="60"/>
  <c r="X90" i="60"/>
  <c r="U90" i="60"/>
  <c r="T90" i="60"/>
  <c r="R90" i="60"/>
  <c r="Q90" i="60"/>
  <c r="L90" i="60"/>
  <c r="B90" i="60"/>
  <c r="AA89" i="60"/>
  <c r="Z89" i="60"/>
  <c r="Y89" i="60"/>
  <c r="X89" i="60"/>
  <c r="T89" i="60"/>
  <c r="L89" i="60"/>
  <c r="O89" i="60" s="1"/>
  <c r="Q89" i="60" s="1"/>
  <c r="B89" i="60"/>
  <c r="AI88" i="60"/>
  <c r="AE88" i="60"/>
  <c r="X88" i="60"/>
  <c r="T88" i="60"/>
  <c r="R88" i="60"/>
  <c r="Q88" i="60"/>
  <c r="AF88" i="60" s="1"/>
  <c r="L88" i="60"/>
  <c r="B88" i="60"/>
  <c r="AI87" i="60"/>
  <c r="AH87" i="60"/>
  <c r="AG87" i="60"/>
  <c r="AF87" i="60"/>
  <c r="AE87" i="60"/>
  <c r="AC87" i="60"/>
  <c r="AB87" i="60"/>
  <c r="AA87" i="60"/>
  <c r="Z87" i="60"/>
  <c r="Y87" i="60"/>
  <c r="U87" i="60"/>
  <c r="T87" i="60"/>
  <c r="R87" i="60"/>
  <c r="Q87" i="60"/>
  <c r="X87" i="60" s="1"/>
  <c r="B87" i="60"/>
  <c r="AG86" i="60"/>
  <c r="AF86" i="60"/>
  <c r="AE86" i="60"/>
  <c r="AD86" i="60"/>
  <c r="AC86" i="60"/>
  <c r="AB86" i="60"/>
  <c r="AA86" i="60"/>
  <c r="Z86" i="60"/>
  <c r="Y86" i="60"/>
  <c r="X86" i="60"/>
  <c r="T86" i="60"/>
  <c r="Q86" i="60"/>
  <c r="R86" i="60" s="1"/>
  <c r="L86" i="60"/>
  <c r="B86" i="60"/>
  <c r="AI85" i="60"/>
  <c r="AG85" i="60"/>
  <c r="AF85" i="60"/>
  <c r="AE85" i="60"/>
  <c r="AD85" i="60"/>
  <c r="AC85" i="60"/>
  <c r="AB85" i="60"/>
  <c r="AA85" i="60"/>
  <c r="Z85" i="60"/>
  <c r="Y85" i="60"/>
  <c r="X85" i="60"/>
  <c r="S85" i="60" s="1"/>
  <c r="T85" i="60"/>
  <c r="Q85" i="60"/>
  <c r="AH85" i="60" s="1"/>
  <c r="L85" i="60"/>
  <c r="B85" i="60"/>
  <c r="AG84" i="60"/>
  <c r="AD84" i="60"/>
  <c r="X84" i="60"/>
  <c r="T84" i="60"/>
  <c r="R84" i="60"/>
  <c r="Q84" i="60"/>
  <c r="AE84" i="60" s="1"/>
  <c r="L84" i="60"/>
  <c r="B84" i="60"/>
  <c r="AD83" i="60"/>
  <c r="AC83" i="60"/>
  <c r="AB83" i="60"/>
  <c r="AA83" i="60"/>
  <c r="Z83" i="60"/>
  <c r="X83" i="60"/>
  <c r="U83" i="60"/>
  <c r="T83" i="60"/>
  <c r="Q83" i="60"/>
  <c r="AF83" i="60" s="1"/>
  <c r="L83" i="60"/>
  <c r="B83" i="60"/>
  <c r="AB82" i="60"/>
  <c r="T82" i="60"/>
  <c r="Q82" i="60"/>
  <c r="AD82" i="60" s="1"/>
  <c r="L82" i="60"/>
  <c r="B82" i="60"/>
  <c r="AH81" i="60"/>
  <c r="AE81" i="60"/>
  <c r="AD81" i="60"/>
  <c r="AB81" i="60"/>
  <c r="AA81" i="60"/>
  <c r="Z81" i="60"/>
  <c r="Y81" i="60"/>
  <c r="X81" i="60"/>
  <c r="U81" i="60"/>
  <c r="T81" i="60"/>
  <c r="Q81" i="60"/>
  <c r="B81" i="60"/>
  <c r="AH80" i="60"/>
  <c r="AC80" i="60"/>
  <c r="AB80" i="60"/>
  <c r="Z80" i="60"/>
  <c r="T80" i="60"/>
  <c r="L80" i="60"/>
  <c r="Q80" i="60" s="1"/>
  <c r="AD80" i="60" s="1"/>
  <c r="B80" i="60"/>
  <c r="T79" i="60"/>
  <c r="L79" i="60"/>
  <c r="Q79" i="60" s="1"/>
  <c r="B79" i="60"/>
  <c r="T78" i="60"/>
  <c r="O78" i="60"/>
  <c r="Q78" i="60" s="1"/>
  <c r="B78" i="60"/>
  <c r="AI77" i="60"/>
  <c r="AH77" i="60"/>
  <c r="AE77" i="60"/>
  <c r="AD77" i="60"/>
  <c r="AC77" i="60"/>
  <c r="AB77" i="60"/>
  <c r="AA77" i="60"/>
  <c r="Z77" i="60"/>
  <c r="Y77" i="60"/>
  <c r="X77" i="60"/>
  <c r="U77" i="60"/>
  <c r="T77" i="60"/>
  <c r="L77" i="60"/>
  <c r="Q77" i="60" s="1"/>
  <c r="AG77" i="60" s="1"/>
  <c r="B77" i="60"/>
  <c r="T76" i="60"/>
  <c r="L76" i="60"/>
  <c r="B76" i="60"/>
  <c r="AG75" i="60"/>
  <c r="AF75" i="60"/>
  <c r="AE75" i="60"/>
  <c r="AD75" i="60"/>
  <c r="AC75" i="60"/>
  <c r="AB75" i="60"/>
  <c r="AA75" i="60"/>
  <c r="Z75" i="60"/>
  <c r="Y75" i="60"/>
  <c r="X75" i="60"/>
  <c r="T75" i="60"/>
  <c r="Q75" i="60"/>
  <c r="L75" i="60"/>
  <c r="B75" i="60"/>
  <c r="AG74" i="60"/>
  <c r="AF74" i="60"/>
  <c r="AE74" i="60"/>
  <c r="AD74" i="60"/>
  <c r="AC74" i="60"/>
  <c r="AB74" i="60"/>
  <c r="AA74" i="60"/>
  <c r="Z74" i="60"/>
  <c r="Y74" i="60"/>
  <c r="X74" i="60"/>
  <c r="T74" i="60"/>
  <c r="Q74" i="60"/>
  <c r="L74" i="60"/>
  <c r="B74" i="60"/>
  <c r="Y73" i="60"/>
  <c r="T73" i="60"/>
  <c r="L73" i="60"/>
  <c r="Q73" i="60" s="1"/>
  <c r="B73" i="60"/>
  <c r="AE72" i="60"/>
  <c r="AD72" i="60"/>
  <c r="AC72" i="60"/>
  <c r="AB72" i="60"/>
  <c r="AA72" i="60"/>
  <c r="Z72" i="60"/>
  <c r="Y72" i="60"/>
  <c r="X72" i="60"/>
  <c r="T72" i="60"/>
  <c r="L72" i="60"/>
  <c r="Q72" i="60" s="1"/>
  <c r="B72" i="60"/>
  <c r="AC71" i="60"/>
  <c r="T71" i="60"/>
  <c r="L71" i="60"/>
  <c r="Q71" i="60" s="1"/>
  <c r="B71" i="60"/>
  <c r="T70" i="60"/>
  <c r="O70" i="60"/>
  <c r="Q70" i="60" s="1"/>
  <c r="B70" i="60"/>
  <c r="AG69" i="60"/>
  <c r="T69" i="60"/>
  <c r="O69" i="60"/>
  <c r="Q69" i="60" s="1"/>
  <c r="B69" i="60"/>
  <c r="AA68" i="60"/>
  <c r="Z68" i="60"/>
  <c r="Y68" i="60"/>
  <c r="X68" i="60"/>
  <c r="T68" i="60"/>
  <c r="L68" i="60"/>
  <c r="Q68" i="60" s="1"/>
  <c r="B68" i="60"/>
  <c r="T67" i="60"/>
  <c r="L67" i="60"/>
  <c r="B67" i="60"/>
  <c r="AI66" i="60"/>
  <c r="AH66" i="60"/>
  <c r="AC66" i="60"/>
  <c r="AA66" i="60"/>
  <c r="Z66" i="60"/>
  <c r="Y66" i="60"/>
  <c r="X66" i="60"/>
  <c r="U66" i="60"/>
  <c r="T66" i="60"/>
  <c r="Q66" i="60"/>
  <c r="AG66" i="60" s="1"/>
  <c r="B66" i="60"/>
  <c r="T65" i="60"/>
  <c r="O65" i="60"/>
  <c r="Q65" i="60" s="1"/>
  <c r="B65" i="60"/>
  <c r="AD64" i="60"/>
  <c r="AC64" i="60"/>
  <c r="AB64" i="60"/>
  <c r="AA64" i="60"/>
  <c r="Z64" i="60"/>
  <c r="Y64" i="60"/>
  <c r="X64" i="60"/>
  <c r="T64" i="60"/>
  <c r="L64" i="60"/>
  <c r="Q64" i="60" s="1"/>
  <c r="B64" i="60"/>
  <c r="AI63" i="60"/>
  <c r="AH63" i="60"/>
  <c r="AG63" i="60"/>
  <c r="AB63" i="60"/>
  <c r="Z63" i="60"/>
  <c r="Y63" i="60"/>
  <c r="X63" i="60"/>
  <c r="U63" i="60"/>
  <c r="T63" i="60"/>
  <c r="Q63" i="60"/>
  <c r="AF63" i="60" s="1"/>
  <c r="B63" i="60"/>
  <c r="AI62" i="60"/>
  <c r="AE62" i="60"/>
  <c r="AB62" i="60"/>
  <c r="Y62" i="60"/>
  <c r="X62" i="60"/>
  <c r="T62" i="60"/>
  <c r="R62" i="60"/>
  <c r="Q62" i="60"/>
  <c r="AA62" i="60" s="1"/>
  <c r="B62" i="60"/>
  <c r="AI61" i="60"/>
  <c r="AG61" i="60"/>
  <c r="AF61" i="60"/>
  <c r="AE61" i="60"/>
  <c r="AD61" i="60"/>
  <c r="AC61" i="60"/>
  <c r="AB61" i="60"/>
  <c r="AA61" i="60"/>
  <c r="Z61" i="60"/>
  <c r="Y61" i="60"/>
  <c r="X61" i="60"/>
  <c r="T61" i="60"/>
  <c r="Q61" i="60"/>
  <c r="AH61" i="60" s="1"/>
  <c r="L61" i="60"/>
  <c r="B61" i="60"/>
  <c r="AI60" i="60"/>
  <c r="AH60" i="60"/>
  <c r="AG60" i="60"/>
  <c r="AF60" i="60"/>
  <c r="AE60" i="60"/>
  <c r="AB60" i="60"/>
  <c r="AA60" i="60"/>
  <c r="Z60" i="60"/>
  <c r="Y60" i="60"/>
  <c r="X60" i="60"/>
  <c r="U60" i="60"/>
  <c r="T60" i="60"/>
  <c r="R60" i="60"/>
  <c r="Q60" i="60"/>
  <c r="AD60" i="60" s="1"/>
  <c r="L60" i="60"/>
  <c r="B60" i="60"/>
  <c r="AF59" i="60"/>
  <c r="AE59" i="60"/>
  <c r="AD59" i="60"/>
  <c r="AC59" i="60"/>
  <c r="AB59" i="60"/>
  <c r="AA59" i="60"/>
  <c r="Z59" i="60"/>
  <c r="Y59" i="60"/>
  <c r="X59" i="60"/>
  <c r="T59" i="60"/>
  <c r="Q59" i="60"/>
  <c r="L59" i="60"/>
  <c r="B59" i="60"/>
  <c r="AI58" i="60"/>
  <c r="AA58" i="60"/>
  <c r="Z58" i="60"/>
  <c r="Y58" i="60"/>
  <c r="X58" i="60"/>
  <c r="T58" i="60"/>
  <c r="Q58" i="60"/>
  <c r="AH58" i="60" s="1"/>
  <c r="L58" i="60"/>
  <c r="B58" i="60"/>
  <c r="AI57" i="60"/>
  <c r="AH57" i="60"/>
  <c r="AG57" i="60"/>
  <c r="AF57" i="60"/>
  <c r="AE57" i="60"/>
  <c r="AB57" i="60"/>
  <c r="AA57" i="60"/>
  <c r="Z57" i="60"/>
  <c r="Y57" i="60"/>
  <c r="X57" i="60"/>
  <c r="U57" i="60"/>
  <c r="T57" i="60"/>
  <c r="R57" i="60"/>
  <c r="Q57" i="60"/>
  <c r="AD57" i="60" s="1"/>
  <c r="L57" i="60"/>
  <c r="B57" i="60"/>
  <c r="AD56" i="60"/>
  <c r="T56" i="60"/>
  <c r="Q56" i="60"/>
  <c r="L56" i="60"/>
  <c r="B56" i="60"/>
  <c r="AI55" i="60"/>
  <c r="Z55" i="60"/>
  <c r="T55" i="60"/>
  <c r="L55" i="60"/>
  <c r="O55" i="60" s="1"/>
  <c r="Q55" i="60" s="1"/>
  <c r="B55" i="60"/>
  <c r="AI54" i="60"/>
  <c r="T54" i="60"/>
  <c r="L54" i="60"/>
  <c r="Q54" i="60" s="1"/>
  <c r="B54" i="60"/>
  <c r="AI53" i="60"/>
  <c r="AE53" i="60"/>
  <c r="AB53" i="60"/>
  <c r="T53" i="60"/>
  <c r="R53" i="60"/>
  <c r="Q53" i="60"/>
  <c r="AA53" i="60" s="1"/>
  <c r="L53" i="60"/>
  <c r="B53" i="60"/>
  <c r="T52" i="60"/>
  <c r="L52" i="60"/>
  <c r="Q52" i="60" s="1"/>
  <c r="B52" i="60"/>
  <c r="T51" i="60"/>
  <c r="L51" i="60"/>
  <c r="B51" i="60"/>
  <c r="T50" i="60"/>
  <c r="L50" i="60"/>
  <c r="Q50" i="60" s="1"/>
  <c r="B50" i="60"/>
  <c r="T49" i="60"/>
  <c r="L49" i="60"/>
  <c r="B49" i="60"/>
  <c r="AA48" i="60"/>
  <c r="Z48" i="60"/>
  <c r="Y48" i="60"/>
  <c r="X48" i="60"/>
  <c r="T48" i="60"/>
  <c r="O48" i="60"/>
  <c r="L48" i="60"/>
  <c r="B48" i="60"/>
  <c r="AI47" i="60"/>
  <c r="AH47" i="60"/>
  <c r="AG47" i="60"/>
  <c r="AF47" i="60"/>
  <c r="AE47" i="60"/>
  <c r="AB47" i="60"/>
  <c r="AA47" i="60"/>
  <c r="Z47" i="60"/>
  <c r="Y47" i="60"/>
  <c r="X47" i="60"/>
  <c r="U47" i="60"/>
  <c r="T47" i="60"/>
  <c r="R47" i="60"/>
  <c r="Q47" i="60"/>
  <c r="AD47" i="60" s="1"/>
  <c r="L47" i="60"/>
  <c r="B47" i="60"/>
  <c r="AF46" i="60"/>
  <c r="AE46" i="60"/>
  <c r="AD46" i="60"/>
  <c r="AC46" i="60"/>
  <c r="AB46" i="60"/>
  <c r="AA46" i="60"/>
  <c r="Z46" i="60"/>
  <c r="Y46" i="60"/>
  <c r="X46" i="60"/>
  <c r="T46" i="60"/>
  <c r="L46" i="60"/>
  <c r="Q46" i="60" s="1"/>
  <c r="B46" i="60"/>
  <c r="AI45" i="60"/>
  <c r="AG45" i="60"/>
  <c r="AF45" i="60"/>
  <c r="AE45" i="60"/>
  <c r="AD45" i="60"/>
  <c r="AC45" i="60"/>
  <c r="AB45" i="60"/>
  <c r="AA45" i="60"/>
  <c r="Z45" i="60"/>
  <c r="Y45" i="60"/>
  <c r="X45" i="60"/>
  <c r="T45" i="60"/>
  <c r="Q45" i="60"/>
  <c r="L45" i="60"/>
  <c r="B45" i="60"/>
  <c r="AI44" i="60"/>
  <c r="AH44" i="60"/>
  <c r="AG44" i="60"/>
  <c r="AF44" i="60"/>
  <c r="AE44" i="60"/>
  <c r="AD44" i="60"/>
  <c r="AC44" i="60"/>
  <c r="AB44" i="60"/>
  <c r="AA44" i="60"/>
  <c r="Z44" i="60"/>
  <c r="Y44" i="60"/>
  <c r="X44" i="60"/>
  <c r="U44" i="60"/>
  <c r="T44" i="60"/>
  <c r="R44" i="60"/>
  <c r="Q44" i="60"/>
  <c r="L44" i="60"/>
  <c r="B44" i="60"/>
  <c r="T43" i="60"/>
  <c r="L43" i="60"/>
  <c r="Q43" i="60" s="1"/>
  <c r="B43" i="60"/>
  <c r="AI42" i="60"/>
  <c r="AG42" i="60"/>
  <c r="AF42" i="60"/>
  <c r="AE42" i="60"/>
  <c r="AD42" i="60"/>
  <c r="AC42" i="60"/>
  <c r="AB42" i="60"/>
  <c r="AA42" i="60"/>
  <c r="Z42" i="60"/>
  <c r="Y42" i="60"/>
  <c r="X42" i="60"/>
  <c r="T42" i="60"/>
  <c r="Q42" i="60"/>
  <c r="L42" i="60"/>
  <c r="B42" i="60"/>
  <c r="AI41" i="60"/>
  <c r="AH41" i="60"/>
  <c r="AG41" i="60"/>
  <c r="AF41" i="60"/>
  <c r="AE41" i="60"/>
  <c r="AB41" i="60"/>
  <c r="AA41" i="60"/>
  <c r="Z41" i="60"/>
  <c r="Y41" i="60"/>
  <c r="X41" i="60"/>
  <c r="U41" i="60"/>
  <c r="T41" i="60"/>
  <c r="R41" i="60"/>
  <c r="Q41" i="60"/>
  <c r="AD41" i="60" s="1"/>
  <c r="L41" i="60"/>
  <c r="B41" i="60"/>
  <c r="T40" i="60"/>
  <c r="L40" i="60"/>
  <c r="Q40" i="60" s="1"/>
  <c r="B40" i="60"/>
  <c r="T39" i="60"/>
  <c r="L39" i="60"/>
  <c r="B39" i="60"/>
  <c r="AI38" i="60"/>
  <c r="U38" i="60"/>
  <c r="T38" i="60"/>
  <c r="L38" i="60"/>
  <c r="Q38" i="60" s="1"/>
  <c r="B38" i="60"/>
  <c r="T37" i="60"/>
  <c r="Q37" i="60"/>
  <c r="O37" i="60"/>
  <c r="L37" i="60"/>
  <c r="B37" i="60"/>
  <c r="AD36" i="60"/>
  <c r="AC36" i="60"/>
  <c r="AB36" i="60"/>
  <c r="AA36" i="60"/>
  <c r="Z36" i="60"/>
  <c r="Y36" i="60"/>
  <c r="X36" i="60"/>
  <c r="T36" i="60"/>
  <c r="L36" i="60"/>
  <c r="Q36" i="60" s="1"/>
  <c r="B36" i="60"/>
  <c r="T35" i="60"/>
  <c r="L35" i="60"/>
  <c r="Q35" i="60" s="1"/>
  <c r="B35" i="60"/>
  <c r="AH34" i="60"/>
  <c r="AG34" i="60"/>
  <c r="AF34" i="60"/>
  <c r="AE34" i="60"/>
  <c r="AD34" i="60"/>
  <c r="AC34" i="60"/>
  <c r="AB34" i="60"/>
  <c r="AA34" i="60"/>
  <c r="Z34" i="60"/>
  <c r="Y34" i="60"/>
  <c r="X34" i="60"/>
  <c r="U34" i="60"/>
  <c r="T34" i="60"/>
  <c r="R34" i="60"/>
  <c r="Q34" i="60"/>
  <c r="L34" i="60"/>
  <c r="B34" i="60"/>
  <c r="AF33" i="60"/>
  <c r="AE33" i="60"/>
  <c r="AD33" i="60"/>
  <c r="AC33" i="60"/>
  <c r="AB33" i="60"/>
  <c r="AA33" i="60"/>
  <c r="Z33" i="60"/>
  <c r="Y33" i="60"/>
  <c r="X33" i="60"/>
  <c r="T33" i="60"/>
  <c r="Q33" i="60"/>
  <c r="L33" i="60"/>
  <c r="B33" i="60"/>
  <c r="AH32" i="60"/>
  <c r="T32" i="60"/>
  <c r="L32" i="60"/>
  <c r="Q32" i="60" s="1"/>
  <c r="B32" i="60"/>
  <c r="AH31" i="60"/>
  <c r="Z31" i="60"/>
  <c r="Y31" i="60"/>
  <c r="X31" i="60"/>
  <c r="U31" i="60"/>
  <c r="T31" i="60"/>
  <c r="R31" i="60"/>
  <c r="Q31" i="60"/>
  <c r="AF31" i="60" s="1"/>
  <c r="L31" i="60"/>
  <c r="B31" i="60"/>
  <c r="AF30" i="60"/>
  <c r="AE30" i="60"/>
  <c r="AD30" i="60"/>
  <c r="AC30" i="60"/>
  <c r="AB30" i="60"/>
  <c r="AA30" i="60"/>
  <c r="Z30" i="60"/>
  <c r="Y30" i="60"/>
  <c r="X30" i="60"/>
  <c r="T30" i="60"/>
  <c r="Q30" i="60"/>
  <c r="L30" i="60"/>
  <c r="B30" i="60"/>
  <c r="AD29" i="60"/>
  <c r="AC29" i="60"/>
  <c r="AB29" i="60"/>
  <c r="AA29" i="60"/>
  <c r="Z29" i="60"/>
  <c r="Y29" i="60"/>
  <c r="X29" i="60"/>
  <c r="T29" i="60"/>
  <c r="Q29" i="60"/>
  <c r="L29" i="60"/>
  <c r="B29" i="60"/>
  <c r="X28" i="60"/>
  <c r="T28" i="60"/>
  <c r="L28" i="60"/>
  <c r="Q28" i="60" s="1"/>
  <c r="B28" i="60"/>
  <c r="AG27" i="60"/>
  <c r="AF27" i="60"/>
  <c r="AE27" i="60"/>
  <c r="AD27" i="60"/>
  <c r="AC27" i="60"/>
  <c r="AB27" i="60"/>
  <c r="AA27" i="60"/>
  <c r="Z27" i="60"/>
  <c r="Y27" i="60"/>
  <c r="X27" i="60"/>
  <c r="T27" i="60"/>
  <c r="Q27" i="60"/>
  <c r="L27" i="60"/>
  <c r="B27" i="60"/>
  <c r="AF26" i="60"/>
  <c r="AE26" i="60"/>
  <c r="AD26" i="60"/>
  <c r="AC26" i="60"/>
  <c r="AB26" i="60"/>
  <c r="AA26" i="60"/>
  <c r="Z26" i="60"/>
  <c r="Y26" i="60"/>
  <c r="X26" i="60"/>
  <c r="T26" i="60"/>
  <c r="L26" i="60"/>
  <c r="Q26" i="60" s="1"/>
  <c r="B26" i="60"/>
  <c r="T25" i="60"/>
  <c r="Q25" i="60"/>
  <c r="L25" i="60"/>
  <c r="B25" i="60"/>
  <c r="AH24" i="60"/>
  <c r="AF24" i="60"/>
  <c r="AE24" i="60"/>
  <c r="AD24" i="60"/>
  <c r="AC24" i="60"/>
  <c r="AB24" i="60"/>
  <c r="AA24" i="60"/>
  <c r="Z24" i="60"/>
  <c r="Y24" i="60"/>
  <c r="X24" i="60"/>
  <c r="U24" i="60"/>
  <c r="T24" i="60"/>
  <c r="Q24" i="60"/>
  <c r="L24" i="60"/>
  <c r="B24" i="60"/>
  <c r="AF23" i="60"/>
  <c r="AE23" i="60"/>
  <c r="AD23" i="60"/>
  <c r="AC23" i="60"/>
  <c r="AB23" i="60"/>
  <c r="AA23" i="60"/>
  <c r="Z23" i="60"/>
  <c r="Y23" i="60"/>
  <c r="X23" i="60"/>
  <c r="T23" i="60"/>
  <c r="L23" i="60"/>
  <c r="Q23" i="60" s="1"/>
  <c r="B23" i="60"/>
  <c r="T22" i="60"/>
  <c r="L22" i="60"/>
  <c r="O22" i="60" s="1"/>
  <c r="Q22" i="60" s="1"/>
  <c r="B22" i="60"/>
  <c r="T21" i="60"/>
  <c r="L21" i="60"/>
  <c r="Q21" i="60" s="1"/>
  <c r="B21" i="60"/>
  <c r="AD20" i="60"/>
  <c r="AC20" i="60"/>
  <c r="AB20" i="60"/>
  <c r="AA20" i="60"/>
  <c r="Z20" i="60"/>
  <c r="Y20" i="60"/>
  <c r="X20" i="60"/>
  <c r="T20" i="60"/>
  <c r="L20" i="60"/>
  <c r="B20" i="60"/>
  <c r="AI19" i="60"/>
  <c r="AH19" i="60"/>
  <c r="AB19" i="60"/>
  <c r="AA19" i="60"/>
  <c r="Z19" i="60"/>
  <c r="Y19" i="60"/>
  <c r="X19" i="60"/>
  <c r="U19" i="60"/>
  <c r="T19" i="60"/>
  <c r="Q19" i="60"/>
  <c r="AC19" i="60" s="1"/>
  <c r="L19" i="60"/>
  <c r="O19" i="60" s="1"/>
  <c r="B19" i="60"/>
  <c r="AF18" i="60"/>
  <c r="AE18" i="60"/>
  <c r="AD18" i="60"/>
  <c r="AC18" i="60"/>
  <c r="AB18" i="60"/>
  <c r="AA18" i="60"/>
  <c r="Z18" i="60"/>
  <c r="Y18" i="60"/>
  <c r="X18" i="60"/>
  <c r="T18" i="60"/>
  <c r="R18" i="60"/>
  <c r="Q18" i="60"/>
  <c r="AI18" i="60" s="1"/>
  <c r="O18" i="60"/>
  <c r="L18" i="60"/>
  <c r="B18" i="60"/>
  <c r="AD17" i="60"/>
  <c r="AC17" i="60"/>
  <c r="AB17" i="60"/>
  <c r="AA17" i="60"/>
  <c r="Z17" i="60"/>
  <c r="Y17" i="60"/>
  <c r="X17" i="60"/>
  <c r="T17" i="60"/>
  <c r="L17" i="60"/>
  <c r="B17" i="60"/>
  <c r="T16" i="60"/>
  <c r="L16" i="60"/>
  <c r="B16" i="60"/>
  <c r="T15" i="60"/>
  <c r="Q15" i="60"/>
  <c r="L15" i="60"/>
  <c r="B15" i="60"/>
  <c r="Z14" i="60"/>
  <c r="T14" i="60"/>
  <c r="O14" i="60"/>
  <c r="L14" i="60"/>
  <c r="Q14" i="60" s="1"/>
  <c r="B14" i="60"/>
  <c r="AE13" i="60"/>
  <c r="AD13" i="60"/>
  <c r="AC13" i="60"/>
  <c r="AB13" i="60"/>
  <c r="AA13" i="60"/>
  <c r="Z13" i="60"/>
  <c r="Y13" i="60"/>
  <c r="X13" i="60"/>
  <c r="T13" i="60"/>
  <c r="L13" i="60"/>
  <c r="Q13" i="60" s="1"/>
  <c r="AH13" i="60" s="1"/>
  <c r="B13" i="60"/>
  <c r="AG12" i="60"/>
  <c r="AF12" i="60"/>
  <c r="AE12" i="60"/>
  <c r="AD12" i="60"/>
  <c r="AC12" i="60"/>
  <c r="AB12" i="60"/>
  <c r="AA12" i="60"/>
  <c r="Z12" i="60"/>
  <c r="Y12" i="60"/>
  <c r="X12" i="60"/>
  <c r="T12" i="60"/>
  <c r="Q12" i="60"/>
  <c r="L12" i="60"/>
  <c r="B12" i="60"/>
  <c r="AA11" i="60"/>
  <c r="Z11" i="60"/>
  <c r="Y11" i="60"/>
  <c r="X11" i="60"/>
  <c r="T11" i="60"/>
  <c r="Q11" i="60"/>
  <c r="AI11" i="60" s="1"/>
  <c r="L11" i="60"/>
  <c r="B11" i="60"/>
  <c r="AF10" i="60"/>
  <c r="AE10" i="60"/>
  <c r="AD10" i="60"/>
  <c r="AC10" i="60"/>
  <c r="AB10" i="60"/>
  <c r="AA10" i="60"/>
  <c r="Z10" i="60"/>
  <c r="Y10" i="60"/>
  <c r="X10" i="60"/>
  <c r="T10" i="60"/>
  <c r="L10" i="60"/>
  <c r="Q10" i="60" s="1"/>
  <c r="B10" i="60"/>
  <c r="AF9" i="60"/>
  <c r="AE9" i="60"/>
  <c r="AD9" i="60"/>
  <c r="AC9" i="60"/>
  <c r="AB9" i="60"/>
  <c r="AA9" i="60"/>
  <c r="Z9" i="60"/>
  <c r="Y9" i="60"/>
  <c r="X9" i="60"/>
  <c r="T9" i="60"/>
  <c r="L9" i="60"/>
  <c r="C5" i="60"/>
  <c r="B1" i="60"/>
  <c r="P69" i="51"/>
  <c r="O69" i="51"/>
  <c r="N69" i="51"/>
  <c r="M69" i="51"/>
  <c r="L69" i="51"/>
  <c r="K69" i="51"/>
  <c r="J69" i="51"/>
  <c r="I69" i="51"/>
  <c r="H69" i="51"/>
  <c r="G69" i="51"/>
  <c r="F69" i="51"/>
  <c r="E69" i="51"/>
  <c r="D69" i="51"/>
  <c r="E53" i="51"/>
  <c r="P52" i="51"/>
  <c r="P53" i="51" s="1"/>
  <c r="O52" i="51"/>
  <c r="O53" i="51" s="1"/>
  <c r="N52" i="51"/>
  <c r="N53" i="51" s="1"/>
  <c r="M52" i="51"/>
  <c r="M53" i="51" s="1"/>
  <c r="L52" i="51"/>
  <c r="L53" i="51" s="1"/>
  <c r="K52" i="51"/>
  <c r="K53" i="51" s="1"/>
  <c r="J52" i="51"/>
  <c r="J53" i="51" s="1"/>
  <c r="I52" i="51"/>
  <c r="I53" i="51" s="1"/>
  <c r="H52" i="51"/>
  <c r="H53" i="51" s="1"/>
  <c r="G52" i="51"/>
  <c r="G53" i="51" s="1"/>
  <c r="F52" i="51"/>
  <c r="F53" i="51" s="1"/>
  <c r="E52" i="51"/>
  <c r="D52" i="51"/>
  <c r="D53" i="51" s="1"/>
  <c r="P16" i="51"/>
  <c r="O16" i="51"/>
  <c r="N16" i="51"/>
  <c r="M16" i="51"/>
  <c r="L16" i="51"/>
  <c r="K16" i="51"/>
  <c r="J16" i="51"/>
  <c r="I16" i="51"/>
  <c r="H16" i="51"/>
  <c r="G16" i="51"/>
  <c r="F16" i="51"/>
  <c r="E16" i="51"/>
  <c r="D16" i="51"/>
  <c r="B12" i="51"/>
  <c r="A12" i="51"/>
  <c r="B8" i="51"/>
  <c r="A8" i="51"/>
  <c r="P4" i="51"/>
  <c r="O4" i="51"/>
  <c r="N4" i="51"/>
  <c r="M4" i="51"/>
  <c r="L4" i="51"/>
  <c r="K4" i="51"/>
  <c r="J4" i="51"/>
  <c r="I4" i="51"/>
  <c r="H4" i="51"/>
  <c r="G4" i="51"/>
  <c r="F4" i="51"/>
  <c r="E4" i="51"/>
  <c r="A1" i="51"/>
  <c r="N13" i="62"/>
  <c r="M13" i="62"/>
  <c r="L13" i="62"/>
  <c r="K13" i="62"/>
  <c r="J13" i="62"/>
  <c r="I13" i="62"/>
  <c r="H13" i="62"/>
  <c r="G13" i="62"/>
  <c r="F13" i="62"/>
  <c r="E13" i="62"/>
  <c r="D13" i="62"/>
  <c r="C13" i="62"/>
  <c r="N5" i="62"/>
  <c r="M5" i="62"/>
  <c r="L5" i="62"/>
  <c r="K5" i="62"/>
  <c r="J5" i="62"/>
  <c r="I5" i="62"/>
  <c r="H5" i="62"/>
  <c r="G5" i="62"/>
  <c r="F5" i="62"/>
  <c r="E5" i="62"/>
  <c r="D5" i="62"/>
  <c r="C5" i="62"/>
  <c r="A1" i="62"/>
  <c r="R16" i="64"/>
  <c r="N16" i="64"/>
  <c r="M16" i="64"/>
  <c r="L16" i="64"/>
  <c r="K16" i="64"/>
  <c r="J16" i="64"/>
  <c r="I16" i="64"/>
  <c r="H16" i="64"/>
  <c r="G16" i="64"/>
  <c r="F16" i="64"/>
  <c r="E16" i="64"/>
  <c r="D16" i="64"/>
  <c r="C16" i="64"/>
  <c r="B16" i="64"/>
  <c r="O15" i="64"/>
  <c r="O1" i="64"/>
  <c r="P1" i="64" s="1"/>
  <c r="Q1" i="64" s="1"/>
  <c r="R1" i="64" s="1"/>
  <c r="B36" i="61"/>
  <c r="A36" i="61"/>
  <c r="B13" i="61"/>
  <c r="O5" i="61"/>
  <c r="N5" i="61"/>
  <c r="M5" i="61"/>
  <c r="L5" i="61"/>
  <c r="K5" i="61"/>
  <c r="J5" i="61"/>
  <c r="I5" i="61"/>
  <c r="H5" i="61"/>
  <c r="G5" i="61"/>
  <c r="F5" i="61"/>
  <c r="E5" i="61"/>
  <c r="D5" i="61"/>
  <c r="A1" i="61"/>
  <c r="C199" i="32"/>
  <c r="B199" i="32"/>
  <c r="AX198" i="32"/>
  <c r="AW198" i="32"/>
  <c r="AV198" i="32"/>
  <c r="AU198" i="32"/>
  <c r="AT198" i="32"/>
  <c r="AS198" i="32"/>
  <c r="AR198" i="32"/>
  <c r="AQ198" i="32"/>
  <c r="AP198" i="32"/>
  <c r="AO198" i="32"/>
  <c r="AN198" i="32"/>
  <c r="AY198" i="32" s="1"/>
  <c r="AM198" i="32"/>
  <c r="AL198" i="32"/>
  <c r="AK198" i="32"/>
  <c r="AJ198" i="32"/>
  <c r="AI198" i="32"/>
  <c r="AH198" i="32"/>
  <c r="AG198" i="32"/>
  <c r="AF198" i="32"/>
  <c r="AE198" i="32"/>
  <c r="AD198" i="32"/>
  <c r="AC198" i="32"/>
  <c r="AB198" i="32"/>
  <c r="AA198" i="32"/>
  <c r="Z198" i="32"/>
  <c r="O198" i="32" s="1"/>
  <c r="Y198" i="32"/>
  <c r="N198" i="32" s="1"/>
  <c r="N197" i="32" s="1"/>
  <c r="X198" i="32"/>
  <c r="L198" i="32" s="1"/>
  <c r="L197" i="32" s="1"/>
  <c r="W198" i="32"/>
  <c r="V198" i="32"/>
  <c r="U198" i="32"/>
  <c r="T198" i="32"/>
  <c r="H198" i="32" s="1"/>
  <c r="H197" i="32" s="1"/>
  <c r="S198" i="32"/>
  <c r="R198" i="32"/>
  <c r="Q198" i="32"/>
  <c r="P198" i="32"/>
  <c r="P197" i="32" s="1"/>
  <c r="I198" i="32"/>
  <c r="I197" i="32" s="1"/>
  <c r="I190" i="32" s="1"/>
  <c r="G198" i="32"/>
  <c r="G197" i="32" s="1"/>
  <c r="F198" i="32"/>
  <c r="E198" i="32"/>
  <c r="D198" i="32"/>
  <c r="C198" i="32"/>
  <c r="B198" i="32"/>
  <c r="AY197" i="32"/>
  <c r="AX197" i="32"/>
  <c r="AW197" i="32"/>
  <c r="AV197" i="32"/>
  <c r="AU197" i="32"/>
  <c r="AT197" i="32"/>
  <c r="AS197" i="32"/>
  <c r="AR197" i="32"/>
  <c r="AQ197" i="32"/>
  <c r="AP197" i="32"/>
  <c r="AO197" i="32"/>
  <c r="AN197" i="32"/>
  <c r="AM197" i="32"/>
  <c r="AL197" i="32"/>
  <c r="AK197" i="32"/>
  <c r="AJ197" i="32"/>
  <c r="AI197" i="32"/>
  <c r="AH197" i="32"/>
  <c r="AG197" i="32"/>
  <c r="AF197" i="32"/>
  <c r="AE197" i="32"/>
  <c r="AD197" i="32"/>
  <c r="AC197" i="32"/>
  <c r="AB197" i="32"/>
  <c r="AA197" i="32"/>
  <c r="Z197" i="32"/>
  <c r="Y197" i="32"/>
  <c r="X197" i="32"/>
  <c r="W197" i="32"/>
  <c r="V197" i="32"/>
  <c r="U197" i="32"/>
  <c r="T197" i="32"/>
  <c r="S197" i="32"/>
  <c r="R197" i="32"/>
  <c r="Q197" i="32"/>
  <c r="O197" i="32"/>
  <c r="F197" i="32"/>
  <c r="E197" i="32"/>
  <c r="D197" i="32"/>
  <c r="C197" i="32"/>
  <c r="B197" i="32"/>
  <c r="AY196" i="32"/>
  <c r="AX196" i="32"/>
  <c r="AW196" i="32"/>
  <c r="AV196" i="32"/>
  <c r="AU196" i="32"/>
  <c r="AT196" i="32"/>
  <c r="AS196" i="32"/>
  <c r="AR196" i="32"/>
  <c r="AQ196" i="32"/>
  <c r="AP196" i="32"/>
  <c r="AO196" i="32"/>
  <c r="AN196" i="32"/>
  <c r="AM196" i="32"/>
  <c r="AL196" i="32"/>
  <c r="AK196" i="32"/>
  <c r="AJ196" i="32"/>
  <c r="AI196" i="32"/>
  <c r="AH196" i="32"/>
  <c r="AG196" i="32"/>
  <c r="AF196" i="32"/>
  <c r="AE196" i="32"/>
  <c r="AD196" i="32"/>
  <c r="AC196" i="32"/>
  <c r="AB196" i="32"/>
  <c r="AA196" i="32"/>
  <c r="P196" i="32" s="1"/>
  <c r="Z196" i="32"/>
  <c r="Y196" i="32"/>
  <c r="X196" i="32"/>
  <c r="W196" i="32"/>
  <c r="L196" i="32" s="1"/>
  <c r="V196" i="32"/>
  <c r="K196" i="32" s="1"/>
  <c r="U196" i="32"/>
  <c r="T196" i="32"/>
  <c r="S196" i="32"/>
  <c r="R196" i="32"/>
  <c r="G196" i="32" s="1"/>
  <c r="Q196" i="32"/>
  <c r="O196" i="32"/>
  <c r="N196" i="32"/>
  <c r="M196" i="32"/>
  <c r="J196" i="32"/>
  <c r="I196" i="32"/>
  <c r="H196" i="32"/>
  <c r="F196" i="32"/>
  <c r="E196" i="32"/>
  <c r="D196" i="32"/>
  <c r="C196" i="32"/>
  <c r="B196" i="32"/>
  <c r="AX195" i="32"/>
  <c r="AY195" i="32" s="1"/>
  <c r="AW195" i="32"/>
  <c r="AV195" i="32"/>
  <c r="AU195" i="32"/>
  <c r="AT195" i="32"/>
  <c r="AS195" i="32"/>
  <c r="AR195" i="32"/>
  <c r="AQ195" i="32"/>
  <c r="AP195" i="32"/>
  <c r="AO195" i="32"/>
  <c r="AN195" i="32"/>
  <c r="AM195" i="32"/>
  <c r="AL195" i="32"/>
  <c r="AK195" i="32"/>
  <c r="AJ195" i="32"/>
  <c r="AI195" i="32"/>
  <c r="AH195" i="32"/>
  <c r="AG195" i="32"/>
  <c r="AF195" i="32"/>
  <c r="AE195" i="32"/>
  <c r="AD195" i="32"/>
  <c r="AC195" i="32"/>
  <c r="AB195" i="32"/>
  <c r="AA195" i="32"/>
  <c r="P195" i="32" s="1"/>
  <c r="Z195" i="32"/>
  <c r="O195" i="32" s="1"/>
  <c r="O193" i="32" s="1"/>
  <c r="Y195" i="32"/>
  <c r="X195" i="32"/>
  <c r="M195" i="32" s="1"/>
  <c r="W195" i="32"/>
  <c r="L195" i="32" s="1"/>
  <c r="V195" i="32"/>
  <c r="U195" i="32"/>
  <c r="T195" i="32"/>
  <c r="S195" i="32"/>
  <c r="H195" i="32" s="1"/>
  <c r="H193" i="32" s="1"/>
  <c r="R195" i="32"/>
  <c r="Q195" i="32"/>
  <c r="F195" i="32" s="1"/>
  <c r="N195" i="32"/>
  <c r="K195" i="32"/>
  <c r="J195" i="32"/>
  <c r="I195" i="32"/>
  <c r="G195" i="32"/>
  <c r="E195" i="32"/>
  <c r="E193" i="32" s="1"/>
  <c r="D195" i="32"/>
  <c r="C195" i="32"/>
  <c r="B195" i="32"/>
  <c r="BK194" i="32"/>
  <c r="BJ194" i="32"/>
  <c r="BH194" i="32"/>
  <c r="AY194" i="32"/>
  <c r="AX194" i="32"/>
  <c r="AW194" i="32"/>
  <c r="AV194" i="32"/>
  <c r="AU194" i="32"/>
  <c r="AT194" i="32"/>
  <c r="AS194" i="32"/>
  <c r="AR194" i="32"/>
  <c r="AQ194" i="32"/>
  <c r="AP194" i="32"/>
  <c r="AO194" i="32"/>
  <c r="AN194" i="32"/>
  <c r="AM194" i="32"/>
  <c r="AL194" i="32"/>
  <c r="AK194" i="32"/>
  <c r="AJ194" i="32"/>
  <c r="AI194" i="32"/>
  <c r="AH194" i="32"/>
  <c r="AG194" i="32"/>
  <c r="AF194" i="32"/>
  <c r="AE194" i="32"/>
  <c r="AD194" i="32"/>
  <c r="AC194" i="32"/>
  <c r="AB194" i="32"/>
  <c r="AA194" i="32"/>
  <c r="P194" i="32" s="1"/>
  <c r="Z194" i="32"/>
  <c r="Y194" i="32"/>
  <c r="N194" i="32" s="1"/>
  <c r="N193" i="32" s="1"/>
  <c r="X194" i="32"/>
  <c r="M194" i="32" s="1"/>
  <c r="M193" i="32" s="1"/>
  <c r="W194" i="32"/>
  <c r="V194" i="32"/>
  <c r="K194" i="32" s="1"/>
  <c r="K193" i="32" s="1"/>
  <c r="U194" i="32"/>
  <c r="T194" i="32"/>
  <c r="S194" i="32"/>
  <c r="R194" i="32"/>
  <c r="G194" i="32" s="1"/>
  <c r="Q194" i="32"/>
  <c r="O194" i="32"/>
  <c r="L194" i="32"/>
  <c r="I194" i="32"/>
  <c r="I193" i="32" s="1"/>
  <c r="H194" i="32"/>
  <c r="F194" i="32"/>
  <c r="F193" i="32" s="1"/>
  <c r="E194" i="32"/>
  <c r="D194" i="32"/>
  <c r="C194" i="32"/>
  <c r="B194" i="32"/>
  <c r="AX193" i="32"/>
  <c r="AW193" i="32"/>
  <c r="AV193" i="32"/>
  <c r="AU193" i="32"/>
  <c r="AT193" i="32"/>
  <c r="AS193" i="32"/>
  <c r="AR193" i="32"/>
  <c r="AQ193" i="32"/>
  <c r="AP193" i="32"/>
  <c r="AO193" i="32"/>
  <c r="AN193" i="32"/>
  <c r="AM193" i="32"/>
  <c r="AL193" i="32"/>
  <c r="AK193" i="32"/>
  <c r="AJ193" i="32"/>
  <c r="AI193" i="32"/>
  <c r="AH193" i="32"/>
  <c r="AG193" i="32"/>
  <c r="AF193" i="32"/>
  <c r="AE193" i="32"/>
  <c r="AD193" i="32"/>
  <c r="AC193" i="32"/>
  <c r="AB193" i="32"/>
  <c r="AA193" i="32"/>
  <c r="Z193" i="32"/>
  <c r="Y193" i="32"/>
  <c r="X193" i="32"/>
  <c r="W193" i="32"/>
  <c r="V193" i="32"/>
  <c r="U193" i="32"/>
  <c r="T193" i="32"/>
  <c r="S193" i="32"/>
  <c r="R193" i="32"/>
  <c r="Q193" i="32"/>
  <c r="D193" i="32"/>
  <c r="C193" i="32"/>
  <c r="B193" i="32"/>
  <c r="AY192" i="32"/>
  <c r="AX192" i="32"/>
  <c r="AW192" i="32"/>
  <c r="AV192" i="32"/>
  <c r="AU192" i="32"/>
  <c r="AT192" i="32"/>
  <c r="AS192" i="32"/>
  <c r="AR192" i="32"/>
  <c r="AQ192" i="32"/>
  <c r="AP192" i="32"/>
  <c r="AO192" i="32"/>
  <c r="AN192" i="32"/>
  <c r="AM192" i="32"/>
  <c r="AL192" i="32"/>
  <c r="AK192" i="32"/>
  <c r="AJ192" i="32"/>
  <c r="AI192" i="32"/>
  <c r="AH192" i="32"/>
  <c r="AG192" i="32"/>
  <c r="AF192" i="32"/>
  <c r="AE192" i="32"/>
  <c r="AD192" i="32"/>
  <c r="AC192" i="32"/>
  <c r="AB192" i="32"/>
  <c r="AA192" i="32"/>
  <c r="P192" i="32" s="1"/>
  <c r="Z192" i="32"/>
  <c r="Y192" i="32"/>
  <c r="N192" i="32" s="1"/>
  <c r="X192" i="32"/>
  <c r="W192" i="32"/>
  <c r="V192" i="32"/>
  <c r="U192" i="32"/>
  <c r="T192" i="32"/>
  <c r="I192" i="32" s="1"/>
  <c r="S192" i="32"/>
  <c r="R192" i="32"/>
  <c r="G192" i="32" s="1"/>
  <c r="Q192" i="32"/>
  <c r="E192" i="32" s="1"/>
  <c r="M192" i="32"/>
  <c r="L192" i="32"/>
  <c r="K192" i="32"/>
  <c r="J192" i="32"/>
  <c r="D192" i="32"/>
  <c r="C192" i="32"/>
  <c r="B192" i="32"/>
  <c r="AX191" i="32"/>
  <c r="AY191" i="32" s="1"/>
  <c r="AW191" i="32"/>
  <c r="AV191" i="32"/>
  <c r="AU191" i="32"/>
  <c r="AT191" i="32"/>
  <c r="AS191" i="32"/>
  <c r="AR191" i="32"/>
  <c r="AQ191" i="32"/>
  <c r="AP191" i="32"/>
  <c r="AO191" i="32"/>
  <c r="AN191" i="32"/>
  <c r="AM191" i="32"/>
  <c r="AL191" i="32"/>
  <c r="AK191" i="32"/>
  <c r="AJ191" i="32"/>
  <c r="AI191" i="32"/>
  <c r="AH191" i="32"/>
  <c r="AG191" i="32"/>
  <c r="AF191" i="32"/>
  <c r="AE191" i="32"/>
  <c r="AD191" i="32"/>
  <c r="AC191" i="32"/>
  <c r="AB191" i="32"/>
  <c r="AA191" i="32"/>
  <c r="Z191" i="32"/>
  <c r="O191" i="32" s="1"/>
  <c r="Y191" i="32"/>
  <c r="N191" i="32" s="1"/>
  <c r="X191" i="32"/>
  <c r="W191" i="32"/>
  <c r="L191" i="32" s="1"/>
  <c r="V191" i="32"/>
  <c r="U191" i="32"/>
  <c r="T191" i="32"/>
  <c r="S191" i="32"/>
  <c r="R191" i="32"/>
  <c r="G191" i="32" s="1"/>
  <c r="Q191" i="32"/>
  <c r="P191" i="32"/>
  <c r="M191" i="32"/>
  <c r="K191" i="32"/>
  <c r="J191" i="32"/>
  <c r="I191" i="32"/>
  <c r="H191" i="32"/>
  <c r="F191" i="32"/>
  <c r="E191" i="32"/>
  <c r="E190" i="32" s="1"/>
  <c r="D191" i="32"/>
  <c r="C191" i="32"/>
  <c r="B191" i="32"/>
  <c r="AX190" i="32"/>
  <c r="AW190" i="32"/>
  <c r="AV190" i="32"/>
  <c r="AU190" i="32"/>
  <c r="AT190" i="32"/>
  <c r="AS190" i="32"/>
  <c r="AR190" i="32"/>
  <c r="AQ190" i="32"/>
  <c r="AP190" i="32"/>
  <c r="AO190" i="32"/>
  <c r="AN190" i="32"/>
  <c r="AM190" i="32"/>
  <c r="AL190" i="32"/>
  <c r="AK190" i="32"/>
  <c r="AJ190" i="32"/>
  <c r="AI190" i="32"/>
  <c r="AH190" i="32"/>
  <c r="AG190" i="32"/>
  <c r="AF190" i="32"/>
  <c r="AE190" i="32"/>
  <c r="AD190" i="32"/>
  <c r="AC190" i="32"/>
  <c r="AB190" i="32"/>
  <c r="AA190" i="32"/>
  <c r="Z190" i="32"/>
  <c r="Y190" i="32"/>
  <c r="X190" i="32"/>
  <c r="W190" i="32"/>
  <c r="V190" i="32"/>
  <c r="U190" i="32"/>
  <c r="T190" i="32"/>
  <c r="S190" i="32"/>
  <c r="R190" i="32"/>
  <c r="Q190" i="32"/>
  <c r="D190" i="32"/>
  <c r="C190" i="32"/>
  <c r="B190" i="32"/>
  <c r="A42" i="61" s="1"/>
  <c r="AX189" i="32"/>
  <c r="AW189" i="32"/>
  <c r="AV189" i="32"/>
  <c r="AU189" i="32"/>
  <c r="AT189" i="32"/>
  <c r="AS189" i="32"/>
  <c r="AR189" i="32"/>
  <c r="AQ189" i="32"/>
  <c r="AP189" i="32"/>
  <c r="AO189" i="32"/>
  <c r="AN189" i="32"/>
  <c r="AM189" i="32"/>
  <c r="AL189" i="32"/>
  <c r="AK189" i="32"/>
  <c r="AJ189" i="32"/>
  <c r="AI189" i="32"/>
  <c r="AH189" i="32"/>
  <c r="AG189" i="32"/>
  <c r="AF189" i="32"/>
  <c r="AE189" i="32"/>
  <c r="AD189" i="32"/>
  <c r="AC189" i="32"/>
  <c r="AB189" i="32"/>
  <c r="AA189" i="32"/>
  <c r="P189" i="32" s="1"/>
  <c r="P188" i="32" s="1"/>
  <c r="Z189" i="32"/>
  <c r="Y189" i="32"/>
  <c r="N189" i="32" s="1"/>
  <c r="N188" i="32" s="1"/>
  <c r="X189" i="32"/>
  <c r="M189" i="32" s="1"/>
  <c r="M188" i="32" s="1"/>
  <c r="W189" i="32"/>
  <c r="V189" i="32"/>
  <c r="K189" i="32" s="1"/>
  <c r="K188" i="32" s="1"/>
  <c r="U189" i="32"/>
  <c r="T189" i="32"/>
  <c r="I189" i="32" s="1"/>
  <c r="I188" i="32" s="1"/>
  <c r="S189" i="32"/>
  <c r="R189" i="32"/>
  <c r="Q189" i="32"/>
  <c r="O189" i="32"/>
  <c r="L189" i="32"/>
  <c r="L188" i="32" s="1"/>
  <c r="H189" i="32"/>
  <c r="H188" i="32" s="1"/>
  <c r="G189" i="32"/>
  <c r="G188" i="32" s="1"/>
  <c r="F189" i="32"/>
  <c r="F188" i="32" s="1"/>
  <c r="E189" i="32"/>
  <c r="D189" i="32"/>
  <c r="C189" i="32"/>
  <c r="B189" i="32"/>
  <c r="AX188" i="32"/>
  <c r="AW188" i="32"/>
  <c r="AV188" i="32"/>
  <c r="AU188" i="32"/>
  <c r="AT188" i="32"/>
  <c r="AS188" i="32"/>
  <c r="AR188" i="32"/>
  <c r="AQ188" i="32"/>
  <c r="AP188" i="32"/>
  <c r="AO188" i="32"/>
  <c r="AN188" i="32"/>
  <c r="AM188" i="32"/>
  <c r="AL188" i="32"/>
  <c r="AK188" i="32"/>
  <c r="AJ188" i="32"/>
  <c r="AI188" i="32"/>
  <c r="AH188" i="32"/>
  <c r="AG188" i="32"/>
  <c r="AF188" i="32"/>
  <c r="AE188" i="32"/>
  <c r="AD188" i="32"/>
  <c r="AC188" i="32"/>
  <c r="AB188" i="32"/>
  <c r="AA188" i="32"/>
  <c r="Z188" i="32"/>
  <c r="Y188" i="32"/>
  <c r="X188" i="32"/>
  <c r="W188" i="32"/>
  <c r="V188" i="32"/>
  <c r="U188" i="32"/>
  <c r="T188" i="32"/>
  <c r="S188" i="32"/>
  <c r="R188" i="32"/>
  <c r="Q188" i="32"/>
  <c r="O188" i="32"/>
  <c r="E188" i="32"/>
  <c r="D188" i="32"/>
  <c r="C188" i="32"/>
  <c r="B188" i="32"/>
  <c r="A41" i="61" s="1"/>
  <c r="AX187" i="32"/>
  <c r="AY187" i="32" s="1"/>
  <c r="AW187" i="32"/>
  <c r="AV187" i="32"/>
  <c r="AU187" i="32"/>
  <c r="AT187" i="32"/>
  <c r="AS187" i="32"/>
  <c r="AR187" i="32"/>
  <c r="AQ187" i="32"/>
  <c r="AP187" i="32"/>
  <c r="AO187" i="32"/>
  <c r="AN187" i="32"/>
  <c r="AM187" i="32"/>
  <c r="AL187" i="32"/>
  <c r="AK187" i="32"/>
  <c r="AJ187" i="32"/>
  <c r="AI187" i="32"/>
  <c r="AH187" i="32"/>
  <c r="AG187" i="32"/>
  <c r="AF187" i="32"/>
  <c r="AE187" i="32"/>
  <c r="AD187" i="32"/>
  <c r="AC187" i="32"/>
  <c r="AB187" i="32"/>
  <c r="AA187" i="32"/>
  <c r="P187" i="32" s="1"/>
  <c r="Z187" i="32"/>
  <c r="O187" i="32" s="1"/>
  <c r="Y187" i="32"/>
  <c r="X187" i="32"/>
  <c r="M187" i="32" s="1"/>
  <c r="W187" i="32"/>
  <c r="V187" i="32"/>
  <c r="K187" i="32" s="1"/>
  <c r="U187" i="32"/>
  <c r="T187" i="32"/>
  <c r="S187" i="32"/>
  <c r="R187" i="32"/>
  <c r="G187" i="32" s="1"/>
  <c r="Q187" i="32"/>
  <c r="F187" i="32" s="1"/>
  <c r="N187" i="32"/>
  <c r="L187" i="32"/>
  <c r="J187" i="32"/>
  <c r="I187" i="32"/>
  <c r="H187" i="32"/>
  <c r="E187" i="32"/>
  <c r="D187" i="32"/>
  <c r="C187" i="32"/>
  <c r="B187" i="32"/>
  <c r="AY186" i="32"/>
  <c r="AX186" i="32"/>
  <c r="AW186" i="32"/>
  <c r="AV186" i="32"/>
  <c r="AU186" i="32"/>
  <c r="AT186" i="32"/>
  <c r="AS186" i="32"/>
  <c r="AR186" i="32"/>
  <c r="AQ186" i="32"/>
  <c r="AP186" i="32"/>
  <c r="AO186" i="32"/>
  <c r="AN186" i="32"/>
  <c r="AM186" i="32"/>
  <c r="AL186" i="32"/>
  <c r="AK186" i="32"/>
  <c r="AJ186" i="32"/>
  <c r="AI186" i="32"/>
  <c r="AH186" i="32"/>
  <c r="AG186" i="32"/>
  <c r="AF186" i="32"/>
  <c r="AE186" i="32"/>
  <c r="AD186" i="32"/>
  <c r="AC186" i="32"/>
  <c r="AB186" i="32"/>
  <c r="AA186" i="32"/>
  <c r="P186" i="32" s="1"/>
  <c r="Z186" i="32"/>
  <c r="Y186" i="32"/>
  <c r="N186" i="32" s="1"/>
  <c r="X186" i="32"/>
  <c r="W186" i="32"/>
  <c r="L186" i="32" s="1"/>
  <c r="V186" i="32"/>
  <c r="U186" i="32"/>
  <c r="T186" i="32"/>
  <c r="S186" i="32"/>
  <c r="H186" i="32" s="1"/>
  <c r="R186" i="32"/>
  <c r="G186" i="32" s="1"/>
  <c r="Q186" i="32"/>
  <c r="O186" i="32"/>
  <c r="M186" i="32"/>
  <c r="K186" i="32"/>
  <c r="J186" i="32"/>
  <c r="I186" i="32"/>
  <c r="F186" i="32"/>
  <c r="E186" i="32"/>
  <c r="D186" i="32"/>
  <c r="C186" i="32"/>
  <c r="B186" i="32"/>
  <c r="AX185" i="32"/>
  <c r="AY185" i="32" s="1"/>
  <c r="AW185" i="32"/>
  <c r="AV185" i="32"/>
  <c r="AU185" i="32"/>
  <c r="AT185" i="32"/>
  <c r="AS185" i="32"/>
  <c r="AR185" i="32"/>
  <c r="AQ185" i="32"/>
  <c r="AP185" i="32"/>
  <c r="AO185" i="32"/>
  <c r="AN185" i="32"/>
  <c r="AM185" i="32"/>
  <c r="AL185" i="32"/>
  <c r="AK185" i="32"/>
  <c r="AJ185" i="32"/>
  <c r="AI185" i="32"/>
  <c r="AH185" i="32"/>
  <c r="AG185" i="32"/>
  <c r="AF185" i="32"/>
  <c r="AE185" i="32"/>
  <c r="AD185" i="32"/>
  <c r="AC185" i="32"/>
  <c r="AB185" i="32"/>
  <c r="AA185" i="32"/>
  <c r="Z185" i="32"/>
  <c r="O185" i="32" s="1"/>
  <c r="Y185" i="32"/>
  <c r="X185" i="32"/>
  <c r="M185" i="32" s="1"/>
  <c r="W185" i="32"/>
  <c r="V185" i="32"/>
  <c r="U185" i="32"/>
  <c r="T185" i="32"/>
  <c r="I185" i="32" s="1"/>
  <c r="S185" i="32"/>
  <c r="H185" i="32" s="1"/>
  <c r="R185" i="32"/>
  <c r="Q185" i="32"/>
  <c r="F185" i="32" s="1"/>
  <c r="P185" i="32"/>
  <c r="L185" i="32"/>
  <c r="K185" i="32"/>
  <c r="J185" i="32"/>
  <c r="G185" i="32"/>
  <c r="E185" i="32"/>
  <c r="D185" i="32"/>
  <c r="C185" i="32"/>
  <c r="B185" i="32"/>
  <c r="AY184" i="32"/>
  <c r="AX184" i="32"/>
  <c r="AW184" i="32"/>
  <c r="AV184" i="32"/>
  <c r="AU184" i="32"/>
  <c r="AT184" i="32"/>
  <c r="AS184" i="32"/>
  <c r="AR184" i="32"/>
  <c r="AQ184" i="32"/>
  <c r="AP184" i="32"/>
  <c r="AO184" i="32"/>
  <c r="AN184" i="32"/>
  <c r="AM184" i="32"/>
  <c r="AL184" i="32"/>
  <c r="AK184" i="32"/>
  <c r="AJ184" i="32"/>
  <c r="AI184" i="32"/>
  <c r="AH184" i="32"/>
  <c r="AG184" i="32"/>
  <c r="AF184" i="32"/>
  <c r="AE184" i="32"/>
  <c r="AD184" i="32"/>
  <c r="AC184" i="32"/>
  <c r="AB184" i="32"/>
  <c r="AA184" i="32"/>
  <c r="P184" i="32" s="1"/>
  <c r="Z184" i="32"/>
  <c r="Y184" i="32"/>
  <c r="N184" i="32" s="1"/>
  <c r="X184" i="32"/>
  <c r="W184" i="32"/>
  <c r="V184" i="32"/>
  <c r="U184" i="32"/>
  <c r="J184" i="32" s="1"/>
  <c r="T184" i="32"/>
  <c r="I184" i="32" s="1"/>
  <c r="S184" i="32"/>
  <c r="R184" i="32"/>
  <c r="G184" i="32" s="1"/>
  <c r="Q184" i="32"/>
  <c r="F184" i="32" s="1"/>
  <c r="M184" i="32"/>
  <c r="L184" i="32"/>
  <c r="K184" i="32"/>
  <c r="H184" i="32"/>
  <c r="E184" i="32"/>
  <c r="D184" i="32"/>
  <c r="C184" i="32"/>
  <c r="B184" i="32"/>
  <c r="AX183" i="32"/>
  <c r="AY183" i="32" s="1"/>
  <c r="AW183" i="32"/>
  <c r="AV183" i="32"/>
  <c r="AU183" i="32"/>
  <c r="AT183" i="32"/>
  <c r="AS183" i="32"/>
  <c r="AR183" i="32"/>
  <c r="AQ183" i="32"/>
  <c r="AP183" i="32"/>
  <c r="AO183" i="32"/>
  <c r="AN183" i="32"/>
  <c r="AM183" i="32"/>
  <c r="AL183" i="32"/>
  <c r="AK183" i="32"/>
  <c r="AJ183" i="32"/>
  <c r="AI183" i="32"/>
  <c r="AH183" i="32"/>
  <c r="AG183" i="32"/>
  <c r="AF183" i="32"/>
  <c r="AE183" i="32"/>
  <c r="AD183" i="32"/>
  <c r="AC183" i="32"/>
  <c r="AB183" i="32"/>
  <c r="AA183" i="32"/>
  <c r="Z183" i="32"/>
  <c r="O183" i="32" s="1"/>
  <c r="Y183" i="32"/>
  <c r="X183" i="32"/>
  <c r="W183" i="32"/>
  <c r="V183" i="32"/>
  <c r="K183" i="32" s="1"/>
  <c r="U183" i="32"/>
  <c r="J183" i="32" s="1"/>
  <c r="T183" i="32"/>
  <c r="I183" i="32" s="1"/>
  <c r="S183" i="32"/>
  <c r="H183" i="32" s="1"/>
  <c r="R183" i="32"/>
  <c r="G183" i="32" s="1"/>
  <c r="Q183" i="32"/>
  <c r="P183" i="32"/>
  <c r="N183" i="32"/>
  <c r="M183" i="32"/>
  <c r="L183" i="32"/>
  <c r="F183" i="32"/>
  <c r="E183" i="32"/>
  <c r="D183" i="32"/>
  <c r="C183" i="32"/>
  <c r="B183" i="32"/>
  <c r="AY182" i="32"/>
  <c r="AX182" i="32"/>
  <c r="AW182" i="32"/>
  <c r="AV182" i="32"/>
  <c r="AU182" i="32"/>
  <c r="AT182" i="32"/>
  <c r="AS182" i="32"/>
  <c r="AR182" i="32"/>
  <c r="AQ182" i="32"/>
  <c r="AP182" i="32"/>
  <c r="AO182" i="32"/>
  <c r="AN182" i="32"/>
  <c r="AM182" i="32"/>
  <c r="AL182" i="32"/>
  <c r="AK182" i="32"/>
  <c r="AJ182" i="32"/>
  <c r="AI182" i="32"/>
  <c r="AH182" i="32"/>
  <c r="AG182" i="32"/>
  <c r="AF182" i="32"/>
  <c r="AE182" i="32"/>
  <c r="AD182" i="32"/>
  <c r="AC182" i="32"/>
  <c r="AB182" i="32"/>
  <c r="AA182" i="32"/>
  <c r="P182" i="32" s="1"/>
  <c r="Z182" i="32"/>
  <c r="Y182" i="32"/>
  <c r="X182" i="32"/>
  <c r="W182" i="32"/>
  <c r="L182" i="32" s="1"/>
  <c r="V182" i="32"/>
  <c r="K182" i="32" s="1"/>
  <c r="U182" i="32"/>
  <c r="T182" i="32"/>
  <c r="I182" i="32" s="1"/>
  <c r="S182" i="32"/>
  <c r="H182" i="32" s="1"/>
  <c r="R182" i="32"/>
  <c r="Q182" i="32"/>
  <c r="F182" i="32" s="1"/>
  <c r="O182" i="32"/>
  <c r="N182" i="32"/>
  <c r="M182" i="32"/>
  <c r="J182" i="32"/>
  <c r="D182" i="32"/>
  <c r="C182" i="32"/>
  <c r="B182" i="32"/>
  <c r="AZ181" i="32"/>
  <c r="AY181" i="32"/>
  <c r="BK181" i="32" s="1"/>
  <c r="AX181" i="32"/>
  <c r="AW181" i="32"/>
  <c r="AV181" i="32"/>
  <c r="AU181" i="32"/>
  <c r="AT181" i="32"/>
  <c r="AS181" i="32"/>
  <c r="AR181" i="32"/>
  <c r="AQ181" i="32"/>
  <c r="AP181" i="32"/>
  <c r="AO181" i="32"/>
  <c r="AN181" i="32"/>
  <c r="AM181" i="32"/>
  <c r="AL181" i="32"/>
  <c r="AK181" i="32"/>
  <c r="AJ181" i="32"/>
  <c r="AI181" i="32"/>
  <c r="AH181" i="32"/>
  <c r="AG181" i="32"/>
  <c r="AF181" i="32"/>
  <c r="AE181" i="32"/>
  <c r="AD181" i="32"/>
  <c r="AC181" i="32"/>
  <c r="AB181" i="32"/>
  <c r="AA181" i="32"/>
  <c r="Z181" i="32"/>
  <c r="Y181" i="32"/>
  <c r="X181" i="32"/>
  <c r="M181" i="32" s="1"/>
  <c r="W181" i="32"/>
  <c r="L181" i="32" s="1"/>
  <c r="V181" i="32"/>
  <c r="U181" i="32"/>
  <c r="J181" i="32" s="1"/>
  <c r="T181" i="32"/>
  <c r="I181" i="32" s="1"/>
  <c r="S181" i="32"/>
  <c r="R181" i="32"/>
  <c r="G181" i="32" s="1"/>
  <c r="Q181" i="32"/>
  <c r="P181" i="32"/>
  <c r="P180" i="32" s="1"/>
  <c r="P179" i="32" s="1"/>
  <c r="O181" i="32"/>
  <c r="N181" i="32"/>
  <c r="K181" i="32"/>
  <c r="E181" i="32"/>
  <c r="D181" i="32"/>
  <c r="C181" i="32"/>
  <c r="B181" i="32"/>
  <c r="AX180" i="32"/>
  <c r="AW180" i="32"/>
  <c r="AV180" i="32"/>
  <c r="AU180" i="32"/>
  <c r="AT180" i="32"/>
  <c r="AS180" i="32"/>
  <c r="AR180" i="32"/>
  <c r="AQ180" i="32"/>
  <c r="AP180" i="32"/>
  <c r="AO180" i="32"/>
  <c r="AN180" i="32"/>
  <c r="AM180" i="32"/>
  <c r="AL180" i="32"/>
  <c r="AK180" i="32"/>
  <c r="AJ180" i="32"/>
  <c r="AI180" i="32"/>
  <c r="AH180" i="32"/>
  <c r="AG180" i="32"/>
  <c r="AF180" i="32"/>
  <c r="AE180" i="32"/>
  <c r="AD180" i="32"/>
  <c r="AC180" i="32"/>
  <c r="AB180" i="32"/>
  <c r="AA180" i="32"/>
  <c r="Z180" i="32"/>
  <c r="Y180" i="32"/>
  <c r="X180" i="32"/>
  <c r="W180" i="32"/>
  <c r="V180" i="32"/>
  <c r="U180" i="32"/>
  <c r="T180" i="32"/>
  <c r="S180" i="32"/>
  <c r="R180" i="32"/>
  <c r="Q180" i="32"/>
  <c r="I180" i="32"/>
  <c r="I179" i="32" s="1"/>
  <c r="D180" i="32"/>
  <c r="C180" i="32"/>
  <c r="B180" i="32"/>
  <c r="AX179" i="32"/>
  <c r="AW179" i="32"/>
  <c r="AV179" i="32"/>
  <c r="AU179" i="32"/>
  <c r="AT179" i="32"/>
  <c r="AS179" i="32"/>
  <c r="AR179" i="32"/>
  <c r="AQ179" i="32"/>
  <c r="AP179" i="32"/>
  <c r="AO179" i="32"/>
  <c r="AN179" i="32"/>
  <c r="AM179" i="32"/>
  <c r="AL179" i="32"/>
  <c r="AK179" i="32"/>
  <c r="AJ179" i="32"/>
  <c r="AI179" i="32"/>
  <c r="AH179" i="32"/>
  <c r="AG179" i="32"/>
  <c r="AF179" i="32"/>
  <c r="AE179" i="32"/>
  <c r="AD179" i="32"/>
  <c r="AC179" i="32"/>
  <c r="AB179" i="32"/>
  <c r="AA179" i="32"/>
  <c r="Z179" i="32"/>
  <c r="Y179" i="32"/>
  <c r="X179" i="32"/>
  <c r="W179" i="32"/>
  <c r="V179" i="32"/>
  <c r="U179" i="32"/>
  <c r="T179" i="32"/>
  <c r="S179" i="32"/>
  <c r="R179" i="32"/>
  <c r="Q179" i="32"/>
  <c r="D179" i="32"/>
  <c r="C179" i="32"/>
  <c r="B179" i="32"/>
  <c r="A40" i="61" s="1"/>
  <c r="BV178" i="32"/>
  <c r="BU178" i="32"/>
  <c r="BT178" i="32"/>
  <c r="BS178" i="32"/>
  <c r="BR178" i="32"/>
  <c r="BQ178" i="32"/>
  <c r="BP178" i="32"/>
  <c r="BO178" i="32"/>
  <c r="BN178" i="32"/>
  <c r="BM178" i="32"/>
  <c r="BL178" i="32"/>
  <c r="BK178" i="32"/>
  <c r="AX178" i="32"/>
  <c r="AW178" i="32"/>
  <c r="AV178" i="32"/>
  <c r="AU178" i="32"/>
  <c r="AT178" i="32"/>
  <c r="AS178" i="32"/>
  <c r="AR178" i="32"/>
  <c r="AQ178" i="32"/>
  <c r="AP178" i="32"/>
  <c r="AO178" i="32"/>
  <c r="AN178" i="32"/>
  <c r="AM178" i="32"/>
  <c r="AL178" i="32"/>
  <c r="AK178" i="32"/>
  <c r="AJ178" i="32"/>
  <c r="AI178" i="32"/>
  <c r="AH178" i="32"/>
  <c r="AG178" i="32"/>
  <c r="AF178" i="32"/>
  <c r="AE178" i="32"/>
  <c r="AD178" i="32"/>
  <c r="AC178" i="32"/>
  <c r="AB178" i="32"/>
  <c r="AA178" i="32"/>
  <c r="Z178" i="32"/>
  <c r="O178" i="32" s="1"/>
  <c r="Y178" i="32"/>
  <c r="X178" i="32"/>
  <c r="M178" i="32" s="1"/>
  <c r="W178" i="32"/>
  <c r="L178" i="32" s="1"/>
  <c r="V178" i="32"/>
  <c r="U178" i="32"/>
  <c r="J178" i="32" s="1"/>
  <c r="T178" i="32"/>
  <c r="S178" i="32"/>
  <c r="H178" i="32" s="1"/>
  <c r="R178" i="32"/>
  <c r="Q178" i="32"/>
  <c r="P178" i="32"/>
  <c r="N178" i="32"/>
  <c r="K178" i="32"/>
  <c r="G178" i="32"/>
  <c r="F178" i="32"/>
  <c r="E178" i="32"/>
  <c r="D178" i="32"/>
  <c r="C178" i="32"/>
  <c r="B178" i="32"/>
  <c r="AX177" i="32"/>
  <c r="AW177" i="32"/>
  <c r="AV177" i="32"/>
  <c r="AU177" i="32"/>
  <c r="AT177" i="32"/>
  <c r="AT175" i="32" s="1"/>
  <c r="AS177" i="32"/>
  <c r="AR177" i="32"/>
  <c r="AQ177" i="32"/>
  <c r="AQ175" i="32" s="1"/>
  <c r="AP177" i="32"/>
  <c r="AO177" i="32"/>
  <c r="AN177" i="32"/>
  <c r="AM177" i="32"/>
  <c r="AL177" i="32"/>
  <c r="AK177" i="32"/>
  <c r="AJ177" i="32"/>
  <c r="AI177" i="32"/>
  <c r="AH177" i="32"/>
  <c r="AH175" i="32" s="1"/>
  <c r="AG177" i="32"/>
  <c r="AF177" i="32"/>
  <c r="AE177" i="32"/>
  <c r="AE175" i="32" s="1"/>
  <c r="AD177" i="32"/>
  <c r="AC177" i="32"/>
  <c r="AB177" i="32"/>
  <c r="AA177" i="32"/>
  <c r="P177" i="32" s="1"/>
  <c r="P175" i="32" s="1"/>
  <c r="P174" i="32" s="1"/>
  <c r="Z177" i="32"/>
  <c r="Y177" i="32"/>
  <c r="N177" i="32" s="1"/>
  <c r="X177" i="32"/>
  <c r="M177" i="32" s="1"/>
  <c r="W177" i="32"/>
  <c r="V177" i="32"/>
  <c r="U177" i="32"/>
  <c r="T177" i="32"/>
  <c r="I177" i="32" s="1"/>
  <c r="S177" i="32"/>
  <c r="S175" i="32" s="1"/>
  <c r="R177" i="32"/>
  <c r="Q177" i="32"/>
  <c r="O177" i="32"/>
  <c r="H177" i="32"/>
  <c r="G177" i="32"/>
  <c r="G175" i="32" s="1"/>
  <c r="G174" i="32" s="1"/>
  <c r="F177" i="32"/>
  <c r="E177" i="32"/>
  <c r="D177" i="32"/>
  <c r="C177" i="32"/>
  <c r="B177" i="32"/>
  <c r="BJ176" i="32"/>
  <c r="BI176" i="32"/>
  <c r="BH176" i="32"/>
  <c r="BG176" i="32"/>
  <c r="BG175" i="32" s="1"/>
  <c r="BG174" i="32" s="1"/>
  <c r="BF176" i="32"/>
  <c r="BE176" i="32"/>
  <c r="BD176" i="32"/>
  <c r="BP176" i="32" s="1"/>
  <c r="BP175" i="32" s="1"/>
  <c r="BP174" i="32" s="1"/>
  <c r="BC176" i="32"/>
  <c r="BB176" i="32"/>
  <c r="BA176" i="32"/>
  <c r="AZ176" i="32"/>
  <c r="AY176" i="32"/>
  <c r="BO176" i="32" s="1"/>
  <c r="BO175" i="32" s="1"/>
  <c r="BO174" i="32" s="1"/>
  <c r="AX176" i="32"/>
  <c r="AW176" i="32"/>
  <c r="AW175" i="32" s="1"/>
  <c r="AV176" i="32"/>
  <c r="AV175" i="32" s="1"/>
  <c r="AU176" i="32"/>
  <c r="AU175" i="32" s="1"/>
  <c r="AT176" i="32"/>
  <c r="AS176" i="32"/>
  <c r="AS175" i="32" s="1"/>
  <c r="AR176" i="32"/>
  <c r="AR175" i="32" s="1"/>
  <c r="AQ176" i="32"/>
  <c r="AP176" i="32"/>
  <c r="AO176" i="32"/>
  <c r="AN176" i="32"/>
  <c r="AM176" i="32"/>
  <c r="AL176" i="32"/>
  <c r="AK176" i="32"/>
  <c r="AK175" i="32" s="1"/>
  <c r="AJ176" i="32"/>
  <c r="AJ175" i="32" s="1"/>
  <c r="AI176" i="32"/>
  <c r="AI175" i="32" s="1"/>
  <c r="AH176" i="32"/>
  <c r="AG176" i="32"/>
  <c r="AG175" i="32" s="1"/>
  <c r="AF176" i="32"/>
  <c r="AF175" i="32" s="1"/>
  <c r="AE176" i="32"/>
  <c r="AD176" i="32"/>
  <c r="AC176" i="32"/>
  <c r="AB176" i="32"/>
  <c r="AA176" i="32"/>
  <c r="Z176" i="32"/>
  <c r="O176" i="32" s="1"/>
  <c r="O175" i="32" s="1"/>
  <c r="Y176" i="32"/>
  <c r="N176" i="32" s="1"/>
  <c r="N175" i="32" s="1"/>
  <c r="N174" i="32" s="1"/>
  <c r="X176" i="32"/>
  <c r="L176" i="32" s="1"/>
  <c r="W176" i="32"/>
  <c r="W175" i="32" s="1"/>
  <c r="V176" i="32"/>
  <c r="U176" i="32"/>
  <c r="T176" i="32"/>
  <c r="T175" i="32" s="1"/>
  <c r="S176" i="32"/>
  <c r="R176" i="32"/>
  <c r="Q176" i="32"/>
  <c r="P176" i="32"/>
  <c r="H176" i="32"/>
  <c r="G176" i="32"/>
  <c r="F176" i="32"/>
  <c r="E176" i="32"/>
  <c r="D176" i="32"/>
  <c r="C176" i="32"/>
  <c r="B176" i="32"/>
  <c r="BJ175" i="32"/>
  <c r="BJ174" i="32" s="1"/>
  <c r="BI175" i="32"/>
  <c r="BI174" i="32" s="1"/>
  <c r="BH175" i="32"/>
  <c r="BH174" i="32" s="1"/>
  <c r="BF175" i="32"/>
  <c r="BF174" i="32" s="1"/>
  <c r="BC175" i="32"/>
  <c r="BB175" i="32"/>
  <c r="BA175" i="32"/>
  <c r="AZ175" i="32"/>
  <c r="AY175" i="32"/>
  <c r="AX175" i="32"/>
  <c r="AP175" i="32"/>
  <c r="AO175" i="32"/>
  <c r="AN175" i="32"/>
  <c r="AM175" i="32"/>
  <c r="AL175" i="32"/>
  <c r="AD175" i="32"/>
  <c r="AC175" i="32"/>
  <c r="AB175" i="32"/>
  <c r="AA175" i="32"/>
  <c r="Z175" i="32"/>
  <c r="X175" i="32"/>
  <c r="R175" i="32"/>
  <c r="Q175" i="32"/>
  <c r="F175" i="32"/>
  <c r="E175" i="32"/>
  <c r="D175" i="32"/>
  <c r="C175" i="32"/>
  <c r="B175" i="32"/>
  <c r="BC174" i="32"/>
  <c r="BB174" i="32"/>
  <c r="BA174" i="32"/>
  <c r="AZ174" i="32"/>
  <c r="AY174" i="32"/>
  <c r="AX174" i="32"/>
  <c r="AW174" i="32"/>
  <c r="AV174" i="32"/>
  <c r="AU174" i="32"/>
  <c r="AT174" i="32"/>
  <c r="AS174" i="32"/>
  <c r="AR174" i="32"/>
  <c r="AQ174" i="32"/>
  <c r="AP174" i="32"/>
  <c r="AO174" i="32"/>
  <c r="AN174" i="32"/>
  <c r="AM174" i="32"/>
  <c r="AL174" i="32"/>
  <c r="AK174" i="32"/>
  <c r="AJ174" i="32"/>
  <c r="AI174" i="32"/>
  <c r="AH174" i="32"/>
  <c r="AG174" i="32"/>
  <c r="AF174" i="32"/>
  <c r="AE174" i="32"/>
  <c r="AD174" i="32"/>
  <c r="AC174" i="32"/>
  <c r="AB174" i="32"/>
  <c r="AA174" i="32"/>
  <c r="Z174" i="32"/>
  <c r="Y174" i="32"/>
  <c r="X174" i="32"/>
  <c r="W174" i="32"/>
  <c r="V174" i="32"/>
  <c r="U174" i="32"/>
  <c r="T174" i="32"/>
  <c r="S174" i="32"/>
  <c r="R174" i="32"/>
  <c r="Q174" i="32"/>
  <c r="F174" i="32"/>
  <c r="E174" i="32"/>
  <c r="D174" i="32"/>
  <c r="C174" i="32"/>
  <c r="B174" i="32"/>
  <c r="A39" i="61" s="1"/>
  <c r="BV173" i="32"/>
  <c r="BV172" i="32" s="1"/>
  <c r="BU173" i="32"/>
  <c r="BT173" i="32"/>
  <c r="BS173" i="32"/>
  <c r="BS172" i="32" s="1"/>
  <c r="BR173" i="32"/>
  <c r="BQ173" i="32"/>
  <c r="BP173" i="32"/>
  <c r="BO173" i="32"/>
  <c r="BN173" i="32"/>
  <c r="BM173" i="32"/>
  <c r="BL173" i="32"/>
  <c r="BK173" i="32"/>
  <c r="AX173" i="32"/>
  <c r="AW173" i="32"/>
  <c r="AV173" i="32"/>
  <c r="AU173" i="32"/>
  <c r="AT173" i="32"/>
  <c r="AS173" i="32"/>
  <c r="AR173" i="32"/>
  <c r="AQ173" i="32"/>
  <c r="AP173" i="32"/>
  <c r="AO173" i="32"/>
  <c r="AN173" i="32"/>
  <c r="AM173" i="32"/>
  <c r="AL173" i="32"/>
  <c r="AK173" i="32"/>
  <c r="AJ173" i="32"/>
  <c r="AI173" i="32"/>
  <c r="AH173" i="32"/>
  <c r="AG173" i="32"/>
  <c r="AF173" i="32"/>
  <c r="AE173" i="32"/>
  <c r="AD173" i="32"/>
  <c r="AC173" i="32"/>
  <c r="AB173" i="32"/>
  <c r="AA173" i="32"/>
  <c r="Z173" i="32"/>
  <c r="O173" i="32" s="1"/>
  <c r="O172" i="32" s="1"/>
  <c r="Y173" i="32"/>
  <c r="X173" i="32"/>
  <c r="W173" i="32"/>
  <c r="L173" i="32" s="1"/>
  <c r="L172" i="32" s="1"/>
  <c r="V173" i="32"/>
  <c r="U173" i="32"/>
  <c r="T173" i="32"/>
  <c r="S173" i="32"/>
  <c r="H173" i="32" s="1"/>
  <c r="H172" i="32" s="1"/>
  <c r="R173" i="32"/>
  <c r="F173" i="32" s="1"/>
  <c r="F172" i="32" s="1"/>
  <c r="Q173" i="32"/>
  <c r="E173" i="32" s="1"/>
  <c r="E172" i="32" s="1"/>
  <c r="P173" i="32"/>
  <c r="M173" i="32"/>
  <c r="K173" i="32"/>
  <c r="K172" i="32" s="1"/>
  <c r="J173" i="32"/>
  <c r="I173" i="32"/>
  <c r="D173" i="32"/>
  <c r="C173" i="32"/>
  <c r="B173" i="32"/>
  <c r="BU172" i="32"/>
  <c r="BT172" i="32"/>
  <c r="BR172" i="32"/>
  <c r="BQ172" i="32"/>
  <c r="BP172" i="32"/>
  <c r="BO172" i="32"/>
  <c r="BN172" i="32"/>
  <c r="BM172" i="32"/>
  <c r="BL172" i="32"/>
  <c r="BK172" i="32"/>
  <c r="BJ172" i="32"/>
  <c r="BI172" i="32"/>
  <c r="BH172" i="32"/>
  <c r="BG172" i="32"/>
  <c r="BF172" i="32"/>
  <c r="BE172" i="32"/>
  <c r="BD172" i="32"/>
  <c r="BC172" i="32"/>
  <c r="BB172" i="32"/>
  <c r="BA172" i="32"/>
  <c r="AZ172" i="32"/>
  <c r="AY172" i="32"/>
  <c r="AX172" i="32"/>
  <c r="AW172" i="32"/>
  <c r="AW148" i="32" s="1"/>
  <c r="AV172" i="32"/>
  <c r="AU172" i="32"/>
  <c r="AT172" i="32"/>
  <c r="AS172" i="32"/>
  <c r="AR172" i="32"/>
  <c r="AQ172" i="32"/>
  <c r="AP172" i="32"/>
  <c r="AO172" i="32"/>
  <c r="AN172" i="32"/>
  <c r="AM172" i="32"/>
  <c r="AL172" i="32"/>
  <c r="AK172" i="32"/>
  <c r="AK148" i="32" s="1"/>
  <c r="AJ172" i="32"/>
  <c r="AI172" i="32"/>
  <c r="AH172" i="32"/>
  <c r="AG172" i="32"/>
  <c r="AF172" i="32"/>
  <c r="AE172" i="32"/>
  <c r="AD172" i="32"/>
  <c r="AC172" i="32"/>
  <c r="AB172" i="32"/>
  <c r="AA172" i="32"/>
  <c r="Z172" i="32"/>
  <c r="Y172" i="32"/>
  <c r="Y148" i="32" s="1"/>
  <c r="X172" i="32"/>
  <c r="W172" i="32"/>
  <c r="V172" i="32"/>
  <c r="U172" i="32"/>
  <c r="T172" i="32"/>
  <c r="S172" i="32"/>
  <c r="R172" i="32"/>
  <c r="Q172" i="32"/>
  <c r="P172" i="32"/>
  <c r="M172" i="32"/>
  <c r="J172" i="32"/>
  <c r="I172" i="32"/>
  <c r="D172" i="32"/>
  <c r="C172" i="32"/>
  <c r="B172" i="32"/>
  <c r="AX171" i="32"/>
  <c r="AY171" i="32" s="1"/>
  <c r="AW171" i="32"/>
  <c r="AV171" i="32"/>
  <c r="AU171" i="32"/>
  <c r="AT171" i="32"/>
  <c r="AS171" i="32"/>
  <c r="AR171" i="32"/>
  <c r="AQ171" i="32"/>
  <c r="AP171" i="32"/>
  <c r="AO171" i="32"/>
  <c r="AN171" i="32"/>
  <c r="AM171" i="32"/>
  <c r="AL171" i="32"/>
  <c r="AK171" i="32"/>
  <c r="AJ171" i="32"/>
  <c r="AI171" i="32"/>
  <c r="AH171" i="32"/>
  <c r="AG171" i="32"/>
  <c r="AF171" i="32"/>
  <c r="AE171" i="32"/>
  <c r="AD171" i="32"/>
  <c r="AC171" i="32"/>
  <c r="AB171" i="32"/>
  <c r="AA171" i="32"/>
  <c r="Z171" i="32"/>
  <c r="O171" i="32" s="1"/>
  <c r="O170" i="32" s="1"/>
  <c r="Y171" i="32"/>
  <c r="N171" i="32" s="1"/>
  <c r="N170" i="32" s="1"/>
  <c r="X171" i="32"/>
  <c r="W171" i="32"/>
  <c r="V171" i="32"/>
  <c r="U171" i="32"/>
  <c r="J171" i="32" s="1"/>
  <c r="J170" i="32" s="1"/>
  <c r="T171" i="32"/>
  <c r="S171" i="32"/>
  <c r="R171" i="32"/>
  <c r="Q171" i="32"/>
  <c r="P171" i="32"/>
  <c r="M171" i="32"/>
  <c r="M170" i="32" s="1"/>
  <c r="L171" i="32"/>
  <c r="K171" i="32"/>
  <c r="I171" i="32"/>
  <c r="I170" i="32" s="1"/>
  <c r="F171" i="32"/>
  <c r="F170" i="32" s="1"/>
  <c r="E171" i="32"/>
  <c r="D171" i="32"/>
  <c r="C171" i="32"/>
  <c r="B171" i="32"/>
  <c r="AX170" i="32"/>
  <c r="AW170" i="32"/>
  <c r="AV170" i="32"/>
  <c r="AU170" i="32"/>
  <c r="AT170" i="32"/>
  <c r="AS170" i="32"/>
  <c r="AR170" i="32"/>
  <c r="AQ170" i="32"/>
  <c r="AP170" i="32"/>
  <c r="AO170" i="32"/>
  <c r="AN170" i="32"/>
  <c r="AM170" i="32"/>
  <c r="AL170" i="32"/>
  <c r="AK170" i="32"/>
  <c r="AJ170" i="32"/>
  <c r="AI170" i="32"/>
  <c r="AH170" i="32"/>
  <c r="AG170" i="32"/>
  <c r="AF170" i="32"/>
  <c r="AE170" i="32"/>
  <c r="AD170" i="32"/>
  <c r="AC170" i="32"/>
  <c r="AB170" i="32"/>
  <c r="AA170" i="32"/>
  <c r="Z170" i="32"/>
  <c r="Y170" i="32"/>
  <c r="X170" i="32"/>
  <c r="W170" i="32"/>
  <c r="V170" i="32"/>
  <c r="U170" i="32"/>
  <c r="T170" i="32"/>
  <c r="S170" i="32"/>
  <c r="R170" i="32"/>
  <c r="Q170" i="32"/>
  <c r="P170" i="32"/>
  <c r="L170" i="32"/>
  <c r="K170" i="32"/>
  <c r="E170" i="32"/>
  <c r="D170" i="32"/>
  <c r="C170" i="32"/>
  <c r="B170" i="32"/>
  <c r="BV169" i="32"/>
  <c r="BU169" i="32"/>
  <c r="BT169" i="32"/>
  <c r="BS169" i="32"/>
  <c r="BR169" i="32"/>
  <c r="BQ169" i="32"/>
  <c r="BP169" i="32"/>
  <c r="BO169" i="32"/>
  <c r="BN169" i="32"/>
  <c r="BM169" i="32"/>
  <c r="BL169" i="32"/>
  <c r="BK169" i="32"/>
  <c r="AX169" i="32"/>
  <c r="AW169" i="32"/>
  <c r="AV169" i="32"/>
  <c r="AU169" i="32"/>
  <c r="AT169" i="32"/>
  <c r="AS169" i="32"/>
  <c r="AR169" i="32"/>
  <c r="AQ169" i="32"/>
  <c r="AP169" i="32"/>
  <c r="AO169" i="32"/>
  <c r="AN169" i="32"/>
  <c r="AM169" i="32"/>
  <c r="AL169" i="32"/>
  <c r="AK169" i="32"/>
  <c r="AJ169" i="32"/>
  <c r="AI169" i="32"/>
  <c r="AH169" i="32"/>
  <c r="AG169" i="32"/>
  <c r="AF169" i="32"/>
  <c r="AE169" i="32"/>
  <c r="AD169" i="32"/>
  <c r="AC169" i="32"/>
  <c r="AB169" i="32"/>
  <c r="AA169" i="32"/>
  <c r="Z169" i="32"/>
  <c r="Y169" i="32"/>
  <c r="X169" i="32"/>
  <c r="M169" i="32" s="1"/>
  <c r="W169" i="32"/>
  <c r="L169" i="32" s="1"/>
  <c r="V169" i="32"/>
  <c r="U169" i="32"/>
  <c r="I169" i="32" s="1"/>
  <c r="T169" i="32"/>
  <c r="S169" i="32"/>
  <c r="H169" i="32" s="1"/>
  <c r="R169" i="32"/>
  <c r="F169" i="32" s="1"/>
  <c r="Q169" i="32"/>
  <c r="E169" i="32" s="1"/>
  <c r="P169" i="32"/>
  <c r="O169" i="32"/>
  <c r="O167" i="32" s="1"/>
  <c r="N169" i="32"/>
  <c r="K169" i="32"/>
  <c r="J169" i="32"/>
  <c r="D169" i="32"/>
  <c r="C169" i="32"/>
  <c r="B169" i="32"/>
  <c r="BC168" i="32"/>
  <c r="BC167" i="32" s="1"/>
  <c r="AX168" i="32"/>
  <c r="AW168" i="32"/>
  <c r="AV168" i="32"/>
  <c r="AU168" i="32"/>
  <c r="AT168" i="32"/>
  <c r="AS168" i="32"/>
  <c r="AR168" i="32"/>
  <c r="AQ168" i="32"/>
  <c r="AP168" i="32"/>
  <c r="AO168" i="32"/>
  <c r="AN168" i="32"/>
  <c r="AM168" i="32"/>
  <c r="AL168" i="32"/>
  <c r="AK168" i="32"/>
  <c r="AJ168" i="32"/>
  <c r="AI168" i="32"/>
  <c r="AH168" i="32"/>
  <c r="AG168" i="32"/>
  <c r="AF168" i="32"/>
  <c r="AE168" i="32"/>
  <c r="AD168" i="32"/>
  <c r="AC168" i="32"/>
  <c r="BA168" i="32" s="1"/>
  <c r="BA167" i="32" s="1"/>
  <c r="BA164" i="32" s="1"/>
  <c r="AB168" i="32"/>
  <c r="AA168" i="32"/>
  <c r="Z168" i="32"/>
  <c r="Y168" i="32"/>
  <c r="X168" i="32"/>
  <c r="M168" i="32" s="1"/>
  <c r="W168" i="32"/>
  <c r="K168" i="32" s="1"/>
  <c r="V168" i="32"/>
  <c r="J168" i="32" s="1"/>
  <c r="J167" i="32" s="1"/>
  <c r="U168" i="32"/>
  <c r="I168" i="32" s="1"/>
  <c r="I167" i="32" s="1"/>
  <c r="T168" i="32"/>
  <c r="S168" i="32"/>
  <c r="R168" i="32"/>
  <c r="Q168" i="32"/>
  <c r="P168" i="32"/>
  <c r="O168" i="32"/>
  <c r="N168" i="32"/>
  <c r="H168" i="32"/>
  <c r="H167" i="32" s="1"/>
  <c r="E168" i="32"/>
  <c r="E167" i="32" s="1"/>
  <c r="E164" i="32" s="1"/>
  <c r="E156" i="32" s="1"/>
  <c r="D168" i="32"/>
  <c r="C168" i="32"/>
  <c r="B168" i="32"/>
  <c r="AX167" i="32"/>
  <c r="AW167" i="32"/>
  <c r="AV167" i="32"/>
  <c r="AU167" i="32"/>
  <c r="AT167" i="32"/>
  <c r="AS167" i="32"/>
  <c r="AR167" i="32"/>
  <c r="AQ167" i="32"/>
  <c r="AP167" i="32"/>
  <c r="AO167" i="32"/>
  <c r="AN167" i="32"/>
  <c r="AM167" i="32"/>
  <c r="AL167" i="32"/>
  <c r="AK167" i="32"/>
  <c r="AJ167" i="32"/>
  <c r="AI167" i="32"/>
  <c r="AH167" i="32"/>
  <c r="AG167" i="32"/>
  <c r="AF167" i="32"/>
  <c r="AE167" i="32"/>
  <c r="AD167" i="32"/>
  <c r="AC167" i="32"/>
  <c r="AB167" i="32"/>
  <c r="AA167" i="32"/>
  <c r="Z167" i="32"/>
  <c r="Y167" i="32"/>
  <c r="X167" i="32"/>
  <c r="W167" i="32"/>
  <c r="V167" i="32"/>
  <c r="U167" i="32"/>
  <c r="T167" i="32"/>
  <c r="S167" i="32"/>
  <c r="R167" i="32"/>
  <c r="Q167" i="32"/>
  <c r="N167" i="32"/>
  <c r="M167" i="32"/>
  <c r="D167" i="32"/>
  <c r="C167" i="32"/>
  <c r="B167" i="32"/>
  <c r="BV166" i="32"/>
  <c r="BU166" i="32"/>
  <c r="BT166" i="32"/>
  <c r="BS166" i="32"/>
  <c r="BS165" i="32" s="1"/>
  <c r="BR166" i="32"/>
  <c r="BQ166" i="32"/>
  <c r="BP166" i="32"/>
  <c r="BO166" i="32"/>
  <c r="BN166" i="32"/>
  <c r="BN165" i="32" s="1"/>
  <c r="BM166" i="32"/>
  <c r="BL166" i="32"/>
  <c r="BK166" i="32"/>
  <c r="AX166" i="32"/>
  <c r="AW166" i="32"/>
  <c r="AV166" i="32"/>
  <c r="AU166" i="32"/>
  <c r="AT166" i="32"/>
  <c r="AS166" i="32"/>
  <c r="AR166" i="32"/>
  <c r="AQ166" i="32"/>
  <c r="AP166" i="32"/>
  <c r="AO166" i="32"/>
  <c r="AN166" i="32"/>
  <c r="AM166" i="32"/>
  <c r="AL166" i="32"/>
  <c r="AK166" i="32"/>
  <c r="AJ166" i="32"/>
  <c r="AI166" i="32"/>
  <c r="AH166" i="32"/>
  <c r="AG166" i="32"/>
  <c r="AF166" i="32"/>
  <c r="AE166" i="32"/>
  <c r="AD166" i="32"/>
  <c r="AC166" i="32"/>
  <c r="AB166" i="32"/>
  <c r="AA166" i="32"/>
  <c r="Z166" i="32"/>
  <c r="O166" i="32" s="1"/>
  <c r="O165" i="32" s="1"/>
  <c r="O164" i="32" s="1"/>
  <c r="Y166" i="32"/>
  <c r="X166" i="32"/>
  <c r="W166" i="32"/>
  <c r="V166" i="32"/>
  <c r="U166" i="32"/>
  <c r="T166" i="32"/>
  <c r="H166" i="32" s="1"/>
  <c r="H165" i="32" s="1"/>
  <c r="H164" i="32" s="1"/>
  <c r="S166" i="32"/>
  <c r="R166" i="32"/>
  <c r="G166" i="32" s="1"/>
  <c r="G165" i="32" s="1"/>
  <c r="Q166" i="32"/>
  <c r="P166" i="32"/>
  <c r="M166" i="32"/>
  <c r="J166" i="32"/>
  <c r="I166" i="32"/>
  <c r="E166" i="32"/>
  <c r="D166" i="32"/>
  <c r="C166" i="32"/>
  <c r="B166" i="32"/>
  <c r="BV165" i="32"/>
  <c r="BU165" i="32"/>
  <c r="BT165" i="32"/>
  <c r="BR165" i="32"/>
  <c r="BQ165" i="32"/>
  <c r="BP165" i="32"/>
  <c r="BO165" i="32"/>
  <c r="BM165" i="32"/>
  <c r="BL165" i="32"/>
  <c r="BK165" i="32"/>
  <c r="BJ165" i="32"/>
  <c r="BI165" i="32"/>
  <c r="BH165" i="32"/>
  <c r="BG165" i="32"/>
  <c r="BF165" i="32"/>
  <c r="BE165" i="32"/>
  <c r="BD165" i="32"/>
  <c r="BC165" i="32"/>
  <c r="BB165" i="32"/>
  <c r="BA165" i="32"/>
  <c r="AZ165" i="32"/>
  <c r="AY165" i="32"/>
  <c r="AX165" i="32"/>
  <c r="AW165" i="32"/>
  <c r="AV165" i="32"/>
  <c r="AU165" i="32"/>
  <c r="AT165" i="32"/>
  <c r="AS165" i="32"/>
  <c r="AR165" i="32"/>
  <c r="AQ165" i="32"/>
  <c r="AP165" i="32"/>
  <c r="AO165" i="32"/>
  <c r="AN165" i="32"/>
  <c r="AM165" i="32"/>
  <c r="AL165" i="32"/>
  <c r="AK165" i="32"/>
  <c r="AJ165" i="32"/>
  <c r="AI165" i="32"/>
  <c r="AH165" i="32"/>
  <c r="AG165" i="32"/>
  <c r="AF165" i="32"/>
  <c r="AE165" i="32"/>
  <c r="AD165" i="32"/>
  <c r="AC165" i="32"/>
  <c r="AB165" i="32"/>
  <c r="AA165" i="32"/>
  <c r="Z165" i="32"/>
  <c r="Y165" i="32"/>
  <c r="X165" i="32"/>
  <c r="W165" i="32"/>
  <c r="V165" i="32"/>
  <c r="U165" i="32"/>
  <c r="T165" i="32"/>
  <c r="S165" i="32"/>
  <c r="R165" i="32"/>
  <c r="Q165" i="32"/>
  <c r="P165" i="32"/>
  <c r="M165" i="32"/>
  <c r="M164" i="32" s="1"/>
  <c r="J165" i="32"/>
  <c r="I165" i="32"/>
  <c r="E165" i="32"/>
  <c r="D165" i="32"/>
  <c r="C165" i="32"/>
  <c r="B165" i="32"/>
  <c r="AX164" i="32"/>
  <c r="AW164" i="32"/>
  <c r="AV164" i="32"/>
  <c r="AU164" i="32"/>
  <c r="AT164" i="32"/>
  <c r="AS164" i="32"/>
  <c r="AR164" i="32"/>
  <c r="AQ164" i="32"/>
  <c r="AP164" i="32"/>
  <c r="AO164" i="32"/>
  <c r="AN164" i="32"/>
  <c r="AM164" i="32"/>
  <c r="AL164" i="32"/>
  <c r="AK164" i="32"/>
  <c r="AJ164" i="32"/>
  <c r="AI164" i="32"/>
  <c r="AH164" i="32"/>
  <c r="AG164" i="32"/>
  <c r="AF164" i="32"/>
  <c r="AE164" i="32"/>
  <c r="AD164" i="32"/>
  <c r="AC164" i="32"/>
  <c r="AB164" i="32"/>
  <c r="AA164" i="32"/>
  <c r="Z164" i="32"/>
  <c r="Y164" i="32"/>
  <c r="X164" i="32"/>
  <c r="W164" i="32"/>
  <c r="V164" i="32"/>
  <c r="U164" i="32"/>
  <c r="T164" i="32"/>
  <c r="S164" i="32"/>
  <c r="R164" i="32"/>
  <c r="Q164" i="32"/>
  <c r="D164" i="32"/>
  <c r="C164" i="32"/>
  <c r="B164" i="32"/>
  <c r="AX163" i="32"/>
  <c r="AY163" i="32" s="1"/>
  <c r="AW163" i="32"/>
  <c r="AV163" i="32"/>
  <c r="AU163" i="32"/>
  <c r="AT163" i="32"/>
  <c r="AS163" i="32"/>
  <c r="AR163" i="32"/>
  <c r="AQ163" i="32"/>
  <c r="AP163" i="32"/>
  <c r="AO163" i="32"/>
  <c r="AN163" i="32"/>
  <c r="AM163" i="32"/>
  <c r="AL163" i="32"/>
  <c r="AK163" i="32"/>
  <c r="AJ163" i="32"/>
  <c r="AI163" i="32"/>
  <c r="AH163" i="32"/>
  <c r="AG163" i="32"/>
  <c r="AF163" i="32"/>
  <c r="AE163" i="32"/>
  <c r="AD163" i="32"/>
  <c r="AC163" i="32"/>
  <c r="AB163" i="32"/>
  <c r="AA163" i="32"/>
  <c r="P163" i="32" s="1"/>
  <c r="Z163" i="32"/>
  <c r="O163" i="32" s="1"/>
  <c r="Y163" i="32"/>
  <c r="N163" i="32" s="1"/>
  <c r="X163" i="32"/>
  <c r="M163" i="32" s="1"/>
  <c r="W163" i="32"/>
  <c r="L163" i="32" s="1"/>
  <c r="V163" i="32"/>
  <c r="U163" i="32"/>
  <c r="T163" i="32"/>
  <c r="I163" i="32" s="1"/>
  <c r="S163" i="32"/>
  <c r="R163" i="32"/>
  <c r="Q163" i="32"/>
  <c r="F163" i="32" s="1"/>
  <c r="K163" i="32"/>
  <c r="J163" i="32"/>
  <c r="H163" i="32"/>
  <c r="G163" i="32"/>
  <c r="E163" i="32"/>
  <c r="D163" i="32"/>
  <c r="C163" i="32"/>
  <c r="B163" i="32"/>
  <c r="AX162" i="32"/>
  <c r="AW162" i="32"/>
  <c r="AV162" i="32"/>
  <c r="AU162" i="32"/>
  <c r="AT162" i="32"/>
  <c r="AS162" i="32"/>
  <c r="AR162" i="32"/>
  <c r="AQ162" i="32"/>
  <c r="AP162" i="32"/>
  <c r="AO162" i="32"/>
  <c r="AN162" i="32"/>
  <c r="AM162" i="32"/>
  <c r="AL162" i="32"/>
  <c r="AK162" i="32"/>
  <c r="AJ162" i="32"/>
  <c r="AI162" i="32"/>
  <c r="AH162" i="32"/>
  <c r="AG162" i="32"/>
  <c r="AF162" i="32"/>
  <c r="AE162" i="32"/>
  <c r="AD162" i="32"/>
  <c r="AC162" i="32"/>
  <c r="AB162" i="32"/>
  <c r="AA162" i="32"/>
  <c r="P162" i="32" s="1"/>
  <c r="Z162" i="32"/>
  <c r="O162" i="32" s="1"/>
  <c r="Y162" i="32"/>
  <c r="N162" i="32" s="1"/>
  <c r="X162" i="32"/>
  <c r="M162" i="32" s="1"/>
  <c r="W162" i="32"/>
  <c r="V162" i="32"/>
  <c r="U162" i="32"/>
  <c r="T162" i="32"/>
  <c r="S162" i="32"/>
  <c r="R162" i="32"/>
  <c r="G162" i="32" s="1"/>
  <c r="Q162" i="32"/>
  <c r="L162" i="32"/>
  <c r="K162" i="32"/>
  <c r="H162" i="32"/>
  <c r="F162" i="32"/>
  <c r="E162" i="32"/>
  <c r="D162" i="32"/>
  <c r="B162" i="32"/>
  <c r="AX161" i="32"/>
  <c r="AW161" i="32"/>
  <c r="AV161" i="32"/>
  <c r="AU161" i="32"/>
  <c r="AT161" i="32"/>
  <c r="AS161" i="32"/>
  <c r="AR161" i="32"/>
  <c r="AQ161" i="32"/>
  <c r="AP161" i="32"/>
  <c r="AO161" i="32"/>
  <c r="AN161" i="32"/>
  <c r="AM161" i="32"/>
  <c r="AL161" i="32"/>
  <c r="AK161" i="32"/>
  <c r="AJ161" i="32"/>
  <c r="AI161" i="32"/>
  <c r="AH161" i="32"/>
  <c r="AG161" i="32"/>
  <c r="AF161" i="32"/>
  <c r="AE161" i="32"/>
  <c r="AD161" i="32"/>
  <c r="AC161" i="32"/>
  <c r="AB161" i="32"/>
  <c r="AA161" i="32"/>
  <c r="P161" i="32" s="1"/>
  <c r="Z161" i="32"/>
  <c r="O161" i="32" s="1"/>
  <c r="Y161" i="32"/>
  <c r="N161" i="32" s="1"/>
  <c r="X161" i="32"/>
  <c r="M161" i="32" s="1"/>
  <c r="W161" i="32"/>
  <c r="V161" i="32"/>
  <c r="U161" i="32"/>
  <c r="J161" i="32" s="1"/>
  <c r="T161" i="32"/>
  <c r="S161" i="32"/>
  <c r="R161" i="32"/>
  <c r="G161" i="32" s="1"/>
  <c r="Q161" i="32"/>
  <c r="L161" i="32"/>
  <c r="K161" i="32"/>
  <c r="H161" i="32"/>
  <c r="F161" i="32"/>
  <c r="E161" i="32"/>
  <c r="D161" i="32"/>
  <c r="AX160" i="32"/>
  <c r="AW160" i="32"/>
  <c r="AV160" i="32"/>
  <c r="AU160" i="32"/>
  <c r="AT160" i="32"/>
  <c r="AS160" i="32"/>
  <c r="AR160" i="32"/>
  <c r="AQ160" i="32"/>
  <c r="AP160" i="32"/>
  <c r="AO160" i="32"/>
  <c r="AN160" i="32"/>
  <c r="AM160" i="32"/>
  <c r="AL160" i="32"/>
  <c r="AK160" i="32"/>
  <c r="AJ160" i="32"/>
  <c r="AI160" i="32"/>
  <c r="AH160" i="32"/>
  <c r="AG160" i="32"/>
  <c r="AF160" i="32"/>
  <c r="AE160" i="32"/>
  <c r="AD160" i="32"/>
  <c r="AC160" i="32"/>
  <c r="AB160" i="32"/>
  <c r="AA160" i="32"/>
  <c r="P160" i="32" s="1"/>
  <c r="Z160" i="32"/>
  <c r="O160" i="32" s="1"/>
  <c r="Y160" i="32"/>
  <c r="N160" i="32" s="1"/>
  <c r="X160" i="32"/>
  <c r="M160" i="32" s="1"/>
  <c r="W160" i="32"/>
  <c r="L160" i="32" s="1"/>
  <c r="V160" i="32"/>
  <c r="U160" i="32"/>
  <c r="T160" i="32"/>
  <c r="I160" i="32" s="1"/>
  <c r="S160" i="32"/>
  <c r="R160" i="32"/>
  <c r="Q160" i="32"/>
  <c r="F160" i="32" s="1"/>
  <c r="K160" i="32"/>
  <c r="J160" i="32"/>
  <c r="H160" i="32"/>
  <c r="G160" i="32"/>
  <c r="E160" i="32"/>
  <c r="D160" i="32"/>
  <c r="B160" i="32"/>
  <c r="BV159" i="32"/>
  <c r="BU159" i="32"/>
  <c r="BT159" i="32"/>
  <c r="BS159" i="32"/>
  <c r="BR159" i="32"/>
  <c r="BQ159" i="32"/>
  <c r="BP159" i="32"/>
  <c r="BO159" i="32"/>
  <c r="BN159" i="32"/>
  <c r="BM159" i="32"/>
  <c r="BL159" i="32"/>
  <c r="BK159" i="32"/>
  <c r="AX159" i="32"/>
  <c r="AW159" i="32"/>
  <c r="AV159" i="32"/>
  <c r="AU159" i="32"/>
  <c r="AT159" i="32"/>
  <c r="AS159" i="32"/>
  <c r="AR159" i="32"/>
  <c r="AQ159" i="32"/>
  <c r="AP159" i="32"/>
  <c r="AO159" i="32"/>
  <c r="AN159" i="32"/>
  <c r="AM159" i="32"/>
  <c r="AL159" i="32"/>
  <c r="AK159" i="32"/>
  <c r="AJ159" i="32"/>
  <c r="AI159" i="32"/>
  <c r="AH159" i="32"/>
  <c r="AG159" i="32"/>
  <c r="AF159" i="32"/>
  <c r="AE159" i="32"/>
  <c r="AD159" i="32"/>
  <c r="AC159" i="32"/>
  <c r="AB159" i="32"/>
  <c r="AA159" i="32"/>
  <c r="P159" i="32" s="1"/>
  <c r="Z159" i="32"/>
  <c r="O159" i="32" s="1"/>
  <c r="Y159" i="32"/>
  <c r="N159" i="32" s="1"/>
  <c r="X159" i="32"/>
  <c r="M159" i="32" s="1"/>
  <c r="W159" i="32"/>
  <c r="L159" i="32" s="1"/>
  <c r="V159" i="32"/>
  <c r="U159" i="32"/>
  <c r="T159" i="32"/>
  <c r="I159" i="32" s="1"/>
  <c r="S159" i="32"/>
  <c r="R159" i="32"/>
  <c r="Q159" i="32"/>
  <c r="K159" i="32"/>
  <c r="J159" i="32"/>
  <c r="G159" i="32"/>
  <c r="F159" i="32"/>
  <c r="E159" i="32"/>
  <c r="D159" i="32"/>
  <c r="B159" i="32"/>
  <c r="AX158" i="32"/>
  <c r="AW158" i="32"/>
  <c r="AV158" i="32"/>
  <c r="AU158" i="32"/>
  <c r="AT158" i="32"/>
  <c r="AS158" i="32"/>
  <c r="AR158" i="32"/>
  <c r="AQ158" i="32"/>
  <c r="AP158" i="32"/>
  <c r="AO158" i="32"/>
  <c r="AN158" i="32"/>
  <c r="AM158" i="32"/>
  <c r="AL158" i="32"/>
  <c r="AK158" i="32"/>
  <c r="AJ158" i="32"/>
  <c r="AI158" i="32"/>
  <c r="AH158" i="32"/>
  <c r="AG158" i="32"/>
  <c r="AF158" i="32"/>
  <c r="AE158" i="32"/>
  <c r="AD158" i="32"/>
  <c r="AC158" i="32"/>
  <c r="AB158" i="32"/>
  <c r="AA158" i="32"/>
  <c r="P158" i="32" s="1"/>
  <c r="Z158" i="32"/>
  <c r="O158" i="32" s="1"/>
  <c r="Y158" i="32"/>
  <c r="N158" i="32" s="1"/>
  <c r="X158" i="32"/>
  <c r="M158" i="32" s="1"/>
  <c r="W158" i="32"/>
  <c r="L158" i="32" s="1"/>
  <c r="V158" i="32"/>
  <c r="U158" i="32"/>
  <c r="T158" i="32"/>
  <c r="I158" i="32" s="1"/>
  <c r="S158" i="32"/>
  <c r="R158" i="32"/>
  <c r="Q158" i="32"/>
  <c r="K158" i="32"/>
  <c r="J158" i="32"/>
  <c r="H158" i="32"/>
  <c r="G158" i="32"/>
  <c r="F158" i="32"/>
  <c r="E158" i="32"/>
  <c r="D158" i="32"/>
  <c r="B158" i="32"/>
  <c r="AX157" i="32"/>
  <c r="AW157" i="32"/>
  <c r="AV157" i="32"/>
  <c r="AU157" i="32"/>
  <c r="AT157" i="32"/>
  <c r="AS157" i="32"/>
  <c r="AR157" i="32"/>
  <c r="AQ157" i="32"/>
  <c r="AP157" i="32"/>
  <c r="AO157" i="32"/>
  <c r="AN157" i="32"/>
  <c r="AM157" i="32"/>
  <c r="AL157" i="32"/>
  <c r="AK157" i="32"/>
  <c r="AJ157" i="32"/>
  <c r="AI157" i="32"/>
  <c r="AH157" i="32"/>
  <c r="AG157" i="32"/>
  <c r="AF157" i="32"/>
  <c r="AE157" i="32"/>
  <c r="AD157" i="32"/>
  <c r="AC157" i="32"/>
  <c r="AB157" i="32"/>
  <c r="AA157" i="32"/>
  <c r="P157" i="32" s="1"/>
  <c r="Z157" i="32"/>
  <c r="O157" i="32" s="1"/>
  <c r="Y157" i="32"/>
  <c r="N157" i="32" s="1"/>
  <c r="X157" i="32"/>
  <c r="M157" i="32" s="1"/>
  <c r="W157" i="32"/>
  <c r="L157" i="32" s="1"/>
  <c r="V157" i="32"/>
  <c r="U157" i="32"/>
  <c r="T157" i="32"/>
  <c r="S157" i="32"/>
  <c r="R157" i="32"/>
  <c r="Q157" i="32"/>
  <c r="K157" i="32"/>
  <c r="J157" i="32"/>
  <c r="G157" i="32"/>
  <c r="F157" i="32"/>
  <c r="E157" i="32"/>
  <c r="D157" i="32"/>
  <c r="B157" i="32"/>
  <c r="AX156" i="32"/>
  <c r="AW156" i="32"/>
  <c r="AV156" i="32"/>
  <c r="AU156" i="32"/>
  <c r="AT156" i="32"/>
  <c r="AS156" i="32"/>
  <c r="AR156" i="32"/>
  <c r="AQ156" i="32"/>
  <c r="AP156" i="32"/>
  <c r="AO156" i="32"/>
  <c r="AN156" i="32"/>
  <c r="AM156" i="32"/>
  <c r="AL156" i="32"/>
  <c r="AK156" i="32"/>
  <c r="AJ156" i="32"/>
  <c r="AI156" i="32"/>
  <c r="AH156" i="32"/>
  <c r="AG156" i="32"/>
  <c r="AF156" i="32"/>
  <c r="AE156" i="32"/>
  <c r="AD156" i="32"/>
  <c r="AC156" i="32"/>
  <c r="AB156" i="32"/>
  <c r="AA156" i="32"/>
  <c r="Z156" i="32"/>
  <c r="Y156" i="32"/>
  <c r="X156" i="32"/>
  <c r="W156" i="32"/>
  <c r="V156" i="32"/>
  <c r="U156" i="32"/>
  <c r="T156" i="32"/>
  <c r="S156" i="32"/>
  <c r="R156" i="32"/>
  <c r="Q156" i="32"/>
  <c r="D156" i="32"/>
  <c r="C156" i="32"/>
  <c r="B156" i="32"/>
  <c r="AX155" i="32"/>
  <c r="AW155" i="32"/>
  <c r="AV155" i="32"/>
  <c r="AU155" i="32"/>
  <c r="AT155" i="32"/>
  <c r="AS155" i="32"/>
  <c r="AR155" i="32"/>
  <c r="AQ155" i="32"/>
  <c r="AP155" i="32"/>
  <c r="AO155" i="32"/>
  <c r="AN155" i="32"/>
  <c r="AM155" i="32"/>
  <c r="AL155" i="32"/>
  <c r="AK155" i="32"/>
  <c r="AJ155" i="32"/>
  <c r="AI155" i="32"/>
  <c r="AH155" i="32"/>
  <c r="AG155" i="32"/>
  <c r="AF155" i="32"/>
  <c r="AE155" i="32"/>
  <c r="AD155" i="32"/>
  <c r="AC155" i="32"/>
  <c r="AB155" i="32"/>
  <c r="AA155" i="32"/>
  <c r="P155" i="32" s="1"/>
  <c r="Z155" i="32"/>
  <c r="O155" i="32" s="1"/>
  <c r="Y155" i="32"/>
  <c r="N155" i="32" s="1"/>
  <c r="X155" i="32"/>
  <c r="M155" i="32" s="1"/>
  <c r="W155" i="32"/>
  <c r="V155" i="32"/>
  <c r="U155" i="32"/>
  <c r="T155" i="32"/>
  <c r="S155" i="32"/>
  <c r="R155" i="32"/>
  <c r="G155" i="32" s="1"/>
  <c r="Q155" i="32"/>
  <c r="L155" i="32"/>
  <c r="K155" i="32"/>
  <c r="H155" i="32"/>
  <c r="F155" i="32"/>
  <c r="E155" i="32"/>
  <c r="D155" i="32"/>
  <c r="C155" i="32"/>
  <c r="B155" i="32"/>
  <c r="AX154" i="32"/>
  <c r="AW154" i="32"/>
  <c r="AV154" i="32"/>
  <c r="AU154" i="32"/>
  <c r="AT154" i="32"/>
  <c r="AS154" i="32"/>
  <c r="AR154" i="32"/>
  <c r="AQ154" i="32"/>
  <c r="AP154" i="32"/>
  <c r="AO154" i="32"/>
  <c r="AN154" i="32"/>
  <c r="AM154" i="32"/>
  <c r="AL154" i="32"/>
  <c r="AK154" i="32"/>
  <c r="AJ154" i="32"/>
  <c r="AI154" i="32"/>
  <c r="AH154" i="32"/>
  <c r="AG154" i="32"/>
  <c r="AF154" i="32"/>
  <c r="AE154" i="32"/>
  <c r="AD154" i="32"/>
  <c r="AC154" i="32"/>
  <c r="AB154" i="32"/>
  <c r="AA154" i="32"/>
  <c r="P154" i="32" s="1"/>
  <c r="Z154" i="32"/>
  <c r="O154" i="32" s="1"/>
  <c r="Y154" i="32"/>
  <c r="N154" i="32" s="1"/>
  <c r="X154" i="32"/>
  <c r="W154" i="32"/>
  <c r="V154" i="32"/>
  <c r="K154" i="32" s="1"/>
  <c r="U154" i="32"/>
  <c r="T154" i="32"/>
  <c r="S154" i="32"/>
  <c r="R154" i="32"/>
  <c r="Q154" i="32"/>
  <c r="F154" i="32" s="1"/>
  <c r="M154" i="32"/>
  <c r="L154" i="32"/>
  <c r="I154" i="32"/>
  <c r="H154" i="32"/>
  <c r="G154" i="32"/>
  <c r="E154" i="32"/>
  <c r="D154" i="32"/>
  <c r="C154" i="32"/>
  <c r="B154" i="32"/>
  <c r="AX153" i="32"/>
  <c r="AW153" i="32"/>
  <c r="AV153" i="32"/>
  <c r="AU153" i="32"/>
  <c r="AT153" i="32"/>
  <c r="AS153" i="32"/>
  <c r="AR153" i="32"/>
  <c r="AQ153" i="32"/>
  <c r="AP153" i="32"/>
  <c r="AO153" i="32"/>
  <c r="AN153" i="32"/>
  <c r="AM153" i="32"/>
  <c r="AL153" i="32"/>
  <c r="AK153" i="32"/>
  <c r="AJ153" i="32"/>
  <c r="AI153" i="32"/>
  <c r="AH153" i="32"/>
  <c r="AG153" i="32"/>
  <c r="AF153" i="32"/>
  <c r="AE153" i="32"/>
  <c r="AD153" i="32"/>
  <c r="AC153" i="32"/>
  <c r="AB153" i="32"/>
  <c r="AA153" i="32"/>
  <c r="P153" i="32" s="1"/>
  <c r="P152" i="32" s="1"/>
  <c r="Z153" i="32"/>
  <c r="O153" i="32" s="1"/>
  <c r="Y153" i="32"/>
  <c r="X153" i="32"/>
  <c r="W153" i="32"/>
  <c r="L153" i="32" s="1"/>
  <c r="V153" i="32"/>
  <c r="U153" i="32"/>
  <c r="T153" i="32"/>
  <c r="S153" i="32"/>
  <c r="R153" i="32"/>
  <c r="G153" i="32" s="1"/>
  <c r="G152" i="32" s="1"/>
  <c r="Q153" i="32"/>
  <c r="F153" i="32" s="1"/>
  <c r="N153" i="32"/>
  <c r="N152" i="32" s="1"/>
  <c r="M153" i="32"/>
  <c r="M152" i="32" s="1"/>
  <c r="J153" i="32"/>
  <c r="I153" i="32"/>
  <c r="H153" i="32"/>
  <c r="H152" i="32" s="1"/>
  <c r="E153" i="32"/>
  <c r="D153" i="32"/>
  <c r="C153" i="32"/>
  <c r="B153" i="32"/>
  <c r="AX152" i="32"/>
  <c r="AW152" i="32"/>
  <c r="AV152" i="32"/>
  <c r="AU152" i="32"/>
  <c r="AT152" i="32"/>
  <c r="AS152" i="32"/>
  <c r="AR152" i="32"/>
  <c r="AQ152" i="32"/>
  <c r="AP152" i="32"/>
  <c r="AO152" i="32"/>
  <c r="AN152" i="32"/>
  <c r="AM152" i="32"/>
  <c r="AL152" i="32"/>
  <c r="AK152" i="32"/>
  <c r="AJ152" i="32"/>
  <c r="AI152" i="32"/>
  <c r="AH152" i="32"/>
  <c r="AG152" i="32"/>
  <c r="AF152" i="32"/>
  <c r="AE152" i="32"/>
  <c r="AD152" i="32"/>
  <c r="AC152" i="32"/>
  <c r="AB152" i="32"/>
  <c r="AA152" i="32"/>
  <c r="Z152" i="32"/>
  <c r="Y152" i="32"/>
  <c r="X152" i="32"/>
  <c r="W152" i="32"/>
  <c r="V152" i="32"/>
  <c r="U152" i="32"/>
  <c r="T152" i="32"/>
  <c r="S152" i="32"/>
  <c r="R152" i="32"/>
  <c r="Q152" i="32"/>
  <c r="L152" i="32"/>
  <c r="E152" i="32"/>
  <c r="D152" i="32"/>
  <c r="C152" i="32"/>
  <c r="B152" i="32"/>
  <c r="AZ151" i="32"/>
  <c r="BA151" i="32" s="1"/>
  <c r="AY151" i="32"/>
  <c r="AX151" i="32"/>
  <c r="AW151" i="32"/>
  <c r="AV151" i="32"/>
  <c r="AU151" i="32"/>
  <c r="AT151" i="32"/>
  <c r="AS151" i="32"/>
  <c r="AR151" i="32"/>
  <c r="AQ151" i="32"/>
  <c r="AP151" i="32"/>
  <c r="AO151" i="32"/>
  <c r="AN151" i="32"/>
  <c r="AM151" i="32"/>
  <c r="AL151" i="32"/>
  <c r="AK151" i="32"/>
  <c r="AJ151" i="32"/>
  <c r="AI151" i="32"/>
  <c r="AH151" i="32"/>
  <c r="AG151" i="32"/>
  <c r="AF151" i="32"/>
  <c r="AE151" i="32"/>
  <c r="AD151" i="32"/>
  <c r="AC151" i="32"/>
  <c r="AB151" i="32"/>
  <c r="AA151" i="32"/>
  <c r="Z151" i="32"/>
  <c r="Y151" i="32"/>
  <c r="N151" i="32" s="1"/>
  <c r="N150" i="32" s="1"/>
  <c r="X151" i="32"/>
  <c r="W151" i="32"/>
  <c r="V151" i="32"/>
  <c r="U151" i="32"/>
  <c r="T151" i="32"/>
  <c r="S151" i="32"/>
  <c r="H151" i="32" s="1"/>
  <c r="H150" i="32" s="1"/>
  <c r="R151" i="32"/>
  <c r="G151" i="32" s="1"/>
  <c r="G150" i="32" s="1"/>
  <c r="Q151" i="32"/>
  <c r="F151" i="32" s="1"/>
  <c r="F150" i="32" s="1"/>
  <c r="P151" i="32"/>
  <c r="P150" i="32" s="1"/>
  <c r="O151" i="32"/>
  <c r="O150" i="32" s="1"/>
  <c r="L151" i="32"/>
  <c r="L150" i="32" s="1"/>
  <c r="K151" i="32"/>
  <c r="J151" i="32"/>
  <c r="J150" i="32" s="1"/>
  <c r="I151" i="32"/>
  <c r="E151" i="32"/>
  <c r="D151" i="32"/>
  <c r="C151" i="32"/>
  <c r="B151" i="32"/>
  <c r="AX150" i="32"/>
  <c r="AW150" i="32"/>
  <c r="AV150" i="32"/>
  <c r="AU150" i="32"/>
  <c r="AT150" i="32"/>
  <c r="AS150" i="32"/>
  <c r="AR150" i="32"/>
  <c r="AQ150" i="32"/>
  <c r="AP150" i="32"/>
  <c r="AO150" i="32"/>
  <c r="AN150" i="32"/>
  <c r="AM150" i="32"/>
  <c r="AL150" i="32"/>
  <c r="AK150" i="32"/>
  <c r="AJ150" i="32"/>
  <c r="AI150" i="32"/>
  <c r="AH150" i="32"/>
  <c r="AG150" i="32"/>
  <c r="AF150" i="32"/>
  <c r="AE150" i="32"/>
  <c r="AD150" i="32"/>
  <c r="AC150" i="32"/>
  <c r="AB150" i="32"/>
  <c r="AA150" i="32"/>
  <c r="Z150" i="32"/>
  <c r="Y150" i="32"/>
  <c r="X150" i="32"/>
  <c r="W150" i="32"/>
  <c r="V150" i="32"/>
  <c r="U150" i="32"/>
  <c r="T150" i="32"/>
  <c r="S150" i="32"/>
  <c r="R150" i="32"/>
  <c r="Q150" i="32"/>
  <c r="K150" i="32"/>
  <c r="I150" i="32"/>
  <c r="E150" i="32"/>
  <c r="D150" i="32"/>
  <c r="C150" i="32"/>
  <c r="B150" i="32"/>
  <c r="AX149" i="32"/>
  <c r="AX148" i="32" s="1"/>
  <c r="AW149" i="32"/>
  <c r="AV149" i="32"/>
  <c r="AV148" i="32" s="1"/>
  <c r="AU149" i="32"/>
  <c r="AT149" i="32"/>
  <c r="AS149" i="32"/>
  <c r="AR149" i="32"/>
  <c r="AQ149" i="32"/>
  <c r="AP149" i="32"/>
  <c r="AP148" i="32" s="1"/>
  <c r="AO149" i="32"/>
  <c r="AO148" i="32" s="1"/>
  <c r="AN149" i="32"/>
  <c r="AM149" i="32"/>
  <c r="AL149" i="32"/>
  <c r="AL148" i="32" s="1"/>
  <c r="AK149" i="32"/>
  <c r="AJ149" i="32"/>
  <c r="AJ148" i="32" s="1"/>
  <c r="AI149" i="32"/>
  <c r="AH149" i="32"/>
  <c r="AG149" i="32"/>
  <c r="AF149" i="32"/>
  <c r="AE149" i="32"/>
  <c r="AD149" i="32"/>
  <c r="AD148" i="32" s="1"/>
  <c r="AC149" i="32"/>
  <c r="AC148" i="32" s="1"/>
  <c r="AB149" i="32"/>
  <c r="AA149" i="32"/>
  <c r="Z149" i="32"/>
  <c r="Z148" i="32" s="1"/>
  <c r="Y149" i="32"/>
  <c r="X149" i="32"/>
  <c r="X148" i="32" s="1"/>
  <c r="W149" i="32"/>
  <c r="V149" i="32"/>
  <c r="U149" i="32"/>
  <c r="T149" i="32"/>
  <c r="S149" i="32"/>
  <c r="R149" i="32"/>
  <c r="Q149" i="32"/>
  <c r="Q148" i="32" s="1"/>
  <c r="D149" i="32"/>
  <c r="C149" i="32"/>
  <c r="B38" i="61" s="1"/>
  <c r="B149" i="32"/>
  <c r="A38" i="61" s="1"/>
  <c r="AU148" i="32"/>
  <c r="AT148" i="32"/>
  <c r="AS148" i="32"/>
  <c r="AR148" i="32"/>
  <c r="AQ148" i="32"/>
  <c r="AN148" i="32"/>
  <c r="AI148" i="32"/>
  <c r="AH148" i="32"/>
  <c r="AG148" i="32"/>
  <c r="AF148" i="32"/>
  <c r="AE148" i="32"/>
  <c r="AB148" i="32"/>
  <c r="W148" i="32"/>
  <c r="V148" i="32"/>
  <c r="U148" i="32"/>
  <c r="T148" i="32"/>
  <c r="S148" i="32"/>
  <c r="D148" i="32"/>
  <c r="C148" i="32"/>
  <c r="B148" i="32"/>
  <c r="AX147" i="32"/>
  <c r="AW147" i="32"/>
  <c r="AV147" i="32"/>
  <c r="AU147" i="32"/>
  <c r="AT147" i="32"/>
  <c r="AS147" i="32"/>
  <c r="AR147" i="32"/>
  <c r="AQ147" i="32"/>
  <c r="AP147" i="32"/>
  <c r="AO147" i="32"/>
  <c r="AN147" i="32"/>
  <c r="AM147" i="32"/>
  <c r="AL147" i="32"/>
  <c r="AK147" i="32"/>
  <c r="AJ147" i="32"/>
  <c r="AI147" i="32"/>
  <c r="AH147" i="32"/>
  <c r="AG147" i="32"/>
  <c r="AF147" i="32"/>
  <c r="AE147" i="32"/>
  <c r="AD147" i="32"/>
  <c r="AC147" i="32"/>
  <c r="AB147" i="32"/>
  <c r="AA147" i="32"/>
  <c r="Z147" i="32"/>
  <c r="Y147" i="32"/>
  <c r="X147" i="32"/>
  <c r="M147" i="32" s="1"/>
  <c r="M145" i="32" s="1"/>
  <c r="W147" i="32"/>
  <c r="L147" i="32" s="1"/>
  <c r="V147" i="32"/>
  <c r="K147" i="32" s="1"/>
  <c r="U147" i="32"/>
  <c r="J147" i="32" s="1"/>
  <c r="T147" i="32"/>
  <c r="I147" i="32" s="1"/>
  <c r="S147" i="32"/>
  <c r="R147" i="32"/>
  <c r="Q147" i="32"/>
  <c r="F147" i="32" s="1"/>
  <c r="P147" i="32"/>
  <c r="O147" i="32"/>
  <c r="N147" i="32"/>
  <c r="H147" i="32"/>
  <c r="G147" i="32"/>
  <c r="E147" i="32"/>
  <c r="E145" i="32" s="1"/>
  <c r="D147" i="32"/>
  <c r="AX146" i="32"/>
  <c r="AW146" i="32"/>
  <c r="AV146" i="32"/>
  <c r="AU146" i="32"/>
  <c r="AT146" i="32"/>
  <c r="AS146" i="32"/>
  <c r="AR146" i="32"/>
  <c r="AQ146" i="32"/>
  <c r="AP146" i="32"/>
  <c r="AO146" i="32"/>
  <c r="AN146" i="32"/>
  <c r="AM146" i="32"/>
  <c r="AL146" i="32"/>
  <c r="AK146" i="32"/>
  <c r="AJ146" i="32"/>
  <c r="AI146" i="32"/>
  <c r="AH146" i="32"/>
  <c r="AG146" i="32"/>
  <c r="AF146" i="32"/>
  <c r="AE146" i="32"/>
  <c r="AD146" i="32"/>
  <c r="AC146" i="32"/>
  <c r="AB146" i="32"/>
  <c r="AA146" i="32"/>
  <c r="Z146" i="32"/>
  <c r="Y146" i="32"/>
  <c r="X146" i="32"/>
  <c r="W146" i="32"/>
  <c r="L146" i="32" s="1"/>
  <c r="V146" i="32"/>
  <c r="K146" i="32" s="1"/>
  <c r="K145" i="32" s="1"/>
  <c r="U146" i="32"/>
  <c r="J146" i="32" s="1"/>
  <c r="J145" i="32" s="1"/>
  <c r="T146" i="32"/>
  <c r="I146" i="32" s="1"/>
  <c r="I145" i="32" s="1"/>
  <c r="S146" i="32"/>
  <c r="H146" i="32" s="1"/>
  <c r="R146" i="32"/>
  <c r="Q146" i="32"/>
  <c r="P146" i="32"/>
  <c r="P145" i="32" s="1"/>
  <c r="O146" i="32"/>
  <c r="N146" i="32"/>
  <c r="M146" i="32"/>
  <c r="G146" i="32"/>
  <c r="G145" i="32" s="1"/>
  <c r="F146" i="32"/>
  <c r="E146" i="32"/>
  <c r="D146" i="32"/>
  <c r="AX145" i="32"/>
  <c r="AW145" i="32"/>
  <c r="AV145" i="32"/>
  <c r="AU145" i="32"/>
  <c r="AT145" i="32"/>
  <c r="AS145" i="32"/>
  <c r="AR145" i="32"/>
  <c r="AQ145" i="32"/>
  <c r="AP145" i="32"/>
  <c r="AO145" i="32"/>
  <c r="AN145" i="32"/>
  <c r="AM145" i="32"/>
  <c r="AL145" i="32"/>
  <c r="AK145" i="32"/>
  <c r="AJ145" i="32"/>
  <c r="AI145" i="32"/>
  <c r="AH145" i="32"/>
  <c r="AG145" i="32"/>
  <c r="AF145" i="32"/>
  <c r="AE145" i="32"/>
  <c r="AD145" i="32"/>
  <c r="AC145" i="32"/>
  <c r="AB145" i="32"/>
  <c r="AA145" i="32"/>
  <c r="Z145" i="32"/>
  <c r="Y145" i="32"/>
  <c r="X145" i="32"/>
  <c r="W145" i="32"/>
  <c r="V145" i="32"/>
  <c r="U145" i="32"/>
  <c r="T145" i="32"/>
  <c r="S145" i="32"/>
  <c r="R145" i="32"/>
  <c r="Q145" i="32"/>
  <c r="O145" i="32"/>
  <c r="N145" i="32"/>
  <c r="F145" i="32"/>
  <c r="D145" i="32"/>
  <c r="BM144" i="32"/>
  <c r="BL144" i="32"/>
  <c r="BK144" i="32"/>
  <c r="BJ144" i="32"/>
  <c r="BI144" i="32"/>
  <c r="BH144" i="32"/>
  <c r="AX144" i="32"/>
  <c r="BA144" i="32" s="1"/>
  <c r="AW144" i="32"/>
  <c r="AV144" i="32"/>
  <c r="AU144" i="32"/>
  <c r="AT144" i="32"/>
  <c r="AS144" i="32"/>
  <c r="AR144" i="32"/>
  <c r="AQ144" i="32"/>
  <c r="AP144" i="32"/>
  <c r="AO144" i="32"/>
  <c r="AN144" i="32"/>
  <c r="AM144" i="32"/>
  <c r="AL144" i="32"/>
  <c r="AK144" i="32"/>
  <c r="AJ144" i="32"/>
  <c r="AI144" i="32"/>
  <c r="AH144" i="32"/>
  <c r="AG144" i="32"/>
  <c r="AF144" i="32"/>
  <c r="AE144" i="32"/>
  <c r="AD144" i="32"/>
  <c r="AC144" i="32"/>
  <c r="AB144" i="32"/>
  <c r="AA144" i="32"/>
  <c r="P144" i="32" s="1"/>
  <c r="Z144" i="32"/>
  <c r="O144" i="32" s="1"/>
  <c r="Y144" i="32"/>
  <c r="X144" i="32"/>
  <c r="W144" i="32"/>
  <c r="L144" i="32" s="1"/>
  <c r="V144" i="32"/>
  <c r="U144" i="32"/>
  <c r="T144" i="32"/>
  <c r="S144" i="32"/>
  <c r="R144" i="32"/>
  <c r="G144" i="32" s="1"/>
  <c r="G139" i="32" s="1"/>
  <c r="Q144" i="32"/>
  <c r="F144" i="32" s="1"/>
  <c r="N144" i="32"/>
  <c r="M144" i="32"/>
  <c r="J144" i="32"/>
  <c r="I144" i="32"/>
  <c r="H144" i="32"/>
  <c r="E144" i="32"/>
  <c r="D144" i="32"/>
  <c r="C144" i="32"/>
  <c r="B144" i="32"/>
  <c r="AY143" i="32"/>
  <c r="AX143" i="32"/>
  <c r="AW143" i="32"/>
  <c r="AV143" i="32"/>
  <c r="AU143" i="32"/>
  <c r="AU141" i="32" s="1"/>
  <c r="AT143" i="32"/>
  <c r="AS143" i="32"/>
  <c r="AS141" i="32" s="1"/>
  <c r="AR143" i="32"/>
  <c r="AQ143" i="32"/>
  <c r="AP143" i="32"/>
  <c r="AO143" i="32"/>
  <c r="AN143" i="32"/>
  <c r="AM143" i="32"/>
  <c r="AL143" i="32"/>
  <c r="AK143" i="32"/>
  <c r="AJ143" i="32"/>
  <c r="AI143" i="32"/>
  <c r="AI141" i="32" s="1"/>
  <c r="AH143" i="32"/>
  <c r="AG143" i="32"/>
  <c r="AG141" i="32" s="1"/>
  <c r="AF143" i="32"/>
  <c r="AE143" i="32"/>
  <c r="AD143" i="32"/>
  <c r="AC143" i="32"/>
  <c r="AB143" i="32"/>
  <c r="AA143" i="32"/>
  <c r="P143" i="32" s="1"/>
  <c r="Z143" i="32"/>
  <c r="Y143" i="32"/>
  <c r="X143" i="32"/>
  <c r="M143" i="32" s="1"/>
  <c r="W143" i="32"/>
  <c r="V143" i="32"/>
  <c r="U143" i="32"/>
  <c r="T143" i="32"/>
  <c r="S143" i="32"/>
  <c r="R143" i="32"/>
  <c r="G143" i="32" s="1"/>
  <c r="Q143" i="32"/>
  <c r="N143" i="32"/>
  <c r="L143" i="32"/>
  <c r="K143" i="32"/>
  <c r="J143" i="32"/>
  <c r="I143" i="32"/>
  <c r="H143" i="32"/>
  <c r="F143" i="32"/>
  <c r="E143" i="32"/>
  <c r="D143" i="32"/>
  <c r="C143" i="32"/>
  <c r="B143" i="32"/>
  <c r="BL142" i="32"/>
  <c r="AZ142" i="32"/>
  <c r="AX142" i="32"/>
  <c r="AW142" i="32"/>
  <c r="AW141" i="32" s="1"/>
  <c r="AV142" i="32"/>
  <c r="AV141" i="32" s="1"/>
  <c r="AU142" i="32"/>
  <c r="AT142" i="32"/>
  <c r="AT141" i="32" s="1"/>
  <c r="AS142" i="32"/>
  <c r="AR142" i="32"/>
  <c r="AQ142" i="32"/>
  <c r="AP142" i="32"/>
  <c r="AO142" i="32"/>
  <c r="AN142" i="32"/>
  <c r="AN141" i="32" s="1"/>
  <c r="AN139" i="32" s="1"/>
  <c r="AM142" i="32"/>
  <c r="AL142" i="32"/>
  <c r="AK142" i="32"/>
  <c r="AK141" i="32" s="1"/>
  <c r="AJ142" i="32"/>
  <c r="AJ141" i="32" s="1"/>
  <c r="AI142" i="32"/>
  <c r="AH142" i="32"/>
  <c r="AH141" i="32" s="1"/>
  <c r="AG142" i="32"/>
  <c r="AF142" i="32"/>
  <c r="AE142" i="32"/>
  <c r="AD142" i="32"/>
  <c r="AC142" i="32"/>
  <c r="AB142" i="32"/>
  <c r="AY142" i="32" s="1"/>
  <c r="AA142" i="32"/>
  <c r="Z142" i="32"/>
  <c r="Y142" i="32"/>
  <c r="N142" i="32" s="1"/>
  <c r="N141" i="32" s="1"/>
  <c r="X142" i="32"/>
  <c r="W142" i="32"/>
  <c r="V142" i="32"/>
  <c r="U142" i="32"/>
  <c r="T142" i="32"/>
  <c r="S142" i="32"/>
  <c r="H142" i="32" s="1"/>
  <c r="H141" i="32" s="1"/>
  <c r="R142" i="32"/>
  <c r="Q142" i="32"/>
  <c r="F142" i="32" s="1"/>
  <c r="F141" i="32" s="1"/>
  <c r="F139" i="32" s="1"/>
  <c r="P142" i="32"/>
  <c r="P141" i="32" s="1"/>
  <c r="O142" i="32"/>
  <c r="O141" i="32" s="1"/>
  <c r="L142" i="32"/>
  <c r="L141" i="32" s="1"/>
  <c r="L139" i="32" s="1"/>
  <c r="K142" i="32"/>
  <c r="J142" i="32"/>
  <c r="J141" i="32" s="1"/>
  <c r="J139" i="32" s="1"/>
  <c r="I142" i="32"/>
  <c r="G142" i="32"/>
  <c r="E142" i="32"/>
  <c r="D142" i="32"/>
  <c r="C142" i="32"/>
  <c r="B142" i="32"/>
  <c r="AX141" i="32"/>
  <c r="AX139" i="32" s="1"/>
  <c r="AR141" i="32"/>
  <c r="AQ141" i="32"/>
  <c r="AP141" i="32"/>
  <c r="AO141" i="32"/>
  <c r="AO139" i="32" s="1"/>
  <c r="AL141" i="32"/>
  <c r="AL139" i="32" s="1"/>
  <c r="AF141" i="32"/>
  <c r="AE141" i="32"/>
  <c r="AD141" i="32"/>
  <c r="AC141" i="32"/>
  <c r="AC139" i="32" s="1"/>
  <c r="AB141" i="32"/>
  <c r="AA141" i="32"/>
  <c r="Z141" i="32"/>
  <c r="Y141" i="32"/>
  <c r="X141" i="32"/>
  <c r="W141" i="32"/>
  <c r="V141" i="32"/>
  <c r="U141" i="32"/>
  <c r="T141" i="32"/>
  <c r="S141" i="32"/>
  <c r="R141" i="32"/>
  <c r="Q141" i="32"/>
  <c r="K141" i="32"/>
  <c r="I141" i="32"/>
  <c r="G141" i="32"/>
  <c r="E141" i="32"/>
  <c r="D141" i="32"/>
  <c r="C141" i="32"/>
  <c r="B141" i="32"/>
  <c r="BN140" i="32"/>
  <c r="BM140" i="32"/>
  <c r="BL140" i="32"/>
  <c r="BK140" i="32"/>
  <c r="BJ140" i="32"/>
  <c r="AB140" i="32" s="1"/>
  <c r="BI140" i="32"/>
  <c r="AA140" i="32" s="1"/>
  <c r="N140" i="32" s="1"/>
  <c r="BH140" i="32"/>
  <c r="Z140" i="32" s="1"/>
  <c r="BG140" i="32"/>
  <c r="AX140" i="32"/>
  <c r="AW140" i="32"/>
  <c r="AW139" i="32" s="1"/>
  <c r="AV140" i="32"/>
  <c r="AV139" i="32" s="1"/>
  <c r="AU140" i="32"/>
  <c r="AU139" i="32" s="1"/>
  <c r="AT140" i="32"/>
  <c r="AT139" i="32" s="1"/>
  <c r="AS140" i="32"/>
  <c r="AS139" i="32" s="1"/>
  <c r="AR140" i="32"/>
  <c r="AQ140" i="32"/>
  <c r="AQ139" i="32" s="1"/>
  <c r="AP140" i="32"/>
  <c r="AO140" i="32"/>
  <c r="AN140" i="32"/>
  <c r="AM140" i="32"/>
  <c r="AL140" i="32"/>
  <c r="AK140" i="32"/>
  <c r="AK139" i="32" s="1"/>
  <c r="AJ140" i="32"/>
  <c r="AJ139" i="32" s="1"/>
  <c r="AI140" i="32"/>
  <c r="AI139" i="32" s="1"/>
  <c r="AH140" i="32"/>
  <c r="AG140" i="32"/>
  <c r="AG139" i="32" s="1"/>
  <c r="AF140" i="32"/>
  <c r="BO140" i="32" s="1"/>
  <c r="AE140" i="32"/>
  <c r="AE139" i="32" s="1"/>
  <c r="AD140" i="32"/>
  <c r="AC140" i="32"/>
  <c r="Y140" i="32"/>
  <c r="Y139" i="32" s="1"/>
  <c r="X140" i="32"/>
  <c r="X139" i="32" s="1"/>
  <c r="W140" i="32"/>
  <c r="W139" i="32" s="1"/>
  <c r="V140" i="32"/>
  <c r="U140" i="32"/>
  <c r="H140" i="32" s="1"/>
  <c r="H139" i="32" s="1"/>
  <c r="R140" i="32"/>
  <c r="Q140" i="32"/>
  <c r="G140" i="32"/>
  <c r="F140" i="32"/>
  <c r="C140" i="32"/>
  <c r="B140" i="32"/>
  <c r="AR139" i="32"/>
  <c r="AP139" i="32"/>
  <c r="AF139" i="32"/>
  <c r="AD139" i="32"/>
  <c r="AA139" i="32"/>
  <c r="T139" i="32"/>
  <c r="S139" i="32"/>
  <c r="R139" i="32"/>
  <c r="C139" i="32"/>
  <c r="B35" i="61" s="1"/>
  <c r="B139" i="32"/>
  <c r="A35" i="61" s="1"/>
  <c r="BV138" i="32"/>
  <c r="BU138" i="32"/>
  <c r="BU136" i="32" s="1"/>
  <c r="BT138" i="32"/>
  <c r="BS138" i="32"/>
  <c r="BR138" i="32"/>
  <c r="BQ138" i="32"/>
  <c r="BP138" i="32"/>
  <c r="BO138" i="32"/>
  <c r="BN138" i="32"/>
  <c r="BM138" i="32"/>
  <c r="BL138" i="32"/>
  <c r="BK138" i="32"/>
  <c r="AX138" i="32"/>
  <c r="AW138" i="32"/>
  <c r="AV138" i="32"/>
  <c r="AU138" i="32"/>
  <c r="AT138" i="32"/>
  <c r="AS138" i="32"/>
  <c r="AR138" i="32"/>
  <c r="AQ138" i="32"/>
  <c r="AP138" i="32"/>
  <c r="AO138" i="32"/>
  <c r="AN138" i="32"/>
  <c r="AM138" i="32"/>
  <c r="AL138" i="32"/>
  <c r="AK138" i="32"/>
  <c r="AJ138" i="32"/>
  <c r="AI138" i="32"/>
  <c r="AH138" i="32"/>
  <c r="AG138" i="32"/>
  <c r="AF138" i="32"/>
  <c r="AE138" i="32"/>
  <c r="AD138" i="32"/>
  <c r="AC138" i="32"/>
  <c r="AB138" i="32"/>
  <c r="AA138" i="32"/>
  <c r="Z138" i="32"/>
  <c r="Y138" i="32"/>
  <c r="X138" i="32"/>
  <c r="W138" i="32"/>
  <c r="V138" i="32"/>
  <c r="K138" i="32" s="1"/>
  <c r="U138" i="32"/>
  <c r="T138" i="32"/>
  <c r="I138" i="32" s="1"/>
  <c r="S138" i="32"/>
  <c r="H138" i="32" s="1"/>
  <c r="R138" i="32"/>
  <c r="Q138" i="32"/>
  <c r="P138" i="32"/>
  <c r="O138" i="32"/>
  <c r="O136" i="32" s="1"/>
  <c r="N138" i="32"/>
  <c r="M138" i="32"/>
  <c r="L138" i="32"/>
  <c r="J138" i="32"/>
  <c r="G138" i="32"/>
  <c r="F138" i="32"/>
  <c r="E138" i="32"/>
  <c r="D138" i="32"/>
  <c r="C138" i="32"/>
  <c r="B138" i="32"/>
  <c r="BV137" i="32"/>
  <c r="BV136" i="32" s="1"/>
  <c r="BU137" i="32"/>
  <c r="BT137" i="32"/>
  <c r="BS137" i="32"/>
  <c r="BR137" i="32"/>
  <c r="BQ137" i="32"/>
  <c r="BP137" i="32"/>
  <c r="BP136" i="32" s="1"/>
  <c r="BO137" i="32"/>
  <c r="BN137" i="32"/>
  <c r="BM137" i="32"/>
  <c r="BL137" i="32"/>
  <c r="BK137" i="32"/>
  <c r="AX137" i="32"/>
  <c r="AW137" i="32"/>
  <c r="AV137" i="32"/>
  <c r="AU137" i="32"/>
  <c r="AT137" i="32"/>
  <c r="AS137" i="32"/>
  <c r="AR137" i="32"/>
  <c r="AQ137" i="32"/>
  <c r="AP137" i="32"/>
  <c r="AO137" i="32"/>
  <c r="AN137" i="32"/>
  <c r="AM137" i="32"/>
  <c r="AL137" i="32"/>
  <c r="AK137" i="32"/>
  <c r="AJ137" i="32"/>
  <c r="AI137" i="32"/>
  <c r="AH137" i="32"/>
  <c r="AG137" i="32"/>
  <c r="AF137" i="32"/>
  <c r="AE137" i="32"/>
  <c r="AD137" i="32"/>
  <c r="AC137" i="32"/>
  <c r="AB137" i="32"/>
  <c r="AA137" i="32"/>
  <c r="Z137" i="32"/>
  <c r="Y137" i="32"/>
  <c r="X137" i="32"/>
  <c r="W137" i="32"/>
  <c r="L137" i="32" s="1"/>
  <c r="L136" i="32" s="1"/>
  <c r="V137" i="32"/>
  <c r="U137" i="32"/>
  <c r="J137" i="32" s="1"/>
  <c r="J136" i="32" s="1"/>
  <c r="T137" i="32"/>
  <c r="I137" i="32" s="1"/>
  <c r="S137" i="32"/>
  <c r="R137" i="32"/>
  <c r="Q137" i="32"/>
  <c r="F137" i="32" s="1"/>
  <c r="P137" i="32"/>
  <c r="O137" i="32"/>
  <c r="N137" i="32"/>
  <c r="N136" i="32" s="1"/>
  <c r="M137" i="32"/>
  <c r="K137" i="32"/>
  <c r="H137" i="32"/>
  <c r="H136" i="32" s="1"/>
  <c r="G137" i="32"/>
  <c r="G136" i="32" s="1"/>
  <c r="D137" i="32"/>
  <c r="C137" i="32"/>
  <c r="B137" i="32"/>
  <c r="BT136" i="32"/>
  <c r="BS136" i="32"/>
  <c r="BR136" i="32"/>
  <c r="BQ136" i="32"/>
  <c r="BN136" i="32"/>
  <c r="BM136" i="32"/>
  <c r="BJ136" i="32"/>
  <c r="O34" i="61" s="1"/>
  <c r="BI136" i="32"/>
  <c r="N34" i="61" s="1"/>
  <c r="BH136" i="32"/>
  <c r="M34" i="61" s="1"/>
  <c r="BG136" i="32"/>
  <c r="L34" i="61" s="1"/>
  <c r="BF136" i="32"/>
  <c r="K34" i="61" s="1"/>
  <c r="BE136" i="32"/>
  <c r="J34" i="61" s="1"/>
  <c r="BD136" i="32"/>
  <c r="I34" i="61" s="1"/>
  <c r="BC136" i="32"/>
  <c r="H34" i="61" s="1"/>
  <c r="BB136" i="32"/>
  <c r="G34" i="61" s="1"/>
  <c r="BA136" i="32"/>
  <c r="F34" i="61" s="1"/>
  <c r="AZ136" i="32"/>
  <c r="E34" i="61" s="1"/>
  <c r="AY136" i="32"/>
  <c r="D34" i="61" s="1"/>
  <c r="AX136" i="32"/>
  <c r="AW136" i="32"/>
  <c r="AV136" i="32"/>
  <c r="AU136" i="32"/>
  <c r="AT136" i="32"/>
  <c r="AS136" i="32"/>
  <c r="AR136" i="32"/>
  <c r="AQ136" i="32"/>
  <c r="AP136" i="32"/>
  <c r="AO136" i="32"/>
  <c r="AN136" i="32"/>
  <c r="AM136" i="32"/>
  <c r="AL136" i="32"/>
  <c r="AK136" i="32"/>
  <c r="AJ136" i="32"/>
  <c r="AI136" i="32"/>
  <c r="AH136" i="32"/>
  <c r="AG136" i="32"/>
  <c r="AF136" i="32"/>
  <c r="AE136" i="32"/>
  <c r="AD136" i="32"/>
  <c r="AC136" i="32"/>
  <c r="AB136" i="32"/>
  <c r="AA136" i="32"/>
  <c r="Z136" i="32"/>
  <c r="Y136" i="32"/>
  <c r="X136" i="32"/>
  <c r="W136" i="32"/>
  <c r="V136" i="32"/>
  <c r="U136" i="32"/>
  <c r="T136" i="32"/>
  <c r="S136" i="32"/>
  <c r="R136" i="32"/>
  <c r="Q136" i="32"/>
  <c r="M136" i="32"/>
  <c r="K136" i="32"/>
  <c r="I136" i="32"/>
  <c r="F136" i="32"/>
  <c r="D136" i="32"/>
  <c r="C136" i="32"/>
  <c r="B34" i="61" s="1"/>
  <c r="B136" i="32"/>
  <c r="A34" i="61" s="1"/>
  <c r="AX135" i="32"/>
  <c r="AY135" i="32" s="1"/>
  <c r="AW135" i="32"/>
  <c r="AV135" i="32"/>
  <c r="AU135" i="32"/>
  <c r="AT135" i="32"/>
  <c r="AS135" i="32"/>
  <c r="AR135" i="32"/>
  <c r="AQ135" i="32"/>
  <c r="AP135" i="32"/>
  <c r="AO135" i="32"/>
  <c r="AN135" i="32"/>
  <c r="AM135" i="32"/>
  <c r="AL135" i="32"/>
  <c r="AK135" i="32"/>
  <c r="AJ135" i="32"/>
  <c r="AI135" i="32"/>
  <c r="AH135" i="32"/>
  <c r="AG135" i="32"/>
  <c r="AF135" i="32"/>
  <c r="AE135" i="32"/>
  <c r="AD135" i="32"/>
  <c r="AC135" i="32"/>
  <c r="AB135" i="32"/>
  <c r="AA135" i="32"/>
  <c r="Z135" i="32"/>
  <c r="O135" i="32" s="1"/>
  <c r="Y135" i="32"/>
  <c r="N135" i="32" s="1"/>
  <c r="X135" i="32"/>
  <c r="M135" i="32" s="1"/>
  <c r="W135" i="32"/>
  <c r="V135" i="32"/>
  <c r="K135" i="32" s="1"/>
  <c r="U135" i="32"/>
  <c r="J135" i="32" s="1"/>
  <c r="T135" i="32"/>
  <c r="S135" i="32"/>
  <c r="H135" i="32" s="1"/>
  <c r="H133" i="32" s="1"/>
  <c r="R135" i="32"/>
  <c r="F135" i="32" s="1"/>
  <c r="F133" i="32" s="1"/>
  <c r="Q135" i="32"/>
  <c r="P135" i="32"/>
  <c r="E135" i="32"/>
  <c r="D135" i="32"/>
  <c r="C135" i="32"/>
  <c r="B135" i="32"/>
  <c r="AX134" i="32"/>
  <c r="AY134" i="32" s="1"/>
  <c r="AW134" i="32"/>
  <c r="AV134" i="32"/>
  <c r="AU134" i="32"/>
  <c r="AT134" i="32"/>
  <c r="AS134" i="32"/>
  <c r="AR134" i="32"/>
  <c r="AQ134" i="32"/>
  <c r="AP134" i="32"/>
  <c r="AO134" i="32"/>
  <c r="AN134" i="32"/>
  <c r="AM134" i="32"/>
  <c r="AL134" i="32"/>
  <c r="AK134" i="32"/>
  <c r="AJ134" i="32"/>
  <c r="AI134" i="32"/>
  <c r="AH134" i="32"/>
  <c r="AG134" i="32"/>
  <c r="AF134" i="32"/>
  <c r="AE134" i="32"/>
  <c r="AD134" i="32"/>
  <c r="AC134" i="32"/>
  <c r="AB134" i="32"/>
  <c r="AA134" i="32"/>
  <c r="P134" i="32" s="1"/>
  <c r="P133" i="32" s="1"/>
  <c r="Z134" i="32"/>
  <c r="O134" i="32" s="1"/>
  <c r="O133" i="32" s="1"/>
  <c r="Y134" i="32"/>
  <c r="N134" i="32" s="1"/>
  <c r="N133" i="32" s="1"/>
  <c r="X134" i="32"/>
  <c r="W134" i="32"/>
  <c r="V134" i="32"/>
  <c r="J134" i="32" s="1"/>
  <c r="U134" i="32"/>
  <c r="T134" i="32"/>
  <c r="I134" i="32" s="1"/>
  <c r="S134" i="32"/>
  <c r="R134" i="32"/>
  <c r="Q134" i="32"/>
  <c r="H134" i="32"/>
  <c r="G134" i="32"/>
  <c r="F134" i="32"/>
  <c r="E134" i="32"/>
  <c r="E133" i="32" s="1"/>
  <c r="D134" i="32"/>
  <c r="C134" i="32"/>
  <c r="B134" i="32"/>
  <c r="AX133" i="32"/>
  <c r="AW133" i="32"/>
  <c r="AV133" i="32"/>
  <c r="AU133" i="32"/>
  <c r="AT133" i="32"/>
  <c r="AS133" i="32"/>
  <c r="AR133" i="32"/>
  <c r="AQ133" i="32"/>
  <c r="AP133" i="32"/>
  <c r="AO133" i="32"/>
  <c r="AN133" i="32"/>
  <c r="AM133" i="32"/>
  <c r="AL133" i="32"/>
  <c r="AK133" i="32"/>
  <c r="AJ133" i="32"/>
  <c r="AI133" i="32"/>
  <c r="AH133" i="32"/>
  <c r="AG133" i="32"/>
  <c r="AF133" i="32"/>
  <c r="AE133" i="32"/>
  <c r="AD133" i="32"/>
  <c r="AC133" i="32"/>
  <c r="AB133" i="32"/>
  <c r="AA133" i="32"/>
  <c r="Z133" i="32"/>
  <c r="Y133" i="32"/>
  <c r="X133" i="32"/>
  <c r="W133" i="32"/>
  <c r="V133" i="32"/>
  <c r="U133" i="32"/>
  <c r="T133" i="32"/>
  <c r="S133" i="32"/>
  <c r="R133" i="32"/>
  <c r="Q133" i="32"/>
  <c r="D133" i="32"/>
  <c r="C133" i="32"/>
  <c r="B133" i="32"/>
  <c r="AX132" i="32"/>
  <c r="AY132" i="32" s="1"/>
  <c r="AW132" i="32"/>
  <c r="AV132" i="32"/>
  <c r="AU132" i="32"/>
  <c r="AT132" i="32"/>
  <c r="AS132" i="32"/>
  <c r="AR132" i="32"/>
  <c r="AQ132" i="32"/>
  <c r="AP132" i="32"/>
  <c r="AO132" i="32"/>
  <c r="AN132" i="32"/>
  <c r="AM132" i="32"/>
  <c r="AL132" i="32"/>
  <c r="AK132" i="32"/>
  <c r="AJ132" i="32"/>
  <c r="AI132" i="32"/>
  <c r="AH132" i="32"/>
  <c r="AG132" i="32"/>
  <c r="AF132" i="32"/>
  <c r="AE132" i="32"/>
  <c r="AD132" i="32"/>
  <c r="AC132" i="32"/>
  <c r="AB132" i="32"/>
  <c r="AA132" i="32"/>
  <c r="Z132" i="32"/>
  <c r="O132" i="32" s="1"/>
  <c r="Y132" i="32"/>
  <c r="N132" i="32" s="1"/>
  <c r="X132" i="32"/>
  <c r="W132" i="32"/>
  <c r="V132" i="32"/>
  <c r="K132" i="32" s="1"/>
  <c r="U132" i="32"/>
  <c r="T132" i="32"/>
  <c r="S132" i="32"/>
  <c r="H132" i="32" s="1"/>
  <c r="R132" i="32"/>
  <c r="Q132" i="32"/>
  <c r="F132" i="32" s="1"/>
  <c r="P132" i="32"/>
  <c r="M132" i="32"/>
  <c r="L132" i="32"/>
  <c r="J132" i="32"/>
  <c r="I132" i="32"/>
  <c r="G132" i="32"/>
  <c r="E132" i="32"/>
  <c r="D132" i="32"/>
  <c r="C132" i="32"/>
  <c r="B132" i="32"/>
  <c r="BK131" i="32"/>
  <c r="AY131" i="32"/>
  <c r="AX131" i="32"/>
  <c r="AW131" i="32"/>
  <c r="AV131" i="32"/>
  <c r="AU131" i="32"/>
  <c r="AT131" i="32"/>
  <c r="AS131" i="32"/>
  <c r="AR131" i="32"/>
  <c r="AQ131" i="32"/>
  <c r="AP131" i="32"/>
  <c r="AO131" i="32"/>
  <c r="AN131" i="32"/>
  <c r="AM131" i="32"/>
  <c r="AL131" i="32"/>
  <c r="AK131" i="32"/>
  <c r="AJ131" i="32"/>
  <c r="AI131" i="32"/>
  <c r="AH131" i="32"/>
  <c r="AG131" i="32"/>
  <c r="AF131" i="32"/>
  <c r="AE131" i="32"/>
  <c r="AD131" i="32"/>
  <c r="AC131" i="32"/>
  <c r="AB131" i="32"/>
  <c r="AA131" i="32"/>
  <c r="P131" i="32" s="1"/>
  <c r="Z131" i="32"/>
  <c r="Y131" i="32"/>
  <c r="N131" i="32" s="1"/>
  <c r="X131" i="32"/>
  <c r="W131" i="32"/>
  <c r="V131" i="32"/>
  <c r="K131" i="32" s="1"/>
  <c r="U131" i="32"/>
  <c r="J131" i="32" s="1"/>
  <c r="T131" i="32"/>
  <c r="S131" i="32"/>
  <c r="R131" i="32"/>
  <c r="G131" i="32" s="1"/>
  <c r="Q131" i="32"/>
  <c r="O131" i="32"/>
  <c r="M131" i="32"/>
  <c r="L131" i="32"/>
  <c r="I131" i="32"/>
  <c r="H131" i="32"/>
  <c r="D131" i="32"/>
  <c r="C131" i="32"/>
  <c r="B131" i="32"/>
  <c r="BK130" i="32"/>
  <c r="AZ130" i="32"/>
  <c r="BA130" i="32" s="1"/>
  <c r="BB130" i="32" s="1"/>
  <c r="BC130" i="32" s="1"/>
  <c r="BD130" i="32" s="1"/>
  <c r="BE130" i="32" s="1"/>
  <c r="BF130" i="32" s="1"/>
  <c r="BG130" i="32" s="1"/>
  <c r="BH130" i="32" s="1"/>
  <c r="BI130" i="32" s="1"/>
  <c r="BJ130" i="32" s="1"/>
  <c r="AY130" i="32"/>
  <c r="BL130" i="32" s="1"/>
  <c r="AX130" i="32"/>
  <c r="AW130" i="32"/>
  <c r="AV130" i="32"/>
  <c r="AU130" i="32"/>
  <c r="AT130" i="32"/>
  <c r="AS130" i="32"/>
  <c r="AR130" i="32"/>
  <c r="AQ130" i="32"/>
  <c r="AP130" i="32"/>
  <c r="AO130" i="32"/>
  <c r="AN130" i="32"/>
  <c r="AM130" i="32"/>
  <c r="AL130" i="32"/>
  <c r="AK130" i="32"/>
  <c r="AJ130" i="32"/>
  <c r="AI130" i="32"/>
  <c r="AH130" i="32"/>
  <c r="AG130" i="32"/>
  <c r="AF130" i="32"/>
  <c r="AE130" i="32"/>
  <c r="AD130" i="32"/>
  <c r="AC130" i="32"/>
  <c r="AB130" i="32"/>
  <c r="AA130" i="32"/>
  <c r="Z130" i="32"/>
  <c r="Y130" i="32"/>
  <c r="N130" i="32" s="1"/>
  <c r="X130" i="32"/>
  <c r="W130" i="32"/>
  <c r="V130" i="32"/>
  <c r="K130" i="32" s="1"/>
  <c r="U130" i="32"/>
  <c r="T130" i="32"/>
  <c r="S130" i="32"/>
  <c r="H130" i="32" s="1"/>
  <c r="R130" i="32"/>
  <c r="G130" i="32" s="1"/>
  <c r="Q130" i="32"/>
  <c r="F130" i="32" s="1"/>
  <c r="P130" i="32"/>
  <c r="O130" i="32"/>
  <c r="M130" i="32"/>
  <c r="L130" i="32"/>
  <c r="J130" i="32"/>
  <c r="I130" i="32"/>
  <c r="D130" i="32"/>
  <c r="C130" i="32"/>
  <c r="B130" i="32"/>
  <c r="AY129" i="32"/>
  <c r="AX129" i="32"/>
  <c r="AW129" i="32"/>
  <c r="AV129" i="32"/>
  <c r="AU129" i="32"/>
  <c r="AT129" i="32"/>
  <c r="AS129" i="32"/>
  <c r="AR129" i="32"/>
  <c r="AQ129" i="32"/>
  <c r="AP129" i="32"/>
  <c r="AO129" i="32"/>
  <c r="AN129" i="32"/>
  <c r="AM129" i="32"/>
  <c r="AL129" i="32"/>
  <c r="AK129" i="32"/>
  <c r="AJ129" i="32"/>
  <c r="AI129" i="32"/>
  <c r="AH129" i="32"/>
  <c r="AG129" i="32"/>
  <c r="AF129" i="32"/>
  <c r="AE129" i="32"/>
  <c r="AD129" i="32"/>
  <c r="AC129" i="32"/>
  <c r="AB129" i="32"/>
  <c r="AA129" i="32"/>
  <c r="P129" i="32" s="1"/>
  <c r="Z129" i="32"/>
  <c r="Y129" i="32"/>
  <c r="X129" i="32"/>
  <c r="M129" i="32" s="1"/>
  <c r="W129" i="32"/>
  <c r="L129" i="32" s="1"/>
  <c r="V129" i="32"/>
  <c r="U129" i="32"/>
  <c r="T129" i="32"/>
  <c r="I129" i="32" s="1"/>
  <c r="S129" i="32"/>
  <c r="R129" i="32"/>
  <c r="Q129" i="32"/>
  <c r="O129" i="32"/>
  <c r="N129" i="32"/>
  <c r="K129" i="32"/>
  <c r="J129" i="32"/>
  <c r="F129" i="32"/>
  <c r="E129" i="32"/>
  <c r="D129" i="32"/>
  <c r="C129" i="32"/>
  <c r="B129" i="32"/>
  <c r="AY128" i="32"/>
  <c r="AX128" i="32"/>
  <c r="AW128" i="32"/>
  <c r="AV128" i="32"/>
  <c r="AU128" i="32"/>
  <c r="AT128" i="32"/>
  <c r="AS128" i="32"/>
  <c r="AR128" i="32"/>
  <c r="AQ128" i="32"/>
  <c r="AP128" i="32"/>
  <c r="AO128" i="32"/>
  <c r="AN128" i="32"/>
  <c r="AM128" i="32"/>
  <c r="AL128" i="32"/>
  <c r="AK128" i="32"/>
  <c r="AJ128" i="32"/>
  <c r="AI128" i="32"/>
  <c r="AH128" i="32"/>
  <c r="AG128" i="32"/>
  <c r="AF128" i="32"/>
  <c r="AE128" i="32"/>
  <c r="AD128" i="32"/>
  <c r="AC128" i="32"/>
  <c r="AB128" i="32"/>
  <c r="AA128" i="32"/>
  <c r="P128" i="32" s="1"/>
  <c r="Z128" i="32"/>
  <c r="O128" i="32" s="1"/>
  <c r="Y128" i="32"/>
  <c r="X128" i="32"/>
  <c r="M128" i="32" s="1"/>
  <c r="W128" i="32"/>
  <c r="V128" i="32"/>
  <c r="U128" i="32"/>
  <c r="J128" i="32" s="1"/>
  <c r="T128" i="32"/>
  <c r="I128" i="32" s="1"/>
  <c r="S128" i="32"/>
  <c r="H128" i="32" s="1"/>
  <c r="R128" i="32"/>
  <c r="F128" i="32" s="1"/>
  <c r="Q128" i="32"/>
  <c r="L128" i="32"/>
  <c r="K128" i="32"/>
  <c r="E128" i="32"/>
  <c r="D128" i="32"/>
  <c r="C128" i="32"/>
  <c r="B128" i="32"/>
  <c r="AX127" i="32"/>
  <c r="AY127" i="32" s="1"/>
  <c r="AW127" i="32"/>
  <c r="AV127" i="32"/>
  <c r="AU127" i="32"/>
  <c r="AT127" i="32"/>
  <c r="AS127" i="32"/>
  <c r="AR127" i="32"/>
  <c r="AQ127" i="32"/>
  <c r="AP127" i="32"/>
  <c r="AO127" i="32"/>
  <c r="AN127" i="32"/>
  <c r="AM127" i="32"/>
  <c r="AL127" i="32"/>
  <c r="AK127" i="32"/>
  <c r="AJ127" i="32"/>
  <c r="AI127" i="32"/>
  <c r="AH127" i="32"/>
  <c r="AG127" i="32"/>
  <c r="AF127" i="32"/>
  <c r="AE127" i="32"/>
  <c r="AD127" i="32"/>
  <c r="AC127" i="32"/>
  <c r="AB127" i="32"/>
  <c r="AA127" i="32"/>
  <c r="Z127" i="32"/>
  <c r="O127" i="32" s="1"/>
  <c r="Y127" i="32"/>
  <c r="N127" i="32" s="1"/>
  <c r="X127" i="32"/>
  <c r="W127" i="32"/>
  <c r="V127" i="32"/>
  <c r="K127" i="32" s="1"/>
  <c r="K126" i="32" s="1"/>
  <c r="U127" i="32"/>
  <c r="I127" i="32" s="1"/>
  <c r="I126" i="32" s="1"/>
  <c r="T127" i="32"/>
  <c r="S127" i="32"/>
  <c r="H127" i="32" s="1"/>
  <c r="R127" i="32"/>
  <c r="Q127" i="32"/>
  <c r="F127" i="32" s="1"/>
  <c r="P127" i="32"/>
  <c r="M127" i="32"/>
  <c r="L127" i="32"/>
  <c r="G127" i="32"/>
  <c r="E127" i="32"/>
  <c r="D127" i="32"/>
  <c r="C127" i="32"/>
  <c r="B127" i="32"/>
  <c r="AX126" i="32"/>
  <c r="AW126" i="32"/>
  <c r="AV126" i="32"/>
  <c r="AU126" i="32"/>
  <c r="AT126" i="32"/>
  <c r="AS126" i="32"/>
  <c r="AR126" i="32"/>
  <c r="AQ126" i="32"/>
  <c r="AP126" i="32"/>
  <c r="AO126" i="32"/>
  <c r="AN126" i="32"/>
  <c r="AM126" i="32"/>
  <c r="AL126" i="32"/>
  <c r="AK126" i="32"/>
  <c r="AJ126" i="32"/>
  <c r="AI126" i="32"/>
  <c r="AH126" i="32"/>
  <c r="AG126" i="32"/>
  <c r="AF126" i="32"/>
  <c r="AE126" i="32"/>
  <c r="AD126" i="32"/>
  <c r="AC126" i="32"/>
  <c r="AB126" i="32"/>
  <c r="AA126" i="32"/>
  <c r="Z126" i="32"/>
  <c r="Y126" i="32"/>
  <c r="X126" i="32"/>
  <c r="W126" i="32"/>
  <c r="V126" i="32"/>
  <c r="U126" i="32"/>
  <c r="T126" i="32"/>
  <c r="S126" i="32"/>
  <c r="R126" i="32"/>
  <c r="Q126" i="32"/>
  <c r="D126" i="32"/>
  <c r="C126" i="32"/>
  <c r="B126" i="32"/>
  <c r="AY125" i="32"/>
  <c r="AX125" i="32"/>
  <c r="AW125" i="32"/>
  <c r="AV125" i="32"/>
  <c r="AU125" i="32"/>
  <c r="AT125" i="32"/>
  <c r="AS125" i="32"/>
  <c r="AR125" i="32"/>
  <c r="AQ125" i="32"/>
  <c r="AP125" i="32"/>
  <c r="AO125" i="32"/>
  <c r="AN125" i="32"/>
  <c r="AM125" i="32"/>
  <c r="AL125" i="32"/>
  <c r="AK125" i="32"/>
  <c r="AJ125" i="32"/>
  <c r="AI125" i="32"/>
  <c r="AH125" i="32"/>
  <c r="AG125" i="32"/>
  <c r="AF125" i="32"/>
  <c r="AE125" i="32"/>
  <c r="AD125" i="32"/>
  <c r="AC125" i="32"/>
  <c r="AB125" i="32"/>
  <c r="AA125" i="32"/>
  <c r="P125" i="32" s="1"/>
  <c r="Z125" i="32"/>
  <c r="Y125" i="32"/>
  <c r="X125" i="32"/>
  <c r="M125" i="32" s="1"/>
  <c r="W125" i="32"/>
  <c r="K125" i="32" s="1"/>
  <c r="V125" i="32"/>
  <c r="U125" i="32"/>
  <c r="J125" i="32" s="1"/>
  <c r="T125" i="32"/>
  <c r="S125" i="32"/>
  <c r="H125" i="32" s="1"/>
  <c r="H122" i="32" s="1"/>
  <c r="R125" i="32"/>
  <c r="Q125" i="32"/>
  <c r="O125" i="32"/>
  <c r="N125" i="32"/>
  <c r="I125" i="32"/>
  <c r="G125" i="32"/>
  <c r="F125" i="32"/>
  <c r="E125" i="32"/>
  <c r="D125" i="32"/>
  <c r="C125" i="32"/>
  <c r="B125" i="32"/>
  <c r="AZ124" i="32"/>
  <c r="BA124" i="32" s="1"/>
  <c r="BB124" i="32" s="1"/>
  <c r="BC124" i="32" s="1"/>
  <c r="BD124" i="32" s="1"/>
  <c r="BE124" i="32" s="1"/>
  <c r="BF124" i="32" s="1"/>
  <c r="BG124" i="32" s="1"/>
  <c r="BH124" i="32" s="1"/>
  <c r="AY124" i="32"/>
  <c r="BS124" i="32" s="1"/>
  <c r="AX124" i="32"/>
  <c r="AW124" i="32"/>
  <c r="AV124" i="32"/>
  <c r="AU124" i="32"/>
  <c r="AT124" i="32"/>
  <c r="AS124" i="32"/>
  <c r="AR124" i="32"/>
  <c r="AQ124" i="32"/>
  <c r="AP124" i="32"/>
  <c r="AO124" i="32"/>
  <c r="AN124" i="32"/>
  <c r="AM124" i="32"/>
  <c r="AL124" i="32"/>
  <c r="AK124" i="32"/>
  <c r="AJ124" i="32"/>
  <c r="AI124" i="32"/>
  <c r="AH124" i="32"/>
  <c r="AG124" i="32"/>
  <c r="AF124" i="32"/>
  <c r="AE124" i="32"/>
  <c r="AD124" i="32"/>
  <c r="AC124" i="32"/>
  <c r="AB124" i="32"/>
  <c r="AA124" i="32"/>
  <c r="Z124" i="32"/>
  <c r="Y124" i="32"/>
  <c r="N124" i="32" s="1"/>
  <c r="X124" i="32"/>
  <c r="W124" i="32"/>
  <c r="V124" i="32"/>
  <c r="K124" i="32" s="1"/>
  <c r="U124" i="32"/>
  <c r="T124" i="32"/>
  <c r="I124" i="32" s="1"/>
  <c r="I122" i="32" s="1"/>
  <c r="S124" i="32"/>
  <c r="R124" i="32"/>
  <c r="Q124" i="32"/>
  <c r="F124" i="32" s="1"/>
  <c r="P124" i="32"/>
  <c r="O124" i="32"/>
  <c r="M124" i="32"/>
  <c r="L124" i="32"/>
  <c r="J124" i="32"/>
  <c r="H124" i="32"/>
  <c r="G124" i="32"/>
  <c r="E124" i="32"/>
  <c r="D124" i="32"/>
  <c r="C124" i="32"/>
  <c r="B124" i="32"/>
  <c r="AX123" i="32"/>
  <c r="AY123" i="32" s="1"/>
  <c r="AW123" i="32"/>
  <c r="AV123" i="32"/>
  <c r="AU123" i="32"/>
  <c r="AT123" i="32"/>
  <c r="AS123" i="32"/>
  <c r="AR123" i="32"/>
  <c r="AQ123" i="32"/>
  <c r="AP123" i="32"/>
  <c r="AO123" i="32"/>
  <c r="AN123" i="32"/>
  <c r="AM123" i="32"/>
  <c r="AL123" i="32"/>
  <c r="AK123" i="32"/>
  <c r="AJ123" i="32"/>
  <c r="AI123" i="32"/>
  <c r="AH123" i="32"/>
  <c r="AG123" i="32"/>
  <c r="AF123" i="32"/>
  <c r="AE123" i="32"/>
  <c r="AD123" i="32"/>
  <c r="AC123" i="32"/>
  <c r="AB123" i="32"/>
  <c r="AA123" i="32"/>
  <c r="Z123" i="32"/>
  <c r="O123" i="32" s="1"/>
  <c r="Y123" i="32"/>
  <c r="X123" i="32"/>
  <c r="W123" i="32"/>
  <c r="L123" i="32" s="1"/>
  <c r="V123" i="32"/>
  <c r="U123" i="32"/>
  <c r="J123" i="32" s="1"/>
  <c r="J122" i="32" s="1"/>
  <c r="T123" i="32"/>
  <c r="S123" i="32"/>
  <c r="R123" i="32"/>
  <c r="G123" i="32" s="1"/>
  <c r="G122" i="32" s="1"/>
  <c r="Q123" i="32"/>
  <c r="F123" i="32" s="1"/>
  <c r="F122" i="32" s="1"/>
  <c r="P123" i="32"/>
  <c r="M123" i="32"/>
  <c r="M122" i="32" s="1"/>
  <c r="K123" i="32"/>
  <c r="I123" i="32"/>
  <c r="H123" i="32"/>
  <c r="E123" i="32"/>
  <c r="E122" i="32" s="1"/>
  <c r="D123" i="32"/>
  <c r="C123" i="32"/>
  <c r="B123" i="32"/>
  <c r="AY122" i="32"/>
  <c r="AZ122" i="32" s="1"/>
  <c r="BA122" i="32" s="1"/>
  <c r="BB122" i="32" s="1"/>
  <c r="BC122" i="32" s="1"/>
  <c r="BD122" i="32" s="1"/>
  <c r="BE122" i="32" s="1"/>
  <c r="BF122" i="32" s="1"/>
  <c r="BG122" i="32" s="1"/>
  <c r="BH122" i="32" s="1"/>
  <c r="BI122" i="32" s="1"/>
  <c r="BJ122" i="32" s="1"/>
  <c r="AX122" i="32"/>
  <c r="AW122" i="32"/>
  <c r="AV122" i="32"/>
  <c r="AU122" i="32"/>
  <c r="AT122" i="32"/>
  <c r="AS122" i="32"/>
  <c r="AR122" i="32"/>
  <c r="AQ122" i="32"/>
  <c r="AP122" i="32"/>
  <c r="AO122" i="32"/>
  <c r="AN122" i="32"/>
  <c r="AM122" i="32"/>
  <c r="AL122" i="32"/>
  <c r="AK122" i="32"/>
  <c r="AJ122" i="32"/>
  <c r="AI122" i="32"/>
  <c r="AH122" i="32"/>
  <c r="AG122" i="32"/>
  <c r="AF122" i="32"/>
  <c r="AE122" i="32"/>
  <c r="AD122" i="32"/>
  <c r="AC122" i="32"/>
  <c r="AB122" i="32"/>
  <c r="AA122" i="32"/>
  <c r="Z122" i="32"/>
  <c r="Y122" i="32"/>
  <c r="X122" i="32"/>
  <c r="W122" i="32"/>
  <c r="V122" i="32"/>
  <c r="U122" i="32"/>
  <c r="T122" i="32"/>
  <c r="S122" i="32"/>
  <c r="R122" i="32"/>
  <c r="Q122" i="32"/>
  <c r="O122" i="32"/>
  <c r="D122" i="32"/>
  <c r="C122" i="32"/>
  <c r="B122" i="32"/>
  <c r="AX121" i="32"/>
  <c r="AW121" i="32"/>
  <c r="AV121" i="32"/>
  <c r="AU121" i="32"/>
  <c r="AT121" i="32"/>
  <c r="AS121" i="32"/>
  <c r="AR121" i="32"/>
  <c r="AQ121" i="32"/>
  <c r="AP121" i="32"/>
  <c r="AO121" i="32"/>
  <c r="AN121" i="32"/>
  <c r="AM121" i="32"/>
  <c r="AL121" i="32"/>
  <c r="AK121" i="32"/>
  <c r="AJ121" i="32"/>
  <c r="AI121" i="32"/>
  <c r="AH121" i="32"/>
  <c r="AG121" i="32"/>
  <c r="AF121" i="32"/>
  <c r="AE121" i="32"/>
  <c r="AD121" i="32"/>
  <c r="AC121" i="32"/>
  <c r="AB121" i="32"/>
  <c r="AA121" i="32"/>
  <c r="Z121" i="32"/>
  <c r="Y121" i="32"/>
  <c r="X121" i="32"/>
  <c r="W121" i="32"/>
  <c r="V121" i="32"/>
  <c r="U121" i="32"/>
  <c r="T121" i="32"/>
  <c r="S121" i="32"/>
  <c r="R121" i="32"/>
  <c r="Q121" i="32"/>
  <c r="D121" i="32"/>
  <c r="C121" i="32"/>
  <c r="B121" i="32"/>
  <c r="AX120" i="32"/>
  <c r="AY120" i="32" s="1"/>
  <c r="AW120" i="32"/>
  <c r="AV120" i="32"/>
  <c r="AU120" i="32"/>
  <c r="AT120" i="32"/>
  <c r="AS120" i="32"/>
  <c r="AR120" i="32"/>
  <c r="AQ120" i="32"/>
  <c r="AP120" i="32"/>
  <c r="AO120" i="32"/>
  <c r="AN120" i="32"/>
  <c r="AM120" i="32"/>
  <c r="AL120" i="32"/>
  <c r="AK120" i="32"/>
  <c r="AJ120" i="32"/>
  <c r="AI120" i="32"/>
  <c r="AH120" i="32"/>
  <c r="AG120" i="32"/>
  <c r="AF120" i="32"/>
  <c r="AE120" i="32"/>
  <c r="AD120" i="32"/>
  <c r="AC120" i="32"/>
  <c r="AB120" i="32"/>
  <c r="AA120" i="32"/>
  <c r="Z120" i="32"/>
  <c r="O120" i="32" s="1"/>
  <c r="Y120" i="32"/>
  <c r="X120" i="32"/>
  <c r="M120" i="32" s="1"/>
  <c r="M117" i="32" s="1"/>
  <c r="W120" i="32"/>
  <c r="V120" i="32"/>
  <c r="U120" i="32"/>
  <c r="J120" i="32" s="1"/>
  <c r="T120" i="32"/>
  <c r="I120" i="32" s="1"/>
  <c r="S120" i="32"/>
  <c r="R120" i="32"/>
  <c r="Q120" i="32"/>
  <c r="F120" i="32" s="1"/>
  <c r="P120" i="32"/>
  <c r="N120" i="32"/>
  <c r="L120" i="32"/>
  <c r="K120" i="32"/>
  <c r="H120" i="32"/>
  <c r="G120" i="32"/>
  <c r="E120" i="32"/>
  <c r="D120" i="32"/>
  <c r="C120" i="32"/>
  <c r="B120" i="32"/>
  <c r="AY119" i="32"/>
  <c r="AX119" i="32"/>
  <c r="AW119" i="32"/>
  <c r="AV119" i="32"/>
  <c r="AU119" i="32"/>
  <c r="AT119" i="32"/>
  <c r="AS119" i="32"/>
  <c r="AR119" i="32"/>
  <c r="AQ119" i="32"/>
  <c r="AP119" i="32"/>
  <c r="AO119" i="32"/>
  <c r="AN119" i="32"/>
  <c r="AM119" i="32"/>
  <c r="AL119" i="32"/>
  <c r="AK119" i="32"/>
  <c r="AJ119" i="32"/>
  <c r="AI119" i="32"/>
  <c r="AH119" i="32"/>
  <c r="AG119" i="32"/>
  <c r="AF119" i="32"/>
  <c r="AE119" i="32"/>
  <c r="AD119" i="32"/>
  <c r="AC119" i="32"/>
  <c r="AB119" i="32"/>
  <c r="AA119" i="32"/>
  <c r="P119" i="32" s="1"/>
  <c r="Z119" i="32"/>
  <c r="Y119" i="32"/>
  <c r="N119" i="32" s="1"/>
  <c r="N117" i="32" s="1"/>
  <c r="X119" i="32"/>
  <c r="W119" i="32"/>
  <c r="V119" i="32"/>
  <c r="K119" i="32" s="1"/>
  <c r="U119" i="32"/>
  <c r="J119" i="32" s="1"/>
  <c r="T119" i="32"/>
  <c r="S119" i="32"/>
  <c r="R119" i="32"/>
  <c r="G119" i="32" s="1"/>
  <c r="Q119" i="32"/>
  <c r="O119" i="32"/>
  <c r="M119" i="32"/>
  <c r="L119" i="32"/>
  <c r="I119" i="32"/>
  <c r="H119" i="32"/>
  <c r="F119" i="32"/>
  <c r="E119" i="32"/>
  <c r="E117" i="32" s="1"/>
  <c r="D119" i="32"/>
  <c r="C119" i="32"/>
  <c r="B119" i="32"/>
  <c r="AX118" i="32"/>
  <c r="AY118" i="32" s="1"/>
  <c r="AW118" i="32"/>
  <c r="AV118" i="32"/>
  <c r="AU118" i="32"/>
  <c r="AT118" i="32"/>
  <c r="AS118" i="32"/>
  <c r="AR118" i="32"/>
  <c r="AQ118" i="32"/>
  <c r="AP118" i="32"/>
  <c r="AO118" i="32"/>
  <c r="AN118" i="32"/>
  <c r="AM118" i="32"/>
  <c r="AL118" i="32"/>
  <c r="AK118" i="32"/>
  <c r="AJ118" i="32"/>
  <c r="AI118" i="32"/>
  <c r="AH118" i="32"/>
  <c r="AG118" i="32"/>
  <c r="AF118" i="32"/>
  <c r="AE118" i="32"/>
  <c r="AD118" i="32"/>
  <c r="AC118" i="32"/>
  <c r="AB118" i="32"/>
  <c r="AA118" i="32"/>
  <c r="Z118" i="32"/>
  <c r="O118" i="32" s="1"/>
  <c r="O117" i="32" s="1"/>
  <c r="Y118" i="32"/>
  <c r="X118" i="32"/>
  <c r="W118" i="32"/>
  <c r="L118" i="32" s="1"/>
  <c r="L117" i="32" s="1"/>
  <c r="V118" i="32"/>
  <c r="K118" i="32" s="1"/>
  <c r="U118" i="32"/>
  <c r="T118" i="32"/>
  <c r="S118" i="32"/>
  <c r="H118" i="32" s="1"/>
  <c r="R118" i="32"/>
  <c r="Q118" i="32"/>
  <c r="P118" i="32"/>
  <c r="N118" i="32"/>
  <c r="M118" i="32"/>
  <c r="J118" i="32"/>
  <c r="I118" i="32"/>
  <c r="I117" i="32" s="1"/>
  <c r="G118" i="32"/>
  <c r="G117" i="32" s="1"/>
  <c r="F118" i="32"/>
  <c r="F117" i="32" s="1"/>
  <c r="E118" i="32"/>
  <c r="D118" i="32"/>
  <c r="C118" i="32"/>
  <c r="B118" i="32"/>
  <c r="AX117" i="32"/>
  <c r="AW117" i="32"/>
  <c r="AV117" i="32"/>
  <c r="AU117" i="32"/>
  <c r="AT117" i="32"/>
  <c r="AS117" i="32"/>
  <c r="AR117" i="32"/>
  <c r="AQ117" i="32"/>
  <c r="AP117" i="32"/>
  <c r="AO117" i="32"/>
  <c r="AN117" i="32"/>
  <c r="AM117" i="32"/>
  <c r="AL117" i="32"/>
  <c r="AK117" i="32"/>
  <c r="AJ117" i="32"/>
  <c r="AI117" i="32"/>
  <c r="AH117" i="32"/>
  <c r="AG117" i="32"/>
  <c r="AF117" i="32"/>
  <c r="AE117" i="32"/>
  <c r="AD117" i="32"/>
  <c r="AC117" i="32"/>
  <c r="AB117" i="32"/>
  <c r="AA117" i="32"/>
  <c r="Z117" i="32"/>
  <c r="Y117" i="32"/>
  <c r="X117" i="32"/>
  <c r="W117" i="32"/>
  <c r="V117" i="32"/>
  <c r="U117" i="32"/>
  <c r="T117" i="32"/>
  <c r="S117" i="32"/>
  <c r="R117" i="32"/>
  <c r="Q117" i="32"/>
  <c r="H117" i="32"/>
  <c r="D117" i="32"/>
  <c r="C117" i="32"/>
  <c r="B117" i="32"/>
  <c r="AZ116" i="32"/>
  <c r="AY116" i="32"/>
  <c r="AX116" i="32"/>
  <c r="AW116" i="32"/>
  <c r="AV116" i="32"/>
  <c r="AU116" i="32"/>
  <c r="AT116" i="32"/>
  <c r="AS116" i="32"/>
  <c r="AR116" i="32"/>
  <c r="AQ116" i="32"/>
  <c r="AP116" i="32"/>
  <c r="AO116" i="32"/>
  <c r="AN116" i="32"/>
  <c r="AM116" i="32"/>
  <c r="AL116" i="32"/>
  <c r="AK116" i="32"/>
  <c r="AJ116" i="32"/>
  <c r="AI116" i="32"/>
  <c r="AH116" i="32"/>
  <c r="AG116" i="32"/>
  <c r="AF116" i="32"/>
  <c r="AE116" i="32"/>
  <c r="AD116" i="32"/>
  <c r="AC116" i="32"/>
  <c r="AB116" i="32"/>
  <c r="AA116" i="32"/>
  <c r="Z116" i="32"/>
  <c r="Y116" i="32"/>
  <c r="N116" i="32" s="1"/>
  <c r="X116" i="32"/>
  <c r="M116" i="32" s="1"/>
  <c r="W116" i="32"/>
  <c r="V116" i="32"/>
  <c r="U116" i="32"/>
  <c r="J116" i="32" s="1"/>
  <c r="T116" i="32"/>
  <c r="H116" i="32" s="1"/>
  <c r="S116" i="32"/>
  <c r="R116" i="32"/>
  <c r="G116" i="32" s="1"/>
  <c r="Q116" i="32"/>
  <c r="P116" i="32"/>
  <c r="O116" i="32"/>
  <c r="L116" i="32"/>
  <c r="K116" i="32"/>
  <c r="F116" i="32"/>
  <c r="E116" i="32"/>
  <c r="D116" i="32"/>
  <c r="C116" i="32"/>
  <c r="B116" i="32"/>
  <c r="AX115" i="32"/>
  <c r="AY115" i="32" s="1"/>
  <c r="AW115" i="32"/>
  <c r="AV115" i="32"/>
  <c r="AU115" i="32"/>
  <c r="AT115" i="32"/>
  <c r="AS115" i="32"/>
  <c r="AR115" i="32"/>
  <c r="AQ115" i="32"/>
  <c r="AP115" i="32"/>
  <c r="AO115" i="32"/>
  <c r="AN115" i="32"/>
  <c r="AM115" i="32"/>
  <c r="AL115" i="32"/>
  <c r="AK115" i="32"/>
  <c r="AJ115" i="32"/>
  <c r="AI115" i="32"/>
  <c r="AH115" i="32"/>
  <c r="AG115" i="32"/>
  <c r="AF115" i="32"/>
  <c r="AE115" i="32"/>
  <c r="AD115" i="32"/>
  <c r="AC115" i="32"/>
  <c r="AB115" i="32"/>
  <c r="AA115" i="32"/>
  <c r="Z115" i="32"/>
  <c r="O115" i="32" s="1"/>
  <c r="Y115" i="32"/>
  <c r="N115" i="32" s="1"/>
  <c r="N113" i="32" s="1"/>
  <c r="X115" i="32"/>
  <c r="W115" i="32"/>
  <c r="V115" i="32"/>
  <c r="K115" i="32" s="1"/>
  <c r="U115" i="32"/>
  <c r="I115" i="32" s="1"/>
  <c r="T115" i="32"/>
  <c r="S115" i="32"/>
  <c r="H115" i="32" s="1"/>
  <c r="R115" i="32"/>
  <c r="Q115" i="32"/>
  <c r="F115" i="32" s="1"/>
  <c r="F113" i="32" s="1"/>
  <c r="P115" i="32"/>
  <c r="M115" i="32"/>
  <c r="L115" i="32"/>
  <c r="G115" i="32"/>
  <c r="E115" i="32"/>
  <c r="D115" i="32"/>
  <c r="C115" i="32"/>
  <c r="B115" i="32"/>
  <c r="AX114" i="32"/>
  <c r="AY114" i="32" s="1"/>
  <c r="AW114" i="32"/>
  <c r="AV114" i="32"/>
  <c r="AU114" i="32"/>
  <c r="AT114" i="32"/>
  <c r="AS114" i="32"/>
  <c r="AR114" i="32"/>
  <c r="AQ114" i="32"/>
  <c r="AP114" i="32"/>
  <c r="AO114" i="32"/>
  <c r="AN114" i="32"/>
  <c r="AM114" i="32"/>
  <c r="AL114" i="32"/>
  <c r="AK114" i="32"/>
  <c r="AJ114" i="32"/>
  <c r="AI114" i="32"/>
  <c r="AH114" i="32"/>
  <c r="AG114" i="32"/>
  <c r="AF114" i="32"/>
  <c r="AE114" i="32"/>
  <c r="AD114" i="32"/>
  <c r="AC114" i="32"/>
  <c r="AB114" i="32"/>
  <c r="AA114" i="32"/>
  <c r="P114" i="32" s="1"/>
  <c r="P113" i="32" s="1"/>
  <c r="Z114" i="32"/>
  <c r="O114" i="32" s="1"/>
  <c r="O113" i="32" s="1"/>
  <c r="Y114" i="32"/>
  <c r="X114" i="32"/>
  <c r="W114" i="32"/>
  <c r="L114" i="32" s="1"/>
  <c r="L113" i="32" s="1"/>
  <c r="V114" i="32"/>
  <c r="J114" i="32" s="1"/>
  <c r="U114" i="32"/>
  <c r="T114" i="32"/>
  <c r="I114" i="32" s="1"/>
  <c r="S114" i="32"/>
  <c r="R114" i="32"/>
  <c r="G114" i="32" s="1"/>
  <c r="G113" i="32" s="1"/>
  <c r="Q114" i="32"/>
  <c r="N114" i="32"/>
  <c r="M114" i="32"/>
  <c r="H114" i="32"/>
  <c r="F114" i="32"/>
  <c r="E114" i="32"/>
  <c r="E113" i="32" s="1"/>
  <c r="D114" i="32"/>
  <c r="C114" i="32"/>
  <c r="B114" i="32"/>
  <c r="AX113" i="32"/>
  <c r="AW113" i="32"/>
  <c r="AV113" i="32"/>
  <c r="AU113" i="32"/>
  <c r="AT113" i="32"/>
  <c r="AS113" i="32"/>
  <c r="AR113" i="32"/>
  <c r="AQ113" i="32"/>
  <c r="AP113" i="32"/>
  <c r="AO113" i="32"/>
  <c r="AN113" i="32"/>
  <c r="AM113" i="32"/>
  <c r="AL113" i="32"/>
  <c r="AK113" i="32"/>
  <c r="AJ113" i="32"/>
  <c r="AI113" i="32"/>
  <c r="AH113" i="32"/>
  <c r="AG113" i="32"/>
  <c r="AF113" i="32"/>
  <c r="AE113" i="32"/>
  <c r="AD113" i="32"/>
  <c r="AC113" i="32"/>
  <c r="AB113" i="32"/>
  <c r="AA113" i="32"/>
  <c r="Z113" i="32"/>
  <c r="Y113" i="32"/>
  <c r="X113" i="32"/>
  <c r="W113" i="32"/>
  <c r="V113" i="32"/>
  <c r="U113" i="32"/>
  <c r="T113" i="32"/>
  <c r="S113" i="32"/>
  <c r="R113" i="32"/>
  <c r="Q113" i="32"/>
  <c r="D113" i="32"/>
  <c r="C113" i="32"/>
  <c r="B113" i="32"/>
  <c r="BI112" i="32"/>
  <c r="BJ112" i="32" s="1"/>
  <c r="AX112" i="32"/>
  <c r="AW112" i="32"/>
  <c r="AV112" i="32"/>
  <c r="AV108" i="32" s="1"/>
  <c r="AU112" i="32"/>
  <c r="AT112" i="32"/>
  <c r="AS112" i="32"/>
  <c r="AR112" i="32"/>
  <c r="AQ112" i="32"/>
  <c r="AP112" i="32"/>
  <c r="AO112" i="32"/>
  <c r="AN112" i="32"/>
  <c r="AY112" i="32" s="1"/>
  <c r="AZ112" i="32" s="1"/>
  <c r="BA112" i="32" s="1"/>
  <c r="BB112" i="32" s="1"/>
  <c r="BC112" i="32" s="1"/>
  <c r="BD112" i="32" s="1"/>
  <c r="BE112" i="32" s="1"/>
  <c r="BF112" i="32" s="1"/>
  <c r="BG112" i="32" s="1"/>
  <c r="BH112" i="32" s="1"/>
  <c r="AM112" i="32"/>
  <c r="AL112" i="32"/>
  <c r="AK112" i="32"/>
  <c r="AJ112" i="32"/>
  <c r="AJ108" i="32" s="1"/>
  <c r="AI112" i="32"/>
  <c r="AH112" i="32"/>
  <c r="AG112" i="32"/>
  <c r="AF112" i="32"/>
  <c r="AE112" i="32"/>
  <c r="AD112" i="32"/>
  <c r="AC112" i="32"/>
  <c r="AB112" i="32"/>
  <c r="AA112" i="32"/>
  <c r="Z112" i="32"/>
  <c r="Y112" i="32"/>
  <c r="N112" i="32" s="1"/>
  <c r="X112" i="32"/>
  <c r="L112" i="32" s="1"/>
  <c r="W112" i="32"/>
  <c r="V112" i="32"/>
  <c r="K112" i="32" s="1"/>
  <c r="U112" i="32"/>
  <c r="T112" i="32"/>
  <c r="I112" i="32" s="1"/>
  <c r="S112" i="32"/>
  <c r="R112" i="32"/>
  <c r="Q112" i="32"/>
  <c r="F112" i="32" s="1"/>
  <c r="P112" i="32"/>
  <c r="O112" i="32"/>
  <c r="J112" i="32"/>
  <c r="H112" i="32"/>
  <c r="G112" i="32"/>
  <c r="E112" i="32"/>
  <c r="D112" i="32"/>
  <c r="C112" i="32"/>
  <c r="B112" i="32"/>
  <c r="AX111" i="32"/>
  <c r="AW111" i="32"/>
  <c r="AV111" i="32"/>
  <c r="AU111" i="32"/>
  <c r="AT111" i="32"/>
  <c r="AS111" i="32"/>
  <c r="AR111" i="32"/>
  <c r="AQ111" i="32"/>
  <c r="AP111" i="32"/>
  <c r="AO111" i="32"/>
  <c r="AN111" i="32"/>
  <c r="AY111" i="32" s="1"/>
  <c r="AM111" i="32"/>
  <c r="AL111" i="32"/>
  <c r="AK111" i="32"/>
  <c r="AJ111" i="32"/>
  <c r="AI111" i="32"/>
  <c r="AH111" i="32"/>
  <c r="AG111" i="32"/>
  <c r="AF111" i="32"/>
  <c r="AE111" i="32"/>
  <c r="AD111" i="32"/>
  <c r="AC111" i="32"/>
  <c r="AB111" i="32"/>
  <c r="AA111" i="32"/>
  <c r="Z111" i="32"/>
  <c r="O111" i="32" s="1"/>
  <c r="Y111" i="32"/>
  <c r="M111" i="32" s="1"/>
  <c r="X111" i="32"/>
  <c r="W111" i="32"/>
  <c r="L111" i="32" s="1"/>
  <c r="V111" i="32"/>
  <c r="U111" i="32"/>
  <c r="J111" i="32" s="1"/>
  <c r="T111" i="32"/>
  <c r="S111" i="32"/>
  <c r="R111" i="32"/>
  <c r="G111" i="32" s="1"/>
  <c r="Q111" i="32"/>
  <c r="F111" i="32" s="1"/>
  <c r="P111" i="32"/>
  <c r="K111" i="32"/>
  <c r="I111" i="32"/>
  <c r="H111" i="32"/>
  <c r="E111" i="32"/>
  <c r="D111" i="32"/>
  <c r="C111" i="32"/>
  <c r="B111" i="32"/>
  <c r="BK110" i="32"/>
  <c r="AY110" i="32"/>
  <c r="AX110" i="32"/>
  <c r="AX108" i="32" s="1"/>
  <c r="AW110" i="32"/>
  <c r="AV110" i="32"/>
  <c r="AU110" i="32"/>
  <c r="AT110" i="32"/>
  <c r="AS110" i="32"/>
  <c r="AR110" i="32"/>
  <c r="AQ110" i="32"/>
  <c r="AP110" i="32"/>
  <c r="AO110" i="32"/>
  <c r="AN110" i="32"/>
  <c r="AM110" i="32"/>
  <c r="AL110" i="32"/>
  <c r="AL108" i="32" s="1"/>
  <c r="AK110" i="32"/>
  <c r="AJ110" i="32"/>
  <c r="AI110" i="32"/>
  <c r="AH110" i="32"/>
  <c r="AG110" i="32"/>
  <c r="AF110" i="32"/>
  <c r="AE110" i="32"/>
  <c r="AD110" i="32"/>
  <c r="AC110" i="32"/>
  <c r="AB110" i="32"/>
  <c r="AA110" i="32"/>
  <c r="P110" i="32" s="1"/>
  <c r="Z110" i="32"/>
  <c r="N110" i="32" s="1"/>
  <c r="Y110" i="32"/>
  <c r="X110" i="32"/>
  <c r="M110" i="32" s="1"/>
  <c r="W110" i="32"/>
  <c r="V110" i="32"/>
  <c r="K110" i="32" s="1"/>
  <c r="K108" i="32" s="1"/>
  <c r="U110" i="32"/>
  <c r="T110" i="32"/>
  <c r="S110" i="32"/>
  <c r="H110" i="32" s="1"/>
  <c r="R110" i="32"/>
  <c r="G110" i="32" s="1"/>
  <c r="G108" i="32" s="1"/>
  <c r="Q110" i="32"/>
  <c r="L110" i="32"/>
  <c r="J110" i="32"/>
  <c r="I110" i="32"/>
  <c r="F110" i="32"/>
  <c r="E110" i="32"/>
  <c r="D110" i="32"/>
  <c r="C110" i="32"/>
  <c r="B110" i="32"/>
  <c r="BK109" i="32"/>
  <c r="AY109" i="32"/>
  <c r="AX109" i="32"/>
  <c r="AW109" i="32"/>
  <c r="AW108" i="32" s="1"/>
  <c r="AV109" i="32"/>
  <c r="AU109" i="32"/>
  <c r="AT109" i="32"/>
  <c r="AT108" i="32" s="1"/>
  <c r="AS109" i="32"/>
  <c r="AR109" i="32"/>
  <c r="AQ109" i="32"/>
  <c r="AP109" i="32"/>
  <c r="AP108" i="32" s="1"/>
  <c r="AO109" i="32"/>
  <c r="AN109" i="32"/>
  <c r="AM109" i="32"/>
  <c r="AM108" i="32" s="1"/>
  <c r="AL109" i="32"/>
  <c r="AK109" i="32"/>
  <c r="AK108" i="32" s="1"/>
  <c r="AJ109" i="32"/>
  <c r="AI109" i="32"/>
  <c r="AH109" i="32"/>
  <c r="AH108" i="32" s="1"/>
  <c r="AG109" i="32"/>
  <c r="AF109" i="32"/>
  <c r="AE109" i="32"/>
  <c r="AD109" i="32"/>
  <c r="AD108" i="32" s="1"/>
  <c r="AC109" i="32"/>
  <c r="AB109" i="32"/>
  <c r="AA109" i="32"/>
  <c r="P109" i="32" s="1"/>
  <c r="P108" i="32" s="1"/>
  <c r="Z109" i="32"/>
  <c r="Y109" i="32"/>
  <c r="N109" i="32" s="1"/>
  <c r="X109" i="32"/>
  <c r="W109" i="32"/>
  <c r="L109" i="32" s="1"/>
  <c r="V109" i="32"/>
  <c r="U109" i="32"/>
  <c r="T109" i="32"/>
  <c r="I109" i="32" s="1"/>
  <c r="I108" i="32" s="1"/>
  <c r="S109" i="32"/>
  <c r="H109" i="32" s="1"/>
  <c r="H108" i="32" s="1"/>
  <c r="R109" i="32"/>
  <c r="Q109" i="32"/>
  <c r="O109" i="32"/>
  <c r="M109" i="32"/>
  <c r="K109" i="32"/>
  <c r="J109" i="32"/>
  <c r="G109" i="32"/>
  <c r="F109" i="32"/>
  <c r="E109" i="32"/>
  <c r="D109" i="32"/>
  <c r="C109" i="32"/>
  <c r="B109" i="32"/>
  <c r="AU108" i="32"/>
  <c r="AS108" i="32"/>
  <c r="AR108" i="32"/>
  <c r="AQ108" i="32"/>
  <c r="AO108" i="32"/>
  <c r="AN108" i="32"/>
  <c r="AI108" i="32"/>
  <c r="AG108" i="32"/>
  <c r="AF108" i="32"/>
  <c r="AE108" i="32"/>
  <c r="AC108" i="32"/>
  <c r="AB108" i="32"/>
  <c r="AA108" i="32"/>
  <c r="Z108" i="32"/>
  <c r="Y108" i="32"/>
  <c r="X108" i="32"/>
  <c r="W108" i="32"/>
  <c r="V108" i="32"/>
  <c r="U108" i="32"/>
  <c r="T108" i="32"/>
  <c r="S108" i="32"/>
  <c r="R108" i="32"/>
  <c r="Q108" i="32"/>
  <c r="E108" i="32"/>
  <c r="D108" i="32"/>
  <c r="C108" i="32"/>
  <c r="B108" i="32"/>
  <c r="AY107" i="32"/>
  <c r="AX107" i="32"/>
  <c r="AW107" i="32"/>
  <c r="AV107" i="32"/>
  <c r="AU107" i="32"/>
  <c r="AT107" i="32"/>
  <c r="AS107" i="32"/>
  <c r="AR107" i="32"/>
  <c r="AQ107" i="32"/>
  <c r="AP107" i="32"/>
  <c r="AO107" i="32"/>
  <c r="AN107" i="32"/>
  <c r="AM107" i="32"/>
  <c r="AL107" i="32"/>
  <c r="AK107" i="32"/>
  <c r="AJ107" i="32"/>
  <c r="AI107" i="32"/>
  <c r="AH107" i="32"/>
  <c r="AG107" i="32"/>
  <c r="AF107" i="32"/>
  <c r="AE107" i="32"/>
  <c r="AD107" i="32"/>
  <c r="AC107" i="32"/>
  <c r="AB107" i="32"/>
  <c r="AA107" i="32"/>
  <c r="P107" i="32" s="1"/>
  <c r="P97" i="32" s="1"/>
  <c r="Z107" i="32"/>
  <c r="Y107" i="32"/>
  <c r="N107" i="32" s="1"/>
  <c r="X107" i="32"/>
  <c r="W107" i="32"/>
  <c r="V107" i="32"/>
  <c r="K107" i="32" s="1"/>
  <c r="U107" i="32"/>
  <c r="J107" i="32" s="1"/>
  <c r="T107" i="32"/>
  <c r="I107" i="32" s="1"/>
  <c r="S107" i="32"/>
  <c r="R107" i="32"/>
  <c r="G107" i="32" s="1"/>
  <c r="Q107" i="32"/>
  <c r="E107" i="32" s="1"/>
  <c r="O107" i="32"/>
  <c r="M107" i="32"/>
  <c r="L107" i="32"/>
  <c r="H107" i="32"/>
  <c r="D107" i="32"/>
  <c r="C107" i="32"/>
  <c r="B107" i="32"/>
  <c r="AX106" i="32"/>
  <c r="AY106" i="32" s="1"/>
  <c r="AW106" i="32"/>
  <c r="AV106" i="32"/>
  <c r="AU106" i="32"/>
  <c r="AT106" i="32"/>
  <c r="AS106" i="32"/>
  <c r="AR106" i="32"/>
  <c r="AQ106" i="32"/>
  <c r="AP106" i="32"/>
  <c r="AO106" i="32"/>
  <c r="AN106" i="32"/>
  <c r="AM106" i="32"/>
  <c r="AL106" i="32"/>
  <c r="AK106" i="32"/>
  <c r="AJ106" i="32"/>
  <c r="AI106" i="32"/>
  <c r="AH106" i="32"/>
  <c r="AG106" i="32"/>
  <c r="AF106" i="32"/>
  <c r="AE106" i="32"/>
  <c r="AD106" i="32"/>
  <c r="AC106" i="32"/>
  <c r="AB106" i="32"/>
  <c r="AA106" i="32"/>
  <c r="Z106" i="32"/>
  <c r="O106" i="32" s="1"/>
  <c r="Y106" i="32"/>
  <c r="X106" i="32"/>
  <c r="W106" i="32"/>
  <c r="L106" i="32" s="1"/>
  <c r="V106" i="32"/>
  <c r="K106" i="32" s="1"/>
  <c r="U106" i="32"/>
  <c r="J106" i="32" s="1"/>
  <c r="T106" i="32"/>
  <c r="S106" i="32"/>
  <c r="H106" i="32" s="1"/>
  <c r="R106" i="32"/>
  <c r="F106" i="32" s="1"/>
  <c r="Q106" i="32"/>
  <c r="P106" i="32"/>
  <c r="N106" i="32"/>
  <c r="M106" i="32"/>
  <c r="I106" i="32"/>
  <c r="E106" i="32"/>
  <c r="D106" i="32"/>
  <c r="C106" i="32"/>
  <c r="B106" i="32"/>
  <c r="AX105" i="32"/>
  <c r="AY105" i="32" s="1"/>
  <c r="AW105" i="32"/>
  <c r="AV105" i="32"/>
  <c r="AU105" i="32"/>
  <c r="AT105" i="32"/>
  <c r="AS105" i="32"/>
  <c r="AR105" i="32"/>
  <c r="AQ105" i="32"/>
  <c r="AP105" i="32"/>
  <c r="AO105" i="32"/>
  <c r="AN105" i="32"/>
  <c r="AM105" i="32"/>
  <c r="AL105" i="32"/>
  <c r="AK105" i="32"/>
  <c r="AJ105" i="32"/>
  <c r="AI105" i="32"/>
  <c r="AH105" i="32"/>
  <c r="AG105" i="32"/>
  <c r="AF105" i="32"/>
  <c r="AE105" i="32"/>
  <c r="AD105" i="32"/>
  <c r="AC105" i="32"/>
  <c r="AB105" i="32"/>
  <c r="AA105" i="32"/>
  <c r="P105" i="32" s="1"/>
  <c r="Z105" i="32"/>
  <c r="O105" i="32" s="1"/>
  <c r="Y105" i="32"/>
  <c r="X105" i="32"/>
  <c r="M105" i="32" s="1"/>
  <c r="W105" i="32"/>
  <c r="L105" i="32" s="1"/>
  <c r="V105" i="32"/>
  <c r="U105" i="32"/>
  <c r="T105" i="32"/>
  <c r="I105" i="32" s="1"/>
  <c r="S105" i="32"/>
  <c r="G105" i="32" s="1"/>
  <c r="R105" i="32"/>
  <c r="Q105" i="32"/>
  <c r="F105" i="32" s="1"/>
  <c r="N105" i="32"/>
  <c r="K105" i="32"/>
  <c r="J105" i="32"/>
  <c r="E105" i="32"/>
  <c r="D105" i="32"/>
  <c r="C105" i="32"/>
  <c r="B105" i="32"/>
  <c r="AZ104" i="32"/>
  <c r="BA104" i="32" s="1"/>
  <c r="AY104" i="32"/>
  <c r="AX104" i="32"/>
  <c r="AW104" i="32"/>
  <c r="AV104" i="32"/>
  <c r="AU104" i="32"/>
  <c r="AT104" i="32"/>
  <c r="AS104" i="32"/>
  <c r="AR104" i="32"/>
  <c r="AQ104" i="32"/>
  <c r="AP104" i="32"/>
  <c r="AO104" i="32"/>
  <c r="AN104" i="32"/>
  <c r="AM104" i="32"/>
  <c r="AL104" i="32"/>
  <c r="AK104" i="32"/>
  <c r="AJ104" i="32"/>
  <c r="AI104" i="32"/>
  <c r="AH104" i="32"/>
  <c r="AG104" i="32"/>
  <c r="AF104" i="32"/>
  <c r="AE104" i="32"/>
  <c r="AD104" i="32"/>
  <c r="AC104" i="32"/>
  <c r="AB104" i="32"/>
  <c r="AA104" i="32"/>
  <c r="Z104" i="32"/>
  <c r="Y104" i="32"/>
  <c r="N104" i="32" s="1"/>
  <c r="X104" i="32"/>
  <c r="M104" i="32" s="1"/>
  <c r="W104" i="32"/>
  <c r="V104" i="32"/>
  <c r="U104" i="32"/>
  <c r="J104" i="32" s="1"/>
  <c r="T104" i="32"/>
  <c r="I104" i="32" s="1"/>
  <c r="S104" i="32"/>
  <c r="R104" i="32"/>
  <c r="G104" i="32" s="1"/>
  <c r="Q104" i="32"/>
  <c r="P104" i="32"/>
  <c r="O104" i="32"/>
  <c r="L104" i="32"/>
  <c r="K104" i="32"/>
  <c r="F104" i="32"/>
  <c r="E104" i="32"/>
  <c r="D104" i="32"/>
  <c r="C104" i="32"/>
  <c r="B104" i="32"/>
  <c r="AX103" i="32"/>
  <c r="AW103" i="32"/>
  <c r="AV103" i="32"/>
  <c r="AU103" i="32"/>
  <c r="AT103" i="32"/>
  <c r="AS103" i="32"/>
  <c r="AR103" i="32"/>
  <c r="AQ103" i="32"/>
  <c r="AP103" i="32"/>
  <c r="AO103" i="32"/>
  <c r="AN103" i="32"/>
  <c r="AY103" i="32" s="1"/>
  <c r="AM103" i="32"/>
  <c r="AL103" i="32"/>
  <c r="AK103" i="32"/>
  <c r="AJ103" i="32"/>
  <c r="AI103" i="32"/>
  <c r="AH103" i="32"/>
  <c r="AG103" i="32"/>
  <c r="AF103" i="32"/>
  <c r="AE103" i="32"/>
  <c r="AD103" i="32"/>
  <c r="AC103" i="32"/>
  <c r="AB103" i="32"/>
  <c r="AA103" i="32"/>
  <c r="Z103" i="32"/>
  <c r="O103" i="32" s="1"/>
  <c r="Y103" i="32"/>
  <c r="N103" i="32" s="1"/>
  <c r="X103" i="32"/>
  <c r="W103" i="32"/>
  <c r="V103" i="32"/>
  <c r="K103" i="32" s="1"/>
  <c r="U103" i="32"/>
  <c r="J103" i="32" s="1"/>
  <c r="T103" i="32"/>
  <c r="S103" i="32"/>
  <c r="H103" i="32" s="1"/>
  <c r="R103" i="32"/>
  <c r="Q103" i="32"/>
  <c r="F103" i="32" s="1"/>
  <c r="P103" i="32"/>
  <c r="M103" i="32"/>
  <c r="L103" i="32"/>
  <c r="G103" i="32"/>
  <c r="E103" i="32"/>
  <c r="D103" i="32"/>
  <c r="C103" i="32"/>
  <c r="B103" i="32"/>
  <c r="AY102" i="32"/>
  <c r="AX102" i="32"/>
  <c r="AW102" i="32"/>
  <c r="AV102" i="32"/>
  <c r="AU102" i="32"/>
  <c r="AT102" i="32"/>
  <c r="AS102" i="32"/>
  <c r="AR102" i="32"/>
  <c r="AQ102" i="32"/>
  <c r="AP102" i="32"/>
  <c r="AO102" i="32"/>
  <c r="AN102" i="32"/>
  <c r="AM102" i="32"/>
  <c r="AL102" i="32"/>
  <c r="AK102" i="32"/>
  <c r="AJ102" i="32"/>
  <c r="AI102" i="32"/>
  <c r="AH102" i="32"/>
  <c r="AG102" i="32"/>
  <c r="AF102" i="32"/>
  <c r="AE102" i="32"/>
  <c r="AD102" i="32"/>
  <c r="AC102" i="32"/>
  <c r="AB102" i="32"/>
  <c r="AA102" i="32"/>
  <c r="P102" i="32" s="1"/>
  <c r="Z102" i="32"/>
  <c r="O102" i="32" s="1"/>
  <c r="Y102" i="32"/>
  <c r="X102" i="32"/>
  <c r="W102" i="32"/>
  <c r="L102" i="32" s="1"/>
  <c r="V102" i="32"/>
  <c r="K102" i="32" s="1"/>
  <c r="U102" i="32"/>
  <c r="T102" i="32"/>
  <c r="I102" i="32" s="1"/>
  <c r="S102" i="32"/>
  <c r="R102" i="32"/>
  <c r="G102" i="32" s="1"/>
  <c r="Q102" i="32"/>
  <c r="N102" i="32"/>
  <c r="M102" i="32"/>
  <c r="H102" i="32"/>
  <c r="F102" i="32"/>
  <c r="E102" i="32"/>
  <c r="D102" i="32"/>
  <c r="C102" i="32"/>
  <c r="B102" i="32"/>
  <c r="AY101" i="32"/>
  <c r="AX101" i="32"/>
  <c r="AW101" i="32"/>
  <c r="AV101" i="32"/>
  <c r="AU101" i="32"/>
  <c r="AT101" i="32"/>
  <c r="AS101" i="32"/>
  <c r="AR101" i="32"/>
  <c r="AQ101" i="32"/>
  <c r="AP101" i="32"/>
  <c r="AO101" i="32"/>
  <c r="AN101" i="32"/>
  <c r="AM101" i="32"/>
  <c r="AL101" i="32"/>
  <c r="AK101" i="32"/>
  <c r="AJ101" i="32"/>
  <c r="AI101" i="32"/>
  <c r="AH101" i="32"/>
  <c r="AG101" i="32"/>
  <c r="AF101" i="32"/>
  <c r="AE101" i="32"/>
  <c r="AD101" i="32"/>
  <c r="AC101" i="32"/>
  <c r="AB101" i="32"/>
  <c r="AA101" i="32"/>
  <c r="P101" i="32" s="1"/>
  <c r="P99" i="32" s="1"/>
  <c r="Z101" i="32"/>
  <c r="Y101" i="32"/>
  <c r="X101" i="32"/>
  <c r="M101" i="32" s="1"/>
  <c r="W101" i="32"/>
  <c r="L101" i="32" s="1"/>
  <c r="V101" i="32"/>
  <c r="U101" i="32"/>
  <c r="J101" i="32" s="1"/>
  <c r="T101" i="32"/>
  <c r="S101" i="32"/>
  <c r="H101" i="32" s="1"/>
  <c r="R101" i="32"/>
  <c r="Q101" i="32"/>
  <c r="O101" i="32"/>
  <c r="N101" i="32"/>
  <c r="I101" i="32"/>
  <c r="G101" i="32"/>
  <c r="F101" i="32"/>
  <c r="E101" i="32"/>
  <c r="D101" i="32"/>
  <c r="C101" i="32"/>
  <c r="B101" i="32"/>
  <c r="AX100" i="32"/>
  <c r="AW100" i="32"/>
  <c r="AV100" i="32"/>
  <c r="AU100" i="32"/>
  <c r="AT100" i="32"/>
  <c r="AS100" i="32"/>
  <c r="AR100" i="32"/>
  <c r="AQ100" i="32"/>
  <c r="AP100" i="32"/>
  <c r="AO100" i="32"/>
  <c r="AN100" i="32"/>
  <c r="AY100" i="32" s="1"/>
  <c r="AM100" i="32"/>
  <c r="AL100" i="32"/>
  <c r="AK100" i="32"/>
  <c r="AJ100" i="32"/>
  <c r="AI100" i="32"/>
  <c r="AH100" i="32"/>
  <c r="AG100" i="32"/>
  <c r="AF100" i="32"/>
  <c r="AE100" i="32"/>
  <c r="AD100" i="32"/>
  <c r="AC100" i="32"/>
  <c r="AB100" i="32"/>
  <c r="AA100" i="32"/>
  <c r="Z100" i="32"/>
  <c r="Y100" i="32"/>
  <c r="N100" i="32" s="1"/>
  <c r="X100" i="32"/>
  <c r="M100" i="32" s="1"/>
  <c r="M99" i="32" s="1"/>
  <c r="W100" i="32"/>
  <c r="V100" i="32"/>
  <c r="K100" i="32" s="1"/>
  <c r="U100" i="32"/>
  <c r="T100" i="32"/>
  <c r="I100" i="32" s="1"/>
  <c r="S100" i="32"/>
  <c r="R100" i="32"/>
  <c r="Q100" i="32"/>
  <c r="F100" i="32" s="1"/>
  <c r="P100" i="32"/>
  <c r="O100" i="32"/>
  <c r="J100" i="32"/>
  <c r="H100" i="32"/>
  <c r="G100" i="32"/>
  <c r="G99" i="32" s="1"/>
  <c r="E100" i="32"/>
  <c r="D100" i="32"/>
  <c r="C100" i="32"/>
  <c r="B100" i="32"/>
  <c r="AX99" i="32"/>
  <c r="AW99" i="32"/>
  <c r="AV99" i="32"/>
  <c r="AU99" i="32"/>
  <c r="AT99" i="32"/>
  <c r="AS99" i="32"/>
  <c r="AR99" i="32"/>
  <c r="AQ99" i="32"/>
  <c r="AP99" i="32"/>
  <c r="AO99" i="32"/>
  <c r="AN99" i="32"/>
  <c r="AM99" i="32"/>
  <c r="AL99" i="32"/>
  <c r="AK99" i="32"/>
  <c r="AJ99" i="32"/>
  <c r="AI99" i="32"/>
  <c r="AH99" i="32"/>
  <c r="AG99" i="32"/>
  <c r="AF99" i="32"/>
  <c r="AE99" i="32"/>
  <c r="AD99" i="32"/>
  <c r="AC99" i="32"/>
  <c r="AB99" i="32"/>
  <c r="AA99" i="32"/>
  <c r="Z99" i="32"/>
  <c r="Y99" i="32"/>
  <c r="X99" i="32"/>
  <c r="W99" i="32"/>
  <c r="V99" i="32"/>
  <c r="U99" i="32"/>
  <c r="T99" i="32"/>
  <c r="S99" i="32"/>
  <c r="R99" i="32"/>
  <c r="Q99" i="32"/>
  <c r="N99" i="32"/>
  <c r="E99" i="32"/>
  <c r="D99" i="32"/>
  <c r="C99" i="32"/>
  <c r="B99" i="32"/>
  <c r="AX98" i="32"/>
  <c r="AY98" i="32" s="1"/>
  <c r="AW98" i="32"/>
  <c r="AV98" i="32"/>
  <c r="AU98" i="32"/>
  <c r="AT98" i="32"/>
  <c r="AS98" i="32"/>
  <c r="AR98" i="32"/>
  <c r="AQ98" i="32"/>
  <c r="AP98" i="32"/>
  <c r="AO98" i="32"/>
  <c r="AN98" i="32"/>
  <c r="AM98" i="32"/>
  <c r="AL98" i="32"/>
  <c r="AK98" i="32"/>
  <c r="AJ98" i="32"/>
  <c r="AI98" i="32"/>
  <c r="AH98" i="32"/>
  <c r="AG98" i="32"/>
  <c r="AF98" i="32"/>
  <c r="AE98" i="32"/>
  <c r="AD98" i="32"/>
  <c r="AC98" i="32"/>
  <c r="AB98" i="32"/>
  <c r="AA98" i="32"/>
  <c r="P98" i="32" s="1"/>
  <c r="Z98" i="32"/>
  <c r="N98" i="32" s="1"/>
  <c r="Y98" i="32"/>
  <c r="X98" i="32"/>
  <c r="M98" i="32" s="1"/>
  <c r="W98" i="32"/>
  <c r="V98" i="32"/>
  <c r="K98" i="32" s="1"/>
  <c r="U98" i="32"/>
  <c r="T98" i="32"/>
  <c r="S98" i="32"/>
  <c r="H98" i="32" s="1"/>
  <c r="R98" i="32"/>
  <c r="G98" i="32" s="1"/>
  <c r="Q98" i="32"/>
  <c r="F98" i="32" s="1"/>
  <c r="O98" i="32"/>
  <c r="L98" i="32"/>
  <c r="J98" i="32"/>
  <c r="I98" i="32"/>
  <c r="E98" i="32"/>
  <c r="D98" i="32"/>
  <c r="C98" i="32"/>
  <c r="B98" i="32"/>
  <c r="AX97" i="32"/>
  <c r="AW97" i="32"/>
  <c r="AV97" i="32"/>
  <c r="AU97" i="32"/>
  <c r="AT97" i="32"/>
  <c r="AS97" i="32"/>
  <c r="AR97" i="32"/>
  <c r="AQ97" i="32"/>
  <c r="AP97" i="32"/>
  <c r="AO97" i="32"/>
  <c r="AN97" i="32"/>
  <c r="AM97" i="32"/>
  <c r="AL97" i="32"/>
  <c r="AK97" i="32"/>
  <c r="AJ97" i="32"/>
  <c r="AI97" i="32"/>
  <c r="AH97" i="32"/>
  <c r="AG97" i="32"/>
  <c r="AF97" i="32"/>
  <c r="AE97" i="32"/>
  <c r="AD97" i="32"/>
  <c r="AC97" i="32"/>
  <c r="AB97" i="32"/>
  <c r="AA97" i="32"/>
  <c r="Z97" i="32"/>
  <c r="Y97" i="32"/>
  <c r="X97" i="32"/>
  <c r="W97" i="32"/>
  <c r="V97" i="32"/>
  <c r="U97" i="32"/>
  <c r="T97" i="32"/>
  <c r="S97" i="32"/>
  <c r="R97" i="32"/>
  <c r="Q97" i="32"/>
  <c r="D97" i="32"/>
  <c r="C97" i="32"/>
  <c r="B97" i="32"/>
  <c r="BE96" i="32"/>
  <c r="BD96" i="32"/>
  <c r="BC96" i="32"/>
  <c r="BA96" i="32"/>
  <c r="AZ96" i="32"/>
  <c r="AX96" i="32"/>
  <c r="AY96" i="32" s="1"/>
  <c r="AW96" i="32"/>
  <c r="AV96" i="32"/>
  <c r="AU96" i="32"/>
  <c r="AT96" i="32"/>
  <c r="AS96" i="32"/>
  <c r="AR96" i="32"/>
  <c r="AQ96" i="32"/>
  <c r="AP96" i="32"/>
  <c r="AO96" i="32"/>
  <c r="AN96" i="32"/>
  <c r="AM96" i="32"/>
  <c r="AL96" i="32"/>
  <c r="AK96" i="32"/>
  <c r="AJ96" i="32"/>
  <c r="AI96" i="32"/>
  <c r="AH96" i="32"/>
  <c r="AG96" i="32"/>
  <c r="AF96" i="32"/>
  <c r="AE96" i="32"/>
  <c r="AD96" i="32"/>
  <c r="AC96" i="32"/>
  <c r="AB96" i="32"/>
  <c r="AA96" i="32"/>
  <c r="Z96" i="32"/>
  <c r="O96" i="32" s="1"/>
  <c r="Y96" i="32"/>
  <c r="X96" i="32"/>
  <c r="M96" i="32" s="1"/>
  <c r="W96" i="32"/>
  <c r="V96" i="32"/>
  <c r="U96" i="32"/>
  <c r="J96" i="32" s="1"/>
  <c r="T96" i="32"/>
  <c r="I96" i="32" s="1"/>
  <c r="S96" i="32"/>
  <c r="H96" i="32" s="1"/>
  <c r="R96" i="32"/>
  <c r="Q96" i="32"/>
  <c r="F96" i="32" s="1"/>
  <c r="P96" i="32"/>
  <c r="N96" i="32"/>
  <c r="L96" i="32"/>
  <c r="K96" i="32"/>
  <c r="G96" i="32"/>
  <c r="D96" i="32"/>
  <c r="C96" i="32"/>
  <c r="B96" i="32"/>
  <c r="BM95" i="32"/>
  <c r="BI95" i="32"/>
  <c r="BH95" i="32"/>
  <c r="BG95" i="32"/>
  <c r="BF95" i="32"/>
  <c r="BE95" i="32"/>
  <c r="BD95" i="32"/>
  <c r="BC95" i="32"/>
  <c r="BB95" i="32"/>
  <c r="BA95" i="32"/>
  <c r="BN95" i="32" s="1"/>
  <c r="AZ95" i="32"/>
  <c r="AY95" i="32"/>
  <c r="BL95" i="32" s="1"/>
  <c r="AX95" i="32"/>
  <c r="BJ95" i="32" s="1"/>
  <c r="AW95" i="32"/>
  <c r="AV95" i="32"/>
  <c r="AU95" i="32"/>
  <c r="AT95" i="32"/>
  <c r="AS95" i="32"/>
  <c r="AR95" i="32"/>
  <c r="AQ95" i="32"/>
  <c r="AP95" i="32"/>
  <c r="AO95" i="32"/>
  <c r="AN95" i="32"/>
  <c r="AM95" i="32"/>
  <c r="AL95" i="32"/>
  <c r="AK95" i="32"/>
  <c r="AJ95" i="32"/>
  <c r="AI95" i="32"/>
  <c r="AH95" i="32"/>
  <c r="AG95" i="32"/>
  <c r="AF95" i="32"/>
  <c r="AE95" i="32"/>
  <c r="AD95" i="32"/>
  <c r="AC95" i="32"/>
  <c r="AB95" i="32"/>
  <c r="AA95" i="32"/>
  <c r="P95" i="32" s="1"/>
  <c r="Z95" i="32"/>
  <c r="Y95" i="32"/>
  <c r="N95" i="32" s="1"/>
  <c r="X95" i="32"/>
  <c r="W95" i="32"/>
  <c r="V95" i="32"/>
  <c r="K95" i="32" s="1"/>
  <c r="U95" i="32"/>
  <c r="J95" i="32" s="1"/>
  <c r="T95" i="32"/>
  <c r="I95" i="32" s="1"/>
  <c r="S95" i="32"/>
  <c r="R95" i="32"/>
  <c r="G95" i="32" s="1"/>
  <c r="Q95" i="32"/>
  <c r="O95" i="32"/>
  <c r="M95" i="32"/>
  <c r="L95" i="32"/>
  <c r="H95" i="32"/>
  <c r="F95" i="32"/>
  <c r="E95" i="32"/>
  <c r="D95" i="32"/>
  <c r="C95" i="32"/>
  <c r="B95" i="32"/>
  <c r="BG94" i="32"/>
  <c r="BF94" i="32"/>
  <c r="BE94" i="32"/>
  <c r="BC94" i="32"/>
  <c r="BB94" i="32"/>
  <c r="AX94" i="32"/>
  <c r="BA94" i="32" s="1"/>
  <c r="AW94" i="32"/>
  <c r="AV94" i="32"/>
  <c r="AU94" i="32"/>
  <c r="AT94" i="32"/>
  <c r="AS94" i="32"/>
  <c r="AR94" i="32"/>
  <c r="AQ94" i="32"/>
  <c r="AP94" i="32"/>
  <c r="AO94" i="32"/>
  <c r="AN94" i="32"/>
  <c r="AM94" i="32"/>
  <c r="AL94" i="32"/>
  <c r="AK94" i="32"/>
  <c r="AJ94" i="32"/>
  <c r="AI94" i="32"/>
  <c r="AH94" i="32"/>
  <c r="AG94" i="32"/>
  <c r="AF94" i="32"/>
  <c r="AE94" i="32"/>
  <c r="AD94" i="32"/>
  <c r="AC94" i="32"/>
  <c r="AB94" i="32"/>
  <c r="AA94" i="32"/>
  <c r="Z94" i="32"/>
  <c r="O94" i="32" s="1"/>
  <c r="Y94" i="32"/>
  <c r="X94" i="32"/>
  <c r="W94" i="32"/>
  <c r="L94" i="32" s="1"/>
  <c r="V94" i="32"/>
  <c r="K94" i="32" s="1"/>
  <c r="U94" i="32"/>
  <c r="J94" i="32" s="1"/>
  <c r="T94" i="32"/>
  <c r="S94" i="32"/>
  <c r="H94" i="32" s="1"/>
  <c r="R94" i="32"/>
  <c r="Q94" i="32"/>
  <c r="P94" i="32"/>
  <c r="N94" i="32"/>
  <c r="M94" i="32"/>
  <c r="I94" i="32"/>
  <c r="G94" i="32"/>
  <c r="F94" i="32"/>
  <c r="E94" i="32"/>
  <c r="D94" i="32"/>
  <c r="C94" i="32"/>
  <c r="B94" i="32"/>
  <c r="BH93" i="32"/>
  <c r="BG93" i="32"/>
  <c r="BF93" i="32"/>
  <c r="BD93" i="32"/>
  <c r="BC93" i="32"/>
  <c r="AX93" i="32"/>
  <c r="BB93" i="32" s="1"/>
  <c r="AW93" i="32"/>
  <c r="AV93" i="32"/>
  <c r="AU93" i="32"/>
  <c r="AT93" i="32"/>
  <c r="AS93" i="32"/>
  <c r="AR93" i="32"/>
  <c r="AQ93" i="32"/>
  <c r="AP93" i="32"/>
  <c r="AO93" i="32"/>
  <c r="AN93" i="32"/>
  <c r="AM93" i="32"/>
  <c r="AL93" i="32"/>
  <c r="AK93" i="32"/>
  <c r="AJ93" i="32"/>
  <c r="AI93" i="32"/>
  <c r="AH93" i="32"/>
  <c r="AG93" i="32"/>
  <c r="AF93" i="32"/>
  <c r="AE93" i="32"/>
  <c r="AD93" i="32"/>
  <c r="AC93" i="32"/>
  <c r="AB93" i="32"/>
  <c r="AA93" i="32"/>
  <c r="P93" i="32" s="1"/>
  <c r="Z93" i="32"/>
  <c r="Y93" i="32"/>
  <c r="X93" i="32"/>
  <c r="M93" i="32" s="1"/>
  <c r="W93" i="32"/>
  <c r="L93" i="32" s="1"/>
  <c r="V93" i="32"/>
  <c r="J93" i="32" s="1"/>
  <c r="U93" i="32"/>
  <c r="T93" i="32"/>
  <c r="I93" i="32" s="1"/>
  <c r="S93" i="32"/>
  <c r="R93" i="32"/>
  <c r="Q93" i="32"/>
  <c r="F93" i="32" s="1"/>
  <c r="O93" i="32"/>
  <c r="N93" i="32"/>
  <c r="G93" i="32"/>
  <c r="E93" i="32"/>
  <c r="D93" i="32"/>
  <c r="C93" i="32"/>
  <c r="B93" i="32"/>
  <c r="BI92" i="32"/>
  <c r="BH92" i="32"/>
  <c r="BG92" i="32"/>
  <c r="BF92" i="32"/>
  <c r="BE92" i="32"/>
  <c r="BD92" i="32"/>
  <c r="BB92" i="32"/>
  <c r="AZ92" i="32"/>
  <c r="BL92" i="32" s="1"/>
  <c r="AY92" i="32"/>
  <c r="AX92" i="32"/>
  <c r="BC92" i="32" s="1"/>
  <c r="AW92" i="32"/>
  <c r="AV92" i="32"/>
  <c r="AU92" i="32"/>
  <c r="AT92" i="32"/>
  <c r="AS92" i="32"/>
  <c r="AR92" i="32"/>
  <c r="AQ92" i="32"/>
  <c r="AP92" i="32"/>
  <c r="AO92" i="32"/>
  <c r="AN92" i="32"/>
  <c r="AM92" i="32"/>
  <c r="AL92" i="32"/>
  <c r="AK92" i="32"/>
  <c r="AJ92" i="32"/>
  <c r="AI92" i="32"/>
  <c r="AH92" i="32"/>
  <c r="AG92" i="32"/>
  <c r="AF92" i="32"/>
  <c r="AE92" i="32"/>
  <c r="AD92" i="32"/>
  <c r="AC92" i="32"/>
  <c r="AB92" i="32"/>
  <c r="AA92" i="32"/>
  <c r="Z92" i="32"/>
  <c r="Y92" i="32"/>
  <c r="N92" i="32" s="1"/>
  <c r="X92" i="32"/>
  <c r="W92" i="32"/>
  <c r="V92" i="32"/>
  <c r="U92" i="32"/>
  <c r="J92" i="32" s="1"/>
  <c r="T92" i="32"/>
  <c r="H92" i="32" s="1"/>
  <c r="S92" i="32"/>
  <c r="R92" i="32"/>
  <c r="G92" i="32" s="1"/>
  <c r="Q92" i="32"/>
  <c r="P92" i="32"/>
  <c r="O92" i="32"/>
  <c r="K92" i="32"/>
  <c r="I92" i="32"/>
  <c r="F92" i="32"/>
  <c r="E92" i="32"/>
  <c r="D92" i="32"/>
  <c r="C92" i="32"/>
  <c r="B92" i="32"/>
  <c r="BI91" i="32"/>
  <c r="BH91" i="32"/>
  <c r="AX91" i="32"/>
  <c r="AW91" i="32"/>
  <c r="AV91" i="32"/>
  <c r="AU91" i="32"/>
  <c r="AT91" i="32"/>
  <c r="AS91" i="32"/>
  <c r="AR91" i="32"/>
  <c r="AQ91" i="32"/>
  <c r="AP91" i="32"/>
  <c r="AO91" i="32"/>
  <c r="AN91" i="32"/>
  <c r="AM91" i="32"/>
  <c r="AL91" i="32"/>
  <c r="AK91" i="32"/>
  <c r="AJ91" i="32"/>
  <c r="AI91" i="32"/>
  <c r="AH91" i="32"/>
  <c r="AG91" i="32"/>
  <c r="AF91" i="32"/>
  <c r="AE91" i="32"/>
  <c r="AD91" i="32"/>
  <c r="AC91" i="32"/>
  <c r="AB91" i="32"/>
  <c r="AA91" i="32"/>
  <c r="Z91" i="32"/>
  <c r="O91" i="32" s="1"/>
  <c r="Y91" i="32"/>
  <c r="X91" i="32"/>
  <c r="W91" i="32"/>
  <c r="V91" i="32"/>
  <c r="K91" i="32" s="1"/>
  <c r="U91" i="32"/>
  <c r="I91" i="32" s="1"/>
  <c r="T91" i="32"/>
  <c r="S91" i="32"/>
  <c r="H91" i="32" s="1"/>
  <c r="R91" i="32"/>
  <c r="Q91" i="32"/>
  <c r="F91" i="32" s="1"/>
  <c r="P91" i="32"/>
  <c r="M91" i="32"/>
  <c r="L91" i="32"/>
  <c r="G91" i="32"/>
  <c r="E91" i="32"/>
  <c r="D91" i="32"/>
  <c r="C91" i="32"/>
  <c r="B91" i="32"/>
  <c r="AY90" i="32"/>
  <c r="AX90" i="32"/>
  <c r="AW90" i="32"/>
  <c r="AV90" i="32"/>
  <c r="AU90" i="32"/>
  <c r="AT90" i="32"/>
  <c r="AS90" i="32"/>
  <c r="AR90" i="32"/>
  <c r="AQ90" i="32"/>
  <c r="AP90" i="32"/>
  <c r="AO90" i="32"/>
  <c r="AN90" i="32"/>
  <c r="AM90" i="32"/>
  <c r="AL90" i="32"/>
  <c r="AK90" i="32"/>
  <c r="AJ90" i="32"/>
  <c r="AI90" i="32"/>
  <c r="AH90" i="32"/>
  <c r="AG90" i="32"/>
  <c r="AF90" i="32"/>
  <c r="AE90" i="32"/>
  <c r="AD90" i="32"/>
  <c r="AC90" i="32"/>
  <c r="AB90" i="32"/>
  <c r="AA90" i="32"/>
  <c r="P90" i="32" s="1"/>
  <c r="Z90" i="32"/>
  <c r="Y90" i="32"/>
  <c r="M90" i="32" s="1"/>
  <c r="X90" i="32"/>
  <c r="W90" i="32"/>
  <c r="L90" i="32" s="1"/>
  <c r="V90" i="32"/>
  <c r="U90" i="32"/>
  <c r="T90" i="32"/>
  <c r="I90" i="32" s="1"/>
  <c r="S90" i="32"/>
  <c r="R90" i="32"/>
  <c r="G90" i="32" s="1"/>
  <c r="Q90" i="32"/>
  <c r="N90" i="32"/>
  <c r="K90" i="32"/>
  <c r="J90" i="32"/>
  <c r="H90" i="32"/>
  <c r="F90" i="32"/>
  <c r="E90" i="32"/>
  <c r="D90" i="32"/>
  <c r="C90" i="32"/>
  <c r="B90" i="32"/>
  <c r="BL89" i="32"/>
  <c r="BK89" i="32"/>
  <c r="BJ89" i="32"/>
  <c r="AZ89" i="32"/>
  <c r="AY89" i="32"/>
  <c r="AX89" i="32"/>
  <c r="AW89" i="32"/>
  <c r="AV89" i="32"/>
  <c r="AU89" i="32"/>
  <c r="AT89" i="32"/>
  <c r="AS89" i="32"/>
  <c r="AR89" i="32"/>
  <c r="AQ89" i="32"/>
  <c r="AP89" i="32"/>
  <c r="AO89" i="32"/>
  <c r="AN89" i="32"/>
  <c r="AM89" i="32"/>
  <c r="AL89" i="32"/>
  <c r="AK89" i="32"/>
  <c r="AJ89" i="32"/>
  <c r="AI89" i="32"/>
  <c r="AH89" i="32"/>
  <c r="AG89" i="32"/>
  <c r="AF89" i="32"/>
  <c r="AE89" i="32"/>
  <c r="AD89" i="32"/>
  <c r="AC89" i="32"/>
  <c r="AB89" i="32"/>
  <c r="AA89" i="32"/>
  <c r="P89" i="32" s="1"/>
  <c r="Z89" i="32"/>
  <c r="Y89" i="32"/>
  <c r="X89" i="32"/>
  <c r="M89" i="32" s="1"/>
  <c r="W89" i="32"/>
  <c r="V89" i="32"/>
  <c r="U89" i="32"/>
  <c r="J89" i="32" s="1"/>
  <c r="T89" i="32"/>
  <c r="S89" i="32"/>
  <c r="H89" i="32" s="1"/>
  <c r="R89" i="32"/>
  <c r="Q89" i="32"/>
  <c r="O89" i="32"/>
  <c r="N89" i="32"/>
  <c r="K89" i="32"/>
  <c r="I89" i="32"/>
  <c r="G89" i="32"/>
  <c r="F89" i="32"/>
  <c r="E89" i="32"/>
  <c r="D89" i="32"/>
  <c r="C89" i="32"/>
  <c r="B89" i="32"/>
  <c r="BL88" i="32"/>
  <c r="BI88" i="32"/>
  <c r="BH88" i="32"/>
  <c r="BF88" i="32"/>
  <c r="BD88" i="32"/>
  <c r="AZ88" i="32"/>
  <c r="AY88" i="32"/>
  <c r="AX88" i="32"/>
  <c r="AW88" i="32"/>
  <c r="AV88" i="32"/>
  <c r="AU88" i="32"/>
  <c r="AT88" i="32"/>
  <c r="AS88" i="32"/>
  <c r="AR88" i="32"/>
  <c r="AQ88" i="32"/>
  <c r="AP88" i="32"/>
  <c r="AO88" i="32"/>
  <c r="AN88" i="32"/>
  <c r="AM88" i="32"/>
  <c r="AL88" i="32"/>
  <c r="AK88" i="32"/>
  <c r="AJ88" i="32"/>
  <c r="AI88" i="32"/>
  <c r="AH88" i="32"/>
  <c r="AG88" i="32"/>
  <c r="AF88" i="32"/>
  <c r="AE88" i="32"/>
  <c r="AD88" i="32"/>
  <c r="AC88" i="32"/>
  <c r="AB88" i="32"/>
  <c r="AA88" i="32"/>
  <c r="P88" i="32" s="1"/>
  <c r="Z88" i="32"/>
  <c r="Y88" i="32"/>
  <c r="X88" i="32"/>
  <c r="M88" i="32" s="1"/>
  <c r="W88" i="32"/>
  <c r="V88" i="32"/>
  <c r="K88" i="32" s="1"/>
  <c r="U88" i="32"/>
  <c r="T88" i="32"/>
  <c r="I88" i="32" s="1"/>
  <c r="S88" i="32"/>
  <c r="R88" i="32"/>
  <c r="Q88" i="32"/>
  <c r="F88" i="32" s="1"/>
  <c r="O88" i="32"/>
  <c r="N88" i="32"/>
  <c r="L88" i="32"/>
  <c r="E88" i="32"/>
  <c r="D88" i="32"/>
  <c r="C88" i="32"/>
  <c r="B88" i="32"/>
  <c r="BJ87" i="32"/>
  <c r="AX87" i="32"/>
  <c r="AW87" i="32"/>
  <c r="AV87" i="32"/>
  <c r="AU87" i="32"/>
  <c r="AT87" i="32"/>
  <c r="AS87" i="32"/>
  <c r="AR87" i="32"/>
  <c r="AQ87" i="32"/>
  <c r="AP87" i="32"/>
  <c r="AO87" i="32"/>
  <c r="AN87" i="32"/>
  <c r="AM87" i="32"/>
  <c r="AL87" i="32"/>
  <c r="AK87" i="32"/>
  <c r="AJ87" i="32"/>
  <c r="AI87" i="32"/>
  <c r="AH87" i="32"/>
  <c r="AG87" i="32"/>
  <c r="AF87" i="32"/>
  <c r="AE87" i="32"/>
  <c r="AD87" i="32"/>
  <c r="AC87" i="32"/>
  <c r="AB87" i="32"/>
  <c r="AA87" i="32"/>
  <c r="Z87" i="32"/>
  <c r="O87" i="32" s="1"/>
  <c r="Y87" i="32"/>
  <c r="X87" i="32"/>
  <c r="W87" i="32"/>
  <c r="V87" i="32"/>
  <c r="U87" i="32"/>
  <c r="J87" i="32" s="1"/>
  <c r="T87" i="32"/>
  <c r="H87" i="32" s="1"/>
  <c r="S87" i="32"/>
  <c r="R87" i="32"/>
  <c r="G87" i="32" s="1"/>
  <c r="Q87" i="32"/>
  <c r="P87" i="32"/>
  <c r="N87" i="32"/>
  <c r="M87" i="32"/>
  <c r="I87" i="32"/>
  <c r="E87" i="32"/>
  <c r="D87" i="32"/>
  <c r="C87" i="32"/>
  <c r="B87" i="32"/>
  <c r="BB86" i="32"/>
  <c r="AY86" i="32"/>
  <c r="AX86" i="32"/>
  <c r="BJ86" i="32" s="1"/>
  <c r="AW86" i="32"/>
  <c r="AV86" i="32"/>
  <c r="AU86" i="32"/>
  <c r="AT86" i="32"/>
  <c r="AS86" i="32"/>
  <c r="AR86" i="32"/>
  <c r="AQ86" i="32"/>
  <c r="AP86" i="32"/>
  <c r="AO86" i="32"/>
  <c r="AN86" i="32"/>
  <c r="AM86" i="32"/>
  <c r="AL86" i="32"/>
  <c r="AK86" i="32"/>
  <c r="AJ86" i="32"/>
  <c r="AI86" i="32"/>
  <c r="AH86" i="32"/>
  <c r="AG86" i="32"/>
  <c r="AF86" i="32"/>
  <c r="AE86" i="32"/>
  <c r="AD86" i="32"/>
  <c r="AC86" i="32"/>
  <c r="AB86" i="32"/>
  <c r="AA86" i="32"/>
  <c r="P86" i="32" s="1"/>
  <c r="P85" i="32" s="1"/>
  <c r="Z86" i="32"/>
  <c r="Y86" i="32"/>
  <c r="X86" i="32"/>
  <c r="M86" i="32" s="1"/>
  <c r="W86" i="32"/>
  <c r="V86" i="32"/>
  <c r="K86" i="32" s="1"/>
  <c r="U86" i="32"/>
  <c r="T86" i="32"/>
  <c r="S86" i="32"/>
  <c r="H86" i="32" s="1"/>
  <c r="R86" i="32"/>
  <c r="G86" i="32" s="1"/>
  <c r="Q86" i="32"/>
  <c r="E86" i="32" s="1"/>
  <c r="E85" i="32" s="1"/>
  <c r="N86" i="32"/>
  <c r="J86" i="32"/>
  <c r="I86" i="32"/>
  <c r="D86" i="32"/>
  <c r="C86" i="32"/>
  <c r="B86" i="32"/>
  <c r="BI85" i="32"/>
  <c r="BG85" i="32"/>
  <c r="BF85" i="32"/>
  <c r="BD85" i="32"/>
  <c r="BC85" i="32"/>
  <c r="BB85" i="32"/>
  <c r="BA85" i="32"/>
  <c r="AZ85" i="32"/>
  <c r="AY85" i="32"/>
  <c r="AX85" i="32"/>
  <c r="BJ85" i="32" s="1"/>
  <c r="AW85" i="32"/>
  <c r="AV85" i="32"/>
  <c r="AU85" i="32"/>
  <c r="AT85" i="32"/>
  <c r="AS85" i="32"/>
  <c r="AR85" i="32"/>
  <c r="AQ85" i="32"/>
  <c r="AP85" i="32"/>
  <c r="AO85" i="32"/>
  <c r="AN85" i="32"/>
  <c r="AM85" i="32"/>
  <c r="AL85" i="32"/>
  <c r="AK85" i="32"/>
  <c r="AJ85" i="32"/>
  <c r="AI85" i="32"/>
  <c r="AH85" i="32"/>
  <c r="AG85" i="32"/>
  <c r="AF85" i="32"/>
  <c r="AE85" i="32"/>
  <c r="AD85" i="32"/>
  <c r="AC85" i="32"/>
  <c r="AB85" i="32"/>
  <c r="AA85" i="32"/>
  <c r="Z85" i="32"/>
  <c r="Y85" i="32"/>
  <c r="X85" i="32"/>
  <c r="W85" i="32"/>
  <c r="V85" i="32"/>
  <c r="U85" i="32"/>
  <c r="T85" i="32"/>
  <c r="S85" i="32"/>
  <c r="R85" i="32"/>
  <c r="Q85" i="32"/>
  <c r="D85" i="32"/>
  <c r="C85" i="32"/>
  <c r="B85" i="32"/>
  <c r="BJ84" i="32"/>
  <c r="AX84" i="32"/>
  <c r="AW84" i="32"/>
  <c r="AV84" i="32"/>
  <c r="AU84" i="32"/>
  <c r="AT84" i="32"/>
  <c r="AS84" i="32"/>
  <c r="AR84" i="32"/>
  <c r="AQ84" i="32"/>
  <c r="AP84" i="32"/>
  <c r="AO84" i="32"/>
  <c r="AN84" i="32"/>
  <c r="AM84" i="32"/>
  <c r="AL84" i="32"/>
  <c r="AK84" i="32"/>
  <c r="AJ84" i="32"/>
  <c r="AI84" i="32"/>
  <c r="AH84" i="32"/>
  <c r="AG84" i="32"/>
  <c r="AF84" i="32"/>
  <c r="AE84" i="32"/>
  <c r="AD84" i="32"/>
  <c r="AC84" i="32"/>
  <c r="AB84" i="32"/>
  <c r="AA84" i="32"/>
  <c r="Z84" i="32"/>
  <c r="O84" i="32" s="1"/>
  <c r="Y84" i="32"/>
  <c r="X84" i="32"/>
  <c r="M84" i="32" s="1"/>
  <c r="W84" i="32"/>
  <c r="V84" i="32"/>
  <c r="U84" i="32"/>
  <c r="J84" i="32" s="1"/>
  <c r="T84" i="32"/>
  <c r="S84" i="32"/>
  <c r="R84" i="32"/>
  <c r="F84" i="32" s="1"/>
  <c r="Q84" i="32"/>
  <c r="P84" i="32"/>
  <c r="I84" i="32"/>
  <c r="H84" i="32"/>
  <c r="G84" i="32"/>
  <c r="E84" i="32"/>
  <c r="D84" i="32"/>
  <c r="C84" i="32"/>
  <c r="B84" i="32"/>
  <c r="BO83" i="32"/>
  <c r="BK83" i="32"/>
  <c r="BI83" i="32"/>
  <c r="BH83" i="32"/>
  <c r="BG83" i="32"/>
  <c r="BF83" i="32"/>
  <c r="BE83" i="32"/>
  <c r="BD83" i="32"/>
  <c r="BC83" i="32"/>
  <c r="BB83" i="32"/>
  <c r="BA83" i="32"/>
  <c r="AZ83" i="32"/>
  <c r="AY83" i="32"/>
  <c r="AX83" i="32"/>
  <c r="BJ83" i="32" s="1"/>
  <c r="AW83" i="32"/>
  <c r="AV83" i="32"/>
  <c r="AU83" i="32"/>
  <c r="AT83" i="32"/>
  <c r="AS83" i="32"/>
  <c r="AR83" i="32"/>
  <c r="AQ83" i="32"/>
  <c r="AP83" i="32"/>
  <c r="AO83" i="32"/>
  <c r="AN83" i="32"/>
  <c r="AM83" i="32"/>
  <c r="AL83" i="32"/>
  <c r="AK83" i="32"/>
  <c r="AJ83" i="32"/>
  <c r="AI83" i="32"/>
  <c r="AH83" i="32"/>
  <c r="AG83" i="32"/>
  <c r="AF83" i="32"/>
  <c r="AE83" i="32"/>
  <c r="AD83" i="32"/>
  <c r="AC83" i="32"/>
  <c r="AB83" i="32"/>
  <c r="AA83" i="32"/>
  <c r="P83" i="32" s="1"/>
  <c r="Z83" i="32"/>
  <c r="Y83" i="32"/>
  <c r="N83" i="32" s="1"/>
  <c r="X83" i="32"/>
  <c r="W83" i="32"/>
  <c r="V83" i="32"/>
  <c r="K83" i="32" s="1"/>
  <c r="U83" i="32"/>
  <c r="T83" i="32"/>
  <c r="I83" i="32" s="1"/>
  <c r="I82" i="32" s="1"/>
  <c r="S83" i="32"/>
  <c r="R83" i="32"/>
  <c r="G83" i="32" s="1"/>
  <c r="G82" i="32" s="1"/>
  <c r="Q83" i="32"/>
  <c r="E83" i="32" s="1"/>
  <c r="E82" i="32" s="1"/>
  <c r="O83" i="32"/>
  <c r="L83" i="32"/>
  <c r="D83" i="32"/>
  <c r="C83" i="32"/>
  <c r="B83" i="32"/>
  <c r="BI82" i="32"/>
  <c r="BG82" i="32"/>
  <c r="BF82" i="32"/>
  <c r="AX82" i="32"/>
  <c r="BJ82" i="32" s="1"/>
  <c r="AW82" i="32"/>
  <c r="AV82" i="32"/>
  <c r="AU82" i="32"/>
  <c r="AT82" i="32"/>
  <c r="AS82" i="32"/>
  <c r="AR82" i="32"/>
  <c r="AQ82" i="32"/>
  <c r="AP82" i="32"/>
  <c r="AO82" i="32"/>
  <c r="AN82" i="32"/>
  <c r="AM82" i="32"/>
  <c r="AL82" i="32"/>
  <c r="AK82" i="32"/>
  <c r="AJ82" i="32"/>
  <c r="AI82" i="32"/>
  <c r="AH82" i="32"/>
  <c r="AG82" i="32"/>
  <c r="AF82" i="32"/>
  <c r="AE82" i="32"/>
  <c r="AD82" i="32"/>
  <c r="AC82" i="32"/>
  <c r="AB82" i="32"/>
  <c r="AA82" i="32"/>
  <c r="Z82" i="32"/>
  <c r="Y82" i="32"/>
  <c r="X82" i="32"/>
  <c r="W82" i="32"/>
  <c r="V82" i="32"/>
  <c r="U82" i="32"/>
  <c r="T82" i="32"/>
  <c r="S82" i="32"/>
  <c r="R82" i="32"/>
  <c r="Q82" i="32"/>
  <c r="P82" i="32"/>
  <c r="D82" i="32"/>
  <c r="C82" i="32"/>
  <c r="B82" i="32"/>
  <c r="BH81" i="32"/>
  <c r="BF81" i="32"/>
  <c r="BE81" i="32"/>
  <c r="BD81" i="32"/>
  <c r="AX81" i="32"/>
  <c r="BC81" i="32" s="1"/>
  <c r="AW81" i="32"/>
  <c r="AV81" i="32"/>
  <c r="AU81" i="32"/>
  <c r="AT81" i="32"/>
  <c r="AS81" i="32"/>
  <c r="AR81" i="32"/>
  <c r="AQ81" i="32"/>
  <c r="AP81" i="32"/>
  <c r="AO81" i="32"/>
  <c r="AN81" i="32"/>
  <c r="AM81" i="32"/>
  <c r="AL81" i="32"/>
  <c r="AK81" i="32"/>
  <c r="AJ81" i="32"/>
  <c r="AI81" i="32"/>
  <c r="AH81" i="32"/>
  <c r="AG81" i="32"/>
  <c r="AF81" i="32"/>
  <c r="AE81" i="32"/>
  <c r="AD81" i="32"/>
  <c r="AC81" i="32"/>
  <c r="AB81" i="32"/>
  <c r="AA81" i="32"/>
  <c r="Z81" i="32"/>
  <c r="O81" i="32" s="1"/>
  <c r="Y81" i="32"/>
  <c r="X81" i="32"/>
  <c r="M81" i="32" s="1"/>
  <c r="W81" i="32"/>
  <c r="V81" i="32"/>
  <c r="K81" i="32" s="1"/>
  <c r="U81" i="32"/>
  <c r="J81" i="32" s="1"/>
  <c r="T81" i="32"/>
  <c r="S81" i="32"/>
  <c r="R81" i="32"/>
  <c r="G81" i="32" s="1"/>
  <c r="Q81" i="32"/>
  <c r="P81" i="32"/>
  <c r="N81" i="32"/>
  <c r="L81" i="32"/>
  <c r="I81" i="32"/>
  <c r="H81" i="32"/>
  <c r="F81" i="32"/>
  <c r="E81" i="32"/>
  <c r="D81" i="32"/>
  <c r="C81" i="32"/>
  <c r="B81" i="32"/>
  <c r="BI80" i="32"/>
  <c r="BH80" i="32"/>
  <c r="BG80" i="32"/>
  <c r="BF80" i="32"/>
  <c r="BE80" i="32"/>
  <c r="BC80" i="32"/>
  <c r="BB80" i="32"/>
  <c r="BA80" i="32"/>
  <c r="AY80" i="32"/>
  <c r="AX80" i="32"/>
  <c r="BD80" i="32" s="1"/>
  <c r="AW80" i="32"/>
  <c r="AV80" i="32"/>
  <c r="AU80" i="32"/>
  <c r="AT80" i="32"/>
  <c r="AS80" i="32"/>
  <c r="AR80" i="32"/>
  <c r="AQ80" i="32"/>
  <c r="AP80" i="32"/>
  <c r="AO80" i="32"/>
  <c r="AN80" i="32"/>
  <c r="AM80" i="32"/>
  <c r="AL80" i="32"/>
  <c r="AK80" i="32"/>
  <c r="AJ80" i="32"/>
  <c r="AI80" i="32"/>
  <c r="AH80" i="32"/>
  <c r="AG80" i="32"/>
  <c r="AF80" i="32"/>
  <c r="AE80" i="32"/>
  <c r="AD80" i="32"/>
  <c r="AC80" i="32"/>
  <c r="AB80" i="32"/>
  <c r="AA80" i="32"/>
  <c r="P80" i="32" s="1"/>
  <c r="Z80" i="32"/>
  <c r="Y80" i="32"/>
  <c r="N80" i="32" s="1"/>
  <c r="X80" i="32"/>
  <c r="W80" i="32"/>
  <c r="L80" i="32" s="1"/>
  <c r="V80" i="32"/>
  <c r="K80" i="32" s="1"/>
  <c r="U80" i="32"/>
  <c r="T80" i="32"/>
  <c r="S80" i="32"/>
  <c r="H80" i="32" s="1"/>
  <c r="R80" i="32"/>
  <c r="G80" i="32" s="1"/>
  <c r="Q80" i="32"/>
  <c r="O80" i="32"/>
  <c r="M80" i="32"/>
  <c r="I80" i="32"/>
  <c r="F80" i="32"/>
  <c r="E80" i="32"/>
  <c r="D80" i="32"/>
  <c r="C80" i="32"/>
  <c r="B80" i="32"/>
  <c r="BG79" i="32"/>
  <c r="AX79" i="32"/>
  <c r="BF79" i="32" s="1"/>
  <c r="AW79" i="32"/>
  <c r="AV79" i="32"/>
  <c r="AU79" i="32"/>
  <c r="AT79" i="32"/>
  <c r="AS79" i="32"/>
  <c r="AR79" i="32"/>
  <c r="AQ79" i="32"/>
  <c r="AP79" i="32"/>
  <c r="AO79" i="32"/>
  <c r="AN79" i="32"/>
  <c r="AM79" i="32"/>
  <c r="AL79" i="32"/>
  <c r="AK79" i="32"/>
  <c r="AJ79" i="32"/>
  <c r="AI79" i="32"/>
  <c r="AH79" i="32"/>
  <c r="AG79" i="32"/>
  <c r="AF79" i="32"/>
  <c r="AE79" i="32"/>
  <c r="AD79" i="32"/>
  <c r="AC79" i="32"/>
  <c r="AB79" i="32"/>
  <c r="AA79" i="32"/>
  <c r="Z79" i="32"/>
  <c r="O79" i="32" s="1"/>
  <c r="Y79" i="32"/>
  <c r="X79" i="32"/>
  <c r="M79" i="32" s="1"/>
  <c r="W79" i="32"/>
  <c r="L79" i="32" s="1"/>
  <c r="V79" i="32"/>
  <c r="U79" i="32"/>
  <c r="T79" i="32"/>
  <c r="I79" i="32" s="1"/>
  <c r="S79" i="32"/>
  <c r="H79" i="32" s="1"/>
  <c r="R79" i="32"/>
  <c r="Q79" i="32"/>
  <c r="P79" i="32"/>
  <c r="N79" i="32"/>
  <c r="J79" i="32"/>
  <c r="G79" i="32"/>
  <c r="F79" i="32"/>
  <c r="E79" i="32"/>
  <c r="D79" i="32"/>
  <c r="C79" i="32"/>
  <c r="B79" i="32"/>
  <c r="BI78" i="32"/>
  <c r="BH78" i="32"/>
  <c r="BG78" i="32"/>
  <c r="BE78" i="32"/>
  <c r="BD78" i="32"/>
  <c r="BA78" i="32"/>
  <c r="AY78" i="32"/>
  <c r="AX78" i="32"/>
  <c r="BF78" i="32" s="1"/>
  <c r="AW78" i="32"/>
  <c r="AV78" i="32"/>
  <c r="AU78" i="32"/>
  <c r="AT78" i="32"/>
  <c r="AS78" i="32"/>
  <c r="AR78" i="32"/>
  <c r="AQ78" i="32"/>
  <c r="AP78" i="32"/>
  <c r="AO78" i="32"/>
  <c r="AN78" i="32"/>
  <c r="AM78" i="32"/>
  <c r="AL78" i="32"/>
  <c r="AK78" i="32"/>
  <c r="AJ78" i="32"/>
  <c r="AI78" i="32"/>
  <c r="AH78" i="32"/>
  <c r="AG78" i="32"/>
  <c r="AF78" i="32"/>
  <c r="AE78" i="32"/>
  <c r="AD78" i="32"/>
  <c r="AC78" i="32"/>
  <c r="AB78" i="32"/>
  <c r="AA78" i="32"/>
  <c r="P78" i="32" s="1"/>
  <c r="Z78" i="32"/>
  <c r="Y78" i="32"/>
  <c r="N78" i="32" s="1"/>
  <c r="X78" i="32"/>
  <c r="M78" i="32" s="1"/>
  <c r="W78" i="32"/>
  <c r="V78" i="32"/>
  <c r="U78" i="32"/>
  <c r="J78" i="32" s="1"/>
  <c r="T78" i="32"/>
  <c r="I78" i="32" s="1"/>
  <c r="S78" i="32"/>
  <c r="R78" i="32"/>
  <c r="Q78" i="32"/>
  <c r="F78" i="32" s="1"/>
  <c r="O78" i="32"/>
  <c r="K78" i="32"/>
  <c r="H78" i="32"/>
  <c r="G78" i="32"/>
  <c r="E78" i="32"/>
  <c r="D78" i="32"/>
  <c r="C78" i="32"/>
  <c r="B78" i="32"/>
  <c r="BI77" i="32"/>
  <c r="BH77" i="32"/>
  <c r="AZ77" i="32"/>
  <c r="AX77" i="32"/>
  <c r="BG77" i="32" s="1"/>
  <c r="AW77" i="32"/>
  <c r="AV77" i="32"/>
  <c r="AU77" i="32"/>
  <c r="AT77" i="32"/>
  <c r="AS77" i="32"/>
  <c r="AR77" i="32"/>
  <c r="AQ77" i="32"/>
  <c r="AP77" i="32"/>
  <c r="AO77" i="32"/>
  <c r="AN77" i="32"/>
  <c r="AM77" i="32"/>
  <c r="AL77" i="32"/>
  <c r="AK77" i="32"/>
  <c r="AJ77" i="32"/>
  <c r="AI77" i="32"/>
  <c r="AH77" i="32"/>
  <c r="AG77" i="32"/>
  <c r="AF77" i="32"/>
  <c r="AE77" i="32"/>
  <c r="AD77" i="32"/>
  <c r="AC77" i="32"/>
  <c r="AB77" i="32"/>
  <c r="AA77" i="32"/>
  <c r="Z77" i="32"/>
  <c r="O77" i="32" s="1"/>
  <c r="Y77" i="32"/>
  <c r="N77" i="32" s="1"/>
  <c r="X77" i="32"/>
  <c r="W77" i="32"/>
  <c r="V77" i="32"/>
  <c r="K77" i="32" s="1"/>
  <c r="U77" i="32"/>
  <c r="T77" i="32"/>
  <c r="S77" i="32"/>
  <c r="R77" i="32"/>
  <c r="G77" i="32" s="1"/>
  <c r="Q77" i="32"/>
  <c r="P77" i="32"/>
  <c r="L77" i="32"/>
  <c r="J77" i="32"/>
  <c r="I77" i="32"/>
  <c r="H77" i="32"/>
  <c r="F77" i="32"/>
  <c r="E77" i="32"/>
  <c r="D77" i="32"/>
  <c r="C77" i="32"/>
  <c r="B77" i="32"/>
  <c r="AX76" i="32"/>
  <c r="AW76" i="32"/>
  <c r="AV76" i="32"/>
  <c r="AU76" i="32"/>
  <c r="AT76" i="32"/>
  <c r="AS76" i="32"/>
  <c r="AR76" i="32"/>
  <c r="AQ76" i="32"/>
  <c r="AP76" i="32"/>
  <c r="AO76" i="32"/>
  <c r="AN76" i="32"/>
  <c r="AM76" i="32"/>
  <c r="AL76" i="32"/>
  <c r="AK76" i="32"/>
  <c r="AJ76" i="32"/>
  <c r="AI76" i="32"/>
  <c r="AH76" i="32"/>
  <c r="AG76" i="32"/>
  <c r="AF76" i="32"/>
  <c r="AE76" i="32"/>
  <c r="AD76" i="32"/>
  <c r="AC76" i="32"/>
  <c r="AB76" i="32"/>
  <c r="AA76" i="32"/>
  <c r="P76" i="32" s="1"/>
  <c r="Z76" i="32"/>
  <c r="O76" i="32" s="1"/>
  <c r="Y76" i="32"/>
  <c r="X76" i="32"/>
  <c r="W76" i="32"/>
  <c r="L76" i="32" s="1"/>
  <c r="V76" i="32"/>
  <c r="U76" i="32"/>
  <c r="T76" i="32"/>
  <c r="S76" i="32"/>
  <c r="H76" i="32" s="1"/>
  <c r="R76" i="32"/>
  <c r="Q76" i="32"/>
  <c r="F76" i="32" s="1"/>
  <c r="M76" i="32"/>
  <c r="K76" i="32"/>
  <c r="J76" i="32"/>
  <c r="I76" i="32"/>
  <c r="G76" i="32"/>
  <c r="E76" i="32"/>
  <c r="E74" i="32" s="1"/>
  <c r="D76" i="32"/>
  <c r="C76" i="32"/>
  <c r="B76" i="32"/>
  <c r="BK75" i="32"/>
  <c r="BB75" i="32"/>
  <c r="AY75" i="32"/>
  <c r="AX75" i="32"/>
  <c r="BJ75" i="32" s="1"/>
  <c r="AW75" i="32"/>
  <c r="AV75" i="32"/>
  <c r="AU75" i="32"/>
  <c r="AT75" i="32"/>
  <c r="AS75" i="32"/>
  <c r="AR75" i="32"/>
  <c r="AQ75" i="32"/>
  <c r="AP75" i="32"/>
  <c r="AO75" i="32"/>
  <c r="AN75" i="32"/>
  <c r="AM75" i="32"/>
  <c r="AL75" i="32"/>
  <c r="AK75" i="32"/>
  <c r="AJ75" i="32"/>
  <c r="AI75" i="32"/>
  <c r="AH75" i="32"/>
  <c r="AG75" i="32"/>
  <c r="AF75" i="32"/>
  <c r="AE75" i="32"/>
  <c r="AD75" i="32"/>
  <c r="AC75" i="32"/>
  <c r="AB75" i="32"/>
  <c r="AA75" i="32"/>
  <c r="P75" i="32" s="1"/>
  <c r="Z75" i="32"/>
  <c r="Y75" i="32"/>
  <c r="X75" i="32"/>
  <c r="M75" i="32" s="1"/>
  <c r="W75" i="32"/>
  <c r="V75" i="32"/>
  <c r="U75" i="32"/>
  <c r="T75" i="32"/>
  <c r="I75" i="32" s="1"/>
  <c r="S75" i="32"/>
  <c r="R75" i="32"/>
  <c r="G75" i="32" s="1"/>
  <c r="Q75" i="32"/>
  <c r="O75" i="32"/>
  <c r="O74" i="32" s="1"/>
  <c r="N75" i="32"/>
  <c r="L75" i="32"/>
  <c r="K75" i="32"/>
  <c r="J75" i="32"/>
  <c r="H75" i="32"/>
  <c r="F75" i="32"/>
  <c r="E75" i="32"/>
  <c r="D75" i="32"/>
  <c r="C75" i="32"/>
  <c r="B75" i="32"/>
  <c r="AX74" i="32"/>
  <c r="AW74" i="32"/>
  <c r="AV74" i="32"/>
  <c r="AU74" i="32"/>
  <c r="AT74" i="32"/>
  <c r="AS74" i="32"/>
  <c r="AR74" i="32"/>
  <c r="AQ74" i="32"/>
  <c r="AP74" i="32"/>
  <c r="AO74" i="32"/>
  <c r="AN74" i="32"/>
  <c r="AM74" i="32"/>
  <c r="AL74" i="32"/>
  <c r="AK74" i="32"/>
  <c r="AJ74" i="32"/>
  <c r="AI74" i="32"/>
  <c r="AH74" i="32"/>
  <c r="AG74" i="32"/>
  <c r="AF74" i="32"/>
  <c r="AE74" i="32"/>
  <c r="AD74" i="32"/>
  <c r="AC74" i="32"/>
  <c r="AB74" i="32"/>
  <c r="AA74" i="32"/>
  <c r="Z74" i="32"/>
  <c r="Y74" i="32"/>
  <c r="X74" i="32"/>
  <c r="W74" i="32"/>
  <c r="V74" i="32"/>
  <c r="U74" i="32"/>
  <c r="T74" i="32"/>
  <c r="S74" i="32"/>
  <c r="R74" i="32"/>
  <c r="Q74" i="32"/>
  <c r="P74" i="32"/>
  <c r="D74" i="32"/>
  <c r="C74" i="32"/>
  <c r="B74" i="32"/>
  <c r="BI73" i="32"/>
  <c r="BF73" i="32"/>
  <c r="BD73" i="32"/>
  <c r="BB73" i="32"/>
  <c r="BA73" i="32"/>
  <c r="AZ73" i="32"/>
  <c r="AX73" i="32"/>
  <c r="AY73" i="32" s="1"/>
  <c r="AW73" i="32"/>
  <c r="AV73" i="32"/>
  <c r="AU73" i="32"/>
  <c r="AT73" i="32"/>
  <c r="AS73" i="32"/>
  <c r="AR73" i="32"/>
  <c r="AQ73" i="32"/>
  <c r="AP73" i="32"/>
  <c r="AO73" i="32"/>
  <c r="AN73" i="32"/>
  <c r="AM73" i="32"/>
  <c r="AL73" i="32"/>
  <c r="AK73" i="32"/>
  <c r="AJ73" i="32"/>
  <c r="AI73" i="32"/>
  <c r="AH73" i="32"/>
  <c r="AG73" i="32"/>
  <c r="AF73" i="32"/>
  <c r="AE73" i="32"/>
  <c r="AD73" i="32"/>
  <c r="AC73" i="32"/>
  <c r="AB73" i="32"/>
  <c r="AA73" i="32"/>
  <c r="Z73" i="32"/>
  <c r="O73" i="32" s="1"/>
  <c r="Y73" i="32"/>
  <c r="N73" i="32" s="1"/>
  <c r="X73" i="32"/>
  <c r="W73" i="32"/>
  <c r="V73" i="32"/>
  <c r="K73" i="32" s="1"/>
  <c r="U73" i="32"/>
  <c r="T73" i="32"/>
  <c r="I73" i="32" s="1"/>
  <c r="S73" i="32"/>
  <c r="R73" i="32"/>
  <c r="G73" i="32" s="1"/>
  <c r="Q73" i="32"/>
  <c r="F73" i="32" s="1"/>
  <c r="P73" i="32"/>
  <c r="M73" i="32"/>
  <c r="L73" i="32"/>
  <c r="J73" i="32"/>
  <c r="H73" i="32"/>
  <c r="D73" i="32"/>
  <c r="C73" i="32"/>
  <c r="B73" i="32"/>
  <c r="BG72" i="32"/>
  <c r="BE72" i="32"/>
  <c r="BC72" i="32"/>
  <c r="BB72" i="32"/>
  <c r="BA72" i="32"/>
  <c r="AX72" i="32"/>
  <c r="AZ72" i="32" s="1"/>
  <c r="AW72" i="32"/>
  <c r="AV72" i="32"/>
  <c r="AU72" i="32"/>
  <c r="AT72" i="32"/>
  <c r="AS72" i="32"/>
  <c r="AR72" i="32"/>
  <c r="AQ72" i="32"/>
  <c r="AP72" i="32"/>
  <c r="AO72" i="32"/>
  <c r="AN72" i="32"/>
  <c r="AM72" i="32"/>
  <c r="AL72" i="32"/>
  <c r="AK72" i="32"/>
  <c r="AJ72" i="32"/>
  <c r="AI72" i="32"/>
  <c r="AH72" i="32"/>
  <c r="AG72" i="32"/>
  <c r="AF72" i="32"/>
  <c r="AE72" i="32"/>
  <c r="AD72" i="32"/>
  <c r="AC72" i="32"/>
  <c r="AB72" i="32"/>
  <c r="AA72" i="32"/>
  <c r="P72" i="32" s="1"/>
  <c r="Z72" i="32"/>
  <c r="O72" i="32" s="1"/>
  <c r="Y72" i="32"/>
  <c r="X72" i="32"/>
  <c r="W72" i="32"/>
  <c r="L72" i="32" s="1"/>
  <c r="V72" i="32"/>
  <c r="U72" i="32"/>
  <c r="J72" i="32" s="1"/>
  <c r="T72" i="32"/>
  <c r="S72" i="32"/>
  <c r="H72" i="32" s="1"/>
  <c r="R72" i="32"/>
  <c r="G72" i="32" s="1"/>
  <c r="Q72" i="32"/>
  <c r="N72" i="32"/>
  <c r="M72" i="32"/>
  <c r="K72" i="32"/>
  <c r="I72" i="32"/>
  <c r="E72" i="32"/>
  <c r="D72" i="32"/>
  <c r="C72" i="32"/>
  <c r="B72" i="32"/>
  <c r="BH71" i="32"/>
  <c r="BF71" i="32"/>
  <c r="BE71" i="32"/>
  <c r="BD71" i="32"/>
  <c r="BC71" i="32"/>
  <c r="BO71" i="32" s="1"/>
  <c r="BB71" i="32"/>
  <c r="AZ71" i="32"/>
  <c r="AY71" i="32"/>
  <c r="AX71" i="32"/>
  <c r="BA71" i="32" s="1"/>
  <c r="AW71" i="32"/>
  <c r="AV71" i="32"/>
  <c r="AU71" i="32"/>
  <c r="AT71" i="32"/>
  <c r="AS71" i="32"/>
  <c r="AR71" i="32"/>
  <c r="AQ71" i="32"/>
  <c r="AP71" i="32"/>
  <c r="AO71" i="32"/>
  <c r="AN71" i="32"/>
  <c r="AM71" i="32"/>
  <c r="AL71" i="32"/>
  <c r="AK71" i="32"/>
  <c r="AJ71" i="32"/>
  <c r="AI71" i="32"/>
  <c r="AH71" i="32"/>
  <c r="AG71" i="32"/>
  <c r="AF71" i="32"/>
  <c r="AE71" i="32"/>
  <c r="AD71" i="32"/>
  <c r="AC71" i="32"/>
  <c r="AB71" i="32"/>
  <c r="AA71" i="32"/>
  <c r="P71" i="32" s="1"/>
  <c r="Z71" i="32"/>
  <c r="Y71" i="32"/>
  <c r="X71" i="32"/>
  <c r="M71" i="32" s="1"/>
  <c r="W71" i="32"/>
  <c r="V71" i="32"/>
  <c r="K71" i="32" s="1"/>
  <c r="U71" i="32"/>
  <c r="T71" i="32"/>
  <c r="I71" i="32" s="1"/>
  <c r="S71" i="32"/>
  <c r="H71" i="32" s="1"/>
  <c r="R71" i="32"/>
  <c r="Q71" i="32"/>
  <c r="O71" i="32"/>
  <c r="N71" i="32"/>
  <c r="L71" i="32"/>
  <c r="J71" i="32"/>
  <c r="F71" i="32"/>
  <c r="E71" i="32"/>
  <c r="D71" i="32"/>
  <c r="C71" i="32"/>
  <c r="B71" i="32"/>
  <c r="BP70" i="32"/>
  <c r="BI70" i="32"/>
  <c r="BH70" i="32"/>
  <c r="BG70" i="32"/>
  <c r="BF70" i="32"/>
  <c r="BE70" i="32"/>
  <c r="BD70" i="32"/>
  <c r="BC70" i="32"/>
  <c r="BA70" i="32"/>
  <c r="AZ70" i="32"/>
  <c r="BM70" i="32" s="1"/>
  <c r="AY70" i="32"/>
  <c r="AX70" i="32"/>
  <c r="BB70" i="32" s="1"/>
  <c r="AW70" i="32"/>
  <c r="AV70" i="32"/>
  <c r="AU70" i="32"/>
  <c r="AT70" i="32"/>
  <c r="AS70" i="32"/>
  <c r="AR70" i="32"/>
  <c r="AQ70" i="32"/>
  <c r="AP70" i="32"/>
  <c r="AO70" i="32"/>
  <c r="AN70" i="32"/>
  <c r="AM70" i="32"/>
  <c r="AL70" i="32"/>
  <c r="AK70" i="32"/>
  <c r="AJ70" i="32"/>
  <c r="AI70" i="32"/>
  <c r="AH70" i="32"/>
  <c r="AG70" i="32"/>
  <c r="AF70" i="32"/>
  <c r="AE70" i="32"/>
  <c r="AD70" i="32"/>
  <c r="AC70" i="32"/>
  <c r="AB70" i="32"/>
  <c r="AA70" i="32"/>
  <c r="Z70" i="32"/>
  <c r="Y70" i="32"/>
  <c r="N70" i="32" s="1"/>
  <c r="X70" i="32"/>
  <c r="W70" i="32"/>
  <c r="L70" i="32" s="1"/>
  <c r="V70" i="32"/>
  <c r="U70" i="32"/>
  <c r="J70" i="32" s="1"/>
  <c r="T70" i="32"/>
  <c r="I70" i="32" s="1"/>
  <c r="S70" i="32"/>
  <c r="R70" i="32"/>
  <c r="Q70" i="32"/>
  <c r="F70" i="32" s="1"/>
  <c r="P70" i="32"/>
  <c r="O70" i="32"/>
  <c r="M70" i="32"/>
  <c r="K70" i="32"/>
  <c r="H70" i="32"/>
  <c r="G70" i="32"/>
  <c r="E70" i="32"/>
  <c r="D70" i="32"/>
  <c r="C70" i="32"/>
  <c r="B70" i="32"/>
  <c r="BH69" i="32"/>
  <c r="BF69" i="32"/>
  <c r="BE69" i="32"/>
  <c r="BD69" i="32"/>
  <c r="BA69" i="32"/>
  <c r="AX69" i="32"/>
  <c r="BC69" i="32" s="1"/>
  <c r="AW69" i="32"/>
  <c r="AV69" i="32"/>
  <c r="AU69" i="32"/>
  <c r="AT69" i="32"/>
  <c r="AS69" i="32"/>
  <c r="AR69" i="32"/>
  <c r="AQ69" i="32"/>
  <c r="AP69" i="32"/>
  <c r="AO69" i="32"/>
  <c r="AN69" i="32"/>
  <c r="AM69" i="32"/>
  <c r="AL69" i="32"/>
  <c r="AK69" i="32"/>
  <c r="AJ69" i="32"/>
  <c r="AI69" i="32"/>
  <c r="AH69" i="32"/>
  <c r="AG69" i="32"/>
  <c r="AF69" i="32"/>
  <c r="AE69" i="32"/>
  <c r="AD69" i="32"/>
  <c r="AC69" i="32"/>
  <c r="AB69" i="32"/>
  <c r="AA69" i="32"/>
  <c r="Z69" i="32"/>
  <c r="O69" i="32" s="1"/>
  <c r="Y69" i="32"/>
  <c r="X69" i="32"/>
  <c r="M69" i="32" s="1"/>
  <c r="W69" i="32"/>
  <c r="V69" i="32"/>
  <c r="K69" i="32" s="1"/>
  <c r="U69" i="32"/>
  <c r="J69" i="32" s="1"/>
  <c r="T69" i="32"/>
  <c r="S69" i="32"/>
  <c r="R69" i="32"/>
  <c r="G69" i="32" s="1"/>
  <c r="Q69" i="32"/>
  <c r="F69" i="32" s="1"/>
  <c r="P69" i="32"/>
  <c r="N69" i="32"/>
  <c r="L69" i="32"/>
  <c r="H69" i="32"/>
  <c r="E69" i="32"/>
  <c r="D69" i="32"/>
  <c r="C69" i="32"/>
  <c r="B69" i="32"/>
  <c r="BI68" i="32"/>
  <c r="BH68" i="32"/>
  <c r="BG68" i="32"/>
  <c r="BF68" i="32"/>
  <c r="BE68" i="32"/>
  <c r="BC68" i="32"/>
  <c r="BB68" i="32"/>
  <c r="BA68" i="32"/>
  <c r="AY68" i="32"/>
  <c r="AX68" i="32"/>
  <c r="BD68" i="32" s="1"/>
  <c r="AW68" i="32"/>
  <c r="AV68" i="32"/>
  <c r="AU68" i="32"/>
  <c r="AT68" i="32"/>
  <c r="AS68" i="32"/>
  <c r="AR68" i="32"/>
  <c r="AQ68" i="32"/>
  <c r="AP68" i="32"/>
  <c r="AO68" i="32"/>
  <c r="AN68" i="32"/>
  <c r="AM68" i="32"/>
  <c r="AL68" i="32"/>
  <c r="AK68" i="32"/>
  <c r="AJ68" i="32"/>
  <c r="AI68" i="32"/>
  <c r="AH68" i="32"/>
  <c r="AG68" i="32"/>
  <c r="AF68" i="32"/>
  <c r="AE68" i="32"/>
  <c r="AD68" i="32"/>
  <c r="AC68" i="32"/>
  <c r="AB68" i="32"/>
  <c r="AA68" i="32"/>
  <c r="P68" i="32" s="1"/>
  <c r="Z68" i="32"/>
  <c r="Y68" i="32"/>
  <c r="N68" i="32" s="1"/>
  <c r="N67" i="32" s="1"/>
  <c r="X68" i="32"/>
  <c r="W68" i="32"/>
  <c r="L68" i="32" s="1"/>
  <c r="L67" i="32" s="1"/>
  <c r="V68" i="32"/>
  <c r="K68" i="32" s="1"/>
  <c r="K67" i="32" s="1"/>
  <c r="U68" i="32"/>
  <c r="T68" i="32"/>
  <c r="S68" i="32"/>
  <c r="H68" i="32" s="1"/>
  <c r="R68" i="32"/>
  <c r="G68" i="32" s="1"/>
  <c r="Q68" i="32"/>
  <c r="O68" i="32"/>
  <c r="I68" i="32"/>
  <c r="F68" i="32"/>
  <c r="E68" i="32"/>
  <c r="D68" i="32"/>
  <c r="C68" i="32"/>
  <c r="B68" i="32"/>
  <c r="AX67" i="32"/>
  <c r="AW67" i="32"/>
  <c r="AV67" i="32"/>
  <c r="AU67" i="32"/>
  <c r="AT67" i="32"/>
  <c r="AS67" i="32"/>
  <c r="AR67" i="32"/>
  <c r="AQ67" i="32"/>
  <c r="AP67" i="32"/>
  <c r="AO67" i="32"/>
  <c r="AN67" i="32"/>
  <c r="AM67" i="32"/>
  <c r="AL67" i="32"/>
  <c r="AK67" i="32"/>
  <c r="AJ67" i="32"/>
  <c r="AI67" i="32"/>
  <c r="AH67" i="32"/>
  <c r="AG67" i="32"/>
  <c r="AF67" i="32"/>
  <c r="AE67" i="32"/>
  <c r="AD67" i="32"/>
  <c r="AC67" i="32"/>
  <c r="AB67" i="32"/>
  <c r="AA67" i="32"/>
  <c r="Z67" i="32"/>
  <c r="Y67" i="32"/>
  <c r="X67" i="32"/>
  <c r="W67" i="32"/>
  <c r="V67" i="32"/>
  <c r="U67" i="32"/>
  <c r="T67" i="32"/>
  <c r="S67" i="32"/>
  <c r="R67" i="32"/>
  <c r="Q67" i="32"/>
  <c r="D67" i="32"/>
  <c r="C67" i="32"/>
  <c r="B67" i="32"/>
  <c r="BK66" i="32"/>
  <c r="BI66" i="32"/>
  <c r="BH66" i="32"/>
  <c r="BE66" i="32"/>
  <c r="BD66" i="32"/>
  <c r="BA66" i="32"/>
  <c r="AY66" i="32"/>
  <c r="AX66" i="32"/>
  <c r="AW66" i="32"/>
  <c r="AV66" i="32"/>
  <c r="BG66" i="32" s="1"/>
  <c r="AU66" i="32"/>
  <c r="BF66" i="32" s="1"/>
  <c r="AT66" i="32"/>
  <c r="AS66" i="32"/>
  <c r="AR66" i="32"/>
  <c r="BC66" i="32" s="1"/>
  <c r="AQ66" i="32"/>
  <c r="BB66" i="32" s="1"/>
  <c r="BT66" i="32" s="1"/>
  <c r="AP66" i="32"/>
  <c r="AO66" i="32"/>
  <c r="AZ66" i="32" s="1"/>
  <c r="AN66" i="32"/>
  <c r="AM66" i="32"/>
  <c r="AL66" i="32"/>
  <c r="AK66" i="32"/>
  <c r="AJ66" i="32"/>
  <c r="AI66" i="32"/>
  <c r="AH66" i="32"/>
  <c r="AG66" i="32"/>
  <c r="AF66" i="32"/>
  <c r="AE66" i="32"/>
  <c r="AD66" i="32"/>
  <c r="AC66" i="32"/>
  <c r="AB66" i="32"/>
  <c r="AA66" i="32"/>
  <c r="P66" i="32" s="1"/>
  <c r="Z66" i="32"/>
  <c r="Y66" i="32"/>
  <c r="N66" i="32" s="1"/>
  <c r="X66" i="32"/>
  <c r="M66" i="32" s="1"/>
  <c r="W66" i="32"/>
  <c r="V66" i="32"/>
  <c r="U66" i="32"/>
  <c r="J66" i="32" s="1"/>
  <c r="T66" i="32"/>
  <c r="I66" i="32" s="1"/>
  <c r="S66" i="32"/>
  <c r="R66" i="32"/>
  <c r="Q66" i="32"/>
  <c r="F66" i="32" s="1"/>
  <c r="K66" i="32"/>
  <c r="H66" i="32"/>
  <c r="G66" i="32"/>
  <c r="E66" i="32"/>
  <c r="D66" i="32"/>
  <c r="C66" i="32"/>
  <c r="B66" i="32"/>
  <c r="BI65" i="32"/>
  <c r="BH65" i="32"/>
  <c r="AZ65" i="32"/>
  <c r="AX65" i="32"/>
  <c r="BG65" i="32" s="1"/>
  <c r="AW65" i="32"/>
  <c r="AV65" i="32"/>
  <c r="AU65" i="32"/>
  <c r="AT65" i="32"/>
  <c r="AS65" i="32"/>
  <c r="AR65" i="32"/>
  <c r="AQ65" i="32"/>
  <c r="AP65" i="32"/>
  <c r="AO65" i="32"/>
  <c r="AN65" i="32"/>
  <c r="AM65" i="32"/>
  <c r="AL65" i="32"/>
  <c r="AK65" i="32"/>
  <c r="AJ65" i="32"/>
  <c r="AI65" i="32"/>
  <c r="AH65" i="32"/>
  <c r="AG65" i="32"/>
  <c r="AF65" i="32"/>
  <c r="AE65" i="32"/>
  <c r="AD65" i="32"/>
  <c r="AC65" i="32"/>
  <c r="AB65" i="32"/>
  <c r="AA65" i="32"/>
  <c r="Z65" i="32"/>
  <c r="O65" i="32" s="1"/>
  <c r="Y65" i="32"/>
  <c r="N65" i="32" s="1"/>
  <c r="N64" i="32" s="1"/>
  <c r="X65" i="32"/>
  <c r="W65" i="32"/>
  <c r="V65" i="32"/>
  <c r="K65" i="32" s="1"/>
  <c r="K64" i="32" s="1"/>
  <c r="U65" i="32"/>
  <c r="J65" i="32" s="1"/>
  <c r="J64" i="32" s="1"/>
  <c r="T65" i="32"/>
  <c r="S65" i="32"/>
  <c r="R65" i="32"/>
  <c r="G65" i="32" s="1"/>
  <c r="G64" i="32" s="1"/>
  <c r="Q65" i="32"/>
  <c r="P65" i="32"/>
  <c r="L65" i="32"/>
  <c r="I65" i="32"/>
  <c r="H65" i="32"/>
  <c r="H64" i="32" s="1"/>
  <c r="F65" i="32"/>
  <c r="F64" i="32" s="1"/>
  <c r="E65" i="32"/>
  <c r="D65" i="32"/>
  <c r="C65" i="32"/>
  <c r="B65" i="32"/>
  <c r="AX64" i="32"/>
  <c r="AW64" i="32"/>
  <c r="AV64" i="32"/>
  <c r="AU64" i="32"/>
  <c r="AT64" i="32"/>
  <c r="AS64" i="32"/>
  <c r="AR64" i="32"/>
  <c r="AQ64" i="32"/>
  <c r="AP64" i="32"/>
  <c r="AO64" i="32"/>
  <c r="AN64" i="32"/>
  <c r="AM64" i="32"/>
  <c r="AL64" i="32"/>
  <c r="AK64" i="32"/>
  <c r="AJ64" i="32"/>
  <c r="AI64" i="32"/>
  <c r="AH64" i="32"/>
  <c r="AG64" i="32"/>
  <c r="AF64" i="32"/>
  <c r="AE64" i="32"/>
  <c r="AD64" i="32"/>
  <c r="AC64" i="32"/>
  <c r="AB64" i="32"/>
  <c r="AA64" i="32"/>
  <c r="Z64" i="32"/>
  <c r="Y64" i="32"/>
  <c r="X64" i="32"/>
  <c r="W64" i="32"/>
  <c r="V64" i="32"/>
  <c r="U64" i="32"/>
  <c r="T64" i="32"/>
  <c r="S64" i="32"/>
  <c r="R64" i="32"/>
  <c r="Q64" i="32"/>
  <c r="E64" i="32"/>
  <c r="D64" i="32"/>
  <c r="C64" i="32"/>
  <c r="B64" i="32"/>
  <c r="BK63" i="32"/>
  <c r="BB63" i="32"/>
  <c r="AY63" i="32"/>
  <c r="AX63" i="32"/>
  <c r="BJ63" i="32" s="1"/>
  <c r="AW63" i="32"/>
  <c r="AV63" i="32"/>
  <c r="AU63" i="32"/>
  <c r="AT63" i="32"/>
  <c r="AS63" i="32"/>
  <c r="AR63" i="32"/>
  <c r="AQ63" i="32"/>
  <c r="AP63" i="32"/>
  <c r="AO63" i="32"/>
  <c r="AN63" i="32"/>
  <c r="AM63" i="32"/>
  <c r="AL63" i="32"/>
  <c r="AK63" i="32"/>
  <c r="AJ63" i="32"/>
  <c r="AI63" i="32"/>
  <c r="AH63" i="32"/>
  <c r="AG63" i="32"/>
  <c r="AF63" i="32"/>
  <c r="AE63" i="32"/>
  <c r="AD63" i="32"/>
  <c r="AC63" i="32"/>
  <c r="AB63" i="32"/>
  <c r="AA63" i="32"/>
  <c r="P63" i="32" s="1"/>
  <c r="Z63" i="32"/>
  <c r="Y63" i="32"/>
  <c r="X63" i="32"/>
  <c r="M63" i="32" s="1"/>
  <c r="W63" i="32"/>
  <c r="L63" i="32" s="1"/>
  <c r="V63" i="32"/>
  <c r="U63" i="32"/>
  <c r="T63" i="32"/>
  <c r="I63" i="32" s="1"/>
  <c r="S63" i="32"/>
  <c r="R63" i="32"/>
  <c r="G63" i="32" s="1"/>
  <c r="Q63" i="32"/>
  <c r="O63" i="32"/>
  <c r="N63" i="32"/>
  <c r="K63" i="32"/>
  <c r="J63" i="32"/>
  <c r="H63" i="32"/>
  <c r="E63" i="32"/>
  <c r="D63" i="32"/>
  <c r="C63" i="32"/>
  <c r="B63" i="32"/>
  <c r="AX62" i="32"/>
  <c r="AW62" i="32"/>
  <c r="AV62" i="32"/>
  <c r="AU62" i="32"/>
  <c r="AT62" i="32"/>
  <c r="AS62" i="32"/>
  <c r="AR62" i="32"/>
  <c r="AQ62" i="32"/>
  <c r="AP62" i="32"/>
  <c r="AO62" i="32"/>
  <c r="AN62" i="32"/>
  <c r="AM62" i="32"/>
  <c r="AL62" i="32"/>
  <c r="AK62" i="32"/>
  <c r="AJ62" i="32"/>
  <c r="AI62" i="32"/>
  <c r="AH62" i="32"/>
  <c r="AG62" i="32"/>
  <c r="AF62" i="32"/>
  <c r="AE62" i="32"/>
  <c r="AD62" i="32"/>
  <c r="AC62" i="32"/>
  <c r="AB62" i="32"/>
  <c r="AA62" i="32"/>
  <c r="Z62" i="32"/>
  <c r="Y62" i="32"/>
  <c r="X62" i="32"/>
  <c r="W62" i="32"/>
  <c r="V62" i="32"/>
  <c r="U62" i="32"/>
  <c r="T62" i="32"/>
  <c r="S62" i="32"/>
  <c r="R62" i="32"/>
  <c r="Q62" i="32"/>
  <c r="D62" i="32"/>
  <c r="C62" i="32"/>
  <c r="B62" i="32"/>
  <c r="BI61" i="32"/>
  <c r="BF61" i="32"/>
  <c r="BD61" i="32"/>
  <c r="BC61" i="32"/>
  <c r="BB61" i="32"/>
  <c r="BA61" i="32"/>
  <c r="AZ61" i="32"/>
  <c r="AX61" i="32"/>
  <c r="AY61" i="32" s="1"/>
  <c r="AW61" i="32"/>
  <c r="AV61" i="32"/>
  <c r="AU61" i="32"/>
  <c r="AT61" i="32"/>
  <c r="AS61" i="32"/>
  <c r="AR61" i="32"/>
  <c r="AQ61" i="32"/>
  <c r="AP61" i="32"/>
  <c r="AO61" i="32"/>
  <c r="AN61" i="32"/>
  <c r="AM61" i="32"/>
  <c r="AL61" i="32"/>
  <c r="AK61" i="32"/>
  <c r="AJ61" i="32"/>
  <c r="AI61" i="32"/>
  <c r="AH61" i="32"/>
  <c r="AG61" i="32"/>
  <c r="AF61" i="32"/>
  <c r="AE61" i="32"/>
  <c r="AD61" i="32"/>
  <c r="AC61" i="32"/>
  <c r="AB61" i="32"/>
  <c r="AA61" i="32"/>
  <c r="Z61" i="32"/>
  <c r="O61" i="32" s="1"/>
  <c r="Y61" i="32"/>
  <c r="N61" i="32" s="1"/>
  <c r="X61" i="32"/>
  <c r="W61" i="32"/>
  <c r="V61" i="32"/>
  <c r="K61" i="32" s="1"/>
  <c r="U61" i="32"/>
  <c r="T61" i="32"/>
  <c r="I61" i="32" s="1"/>
  <c r="S61" i="32"/>
  <c r="R61" i="32"/>
  <c r="G61" i="32" s="1"/>
  <c r="Q61" i="32"/>
  <c r="F61" i="32" s="1"/>
  <c r="P61" i="32"/>
  <c r="M61" i="32"/>
  <c r="L61" i="32"/>
  <c r="J61" i="32"/>
  <c r="D61" i="32"/>
  <c r="C61" i="32"/>
  <c r="B61" i="32"/>
  <c r="BE60" i="32"/>
  <c r="BC60" i="32"/>
  <c r="BB60" i="32"/>
  <c r="BB59" i="32" s="1"/>
  <c r="BA60" i="32"/>
  <c r="BA59" i="32" s="1"/>
  <c r="AX60" i="32"/>
  <c r="AZ60" i="32" s="1"/>
  <c r="AZ59" i="32" s="1"/>
  <c r="AW60" i="32"/>
  <c r="AV60" i="32"/>
  <c r="AU60" i="32"/>
  <c r="AT60" i="32"/>
  <c r="AS60" i="32"/>
  <c r="AR60" i="32"/>
  <c r="AQ60" i="32"/>
  <c r="AP60" i="32"/>
  <c r="AO60" i="32"/>
  <c r="AN60" i="32"/>
  <c r="AM60" i="32"/>
  <c r="AL60" i="32"/>
  <c r="AK60" i="32"/>
  <c r="AJ60" i="32"/>
  <c r="AI60" i="32"/>
  <c r="AH60" i="32"/>
  <c r="AG60" i="32"/>
  <c r="AF60" i="32"/>
  <c r="AE60" i="32"/>
  <c r="AD60" i="32"/>
  <c r="AC60" i="32"/>
  <c r="AB60" i="32"/>
  <c r="AA60" i="32"/>
  <c r="P60" i="32" s="1"/>
  <c r="P59" i="32" s="1"/>
  <c r="Z60" i="32"/>
  <c r="O60" i="32" s="1"/>
  <c r="O59" i="32" s="1"/>
  <c r="Y60" i="32"/>
  <c r="X60" i="32"/>
  <c r="W60" i="32"/>
  <c r="L60" i="32" s="1"/>
  <c r="L59" i="32" s="1"/>
  <c r="V60" i="32"/>
  <c r="U60" i="32"/>
  <c r="J60" i="32" s="1"/>
  <c r="T60" i="32"/>
  <c r="S60" i="32"/>
  <c r="H60" i="32" s="1"/>
  <c r="R60" i="32"/>
  <c r="G60" i="32" s="1"/>
  <c r="G59" i="32" s="1"/>
  <c r="Q60" i="32"/>
  <c r="N60" i="32"/>
  <c r="M60" i="32"/>
  <c r="M59" i="32" s="1"/>
  <c r="K60" i="32"/>
  <c r="K59" i="32" s="1"/>
  <c r="E60" i="32"/>
  <c r="D60" i="32"/>
  <c r="C60" i="32"/>
  <c r="B60" i="32"/>
  <c r="BC59" i="32"/>
  <c r="AX59" i="32"/>
  <c r="AW59" i="32"/>
  <c r="AV59" i="32"/>
  <c r="AU59" i="32"/>
  <c r="AT59" i="32"/>
  <c r="AS59" i="32"/>
  <c r="AR59" i="32"/>
  <c r="AQ59" i="32"/>
  <c r="AP59" i="32"/>
  <c r="AO59" i="32"/>
  <c r="AN59" i="32"/>
  <c r="AM59" i="32"/>
  <c r="AL59" i="32"/>
  <c r="AK59" i="32"/>
  <c r="AJ59" i="32"/>
  <c r="AI59" i="32"/>
  <c r="AH59" i="32"/>
  <c r="AG59" i="32"/>
  <c r="AF59" i="32"/>
  <c r="AE59" i="32"/>
  <c r="AD59" i="32"/>
  <c r="AC59" i="32"/>
  <c r="AB59" i="32"/>
  <c r="AA59" i="32"/>
  <c r="Z59" i="32"/>
  <c r="Y59" i="32"/>
  <c r="X59" i="32"/>
  <c r="W59" i="32"/>
  <c r="V59" i="32"/>
  <c r="U59" i="32"/>
  <c r="T59" i="32"/>
  <c r="S59" i="32"/>
  <c r="R59" i="32"/>
  <c r="Q59" i="32"/>
  <c r="J59" i="32"/>
  <c r="D59" i="32"/>
  <c r="C59" i="32"/>
  <c r="B59" i="32"/>
  <c r="BI58" i="32"/>
  <c r="BH58" i="32"/>
  <c r="BG58" i="32"/>
  <c r="BF58" i="32"/>
  <c r="BE58" i="32"/>
  <c r="BD58" i="32"/>
  <c r="BP58" i="32" s="1"/>
  <c r="BC58" i="32"/>
  <c r="BA58" i="32"/>
  <c r="AZ58" i="32"/>
  <c r="BL58" i="32" s="1"/>
  <c r="AY58" i="32"/>
  <c r="AX58" i="32"/>
  <c r="BB58" i="32" s="1"/>
  <c r="AW58" i="32"/>
  <c r="AV58" i="32"/>
  <c r="AU58" i="32"/>
  <c r="AT58" i="32"/>
  <c r="AS58" i="32"/>
  <c r="AR58" i="32"/>
  <c r="AQ58" i="32"/>
  <c r="AP58" i="32"/>
  <c r="AO58" i="32"/>
  <c r="AN58" i="32"/>
  <c r="AM58" i="32"/>
  <c r="AL58" i="32"/>
  <c r="AK58" i="32"/>
  <c r="AJ58" i="32"/>
  <c r="AI58" i="32"/>
  <c r="AH58" i="32"/>
  <c r="AG58" i="32"/>
  <c r="AF58" i="32"/>
  <c r="AE58" i="32"/>
  <c r="AD58" i="32"/>
  <c r="AC58" i="32"/>
  <c r="AB58" i="32"/>
  <c r="AA58" i="32"/>
  <c r="Z58" i="32"/>
  <c r="Y58" i="32"/>
  <c r="N58" i="32" s="1"/>
  <c r="X58" i="32"/>
  <c r="W58" i="32"/>
  <c r="L58" i="32" s="1"/>
  <c r="V58" i="32"/>
  <c r="U58" i="32"/>
  <c r="J58" i="32" s="1"/>
  <c r="T58" i="32"/>
  <c r="I58" i="32" s="1"/>
  <c r="S58" i="32"/>
  <c r="R58" i="32"/>
  <c r="Q58" i="32"/>
  <c r="F58" i="32" s="1"/>
  <c r="P58" i="32"/>
  <c r="O58" i="32"/>
  <c r="M58" i="32"/>
  <c r="G58" i="32"/>
  <c r="E58" i="32"/>
  <c r="D58" i="32"/>
  <c r="C58" i="32"/>
  <c r="B58" i="32"/>
  <c r="BH57" i="32"/>
  <c r="BF57" i="32"/>
  <c r="BE57" i="32"/>
  <c r="BD57" i="32"/>
  <c r="AX57" i="32"/>
  <c r="BC57" i="32" s="1"/>
  <c r="AW57" i="32"/>
  <c r="AV57" i="32"/>
  <c r="AU57" i="32"/>
  <c r="AT57" i="32"/>
  <c r="AS57" i="32"/>
  <c r="AR57" i="32"/>
  <c r="AQ57" i="32"/>
  <c r="AP57" i="32"/>
  <c r="AO57" i="32"/>
  <c r="AN57" i="32"/>
  <c r="AM57" i="32"/>
  <c r="AL57" i="32"/>
  <c r="AK57" i="32"/>
  <c r="AJ57" i="32"/>
  <c r="AI57" i="32"/>
  <c r="AH57" i="32"/>
  <c r="AG57" i="32"/>
  <c r="AF57" i="32"/>
  <c r="AE57" i="32"/>
  <c r="AD57" i="32"/>
  <c r="AC57" i="32"/>
  <c r="AB57" i="32"/>
  <c r="AA57" i="32"/>
  <c r="Z57" i="32"/>
  <c r="O57" i="32" s="1"/>
  <c r="Y57" i="32"/>
  <c r="X57" i="32"/>
  <c r="M57" i="32" s="1"/>
  <c r="W57" i="32"/>
  <c r="V57" i="32"/>
  <c r="U57" i="32"/>
  <c r="J57" i="32" s="1"/>
  <c r="T57" i="32"/>
  <c r="S57" i="32"/>
  <c r="R57" i="32"/>
  <c r="G57" i="32" s="1"/>
  <c r="Q57" i="32"/>
  <c r="F57" i="32" s="1"/>
  <c r="P57" i="32"/>
  <c r="N57" i="32"/>
  <c r="K57" i="32"/>
  <c r="H57" i="32"/>
  <c r="E57" i="32"/>
  <c r="D57" i="32"/>
  <c r="C57" i="32"/>
  <c r="B57" i="32"/>
  <c r="BI56" i="32"/>
  <c r="BH56" i="32"/>
  <c r="BG56" i="32"/>
  <c r="BF56" i="32"/>
  <c r="BE56" i="32"/>
  <c r="BC56" i="32"/>
  <c r="BB56" i="32"/>
  <c r="BA56" i="32"/>
  <c r="AY56" i="32"/>
  <c r="AX56" i="32"/>
  <c r="BD56" i="32" s="1"/>
  <c r="AW56" i="32"/>
  <c r="AV56" i="32"/>
  <c r="AU56" i="32"/>
  <c r="AT56" i="32"/>
  <c r="AS56" i="32"/>
  <c r="AR56" i="32"/>
  <c r="AQ56" i="32"/>
  <c r="AP56" i="32"/>
  <c r="AO56" i="32"/>
  <c r="AN56" i="32"/>
  <c r="AM56" i="32"/>
  <c r="AL56" i="32"/>
  <c r="AK56" i="32"/>
  <c r="AJ56" i="32"/>
  <c r="AI56" i="32"/>
  <c r="AH56" i="32"/>
  <c r="AG56" i="32"/>
  <c r="AF56" i="32"/>
  <c r="AE56" i="32"/>
  <c r="AD56" i="32"/>
  <c r="AC56" i="32"/>
  <c r="AB56" i="32"/>
  <c r="AA56" i="32"/>
  <c r="P56" i="32" s="1"/>
  <c r="Z56" i="32"/>
  <c r="Y56" i="32"/>
  <c r="X56" i="32"/>
  <c r="W56" i="32"/>
  <c r="V56" i="32"/>
  <c r="K56" i="32" s="1"/>
  <c r="U56" i="32"/>
  <c r="T56" i="32"/>
  <c r="S56" i="32"/>
  <c r="H56" i="32" s="1"/>
  <c r="R56" i="32"/>
  <c r="G56" i="32" s="1"/>
  <c r="Q56" i="32"/>
  <c r="O56" i="32"/>
  <c r="L56" i="32"/>
  <c r="J56" i="32"/>
  <c r="I56" i="32"/>
  <c r="F56" i="32"/>
  <c r="E56" i="32"/>
  <c r="D56" i="32"/>
  <c r="C56" i="32"/>
  <c r="B56" i="32"/>
  <c r="AX55" i="32"/>
  <c r="AW55" i="32"/>
  <c r="AV55" i="32"/>
  <c r="AU55" i="32"/>
  <c r="AT55" i="32"/>
  <c r="AS55" i="32"/>
  <c r="AR55" i="32"/>
  <c r="AQ55" i="32"/>
  <c r="AP55" i="32"/>
  <c r="AO55" i="32"/>
  <c r="AN55" i="32"/>
  <c r="AM55" i="32"/>
  <c r="AL55" i="32"/>
  <c r="AK55" i="32"/>
  <c r="AJ55" i="32"/>
  <c r="AI55" i="32"/>
  <c r="AH55" i="32"/>
  <c r="AG55" i="32"/>
  <c r="AF55" i="32"/>
  <c r="AE55" i="32"/>
  <c r="AD55" i="32"/>
  <c r="AC55" i="32"/>
  <c r="AB55" i="32"/>
  <c r="AA55" i="32"/>
  <c r="Z55" i="32"/>
  <c r="Y55" i="32"/>
  <c r="X55" i="32"/>
  <c r="W55" i="32"/>
  <c r="L55" i="32" s="1"/>
  <c r="V55" i="32"/>
  <c r="U55" i="32"/>
  <c r="T55" i="32"/>
  <c r="I55" i="32" s="1"/>
  <c r="S55" i="32"/>
  <c r="H55" i="32" s="1"/>
  <c r="R55" i="32"/>
  <c r="Q55" i="32"/>
  <c r="P55" i="32"/>
  <c r="M55" i="32"/>
  <c r="K55" i="32"/>
  <c r="J55" i="32"/>
  <c r="G55" i="32"/>
  <c r="F55" i="32"/>
  <c r="E55" i="32"/>
  <c r="D55" i="32"/>
  <c r="C55" i="32"/>
  <c r="B55" i="32"/>
  <c r="BK54" i="32"/>
  <c r="BH54" i="32"/>
  <c r="BG54" i="32"/>
  <c r="AY54" i="32"/>
  <c r="AX54" i="32"/>
  <c r="BF54" i="32" s="1"/>
  <c r="AW54" i="32"/>
  <c r="AV54" i="32"/>
  <c r="AU54" i="32"/>
  <c r="AT54" i="32"/>
  <c r="AS54" i="32"/>
  <c r="AR54" i="32"/>
  <c r="AQ54" i="32"/>
  <c r="AP54" i="32"/>
  <c r="AO54" i="32"/>
  <c r="AN54" i="32"/>
  <c r="AM54" i="32"/>
  <c r="AL54" i="32"/>
  <c r="AK54" i="32"/>
  <c r="AJ54" i="32"/>
  <c r="AI54" i="32"/>
  <c r="AH54" i="32"/>
  <c r="AG54" i="32"/>
  <c r="AF54" i="32"/>
  <c r="AE54" i="32"/>
  <c r="AD54" i="32"/>
  <c r="AC54" i="32"/>
  <c r="AB54" i="32"/>
  <c r="AA54" i="32"/>
  <c r="P54" i="32" s="1"/>
  <c r="Z54" i="32"/>
  <c r="Y54" i="32"/>
  <c r="X54" i="32"/>
  <c r="M54" i="32" s="1"/>
  <c r="W54" i="32"/>
  <c r="K54" i="32" s="1"/>
  <c r="V54" i="32"/>
  <c r="U54" i="32"/>
  <c r="J54" i="32" s="1"/>
  <c r="T54" i="32"/>
  <c r="I54" i="32" s="1"/>
  <c r="S54" i="32"/>
  <c r="R54" i="32"/>
  <c r="Q54" i="32"/>
  <c r="O54" i="32"/>
  <c r="N54" i="32"/>
  <c r="H54" i="32"/>
  <c r="G54" i="32"/>
  <c r="D54" i="32"/>
  <c r="C54" i="32"/>
  <c r="B54" i="32"/>
  <c r="BI53" i="32"/>
  <c r="BH53" i="32"/>
  <c r="BE53" i="32"/>
  <c r="BB53" i="32"/>
  <c r="AZ53" i="32"/>
  <c r="AY53" i="32"/>
  <c r="AX53" i="32"/>
  <c r="BG53" i="32" s="1"/>
  <c r="AW53" i="32"/>
  <c r="AV53" i="32"/>
  <c r="AU53" i="32"/>
  <c r="AT53" i="32"/>
  <c r="AS53" i="32"/>
  <c r="AR53" i="32"/>
  <c r="AQ53" i="32"/>
  <c r="AP53" i="32"/>
  <c r="AO53" i="32"/>
  <c r="AN53" i="32"/>
  <c r="AM53" i="32"/>
  <c r="AL53" i="32"/>
  <c r="AK53" i="32"/>
  <c r="AJ53" i="32"/>
  <c r="AI53" i="32"/>
  <c r="AH53" i="32"/>
  <c r="AG53" i="32"/>
  <c r="AF53" i="32"/>
  <c r="AE53" i="32"/>
  <c r="AD53" i="32"/>
  <c r="AC53" i="32"/>
  <c r="AB53" i="32"/>
  <c r="AA53" i="32"/>
  <c r="P53" i="32" s="1"/>
  <c r="Z53" i="32"/>
  <c r="Y53" i="32"/>
  <c r="N53" i="32" s="1"/>
  <c r="X53" i="32"/>
  <c r="W53" i="32"/>
  <c r="V53" i="32"/>
  <c r="K53" i="32" s="1"/>
  <c r="U53" i="32"/>
  <c r="J53" i="32" s="1"/>
  <c r="T53" i="32"/>
  <c r="S53" i="32"/>
  <c r="R53" i="32"/>
  <c r="G53" i="32" s="1"/>
  <c r="Q53" i="32"/>
  <c r="O53" i="32"/>
  <c r="I53" i="32"/>
  <c r="H53" i="32"/>
  <c r="E53" i="32"/>
  <c r="D53" i="32"/>
  <c r="C53" i="32"/>
  <c r="B53" i="32"/>
  <c r="AX52" i="32"/>
  <c r="AW52" i="32"/>
  <c r="AV52" i="32"/>
  <c r="AU52" i="32"/>
  <c r="AT52" i="32"/>
  <c r="AS52" i="32"/>
  <c r="AR52" i="32"/>
  <c r="AQ52" i="32"/>
  <c r="AP52" i="32"/>
  <c r="AO52" i="32"/>
  <c r="AN52" i="32"/>
  <c r="AM52" i="32"/>
  <c r="AL52" i="32"/>
  <c r="AK52" i="32"/>
  <c r="AJ52" i="32"/>
  <c r="AI52" i="32"/>
  <c r="AH52" i="32"/>
  <c r="AG52" i="32"/>
  <c r="AF52" i="32"/>
  <c r="AE52" i="32"/>
  <c r="AD52" i="32"/>
  <c r="AC52" i="32"/>
  <c r="AB52" i="32"/>
  <c r="AA52" i="32"/>
  <c r="P52" i="32" s="1"/>
  <c r="Z52" i="32"/>
  <c r="O52" i="32" s="1"/>
  <c r="Y52" i="32"/>
  <c r="X52" i="32"/>
  <c r="W52" i="32"/>
  <c r="L52" i="32" s="1"/>
  <c r="V52" i="32"/>
  <c r="U52" i="32"/>
  <c r="T52" i="32"/>
  <c r="S52" i="32"/>
  <c r="H52" i="32" s="1"/>
  <c r="R52" i="32"/>
  <c r="Q52" i="32"/>
  <c r="F52" i="32" s="1"/>
  <c r="N52" i="32"/>
  <c r="M52" i="32"/>
  <c r="I52" i="32"/>
  <c r="G52" i="32"/>
  <c r="D52" i="32"/>
  <c r="C52" i="32"/>
  <c r="B52" i="32"/>
  <c r="BJ51" i="32"/>
  <c r="AX51" i="32"/>
  <c r="AW51" i="32"/>
  <c r="AV51" i="32"/>
  <c r="AU51" i="32"/>
  <c r="AT51" i="32"/>
  <c r="AS51" i="32"/>
  <c r="AR51" i="32"/>
  <c r="AQ51" i="32"/>
  <c r="AP51" i="32"/>
  <c r="AO51" i="32"/>
  <c r="AN51" i="32"/>
  <c r="AM51" i="32"/>
  <c r="AL51" i="32"/>
  <c r="AK51" i="32"/>
  <c r="AJ51" i="32"/>
  <c r="AI51" i="32"/>
  <c r="AH51" i="32"/>
  <c r="AG51" i="32"/>
  <c r="AF51" i="32"/>
  <c r="AE51" i="32"/>
  <c r="AD51" i="32"/>
  <c r="AC51" i="32"/>
  <c r="AB51" i="32"/>
  <c r="AA51" i="32"/>
  <c r="Z51" i="32"/>
  <c r="O51" i="32" s="1"/>
  <c r="Y51" i="32"/>
  <c r="X51" i="32"/>
  <c r="M51" i="32" s="1"/>
  <c r="W51" i="32"/>
  <c r="L51" i="32" s="1"/>
  <c r="V51" i="32"/>
  <c r="U51" i="32"/>
  <c r="T51" i="32"/>
  <c r="I51" i="32" s="1"/>
  <c r="S51" i="32"/>
  <c r="R51" i="32"/>
  <c r="G51" i="32" s="1"/>
  <c r="Q51" i="32"/>
  <c r="P51" i="32"/>
  <c r="N51" i="32"/>
  <c r="H51" i="32"/>
  <c r="F51" i="32"/>
  <c r="E51" i="32"/>
  <c r="D51" i="32"/>
  <c r="C51" i="32"/>
  <c r="B51" i="32"/>
  <c r="BL50" i="32"/>
  <c r="BK50" i="32"/>
  <c r="BI50" i="32"/>
  <c r="BH50" i="32"/>
  <c r="BG50" i="32"/>
  <c r="BE50" i="32"/>
  <c r="BD50" i="32"/>
  <c r="BC50" i="32"/>
  <c r="BB50" i="32"/>
  <c r="BA50" i="32"/>
  <c r="BO50" i="32" s="1"/>
  <c r="AZ50" i="32"/>
  <c r="AY50" i="32"/>
  <c r="AX50" i="32"/>
  <c r="BJ50" i="32" s="1"/>
  <c r="AW50" i="32"/>
  <c r="AV50" i="32"/>
  <c r="AU50" i="32"/>
  <c r="AT50" i="32"/>
  <c r="AS50" i="32"/>
  <c r="AR50" i="32"/>
  <c r="AQ50" i="32"/>
  <c r="AP50" i="32"/>
  <c r="AO50" i="32"/>
  <c r="AN50" i="32"/>
  <c r="AM50" i="32"/>
  <c r="AL50" i="32"/>
  <c r="AK50" i="32"/>
  <c r="AJ50" i="32"/>
  <c r="AI50" i="32"/>
  <c r="AH50" i="32"/>
  <c r="AG50" i="32"/>
  <c r="AF50" i="32"/>
  <c r="AE50" i="32"/>
  <c r="AD50" i="32"/>
  <c r="AC50" i="32"/>
  <c r="AB50" i="32"/>
  <c r="AA50" i="32"/>
  <c r="Z50" i="32"/>
  <c r="Y50" i="32"/>
  <c r="N50" i="32" s="1"/>
  <c r="X50" i="32"/>
  <c r="W50" i="32"/>
  <c r="V50" i="32"/>
  <c r="U50" i="32"/>
  <c r="J50" i="32" s="1"/>
  <c r="T50" i="32"/>
  <c r="S50" i="32"/>
  <c r="H50" i="32" s="1"/>
  <c r="R50" i="32"/>
  <c r="F50" i="32" s="1"/>
  <c r="Q50" i="32"/>
  <c r="E50" i="32" s="1"/>
  <c r="P50" i="32"/>
  <c r="O50" i="32"/>
  <c r="M50" i="32"/>
  <c r="L50" i="32"/>
  <c r="K50" i="32"/>
  <c r="D50" i="32"/>
  <c r="C50" i="32"/>
  <c r="B50" i="32"/>
  <c r="BJ49" i="32"/>
  <c r="BI49" i="32"/>
  <c r="BH49" i="32"/>
  <c r="BF49" i="32"/>
  <c r="BD49" i="32"/>
  <c r="BC49" i="32"/>
  <c r="BB49" i="32"/>
  <c r="AX49" i="32"/>
  <c r="AW49" i="32"/>
  <c r="AV49" i="32"/>
  <c r="AU49" i="32"/>
  <c r="AT49" i="32"/>
  <c r="AS49" i="32"/>
  <c r="AR49" i="32"/>
  <c r="AQ49" i="32"/>
  <c r="AP49" i="32"/>
  <c r="AO49" i="32"/>
  <c r="AN49" i="32"/>
  <c r="AM49" i="32"/>
  <c r="AL49" i="32"/>
  <c r="AK49" i="32"/>
  <c r="AJ49" i="32"/>
  <c r="AI49" i="32"/>
  <c r="AH49" i="32"/>
  <c r="AG49" i="32"/>
  <c r="AF49" i="32"/>
  <c r="AE49" i="32"/>
  <c r="AD49" i="32"/>
  <c r="AC49" i="32"/>
  <c r="AB49" i="32"/>
  <c r="AA49" i="32"/>
  <c r="Z49" i="32"/>
  <c r="O49" i="32" s="1"/>
  <c r="Y49" i="32"/>
  <c r="X49" i="32"/>
  <c r="M49" i="32" s="1"/>
  <c r="W49" i="32"/>
  <c r="V49" i="32"/>
  <c r="K49" i="32" s="1"/>
  <c r="U49" i="32"/>
  <c r="T49" i="32"/>
  <c r="I49" i="32" s="1"/>
  <c r="S49" i="32"/>
  <c r="R49" i="32"/>
  <c r="Q49" i="32"/>
  <c r="E49" i="32" s="1"/>
  <c r="P49" i="32"/>
  <c r="D49" i="32"/>
  <c r="C49" i="32"/>
  <c r="B49" i="32"/>
  <c r="BI48" i="32"/>
  <c r="BG48" i="32"/>
  <c r="AX48" i="32"/>
  <c r="BJ48" i="32" s="1"/>
  <c r="AW48" i="32"/>
  <c r="AV48" i="32"/>
  <c r="AU48" i="32"/>
  <c r="AT48" i="32"/>
  <c r="AS48" i="32"/>
  <c r="AR48" i="32"/>
  <c r="AQ48" i="32"/>
  <c r="AP48" i="32"/>
  <c r="AO48" i="32"/>
  <c r="AN48" i="32"/>
  <c r="AM48" i="32"/>
  <c r="AL48" i="32"/>
  <c r="AK48" i="32"/>
  <c r="AJ48" i="32"/>
  <c r="AI48" i="32"/>
  <c r="AH48" i="32"/>
  <c r="AG48" i="32"/>
  <c r="AF48" i="32"/>
  <c r="AE48" i="32"/>
  <c r="AD48" i="32"/>
  <c r="AC48" i="32"/>
  <c r="AB48" i="32"/>
  <c r="AA48" i="32"/>
  <c r="P48" i="32" s="1"/>
  <c r="Z48" i="32"/>
  <c r="O48" i="32" s="1"/>
  <c r="Y48" i="32"/>
  <c r="M48" i="32" s="1"/>
  <c r="X48" i="32"/>
  <c r="W48" i="32"/>
  <c r="L48" i="32" s="1"/>
  <c r="V48" i="32"/>
  <c r="U48" i="32"/>
  <c r="T48" i="32"/>
  <c r="S48" i="32"/>
  <c r="R48" i="32"/>
  <c r="Q48" i="32"/>
  <c r="E48" i="32" s="1"/>
  <c r="K48" i="32"/>
  <c r="H48" i="32"/>
  <c r="G48" i="32"/>
  <c r="F48" i="32"/>
  <c r="D48" i="32"/>
  <c r="C48" i="32"/>
  <c r="B48" i="32"/>
  <c r="AX47" i="32"/>
  <c r="AW47" i="32"/>
  <c r="AV47" i="32"/>
  <c r="AU47" i="32"/>
  <c r="AT47" i="32"/>
  <c r="AS47" i="32"/>
  <c r="AR47" i="32"/>
  <c r="AQ47" i="32"/>
  <c r="AP47" i="32"/>
  <c r="AO47" i="32"/>
  <c r="AN47" i="32"/>
  <c r="AM47" i="32"/>
  <c r="AL47" i="32"/>
  <c r="AK47" i="32"/>
  <c r="AJ47" i="32"/>
  <c r="AI47" i="32"/>
  <c r="AH47" i="32"/>
  <c r="AG47" i="32"/>
  <c r="AF47" i="32"/>
  <c r="AE47" i="32"/>
  <c r="AD47" i="32"/>
  <c r="AC47" i="32"/>
  <c r="AB47" i="32"/>
  <c r="AA47" i="32"/>
  <c r="P47" i="32" s="1"/>
  <c r="Z47" i="32"/>
  <c r="O47" i="32" s="1"/>
  <c r="Y47" i="32"/>
  <c r="X47" i="32"/>
  <c r="M47" i="32" s="1"/>
  <c r="W47" i="32"/>
  <c r="V47" i="32"/>
  <c r="K47" i="32" s="1"/>
  <c r="U47" i="32"/>
  <c r="I47" i="32" s="1"/>
  <c r="T47" i="32"/>
  <c r="H47" i="32" s="1"/>
  <c r="S47" i="32"/>
  <c r="G47" i="32" s="1"/>
  <c r="R47" i="32"/>
  <c r="F47" i="32" s="1"/>
  <c r="Q47" i="32"/>
  <c r="N47" i="32"/>
  <c r="L47" i="32"/>
  <c r="E47" i="32"/>
  <c r="D47" i="32"/>
  <c r="C47" i="32"/>
  <c r="B47" i="32"/>
  <c r="BL46" i="32"/>
  <c r="BK46" i="32"/>
  <c r="BI46" i="32"/>
  <c r="BH46" i="32"/>
  <c r="BG46" i="32"/>
  <c r="BF46" i="32"/>
  <c r="BE46" i="32"/>
  <c r="BD46" i="32"/>
  <c r="BC46" i="32"/>
  <c r="BA46" i="32"/>
  <c r="AZ46" i="32"/>
  <c r="BO46" i="32" s="1"/>
  <c r="AY46" i="32"/>
  <c r="AX46" i="32"/>
  <c r="BB46" i="32" s="1"/>
  <c r="AW46" i="32"/>
  <c r="AV46" i="32"/>
  <c r="AU46" i="32"/>
  <c r="AT46" i="32"/>
  <c r="AS46" i="32"/>
  <c r="AR46" i="32"/>
  <c r="AQ46" i="32"/>
  <c r="AP46" i="32"/>
  <c r="AO46" i="32"/>
  <c r="AN46" i="32"/>
  <c r="AM46" i="32"/>
  <c r="AL46" i="32"/>
  <c r="AK46" i="32"/>
  <c r="AJ46" i="32"/>
  <c r="AI46" i="32"/>
  <c r="AH46" i="32"/>
  <c r="AG46" i="32"/>
  <c r="AF46" i="32"/>
  <c r="AE46" i="32"/>
  <c r="AD46" i="32"/>
  <c r="AC46" i="32"/>
  <c r="AB46" i="32"/>
  <c r="AA46" i="32"/>
  <c r="Z46" i="32"/>
  <c r="Y46" i="32"/>
  <c r="N46" i="32" s="1"/>
  <c r="X46" i="32"/>
  <c r="W46" i="32"/>
  <c r="L46" i="32" s="1"/>
  <c r="V46" i="32"/>
  <c r="J46" i="32" s="1"/>
  <c r="U46" i="32"/>
  <c r="T46" i="32"/>
  <c r="S46" i="32"/>
  <c r="G46" i="32" s="1"/>
  <c r="R46" i="32"/>
  <c r="Q46" i="32"/>
  <c r="F46" i="32" s="1"/>
  <c r="P46" i="32"/>
  <c r="O46" i="32"/>
  <c r="M46" i="32"/>
  <c r="E46" i="32"/>
  <c r="D46" i="32"/>
  <c r="C46" i="32"/>
  <c r="B46" i="32"/>
  <c r="BJ45" i="32"/>
  <c r="AZ45" i="32"/>
  <c r="AX45" i="32"/>
  <c r="AW45" i="32"/>
  <c r="AV45" i="32"/>
  <c r="AU45" i="32"/>
  <c r="AT45" i="32"/>
  <c r="AS45" i="32"/>
  <c r="AR45" i="32"/>
  <c r="AQ45" i="32"/>
  <c r="AP45" i="32"/>
  <c r="AO45" i="32"/>
  <c r="AN45" i="32"/>
  <c r="AM45" i="32"/>
  <c r="AL45" i="32"/>
  <c r="AK45" i="32"/>
  <c r="AJ45" i="32"/>
  <c r="AI45" i="32"/>
  <c r="AH45" i="32"/>
  <c r="AG45" i="32"/>
  <c r="AF45" i="32"/>
  <c r="AE45" i="32"/>
  <c r="AD45" i="32"/>
  <c r="AC45" i="32"/>
  <c r="AB45" i="32"/>
  <c r="AA45" i="32"/>
  <c r="Z45" i="32"/>
  <c r="O45" i="32" s="1"/>
  <c r="Y45" i="32"/>
  <c r="N45" i="32" s="1"/>
  <c r="X45" i="32"/>
  <c r="W45" i="32"/>
  <c r="V45" i="32"/>
  <c r="U45" i="32"/>
  <c r="T45" i="32"/>
  <c r="I45" i="32" s="1"/>
  <c r="S45" i="32"/>
  <c r="R45" i="32"/>
  <c r="G45" i="32" s="1"/>
  <c r="Q45" i="32"/>
  <c r="E45" i="32" s="1"/>
  <c r="P45" i="32"/>
  <c r="K45" i="32"/>
  <c r="J45" i="32"/>
  <c r="D45" i="32"/>
  <c r="C45" i="32"/>
  <c r="B45" i="32"/>
  <c r="BK44" i="32"/>
  <c r="BJ44" i="32"/>
  <c r="BI44" i="32"/>
  <c r="BH44" i="32"/>
  <c r="BG44" i="32"/>
  <c r="BF44" i="32"/>
  <c r="BE44" i="32"/>
  <c r="BC44" i="32"/>
  <c r="AY44" i="32"/>
  <c r="AX44" i="32"/>
  <c r="AW44" i="32"/>
  <c r="AV44" i="32"/>
  <c r="AU44" i="32"/>
  <c r="AT44" i="32"/>
  <c r="AS44" i="32"/>
  <c r="AR44" i="32"/>
  <c r="AQ44" i="32"/>
  <c r="AP44" i="32"/>
  <c r="AO44" i="32"/>
  <c r="AN44" i="32"/>
  <c r="AM44" i="32"/>
  <c r="AL44" i="32"/>
  <c r="AK44" i="32"/>
  <c r="AJ44" i="32"/>
  <c r="AI44" i="32"/>
  <c r="AH44" i="32"/>
  <c r="AG44" i="32"/>
  <c r="AF44" i="32"/>
  <c r="AE44" i="32"/>
  <c r="AD44" i="32"/>
  <c r="AC44" i="32"/>
  <c r="AB44" i="32"/>
  <c r="AA44" i="32"/>
  <c r="P44" i="32" s="1"/>
  <c r="Z44" i="32"/>
  <c r="Y44" i="32"/>
  <c r="N44" i="32" s="1"/>
  <c r="X44" i="32"/>
  <c r="W44" i="32"/>
  <c r="L44" i="32" s="1"/>
  <c r="V44" i="32"/>
  <c r="J44" i="32" s="1"/>
  <c r="U44" i="32"/>
  <c r="T44" i="32"/>
  <c r="S44" i="32"/>
  <c r="R44" i="32"/>
  <c r="F44" i="32" s="1"/>
  <c r="Q44" i="32"/>
  <c r="I44" i="32"/>
  <c r="E44" i="32"/>
  <c r="D44" i="32"/>
  <c r="C44" i="32"/>
  <c r="B44" i="32"/>
  <c r="AX43" i="32"/>
  <c r="AW43" i="32"/>
  <c r="AV43" i="32"/>
  <c r="AU43" i="32"/>
  <c r="AT43" i="32"/>
  <c r="AS43" i="32"/>
  <c r="AR43" i="32"/>
  <c r="AQ43" i="32"/>
  <c r="AP43" i="32"/>
  <c r="AO43" i="32"/>
  <c r="AN43" i="32"/>
  <c r="AM43" i="32"/>
  <c r="AL43" i="32"/>
  <c r="AK43" i="32"/>
  <c r="AJ43" i="32"/>
  <c r="AI43" i="32"/>
  <c r="AH43" i="32"/>
  <c r="AG43" i="32"/>
  <c r="AF43" i="32"/>
  <c r="AE43" i="32"/>
  <c r="AD43" i="32"/>
  <c r="AC43" i="32"/>
  <c r="AB43" i="32"/>
  <c r="AA43" i="32"/>
  <c r="P43" i="32" s="1"/>
  <c r="P41" i="32" s="1"/>
  <c r="Z43" i="32"/>
  <c r="O43" i="32" s="1"/>
  <c r="Y43" i="32"/>
  <c r="X43" i="32"/>
  <c r="W43" i="32"/>
  <c r="V43" i="32"/>
  <c r="K43" i="32" s="1"/>
  <c r="U43" i="32"/>
  <c r="T43" i="32"/>
  <c r="I43" i="32" s="1"/>
  <c r="S43" i="32"/>
  <c r="R43" i="32"/>
  <c r="G43" i="32" s="1"/>
  <c r="Q43" i="32"/>
  <c r="M43" i="32"/>
  <c r="L43" i="32"/>
  <c r="J43" i="32"/>
  <c r="E43" i="32"/>
  <c r="D43" i="32"/>
  <c r="C43" i="32"/>
  <c r="B43" i="32"/>
  <c r="BJ42" i="32"/>
  <c r="BI42" i="32"/>
  <c r="BH42" i="32"/>
  <c r="BG42" i="32"/>
  <c r="AX42" i="32"/>
  <c r="AW42" i="32"/>
  <c r="AV42" i="32"/>
  <c r="AU42" i="32"/>
  <c r="AT42" i="32"/>
  <c r="AS42" i="32"/>
  <c r="AR42" i="32"/>
  <c r="AQ42" i="32"/>
  <c r="AP42" i="32"/>
  <c r="AO42" i="32"/>
  <c r="AN42" i="32"/>
  <c r="AM42" i="32"/>
  <c r="AL42" i="32"/>
  <c r="AK42" i="32"/>
  <c r="AJ42" i="32"/>
  <c r="AI42" i="32"/>
  <c r="AH42" i="32"/>
  <c r="AG42" i="32"/>
  <c r="AF42" i="32"/>
  <c r="AE42" i="32"/>
  <c r="AD42" i="32"/>
  <c r="AC42" i="32"/>
  <c r="AB42" i="32"/>
  <c r="AA42" i="32"/>
  <c r="Z42" i="32"/>
  <c r="O42" i="32" s="1"/>
  <c r="Y42" i="32"/>
  <c r="N42" i="32" s="1"/>
  <c r="X42" i="32"/>
  <c r="W42" i="32"/>
  <c r="V42" i="32"/>
  <c r="U42" i="32"/>
  <c r="J42" i="32" s="1"/>
  <c r="T42" i="32"/>
  <c r="S42" i="32"/>
  <c r="R42" i="32"/>
  <c r="Q42" i="32"/>
  <c r="F42" i="32" s="1"/>
  <c r="P42" i="32"/>
  <c r="M42" i="32"/>
  <c r="L42" i="32"/>
  <c r="K42" i="32"/>
  <c r="I42" i="32"/>
  <c r="H42" i="32"/>
  <c r="G42" i="32"/>
  <c r="D42" i="32"/>
  <c r="C42" i="32"/>
  <c r="B42" i="32"/>
  <c r="AX41" i="32"/>
  <c r="AW41" i="32"/>
  <c r="AV41" i="32"/>
  <c r="AU41" i="32"/>
  <c r="AT41" i="32"/>
  <c r="AS41" i="32"/>
  <c r="AR41" i="32"/>
  <c r="AQ41" i="32"/>
  <c r="AP41" i="32"/>
  <c r="AO41" i="32"/>
  <c r="AN41" i="32"/>
  <c r="AM41" i="32"/>
  <c r="AL41" i="32"/>
  <c r="AK41" i="32"/>
  <c r="AJ41" i="32"/>
  <c r="AI41" i="32"/>
  <c r="AH41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R41" i="32"/>
  <c r="Q41" i="32"/>
  <c r="D41" i="32"/>
  <c r="C41" i="32"/>
  <c r="B41" i="32"/>
  <c r="BV40" i="32"/>
  <c r="BU40" i="32"/>
  <c r="BT40" i="32"/>
  <c r="BS40" i="32"/>
  <c r="BR40" i="32"/>
  <c r="BQ40" i="32"/>
  <c r="BP40" i="32"/>
  <c r="BO40" i="32"/>
  <c r="BN40" i="32"/>
  <c r="BM40" i="32"/>
  <c r="BL40" i="32"/>
  <c r="BK40" i="32"/>
  <c r="AX40" i="32"/>
  <c r="AW40" i="32"/>
  <c r="AV40" i="32"/>
  <c r="AU40" i="32"/>
  <c r="AT40" i="32"/>
  <c r="AS40" i="32"/>
  <c r="AR40" i="32"/>
  <c r="AQ40" i="32"/>
  <c r="AP40" i="32"/>
  <c r="AO40" i="32"/>
  <c r="AN40" i="32"/>
  <c r="AM40" i="32"/>
  <c r="AL40" i="32"/>
  <c r="AK40" i="32"/>
  <c r="AJ40" i="32"/>
  <c r="AI40" i="32"/>
  <c r="AH40" i="32"/>
  <c r="AG40" i="32"/>
  <c r="AF40" i="32"/>
  <c r="AE40" i="32"/>
  <c r="AD40" i="32"/>
  <c r="AC40" i="32"/>
  <c r="AB40" i="32"/>
  <c r="AA40" i="32"/>
  <c r="Z40" i="32"/>
  <c r="Y40" i="32"/>
  <c r="X40" i="32"/>
  <c r="W40" i="32"/>
  <c r="L40" i="32" s="1"/>
  <c r="V40" i="32"/>
  <c r="J40" i="32" s="1"/>
  <c r="U40" i="32"/>
  <c r="T40" i="32"/>
  <c r="S40" i="32"/>
  <c r="H40" i="32" s="1"/>
  <c r="R40" i="32"/>
  <c r="F40" i="32" s="1"/>
  <c r="Q40" i="32"/>
  <c r="P40" i="32"/>
  <c r="O40" i="32"/>
  <c r="N40" i="32"/>
  <c r="M40" i="32"/>
  <c r="I40" i="32"/>
  <c r="E40" i="32"/>
  <c r="D40" i="32"/>
  <c r="C40" i="32"/>
  <c r="B40" i="32"/>
  <c r="BJ39" i="32"/>
  <c r="BI39" i="32"/>
  <c r="BH39" i="32"/>
  <c r="AY39" i="32"/>
  <c r="AX39" i="32"/>
  <c r="BE39" i="32" s="1"/>
  <c r="AW39" i="32"/>
  <c r="AV39" i="32"/>
  <c r="AU39" i="32"/>
  <c r="AT39" i="32"/>
  <c r="AS39" i="32"/>
  <c r="AR39" i="32"/>
  <c r="AQ39" i="32"/>
  <c r="AP39" i="32"/>
  <c r="AO39" i="32"/>
  <c r="AN39" i="32"/>
  <c r="AM39" i="32"/>
  <c r="AL39" i="32"/>
  <c r="AK39" i="32"/>
  <c r="AJ39" i="32"/>
  <c r="AI39" i="32"/>
  <c r="AH39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S39" i="32"/>
  <c r="R39" i="32"/>
  <c r="Q39" i="32"/>
  <c r="D39" i="32"/>
  <c r="C39" i="32"/>
  <c r="B39" i="32"/>
  <c r="BI38" i="32"/>
  <c r="BH38" i="32"/>
  <c r="AZ38" i="32"/>
  <c r="AX38" i="32"/>
  <c r="BG38" i="32" s="1"/>
  <c r="AW38" i="32"/>
  <c r="AV38" i="32"/>
  <c r="AU38" i="32"/>
  <c r="AT38" i="32"/>
  <c r="AS38" i="32"/>
  <c r="AR38" i="32"/>
  <c r="AQ38" i="32"/>
  <c r="AP38" i="32"/>
  <c r="AO38" i="32"/>
  <c r="AN38" i="32"/>
  <c r="AM38" i="32"/>
  <c r="AL38" i="32"/>
  <c r="AK38" i="32"/>
  <c r="AJ38" i="32"/>
  <c r="AI38" i="32"/>
  <c r="AH38" i="32"/>
  <c r="AG38" i="32"/>
  <c r="AF38" i="32"/>
  <c r="AE38" i="32"/>
  <c r="AD38" i="32"/>
  <c r="AC38" i="32"/>
  <c r="AB38" i="32"/>
  <c r="AA38" i="32"/>
  <c r="Z38" i="32"/>
  <c r="O38" i="32" s="1"/>
  <c r="Y38" i="32"/>
  <c r="N38" i="32" s="1"/>
  <c r="X38" i="32"/>
  <c r="L38" i="32" s="1"/>
  <c r="W38" i="32"/>
  <c r="V38" i="32"/>
  <c r="U38" i="32"/>
  <c r="J38" i="32" s="1"/>
  <c r="T38" i="32"/>
  <c r="S38" i="32"/>
  <c r="H38" i="32" s="1"/>
  <c r="R38" i="32"/>
  <c r="G38" i="32" s="1"/>
  <c r="Q38" i="32"/>
  <c r="F38" i="32" s="1"/>
  <c r="P38" i="32"/>
  <c r="K38" i="32"/>
  <c r="I38" i="32"/>
  <c r="E38" i="32"/>
  <c r="D38" i="32"/>
  <c r="C38" i="32"/>
  <c r="B38" i="32"/>
  <c r="BI37" i="32"/>
  <c r="AX37" i="32"/>
  <c r="AW37" i="32"/>
  <c r="AV37" i="32"/>
  <c r="AU37" i="32"/>
  <c r="AT37" i="32"/>
  <c r="AS37" i="32"/>
  <c r="AR37" i="32"/>
  <c r="AQ37" i="32"/>
  <c r="AP37" i="32"/>
  <c r="AO37" i="32"/>
  <c r="AN37" i="32"/>
  <c r="AM37" i="32"/>
  <c r="AL37" i="32"/>
  <c r="AK37" i="32"/>
  <c r="AJ37" i="32"/>
  <c r="AI37" i="32"/>
  <c r="AH37" i="32"/>
  <c r="AG37" i="32"/>
  <c r="AF37" i="32"/>
  <c r="AE37" i="32"/>
  <c r="AD37" i="32"/>
  <c r="AC37" i="32"/>
  <c r="AB37" i="32"/>
  <c r="AA37" i="32"/>
  <c r="P37" i="32" s="1"/>
  <c r="Z37" i="32"/>
  <c r="O37" i="32" s="1"/>
  <c r="Y37" i="32"/>
  <c r="M37" i="32" s="1"/>
  <c r="X37" i="32"/>
  <c r="W37" i="32"/>
  <c r="V37" i="32"/>
  <c r="K37" i="32" s="1"/>
  <c r="U37" i="32"/>
  <c r="T37" i="32"/>
  <c r="I37" i="32" s="1"/>
  <c r="S37" i="32"/>
  <c r="H37" i="32" s="1"/>
  <c r="R37" i="32"/>
  <c r="G37" i="32" s="1"/>
  <c r="Q37" i="32"/>
  <c r="F37" i="32" s="1"/>
  <c r="L37" i="32"/>
  <c r="J37" i="32"/>
  <c r="E37" i="32"/>
  <c r="D37" i="32"/>
  <c r="C37" i="32"/>
  <c r="B37" i="32"/>
  <c r="BJ36" i="32"/>
  <c r="AX36" i="32"/>
  <c r="AW36" i="32"/>
  <c r="AV36" i="32"/>
  <c r="AU36" i="32"/>
  <c r="AT36" i="32"/>
  <c r="AS36" i="32"/>
  <c r="AR36" i="32"/>
  <c r="AQ36" i="32"/>
  <c r="AP36" i="32"/>
  <c r="AO36" i="32"/>
  <c r="AN36" i="32"/>
  <c r="AM36" i="32"/>
  <c r="AL36" i="32"/>
  <c r="AK36" i="32"/>
  <c r="AJ36" i="32"/>
  <c r="AI36" i="32"/>
  <c r="AH36" i="32"/>
  <c r="AG36" i="32"/>
  <c r="AF36" i="32"/>
  <c r="AE36" i="32"/>
  <c r="AD36" i="32"/>
  <c r="AC36" i="32"/>
  <c r="AB36" i="32"/>
  <c r="AA36" i="32"/>
  <c r="P36" i="32" s="1"/>
  <c r="Z36" i="32"/>
  <c r="N36" i="32" s="1"/>
  <c r="Y36" i="32"/>
  <c r="X36" i="32"/>
  <c r="W36" i="32"/>
  <c r="L36" i="32" s="1"/>
  <c r="V36" i="32"/>
  <c r="U36" i="32"/>
  <c r="J36" i="32" s="1"/>
  <c r="T36" i="32"/>
  <c r="I36" i="32" s="1"/>
  <c r="S36" i="32"/>
  <c r="H36" i="32" s="1"/>
  <c r="R36" i="32"/>
  <c r="G36" i="32" s="1"/>
  <c r="Q36" i="32"/>
  <c r="O36" i="32"/>
  <c r="M36" i="32"/>
  <c r="K36" i="32"/>
  <c r="F36" i="32"/>
  <c r="E36" i="32"/>
  <c r="D36" i="32"/>
  <c r="C36" i="32"/>
  <c r="B36" i="32"/>
  <c r="BK35" i="32"/>
  <c r="BH35" i="32"/>
  <c r="BG35" i="32"/>
  <c r="BF35" i="32"/>
  <c r="BE35" i="32"/>
  <c r="BD35" i="32"/>
  <c r="BC35" i="32"/>
  <c r="BB35" i="32"/>
  <c r="BA35" i="32"/>
  <c r="AZ35" i="32"/>
  <c r="AY35" i="32"/>
  <c r="BL35" i="32" s="1"/>
  <c r="AX35" i="32"/>
  <c r="BJ35" i="32" s="1"/>
  <c r="AW35" i="32"/>
  <c r="AV35" i="32"/>
  <c r="AU35" i="32"/>
  <c r="AT35" i="32"/>
  <c r="AS35" i="32"/>
  <c r="AR35" i="32"/>
  <c r="AQ35" i="32"/>
  <c r="AP35" i="32"/>
  <c r="AO35" i="32"/>
  <c r="AN35" i="32"/>
  <c r="AM35" i="32"/>
  <c r="AL35" i="32"/>
  <c r="AK35" i="32"/>
  <c r="AJ35" i="32"/>
  <c r="AI35" i="32"/>
  <c r="AH35" i="32"/>
  <c r="AG35" i="32"/>
  <c r="AF35" i="32"/>
  <c r="AE35" i="32"/>
  <c r="AD35" i="32"/>
  <c r="AC35" i="32"/>
  <c r="AB35" i="32"/>
  <c r="AA35" i="32"/>
  <c r="Z35" i="32"/>
  <c r="Y35" i="32"/>
  <c r="X35" i="32"/>
  <c r="M35" i="32" s="1"/>
  <c r="M33" i="32" s="1"/>
  <c r="W35" i="32"/>
  <c r="V35" i="32"/>
  <c r="K35" i="32" s="1"/>
  <c r="U35" i="32"/>
  <c r="J35" i="32" s="1"/>
  <c r="T35" i="32"/>
  <c r="I35" i="32" s="1"/>
  <c r="S35" i="32"/>
  <c r="H35" i="32" s="1"/>
  <c r="R35" i="32"/>
  <c r="Q35" i="32"/>
  <c r="F35" i="32" s="1"/>
  <c r="P35" i="32"/>
  <c r="O35" i="32"/>
  <c r="N35" i="32"/>
  <c r="L35" i="32"/>
  <c r="G35" i="32"/>
  <c r="E35" i="32"/>
  <c r="D35" i="32"/>
  <c r="C35" i="32"/>
  <c r="B35" i="32"/>
  <c r="BL34" i="32"/>
  <c r="BI34" i="32"/>
  <c r="BH34" i="32"/>
  <c r="BG34" i="32"/>
  <c r="BF34" i="32"/>
  <c r="BE34" i="32"/>
  <c r="BD34" i="32"/>
  <c r="BC34" i="32"/>
  <c r="BB34" i="32"/>
  <c r="BA34" i="32"/>
  <c r="AZ34" i="32"/>
  <c r="BM34" i="32" s="1"/>
  <c r="AY34" i="32"/>
  <c r="BK34" i="32" s="1"/>
  <c r="AX34" i="32"/>
  <c r="BJ34" i="32" s="1"/>
  <c r="AW34" i="32"/>
  <c r="AV34" i="32"/>
  <c r="AU34" i="32"/>
  <c r="AT34" i="32"/>
  <c r="AS34" i="32"/>
  <c r="AR34" i="32"/>
  <c r="AQ34" i="32"/>
  <c r="AP34" i="32"/>
  <c r="AO34" i="32"/>
  <c r="AN34" i="32"/>
  <c r="AM34" i="32"/>
  <c r="AL34" i="32"/>
  <c r="AK34" i="32"/>
  <c r="AJ34" i="32"/>
  <c r="AI34" i="32"/>
  <c r="AH34" i="32"/>
  <c r="AG34" i="32"/>
  <c r="AF34" i="32"/>
  <c r="AE34" i="32"/>
  <c r="AD34" i="32"/>
  <c r="AC34" i="32"/>
  <c r="AB34" i="32"/>
  <c r="AA34" i="32"/>
  <c r="Z34" i="32"/>
  <c r="Y34" i="32"/>
  <c r="N34" i="32" s="1"/>
  <c r="N33" i="32" s="1"/>
  <c r="X34" i="32"/>
  <c r="W34" i="32"/>
  <c r="L34" i="32" s="1"/>
  <c r="L33" i="32" s="1"/>
  <c r="V34" i="32"/>
  <c r="K34" i="32" s="1"/>
  <c r="K33" i="32" s="1"/>
  <c r="U34" i="32"/>
  <c r="J34" i="32" s="1"/>
  <c r="J33" i="32" s="1"/>
  <c r="T34" i="32"/>
  <c r="I34" i="32" s="1"/>
  <c r="I33" i="32" s="1"/>
  <c r="S34" i="32"/>
  <c r="R34" i="32"/>
  <c r="G34" i="32" s="1"/>
  <c r="G33" i="32" s="1"/>
  <c r="Q34" i="32"/>
  <c r="F34" i="32" s="1"/>
  <c r="P34" i="32"/>
  <c r="O34" i="32"/>
  <c r="M34" i="32"/>
  <c r="H34" i="32"/>
  <c r="H33" i="32" s="1"/>
  <c r="E34" i="32"/>
  <c r="E33" i="32" s="1"/>
  <c r="D34" i="32"/>
  <c r="C34" i="32"/>
  <c r="B34" i="32"/>
  <c r="BH33" i="32"/>
  <c r="BG33" i="32"/>
  <c r="BF33" i="32"/>
  <c r="BE33" i="32"/>
  <c r="BD33" i="32"/>
  <c r="BC33" i="32"/>
  <c r="BB33" i="32"/>
  <c r="BA33" i="32"/>
  <c r="AX33" i="32"/>
  <c r="AZ33" i="32" s="1"/>
  <c r="AW33" i="32"/>
  <c r="AV33" i="32"/>
  <c r="AU33" i="32"/>
  <c r="AT33" i="32"/>
  <c r="AS33" i="32"/>
  <c r="AR33" i="32"/>
  <c r="AQ33" i="32"/>
  <c r="AP33" i="32"/>
  <c r="AO33" i="32"/>
  <c r="AN33" i="32"/>
  <c r="AM33" i="32"/>
  <c r="AL33" i="32"/>
  <c r="AK33" i="32"/>
  <c r="AJ33" i="32"/>
  <c r="AI33" i="32"/>
  <c r="AH33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F33" i="32"/>
  <c r="D33" i="32"/>
  <c r="C33" i="32"/>
  <c r="B33" i="32"/>
  <c r="BI32" i="32"/>
  <c r="BH32" i="32"/>
  <c r="BG32" i="32"/>
  <c r="BF32" i="32"/>
  <c r="BE32" i="32"/>
  <c r="BD32" i="32"/>
  <c r="BC32" i="32"/>
  <c r="BB32" i="32"/>
  <c r="AX32" i="32"/>
  <c r="BA32" i="32" s="1"/>
  <c r="AW32" i="32"/>
  <c r="AV32" i="32"/>
  <c r="AU32" i="32"/>
  <c r="AT32" i="32"/>
  <c r="AS32" i="32"/>
  <c r="AR32" i="32"/>
  <c r="AQ32" i="32"/>
  <c r="AP32" i="32"/>
  <c r="AO32" i="32"/>
  <c r="AN32" i="32"/>
  <c r="AM32" i="32"/>
  <c r="AL32" i="32"/>
  <c r="AK32" i="32"/>
  <c r="AJ32" i="32"/>
  <c r="AI32" i="32"/>
  <c r="AH32" i="32"/>
  <c r="AG32" i="32"/>
  <c r="AF32" i="32"/>
  <c r="AE32" i="32"/>
  <c r="AD32" i="32"/>
  <c r="AC32" i="32"/>
  <c r="AB32" i="32"/>
  <c r="AA32" i="32"/>
  <c r="P32" i="32" s="1"/>
  <c r="Z32" i="32"/>
  <c r="Y32" i="32"/>
  <c r="N32" i="32" s="1"/>
  <c r="X32" i="32"/>
  <c r="M32" i="32" s="1"/>
  <c r="W32" i="32"/>
  <c r="L32" i="32" s="1"/>
  <c r="V32" i="32"/>
  <c r="K32" i="32" s="1"/>
  <c r="U32" i="32"/>
  <c r="T32" i="32"/>
  <c r="I32" i="32" s="1"/>
  <c r="S32" i="32"/>
  <c r="H32" i="32" s="1"/>
  <c r="R32" i="32"/>
  <c r="Q32" i="32"/>
  <c r="O32" i="32"/>
  <c r="J32" i="32"/>
  <c r="G32" i="32"/>
  <c r="F32" i="32"/>
  <c r="E32" i="32"/>
  <c r="D32" i="32"/>
  <c r="C32" i="32"/>
  <c r="B32" i="32"/>
  <c r="AX31" i="32"/>
  <c r="AW31" i="32"/>
  <c r="AV31" i="32"/>
  <c r="AU31" i="32"/>
  <c r="AT31" i="32"/>
  <c r="AS31" i="32"/>
  <c r="AR31" i="32"/>
  <c r="AQ31" i="32"/>
  <c r="AP31" i="32"/>
  <c r="AO31" i="32"/>
  <c r="AN31" i="32"/>
  <c r="AM31" i="32"/>
  <c r="AL31" i="32"/>
  <c r="AK31" i="32"/>
  <c r="AJ31" i="32"/>
  <c r="AI31" i="32"/>
  <c r="AH31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D31" i="32"/>
  <c r="C31" i="32"/>
  <c r="B31" i="32"/>
  <c r="AX30" i="32"/>
  <c r="AW30" i="32"/>
  <c r="AV30" i="32"/>
  <c r="AU30" i="32"/>
  <c r="AT30" i="32"/>
  <c r="AS30" i="32"/>
  <c r="AR30" i="32"/>
  <c r="AQ30" i="32"/>
  <c r="AP30" i="32"/>
  <c r="AO30" i="32"/>
  <c r="AN30" i="32"/>
  <c r="AM30" i="32"/>
  <c r="AL30" i="32"/>
  <c r="AK30" i="32"/>
  <c r="AJ30" i="32"/>
  <c r="AI30" i="32"/>
  <c r="AH30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D30" i="32"/>
  <c r="C30" i="32"/>
  <c r="B30" i="32"/>
  <c r="A33" i="61" s="1"/>
  <c r="AY29" i="32"/>
  <c r="AX29" i="32"/>
  <c r="AW29" i="32"/>
  <c r="AV29" i="32"/>
  <c r="AU29" i="32"/>
  <c r="AT29" i="32"/>
  <c r="AS29" i="32"/>
  <c r="AR29" i="32"/>
  <c r="AQ29" i="32"/>
  <c r="AP29" i="32"/>
  <c r="AO29" i="32"/>
  <c r="AN29" i="32"/>
  <c r="AM29" i="32"/>
  <c r="AL29" i="32"/>
  <c r="AK29" i="32"/>
  <c r="AJ29" i="32"/>
  <c r="AI29" i="32"/>
  <c r="AH29" i="32"/>
  <c r="AG29" i="32"/>
  <c r="AF29" i="32"/>
  <c r="AE29" i="32"/>
  <c r="AD29" i="32"/>
  <c r="AC29" i="32"/>
  <c r="AB29" i="32"/>
  <c r="AA29" i="32"/>
  <c r="P29" i="32" s="1"/>
  <c r="Z29" i="32"/>
  <c r="Y29" i="32"/>
  <c r="N29" i="32" s="1"/>
  <c r="X29" i="32"/>
  <c r="W29" i="32"/>
  <c r="L29" i="32" s="1"/>
  <c r="V29" i="32"/>
  <c r="K29" i="32" s="1"/>
  <c r="U29" i="32"/>
  <c r="T29" i="32"/>
  <c r="S29" i="32"/>
  <c r="R29" i="32"/>
  <c r="G29" i="32" s="1"/>
  <c r="Q29" i="32"/>
  <c r="F29" i="32" s="1"/>
  <c r="O29" i="32"/>
  <c r="M29" i="32"/>
  <c r="J29" i="32"/>
  <c r="I29" i="32"/>
  <c r="H29" i="32"/>
  <c r="E29" i="32"/>
  <c r="D29" i="32"/>
  <c r="C29" i="32"/>
  <c r="B29" i="32"/>
  <c r="AX28" i="32"/>
  <c r="AW28" i="32"/>
  <c r="AV28" i="32"/>
  <c r="AU28" i="32"/>
  <c r="AT28" i="32"/>
  <c r="AS28" i="32"/>
  <c r="AR28" i="32"/>
  <c r="AQ28" i="32"/>
  <c r="AP28" i="32"/>
  <c r="AO28" i="32"/>
  <c r="AN28" i="32"/>
  <c r="AM28" i="32"/>
  <c r="AL28" i="32"/>
  <c r="AK28" i="32"/>
  <c r="AJ28" i="32"/>
  <c r="AI28" i="32"/>
  <c r="AH28" i="32"/>
  <c r="AG28" i="32"/>
  <c r="AF28" i="32"/>
  <c r="AE28" i="32"/>
  <c r="AD28" i="32"/>
  <c r="AC28" i="32"/>
  <c r="AB28" i="32"/>
  <c r="AY28" i="32" s="1"/>
  <c r="AA28" i="32"/>
  <c r="Z28" i="32"/>
  <c r="O28" i="32" s="1"/>
  <c r="Y28" i="32"/>
  <c r="X28" i="32"/>
  <c r="M28" i="32" s="1"/>
  <c r="W28" i="32"/>
  <c r="L28" i="32" s="1"/>
  <c r="V28" i="32"/>
  <c r="U28" i="32"/>
  <c r="T28" i="32"/>
  <c r="S28" i="32"/>
  <c r="H28" i="32" s="1"/>
  <c r="R28" i="32"/>
  <c r="Q28" i="32"/>
  <c r="F28" i="32" s="1"/>
  <c r="P28" i="32"/>
  <c r="N28" i="32"/>
  <c r="K28" i="32"/>
  <c r="J28" i="32"/>
  <c r="I28" i="32"/>
  <c r="G28" i="32"/>
  <c r="E28" i="32"/>
  <c r="D28" i="32"/>
  <c r="C28" i="32"/>
  <c r="B28" i="32"/>
  <c r="AY27" i="32"/>
  <c r="AX27" i="32"/>
  <c r="AW27" i="32"/>
  <c r="AV27" i="32"/>
  <c r="AU27" i="32"/>
  <c r="AU20" i="32" s="1"/>
  <c r="AT27" i="32"/>
  <c r="AS27" i="32"/>
  <c r="AR27" i="32"/>
  <c r="AQ27" i="32"/>
  <c r="AP27" i="32"/>
  <c r="AO27" i="32"/>
  <c r="AN27" i="32"/>
  <c r="AM27" i="32"/>
  <c r="AL27" i="32"/>
  <c r="AK27" i="32"/>
  <c r="AJ27" i="32"/>
  <c r="AI27" i="32"/>
  <c r="AI20" i="32" s="1"/>
  <c r="AH27" i="32"/>
  <c r="AG27" i="32"/>
  <c r="AF27" i="32"/>
  <c r="AE27" i="32"/>
  <c r="AD27" i="32"/>
  <c r="AC27" i="32"/>
  <c r="AB27" i="32"/>
  <c r="AA27" i="32"/>
  <c r="P27" i="32" s="1"/>
  <c r="Z27" i="32"/>
  <c r="Y27" i="32"/>
  <c r="N27" i="32" s="1"/>
  <c r="X27" i="32"/>
  <c r="M27" i="32" s="1"/>
  <c r="W27" i="32"/>
  <c r="V27" i="32"/>
  <c r="U27" i="32"/>
  <c r="T27" i="32"/>
  <c r="I27" i="32" s="1"/>
  <c r="S27" i="32"/>
  <c r="R27" i="32"/>
  <c r="G27" i="32" s="1"/>
  <c r="Q27" i="32"/>
  <c r="F27" i="32" s="1"/>
  <c r="O27" i="32"/>
  <c r="L27" i="32"/>
  <c r="K27" i="32"/>
  <c r="J27" i="32"/>
  <c r="H27" i="32"/>
  <c r="E27" i="32"/>
  <c r="D27" i="32"/>
  <c r="C27" i="32"/>
  <c r="B27" i="32"/>
  <c r="AX26" i="32"/>
  <c r="AX20" i="32" s="1"/>
  <c r="AW26" i="32"/>
  <c r="AW20" i="32" s="1"/>
  <c r="AV26" i="32"/>
  <c r="AV20" i="32" s="1"/>
  <c r="AU26" i="32"/>
  <c r="AT26" i="32"/>
  <c r="AS26" i="32"/>
  <c r="AR26" i="32"/>
  <c r="AQ26" i="32"/>
  <c r="AP26" i="32"/>
  <c r="AO26" i="32"/>
  <c r="AN26" i="32"/>
  <c r="AM26" i="32"/>
  <c r="AM20" i="32" s="1"/>
  <c r="AL26" i="32"/>
  <c r="AL20" i="32" s="1"/>
  <c r="AK26" i="32"/>
  <c r="AK20" i="32" s="1"/>
  <c r="AJ26" i="32"/>
  <c r="AJ20" i="32" s="1"/>
  <c r="AI26" i="32"/>
  <c r="AH26" i="32"/>
  <c r="AG26" i="32"/>
  <c r="AF26" i="32"/>
  <c r="AE26" i="32"/>
  <c r="AD26" i="32"/>
  <c r="AC26" i="32"/>
  <c r="AB26" i="32"/>
  <c r="AY26" i="32" s="1"/>
  <c r="AA26" i="32"/>
  <c r="Z26" i="32"/>
  <c r="O26" i="32" s="1"/>
  <c r="Y26" i="32"/>
  <c r="X26" i="32"/>
  <c r="W26" i="32"/>
  <c r="V26" i="32"/>
  <c r="U26" i="32"/>
  <c r="J26" i="32" s="1"/>
  <c r="T26" i="32"/>
  <c r="S26" i="32"/>
  <c r="H26" i="32" s="1"/>
  <c r="R26" i="32"/>
  <c r="G26" i="32" s="1"/>
  <c r="Q26" i="32"/>
  <c r="F26" i="32" s="1"/>
  <c r="P26" i="32"/>
  <c r="L26" i="32"/>
  <c r="K26" i="32"/>
  <c r="I26" i="32"/>
  <c r="E26" i="32"/>
  <c r="D26" i="32"/>
  <c r="C26" i="32"/>
  <c r="B26" i="32"/>
  <c r="BJ25" i="32"/>
  <c r="BI25" i="32"/>
  <c r="BV25" i="32" s="1"/>
  <c r="BH25" i="32"/>
  <c r="BG25" i="32"/>
  <c r="BF25" i="32"/>
  <c r="BT25" i="32" s="1"/>
  <c r="BE25" i="32"/>
  <c r="BQ25" i="32" s="1"/>
  <c r="BD25" i="32"/>
  <c r="BP25" i="32" s="1"/>
  <c r="BC25" i="32"/>
  <c r="BO25" i="32" s="1"/>
  <c r="BB25" i="32"/>
  <c r="BN25" i="32" s="1"/>
  <c r="BA25" i="32"/>
  <c r="BM25" i="32" s="1"/>
  <c r="AZ25" i="32"/>
  <c r="BL25" i="32" s="1"/>
  <c r="AY25" i="32"/>
  <c r="BK25" i="32" s="1"/>
  <c r="AX24" i="32"/>
  <c r="AW24" i="32"/>
  <c r="AV24" i="32"/>
  <c r="AU24" i="32"/>
  <c r="AT24" i="32"/>
  <c r="AS24" i="32"/>
  <c r="AR24" i="32"/>
  <c r="AQ24" i="32"/>
  <c r="AP24" i="32"/>
  <c r="AO24" i="32"/>
  <c r="AN24" i="32"/>
  <c r="AM24" i="32"/>
  <c r="AL24" i="32"/>
  <c r="AK24" i="32"/>
  <c r="AJ24" i="32"/>
  <c r="AI24" i="32"/>
  <c r="AH24" i="32"/>
  <c r="AG24" i="32"/>
  <c r="AF24" i="32"/>
  <c r="AE24" i="32"/>
  <c r="AD24" i="32"/>
  <c r="AC24" i="32"/>
  <c r="AB24" i="32"/>
  <c r="AA24" i="32"/>
  <c r="P24" i="32" s="1"/>
  <c r="P21" i="32" s="1"/>
  <c r="Z24" i="32"/>
  <c r="Y24" i="32"/>
  <c r="X24" i="32"/>
  <c r="W24" i="32"/>
  <c r="V24" i="32"/>
  <c r="K24" i="32" s="1"/>
  <c r="U24" i="32"/>
  <c r="T24" i="32"/>
  <c r="I24" i="32" s="1"/>
  <c r="S24" i="32"/>
  <c r="H24" i="32" s="1"/>
  <c r="R24" i="32"/>
  <c r="G24" i="32" s="1"/>
  <c r="Q24" i="32"/>
  <c r="M24" i="32"/>
  <c r="L24" i="32"/>
  <c r="J24" i="32"/>
  <c r="F24" i="32"/>
  <c r="E24" i="32"/>
  <c r="D24" i="32"/>
  <c r="C24" i="32"/>
  <c r="B24" i="32"/>
  <c r="AX23" i="32"/>
  <c r="AW23" i="32"/>
  <c r="AV23" i="32"/>
  <c r="AU23" i="32"/>
  <c r="AT23" i="32"/>
  <c r="AS23" i="32"/>
  <c r="AR23" i="32"/>
  <c r="AQ23" i="32"/>
  <c r="AP23" i="32"/>
  <c r="AO23" i="32"/>
  <c r="AN23" i="32"/>
  <c r="AM23" i="32"/>
  <c r="AL23" i="32"/>
  <c r="AK23" i="32"/>
  <c r="AJ23" i="32"/>
  <c r="AI23" i="32"/>
  <c r="AH23" i="32"/>
  <c r="AG23" i="32"/>
  <c r="AF23" i="32"/>
  <c r="AE23" i="32"/>
  <c r="AD23" i="32"/>
  <c r="AC23" i="32"/>
  <c r="AB23" i="32"/>
  <c r="AA23" i="32"/>
  <c r="P23" i="32" s="1"/>
  <c r="Z23" i="32"/>
  <c r="Y23" i="32"/>
  <c r="X23" i="32"/>
  <c r="W23" i="32"/>
  <c r="L23" i="32" s="1"/>
  <c r="L21" i="32" s="1"/>
  <c r="V23" i="32"/>
  <c r="U23" i="32"/>
  <c r="J23" i="32" s="1"/>
  <c r="T23" i="32"/>
  <c r="I23" i="32" s="1"/>
  <c r="S23" i="32"/>
  <c r="H23" i="32" s="1"/>
  <c r="R23" i="32"/>
  <c r="Q23" i="32"/>
  <c r="M23" i="32"/>
  <c r="K23" i="32"/>
  <c r="G23" i="32"/>
  <c r="F23" i="32"/>
  <c r="E23" i="32"/>
  <c r="D23" i="32"/>
  <c r="C23" i="32"/>
  <c r="B23" i="32"/>
  <c r="AX22" i="32"/>
  <c r="AW22" i="32"/>
  <c r="AV22" i="32"/>
  <c r="AU22" i="32"/>
  <c r="AT22" i="32"/>
  <c r="AS22" i="32"/>
  <c r="AR22" i="32"/>
  <c r="AQ22" i="32"/>
  <c r="AP22" i="32"/>
  <c r="AO22" i="32"/>
  <c r="AN22" i="32"/>
  <c r="AM22" i="32"/>
  <c r="AL22" i="32"/>
  <c r="AK22" i="32"/>
  <c r="AJ22" i="32"/>
  <c r="AI22" i="32"/>
  <c r="AH22" i="32"/>
  <c r="AG22" i="32"/>
  <c r="AF22" i="32"/>
  <c r="AE22" i="32"/>
  <c r="AD22" i="32"/>
  <c r="AC22" i="32"/>
  <c r="AB22" i="32"/>
  <c r="AA22" i="32"/>
  <c r="Z22" i="32"/>
  <c r="Y22" i="32"/>
  <c r="X22" i="32"/>
  <c r="M22" i="32" s="1"/>
  <c r="W22" i="32"/>
  <c r="V22" i="32"/>
  <c r="K22" i="32" s="1"/>
  <c r="K21" i="32" s="1"/>
  <c r="U22" i="32"/>
  <c r="J22" i="32" s="1"/>
  <c r="J21" i="32" s="1"/>
  <c r="T22" i="32"/>
  <c r="I22" i="32" s="1"/>
  <c r="S22" i="32"/>
  <c r="R22" i="32"/>
  <c r="Q22" i="32"/>
  <c r="F22" i="32" s="1"/>
  <c r="F21" i="32" s="1"/>
  <c r="F20" i="32" s="1"/>
  <c r="P22" i="32"/>
  <c r="O22" i="32"/>
  <c r="N22" i="32"/>
  <c r="L22" i="32"/>
  <c r="H22" i="32"/>
  <c r="G22" i="32"/>
  <c r="E22" i="32"/>
  <c r="D22" i="32"/>
  <c r="C22" i="32"/>
  <c r="B22" i="32"/>
  <c r="AX21" i="32"/>
  <c r="AW21" i="32"/>
  <c r="AV21" i="32"/>
  <c r="AU21" i="32"/>
  <c r="AT21" i="32"/>
  <c r="AS21" i="32"/>
  <c r="AS20" i="32" s="1"/>
  <c r="AR21" i="32"/>
  <c r="AR20" i="32" s="1"/>
  <c r="AQ21" i="32"/>
  <c r="AP21" i="32"/>
  <c r="AO21" i="32"/>
  <c r="AN21" i="32"/>
  <c r="AN20" i="32" s="1"/>
  <c r="AM21" i="32"/>
  <c r="AL21" i="32"/>
  <c r="AK21" i="32"/>
  <c r="AJ21" i="32"/>
  <c r="AI21" i="32"/>
  <c r="AH21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E21" i="32"/>
  <c r="E20" i="32" s="1"/>
  <c r="D21" i="32"/>
  <c r="C21" i="32"/>
  <c r="B21" i="32"/>
  <c r="AQ20" i="32"/>
  <c r="AP20" i="32"/>
  <c r="AO20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D20" i="32"/>
  <c r="C20" i="32"/>
  <c r="B32" i="61" s="1"/>
  <c r="B20" i="32"/>
  <c r="A32" i="61" s="1"/>
  <c r="AY19" i="32"/>
  <c r="AX19" i="32"/>
  <c r="AW19" i="32"/>
  <c r="AV19" i="32"/>
  <c r="AU19" i="32"/>
  <c r="AT19" i="32"/>
  <c r="AS19" i="32"/>
  <c r="AR19" i="32"/>
  <c r="AQ19" i="32"/>
  <c r="AP19" i="32"/>
  <c r="AO19" i="32"/>
  <c r="AN19" i="32"/>
  <c r="AM19" i="32"/>
  <c r="AL19" i="32"/>
  <c r="AK19" i="32"/>
  <c r="AJ19" i="32"/>
  <c r="AI19" i="32"/>
  <c r="AH19" i="32"/>
  <c r="AG19" i="32"/>
  <c r="AF19" i="32"/>
  <c r="AE19" i="32"/>
  <c r="AD19" i="32"/>
  <c r="AC19" i="32"/>
  <c r="AB19" i="32"/>
  <c r="AA19" i="32"/>
  <c r="P19" i="32" s="1"/>
  <c r="P18" i="32" s="1"/>
  <c r="Z19" i="32"/>
  <c r="Y19" i="32"/>
  <c r="N19" i="32" s="1"/>
  <c r="N18" i="32" s="1"/>
  <c r="X19" i="32"/>
  <c r="M19" i="32" s="1"/>
  <c r="M18" i="32" s="1"/>
  <c r="W19" i="32"/>
  <c r="L19" i="32" s="1"/>
  <c r="L18" i="32" s="1"/>
  <c r="V19" i="32"/>
  <c r="U19" i="32"/>
  <c r="T19" i="32"/>
  <c r="I19" i="32" s="1"/>
  <c r="I18" i="32" s="1"/>
  <c r="S19" i="32"/>
  <c r="H19" i="32" s="1"/>
  <c r="R19" i="32"/>
  <c r="F19" i="32" s="1"/>
  <c r="F18" i="32" s="1"/>
  <c r="Q19" i="32"/>
  <c r="O19" i="32"/>
  <c r="K19" i="32"/>
  <c r="K18" i="32" s="1"/>
  <c r="J19" i="32"/>
  <c r="J18" i="32" s="1"/>
  <c r="E19" i="32"/>
  <c r="D19" i="32"/>
  <c r="C19" i="32"/>
  <c r="B19" i="32"/>
  <c r="AY18" i="32"/>
  <c r="AX18" i="32"/>
  <c r="AW18" i="32"/>
  <c r="AV18" i="32"/>
  <c r="AU18" i="32"/>
  <c r="AT18" i="32"/>
  <c r="AS18" i="32"/>
  <c r="AR18" i="32"/>
  <c r="AQ18" i="32"/>
  <c r="AP18" i="32"/>
  <c r="AO18" i="32"/>
  <c r="AN18" i="32"/>
  <c r="AM18" i="32"/>
  <c r="AL18" i="32"/>
  <c r="AK18" i="32"/>
  <c r="AJ18" i="32"/>
  <c r="AI18" i="32"/>
  <c r="AH18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O18" i="32"/>
  <c r="H18" i="32"/>
  <c r="E18" i="32"/>
  <c r="D18" i="32"/>
  <c r="C18" i="32"/>
  <c r="B31" i="61" s="1"/>
  <c r="B18" i="32"/>
  <c r="A31" i="61" s="1"/>
  <c r="AX17" i="32"/>
  <c r="AY17" i="32" s="1"/>
  <c r="AW17" i="32"/>
  <c r="AV17" i="32"/>
  <c r="AU17" i="32"/>
  <c r="AT17" i="32"/>
  <c r="AS17" i="32"/>
  <c r="AR17" i="32"/>
  <c r="AQ17" i="32"/>
  <c r="AP17" i="32"/>
  <c r="AO17" i="32"/>
  <c r="AN17" i="32"/>
  <c r="AM17" i="32"/>
  <c r="AL17" i="32"/>
  <c r="AK17" i="32"/>
  <c r="AJ17" i="32"/>
  <c r="AI17" i="32"/>
  <c r="AH17" i="32"/>
  <c r="AG17" i="32"/>
  <c r="AF17" i="32"/>
  <c r="AE17" i="32"/>
  <c r="AD17" i="32"/>
  <c r="AC17" i="32"/>
  <c r="AB17" i="32"/>
  <c r="AA17" i="32"/>
  <c r="Z17" i="32"/>
  <c r="O17" i="32" s="1"/>
  <c r="O16" i="32" s="1"/>
  <c r="Y17" i="32"/>
  <c r="N17" i="32" s="1"/>
  <c r="N16" i="32" s="1"/>
  <c r="X17" i="32"/>
  <c r="W17" i="32"/>
  <c r="V17" i="32"/>
  <c r="K17" i="32" s="1"/>
  <c r="K16" i="32" s="1"/>
  <c r="U17" i="32"/>
  <c r="J17" i="32" s="1"/>
  <c r="T17" i="32"/>
  <c r="S17" i="32"/>
  <c r="R17" i="32"/>
  <c r="Q17" i="32"/>
  <c r="F17" i="32" s="1"/>
  <c r="F16" i="32" s="1"/>
  <c r="P17" i="32"/>
  <c r="M17" i="32"/>
  <c r="M16" i="32" s="1"/>
  <c r="L17" i="32"/>
  <c r="L16" i="32" s="1"/>
  <c r="I17" i="32"/>
  <c r="H17" i="32"/>
  <c r="H16" i="32" s="1"/>
  <c r="G17" i="32"/>
  <c r="G16" i="32" s="1"/>
  <c r="E17" i="32"/>
  <c r="D17" i="32"/>
  <c r="C17" i="32"/>
  <c r="B17" i="32"/>
  <c r="AX16" i="32"/>
  <c r="AW16" i="32"/>
  <c r="AV16" i="32"/>
  <c r="AU16" i="32"/>
  <c r="AT16" i="32"/>
  <c r="AS16" i="32"/>
  <c r="AR16" i="32"/>
  <c r="AQ16" i="32"/>
  <c r="AP16" i="32"/>
  <c r="AO16" i="32"/>
  <c r="AN16" i="32"/>
  <c r="AM16" i="32"/>
  <c r="AL16" i="32"/>
  <c r="AK16" i="32"/>
  <c r="AJ16" i="32"/>
  <c r="AI16" i="32"/>
  <c r="AH16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J16" i="32"/>
  <c r="I16" i="32"/>
  <c r="E16" i="32"/>
  <c r="D16" i="32"/>
  <c r="C16" i="32"/>
  <c r="B30" i="61" s="1"/>
  <c r="B16" i="32"/>
  <c r="A30" i="61" s="1"/>
  <c r="BJ15" i="32"/>
  <c r="BJ14" i="32" s="1"/>
  <c r="BI15" i="32"/>
  <c r="BH15" i="32"/>
  <c r="BG15" i="32"/>
  <c r="BG14" i="32" s="1"/>
  <c r="BF15" i="32"/>
  <c r="BF14" i="32" s="1"/>
  <c r="BE15" i="32"/>
  <c r="BE14" i="32" s="1"/>
  <c r="BD15" i="32"/>
  <c r="BC15" i="32"/>
  <c r="BB15" i="32"/>
  <c r="BA15" i="32"/>
  <c r="AZ15" i="32"/>
  <c r="AY15" i="32"/>
  <c r="BQ15" i="32" s="1"/>
  <c r="BQ14" i="32" s="1"/>
  <c r="AX15" i="32"/>
  <c r="AW15" i="32"/>
  <c r="AV15" i="32"/>
  <c r="AU15" i="32"/>
  <c r="AT15" i="32"/>
  <c r="AS15" i="32"/>
  <c r="AR15" i="32"/>
  <c r="AQ15" i="32"/>
  <c r="AP15" i="32"/>
  <c r="AO15" i="32"/>
  <c r="AN15" i="32"/>
  <c r="AM15" i="32"/>
  <c r="AL15" i="32"/>
  <c r="AK15" i="32"/>
  <c r="AJ15" i="32"/>
  <c r="AI15" i="32"/>
  <c r="AH15" i="32"/>
  <c r="AG15" i="32"/>
  <c r="AF15" i="32"/>
  <c r="AE15" i="32"/>
  <c r="AD15" i="32"/>
  <c r="AC15" i="32"/>
  <c r="AB15" i="32"/>
  <c r="AA15" i="32"/>
  <c r="P15" i="32" s="1"/>
  <c r="P14" i="32" s="1"/>
  <c r="Z15" i="32"/>
  <c r="Y15" i="32"/>
  <c r="X15" i="32"/>
  <c r="M15" i="32" s="1"/>
  <c r="M14" i="32" s="1"/>
  <c r="W15" i="32"/>
  <c r="L15" i="32" s="1"/>
  <c r="V15" i="32"/>
  <c r="J15" i="32" s="1"/>
  <c r="J14" i="32" s="1"/>
  <c r="U15" i="32"/>
  <c r="T15" i="32"/>
  <c r="S15" i="32"/>
  <c r="H15" i="32" s="1"/>
  <c r="H14" i="32" s="1"/>
  <c r="R15" i="32"/>
  <c r="Q15" i="32"/>
  <c r="F15" i="32" s="1"/>
  <c r="F14" i="32" s="1"/>
  <c r="O15" i="32"/>
  <c r="O14" i="32" s="1"/>
  <c r="N15" i="32"/>
  <c r="N14" i="32" s="1"/>
  <c r="I15" i="32"/>
  <c r="I14" i="32" s="1"/>
  <c r="G15" i="32"/>
  <c r="E15" i="32"/>
  <c r="D15" i="32"/>
  <c r="C15" i="32"/>
  <c r="B15" i="32"/>
  <c r="BI14" i="32"/>
  <c r="BH14" i="32"/>
  <c r="BD14" i="32"/>
  <c r="BC14" i="32"/>
  <c r="BB14" i="32"/>
  <c r="BA14" i="32"/>
  <c r="AZ14" i="32"/>
  <c r="AX14" i="32"/>
  <c r="AW14" i="32"/>
  <c r="AV14" i="32"/>
  <c r="AU14" i="32"/>
  <c r="AT14" i="32"/>
  <c r="AS14" i="32"/>
  <c r="AR14" i="32"/>
  <c r="AQ14" i="32"/>
  <c r="AP14" i="32"/>
  <c r="AO14" i="32"/>
  <c r="AN14" i="32"/>
  <c r="AM14" i="32"/>
  <c r="AL14" i="32"/>
  <c r="AK14" i="32"/>
  <c r="AJ14" i="32"/>
  <c r="AI14" i="32"/>
  <c r="AH14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L14" i="32"/>
  <c r="G14" i="32"/>
  <c r="E14" i="32"/>
  <c r="D14" i="32"/>
  <c r="C14" i="32"/>
  <c r="B14" i="32"/>
  <c r="AX13" i="32"/>
  <c r="AW13" i="32"/>
  <c r="AV13" i="32"/>
  <c r="AU13" i="32"/>
  <c r="AT13" i="32"/>
  <c r="AS13" i="32"/>
  <c r="AR13" i="32"/>
  <c r="AQ13" i="32"/>
  <c r="AP13" i="32"/>
  <c r="AO13" i="32"/>
  <c r="AN13" i="32"/>
  <c r="AM13" i="32"/>
  <c r="AL13" i="32"/>
  <c r="AK13" i="32"/>
  <c r="AJ13" i="32"/>
  <c r="AI13" i="32"/>
  <c r="AH13" i="32"/>
  <c r="AG13" i="32"/>
  <c r="AF13" i="32"/>
  <c r="AE13" i="32"/>
  <c r="AD13" i="32"/>
  <c r="AC13" i="32"/>
  <c r="AB13" i="32"/>
  <c r="AA13" i="32"/>
  <c r="Z13" i="32"/>
  <c r="O13" i="32" s="1"/>
  <c r="O12" i="32" s="1"/>
  <c r="Y13" i="32"/>
  <c r="N13" i="32" s="1"/>
  <c r="N12" i="32" s="1"/>
  <c r="X13" i="32"/>
  <c r="L13" i="32" s="1"/>
  <c r="L12" i="32" s="1"/>
  <c r="W13" i="32"/>
  <c r="V13" i="32"/>
  <c r="U13" i="32"/>
  <c r="J13" i="32" s="1"/>
  <c r="J12" i="32" s="1"/>
  <c r="T13" i="32"/>
  <c r="S13" i="32"/>
  <c r="R13" i="32"/>
  <c r="G13" i="32" s="1"/>
  <c r="G12" i="32" s="1"/>
  <c r="Q13" i="32"/>
  <c r="F13" i="32" s="1"/>
  <c r="F12" i="32" s="1"/>
  <c r="P13" i="32"/>
  <c r="P12" i="32" s="1"/>
  <c r="K13" i="32"/>
  <c r="K12" i="32" s="1"/>
  <c r="K9" i="32" s="1"/>
  <c r="I13" i="32"/>
  <c r="H13" i="32"/>
  <c r="E13" i="32"/>
  <c r="E12" i="32" s="1"/>
  <c r="E9" i="32" s="1"/>
  <c r="D13" i="32"/>
  <c r="C13" i="32"/>
  <c r="B13" i="32"/>
  <c r="AX12" i="32"/>
  <c r="AW12" i="32"/>
  <c r="AV12" i="32"/>
  <c r="AU12" i="32"/>
  <c r="AT12" i="32"/>
  <c r="AS12" i="32"/>
  <c r="AR12" i="32"/>
  <c r="AQ12" i="32"/>
  <c r="AP12" i="32"/>
  <c r="AO12" i="32"/>
  <c r="AN12" i="32"/>
  <c r="AM12" i="32"/>
  <c r="AL12" i="32"/>
  <c r="AK12" i="32"/>
  <c r="AJ12" i="32"/>
  <c r="AI12" i="32"/>
  <c r="AH12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I12" i="32"/>
  <c r="H12" i="32"/>
  <c r="D12" i="32"/>
  <c r="C12" i="32"/>
  <c r="B12" i="32"/>
  <c r="AX11" i="32"/>
  <c r="AW11" i="32"/>
  <c r="AV11" i="32"/>
  <c r="AU11" i="32"/>
  <c r="AT11" i="32"/>
  <c r="AS11" i="32"/>
  <c r="AR11" i="32"/>
  <c r="AQ11" i="32"/>
  <c r="AP11" i="32"/>
  <c r="AO11" i="32"/>
  <c r="AN11" i="32"/>
  <c r="AM11" i="32"/>
  <c r="AL11" i="32"/>
  <c r="AK11" i="32"/>
  <c r="AJ11" i="32"/>
  <c r="AI11" i="32"/>
  <c r="AH11" i="32"/>
  <c r="AG11" i="32"/>
  <c r="AF11" i="32"/>
  <c r="AE11" i="32"/>
  <c r="AD11" i="32"/>
  <c r="AC11" i="32"/>
  <c r="AB11" i="32"/>
  <c r="AA11" i="32"/>
  <c r="P11" i="32" s="1"/>
  <c r="Z11" i="32"/>
  <c r="Y11" i="32"/>
  <c r="X11" i="32"/>
  <c r="W11" i="32"/>
  <c r="L11" i="32" s="1"/>
  <c r="V11" i="32"/>
  <c r="U11" i="32"/>
  <c r="T11" i="32"/>
  <c r="I11" i="32" s="1"/>
  <c r="S11" i="32"/>
  <c r="H11" i="32" s="1"/>
  <c r="H9" i="32" s="1"/>
  <c r="H8" i="32" s="1"/>
  <c r="R11" i="32"/>
  <c r="Q11" i="32"/>
  <c r="N11" i="32"/>
  <c r="M11" i="32"/>
  <c r="K11" i="32"/>
  <c r="J11" i="32"/>
  <c r="G11" i="32"/>
  <c r="F11" i="32"/>
  <c r="E11" i="32"/>
  <c r="D11" i="32"/>
  <c r="C11" i="32"/>
  <c r="B11" i="32"/>
  <c r="BL10" i="32"/>
  <c r="AZ10" i="32"/>
  <c r="BA10" i="32" s="1"/>
  <c r="BB10" i="32" s="1"/>
  <c r="AY10" i="32"/>
  <c r="AX10" i="32"/>
  <c r="AW10" i="32"/>
  <c r="AV10" i="32"/>
  <c r="AU10" i="32"/>
  <c r="AT10" i="32"/>
  <c r="AS10" i="32"/>
  <c r="AR10" i="32"/>
  <c r="AQ10" i="32"/>
  <c r="AP10" i="32"/>
  <c r="AO10" i="32"/>
  <c r="AN10" i="32"/>
  <c r="AM10" i="32"/>
  <c r="AL10" i="32"/>
  <c r="AK10" i="32"/>
  <c r="AJ10" i="32"/>
  <c r="AI10" i="32"/>
  <c r="AH10" i="32"/>
  <c r="AG10" i="32"/>
  <c r="AF10" i="32"/>
  <c r="AE10" i="32"/>
  <c r="AD10" i="32"/>
  <c r="AC10" i="32"/>
  <c r="AB10" i="32"/>
  <c r="AA10" i="32"/>
  <c r="Z10" i="32"/>
  <c r="Y10" i="32"/>
  <c r="X10" i="32"/>
  <c r="M10" i="32" s="1"/>
  <c r="W10" i="32"/>
  <c r="V10" i="32"/>
  <c r="U10" i="32"/>
  <c r="J10" i="32" s="1"/>
  <c r="T10" i="32"/>
  <c r="I10" i="32" s="1"/>
  <c r="I9" i="32" s="1"/>
  <c r="I8" i="32" s="1"/>
  <c r="S10" i="32"/>
  <c r="R10" i="32"/>
  <c r="Q10" i="32"/>
  <c r="F10" i="32" s="1"/>
  <c r="P10" i="32"/>
  <c r="O10" i="32"/>
  <c r="N10" i="32"/>
  <c r="L10" i="32"/>
  <c r="K10" i="32"/>
  <c r="H10" i="32"/>
  <c r="G10" i="32"/>
  <c r="G9" i="32" s="1"/>
  <c r="G8" i="32" s="1"/>
  <c r="E10" i="32"/>
  <c r="D10" i="32"/>
  <c r="C10" i="32"/>
  <c r="B10" i="32"/>
  <c r="AX9" i="32"/>
  <c r="AW9" i="32"/>
  <c r="AV9" i="32"/>
  <c r="AU9" i="32"/>
  <c r="AT9" i="32"/>
  <c r="AS9" i="32"/>
  <c r="AR9" i="32"/>
  <c r="AQ9" i="32"/>
  <c r="AP9" i="32"/>
  <c r="AO9" i="32"/>
  <c r="AN9" i="32"/>
  <c r="AM9" i="32"/>
  <c r="AL9" i="32"/>
  <c r="AK9" i="32"/>
  <c r="AJ9" i="32"/>
  <c r="AI9" i="32"/>
  <c r="AH9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P8" i="32" s="1"/>
  <c r="D9" i="32"/>
  <c r="C9" i="32"/>
  <c r="B9" i="32"/>
  <c r="AX8" i="32"/>
  <c r="AW8" i="32"/>
  <c r="AV8" i="32"/>
  <c r="AU8" i="32"/>
  <c r="AT8" i="32"/>
  <c r="AS8" i="32"/>
  <c r="AR8" i="32"/>
  <c r="AQ8" i="32"/>
  <c r="AP8" i="32"/>
  <c r="AO8" i="32"/>
  <c r="AN8" i="32"/>
  <c r="AN205" i="32" s="1"/>
  <c r="AM8" i="32"/>
  <c r="AM205" i="32" s="1"/>
  <c r="AL8" i="32"/>
  <c r="AL205" i="32" s="1"/>
  <c r="AK8" i="32"/>
  <c r="AK205" i="32" s="1"/>
  <c r="AJ8" i="32"/>
  <c r="AJ205" i="32" s="1"/>
  <c r="AI8" i="32"/>
  <c r="AI205" i="32" s="1"/>
  <c r="AH8" i="32"/>
  <c r="AH205" i="32" s="1"/>
  <c r="AG8" i="32"/>
  <c r="AG205" i="32" s="1"/>
  <c r="AF8" i="32"/>
  <c r="AF205" i="32" s="1"/>
  <c r="AE8" i="32"/>
  <c r="AE205" i="32" s="1"/>
  <c r="AD8" i="32"/>
  <c r="AD205" i="32" s="1"/>
  <c r="AC8" i="32"/>
  <c r="AC205" i="32" s="1"/>
  <c r="AB8" i="32"/>
  <c r="AB205" i="32" s="1"/>
  <c r="AA8" i="32"/>
  <c r="AA205" i="32" s="1"/>
  <c r="Z8" i="32"/>
  <c r="Z205" i="32" s="1"/>
  <c r="Y8" i="32"/>
  <c r="Y205" i="32" s="1"/>
  <c r="X8" i="32"/>
  <c r="X205" i="32" s="1"/>
  <c r="W8" i="32"/>
  <c r="W205" i="32" s="1"/>
  <c r="V8" i="32"/>
  <c r="V205" i="32" s="1"/>
  <c r="U8" i="32"/>
  <c r="U205" i="32" s="1"/>
  <c r="T8" i="32"/>
  <c r="T205" i="32" s="1"/>
  <c r="S8" i="32"/>
  <c r="S205" i="32" s="1"/>
  <c r="R8" i="32"/>
  <c r="R205" i="32" s="1"/>
  <c r="Q8" i="32"/>
  <c r="Q205" i="32" s="1"/>
  <c r="E8" i="32"/>
  <c r="D8" i="32"/>
  <c r="D205" i="32" s="1"/>
  <c r="C8" i="32"/>
  <c r="B29" i="61" s="1"/>
  <c r="B8" i="32"/>
  <c r="A29" i="61" s="1"/>
  <c r="AV7" i="32"/>
  <c r="AQ7" i="32"/>
  <c r="AM7" i="32"/>
  <c r="AJ7" i="32"/>
  <c r="AE7" i="32"/>
  <c r="AA7" i="32"/>
  <c r="X7" i="32"/>
  <c r="S7" i="32"/>
  <c r="AX6" i="32"/>
  <c r="AX7" i="32" s="1"/>
  <c r="AW6" i="32"/>
  <c r="AW7" i="32" s="1"/>
  <c r="AV6" i="32"/>
  <c r="AU6" i="32"/>
  <c r="AU7" i="32" s="1"/>
  <c r="AT6" i="32"/>
  <c r="AT7" i="32" s="1"/>
  <c r="AS6" i="32"/>
  <c r="AS7" i="32" s="1"/>
  <c r="AR6" i="32"/>
  <c r="AR7" i="32" s="1"/>
  <c r="AQ6" i="32"/>
  <c r="AP6" i="32"/>
  <c r="AP7" i="32" s="1"/>
  <c r="AO6" i="32"/>
  <c r="AO7" i="32" s="1"/>
  <c r="AN6" i="32"/>
  <c r="AN7" i="32" s="1"/>
  <c r="AM6" i="32"/>
  <c r="AL6" i="32"/>
  <c r="AL7" i="32" s="1"/>
  <c r="AK6" i="32"/>
  <c r="AK7" i="32" s="1"/>
  <c r="AJ6" i="32"/>
  <c r="AI6" i="32"/>
  <c r="AI7" i="32" s="1"/>
  <c r="AH6" i="32"/>
  <c r="AH7" i="32" s="1"/>
  <c r="AG6" i="32"/>
  <c r="AG7" i="32" s="1"/>
  <c r="AF6" i="32"/>
  <c r="AF7" i="32" s="1"/>
  <c r="AE6" i="32"/>
  <c r="AD6" i="32"/>
  <c r="AD7" i="32" s="1"/>
  <c r="AC6" i="32"/>
  <c r="AC7" i="32" s="1"/>
  <c r="AB6" i="32"/>
  <c r="AB7" i="32" s="1"/>
  <c r="AA6" i="32"/>
  <c r="Z6" i="32"/>
  <c r="Z7" i="32" s="1"/>
  <c r="Y6" i="32"/>
  <c r="Y7" i="32" s="1"/>
  <c r="X6" i="32"/>
  <c r="W6" i="32"/>
  <c r="W7" i="32" s="1"/>
  <c r="V6" i="32"/>
  <c r="V7" i="32" s="1"/>
  <c r="V200" i="32" s="1"/>
  <c r="U6" i="32"/>
  <c r="U7" i="32" s="1"/>
  <c r="T6" i="32"/>
  <c r="T7" i="32" s="1"/>
  <c r="S6" i="32"/>
  <c r="R6" i="32"/>
  <c r="R7" i="32" s="1"/>
  <c r="Q6" i="32"/>
  <c r="Q7" i="32" s="1"/>
  <c r="D6" i="32"/>
  <c r="D7" i="32" s="1"/>
  <c r="C6" i="32"/>
  <c r="B6" i="32"/>
  <c r="AN5" i="32"/>
  <c r="AL5" i="32"/>
  <c r="AJ5" i="32"/>
  <c r="AH5" i="32"/>
  <c r="AG5" i="32"/>
  <c r="AF5" i="32"/>
  <c r="AE5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D5" i="32"/>
  <c r="T4" i="32"/>
  <c r="S4" i="32"/>
  <c r="R4" i="32"/>
  <c r="Q4" i="32"/>
  <c r="D4" i="32"/>
  <c r="B2" i="32"/>
  <c r="B1" i="32"/>
  <c r="AZ375" i="21"/>
  <c r="AY375" i="21"/>
  <c r="AZ374" i="21"/>
  <c r="AY374" i="21"/>
  <c r="AZ373" i="21"/>
  <c r="AY373" i="21"/>
  <c r="AZ371" i="21"/>
  <c r="AY371" i="21"/>
  <c r="AL358" i="21"/>
  <c r="AK358" i="21"/>
  <c r="AJ358" i="21"/>
  <c r="AI358" i="21"/>
  <c r="AH358" i="21"/>
  <c r="AG358" i="21"/>
  <c r="AF358" i="21"/>
  <c r="AE358" i="21"/>
  <c r="AD358" i="21"/>
  <c r="AC358" i="21"/>
  <c r="P358" i="21"/>
  <c r="O358" i="21"/>
  <c r="N358" i="21"/>
  <c r="M358" i="21"/>
  <c r="L358" i="21"/>
  <c r="K358" i="21"/>
  <c r="J358" i="21"/>
  <c r="I358" i="21"/>
  <c r="H358" i="21"/>
  <c r="G358" i="21"/>
  <c r="F358" i="21"/>
  <c r="E358" i="21"/>
  <c r="D358" i="21"/>
  <c r="AZ352" i="21"/>
  <c r="AY352" i="21"/>
  <c r="AZ351" i="21"/>
  <c r="AY351" i="21"/>
  <c r="AZ344" i="21"/>
  <c r="AY344" i="21"/>
  <c r="AZ343" i="21"/>
  <c r="AY343" i="21"/>
  <c r="AZ342" i="21"/>
  <c r="AY342" i="21"/>
  <c r="AY330" i="21"/>
  <c r="AX330" i="21"/>
  <c r="AW330" i="21"/>
  <c r="AV330" i="21"/>
  <c r="AU330" i="21"/>
  <c r="AT330" i="21"/>
  <c r="AS330" i="21"/>
  <c r="AR330" i="21"/>
  <c r="AQ330" i="21"/>
  <c r="AP330" i="21"/>
  <c r="AO330" i="21"/>
  <c r="AN330" i="21"/>
  <c r="AM330" i="21"/>
  <c r="AD317" i="21"/>
  <c r="AL316" i="21"/>
  <c r="AK316" i="21"/>
  <c r="AJ316" i="21"/>
  <c r="AI316" i="21"/>
  <c r="AH316" i="21"/>
  <c r="AG316" i="21"/>
  <c r="AF316" i="21"/>
  <c r="AE316" i="21"/>
  <c r="AD316" i="21"/>
  <c r="AC316" i="21"/>
  <c r="O316" i="21"/>
  <c r="N316" i="21"/>
  <c r="M316" i="21"/>
  <c r="L316" i="21"/>
  <c r="K316" i="21"/>
  <c r="J316" i="21"/>
  <c r="I316" i="21"/>
  <c r="H316" i="21"/>
  <c r="G316" i="21"/>
  <c r="F316" i="21"/>
  <c r="E316" i="21"/>
  <c r="D316" i="21"/>
  <c r="AJ312" i="21"/>
  <c r="AJ313" i="21" s="1"/>
  <c r="O311" i="21"/>
  <c r="N311" i="21"/>
  <c r="AL310" i="21"/>
  <c r="AK310" i="21"/>
  <c r="AJ310" i="21"/>
  <c r="AI310" i="21"/>
  <c r="AH310" i="21"/>
  <c r="AG310" i="21"/>
  <c r="AF310" i="21"/>
  <c r="AE310" i="21"/>
  <c r="AD310" i="21"/>
  <c r="AC310" i="21"/>
  <c r="O310" i="21"/>
  <c r="N310" i="21"/>
  <c r="M310" i="21"/>
  <c r="L310" i="21"/>
  <c r="K310" i="21"/>
  <c r="J310" i="21"/>
  <c r="I310" i="21"/>
  <c r="H310" i="21"/>
  <c r="G310" i="21"/>
  <c r="F310" i="21"/>
  <c r="E310" i="21"/>
  <c r="D310" i="21"/>
  <c r="AL309" i="21"/>
  <c r="AK309" i="21"/>
  <c r="AJ309" i="21"/>
  <c r="AI309" i="21"/>
  <c r="AH309" i="21"/>
  <c r="AG309" i="21"/>
  <c r="AF309" i="21"/>
  <c r="AE309" i="21"/>
  <c r="AD309" i="21"/>
  <c r="AC309" i="21"/>
  <c r="O309" i="21"/>
  <c r="N309" i="21"/>
  <c r="M309" i="21"/>
  <c r="L309" i="21"/>
  <c r="K309" i="21"/>
  <c r="J309" i="21"/>
  <c r="I309" i="21"/>
  <c r="H309" i="21"/>
  <c r="G309" i="21"/>
  <c r="F309" i="21"/>
  <c r="E309" i="21"/>
  <c r="D309" i="21"/>
  <c r="AX308" i="21"/>
  <c r="AY308" i="21" s="1"/>
  <c r="AW308" i="21"/>
  <c r="AV308" i="21"/>
  <c r="AU308" i="21"/>
  <c r="AT308" i="21"/>
  <c r="AS308" i="21"/>
  <c r="AR308" i="21"/>
  <c r="AQ308" i="21"/>
  <c r="AP308" i="21"/>
  <c r="AO308" i="21"/>
  <c r="AN308" i="21"/>
  <c r="AM308" i="21"/>
  <c r="AL308" i="21"/>
  <c r="AK308" i="21"/>
  <c r="AK312" i="21" s="1"/>
  <c r="AK313" i="21" s="1"/>
  <c r="AJ308" i="21"/>
  <c r="AI308" i="21"/>
  <c r="AH308" i="21"/>
  <c r="AG308" i="21"/>
  <c r="AF308" i="21"/>
  <c r="AE308" i="21"/>
  <c r="AD308" i="21"/>
  <c r="AC308" i="21"/>
  <c r="AB308" i="21"/>
  <c r="AA308" i="21"/>
  <c r="Z308" i="21"/>
  <c r="Y308" i="21"/>
  <c r="X308" i="21"/>
  <c r="W308" i="21"/>
  <c r="V308" i="21"/>
  <c r="U308" i="21"/>
  <c r="T308" i="21"/>
  <c r="S308" i="21"/>
  <c r="R308" i="21"/>
  <c r="Q308" i="21"/>
  <c r="P308" i="21"/>
  <c r="O308" i="21"/>
  <c r="N308" i="21"/>
  <c r="N312" i="21" s="1"/>
  <c r="N313" i="21" s="1"/>
  <c r="M308" i="21"/>
  <c r="L308" i="21"/>
  <c r="K308" i="21"/>
  <c r="J308" i="21"/>
  <c r="I308" i="21"/>
  <c r="H308" i="21"/>
  <c r="G308" i="21"/>
  <c r="F308" i="21"/>
  <c r="E308" i="21"/>
  <c r="D308" i="21"/>
  <c r="AX307" i="21"/>
  <c r="AZ307" i="21" s="1"/>
  <c r="AW307" i="21"/>
  <c r="AV307" i="21"/>
  <c r="AU307" i="21"/>
  <c r="AT307" i="21"/>
  <c r="AS307" i="21"/>
  <c r="AR307" i="21"/>
  <c r="AQ307" i="21"/>
  <c r="AP307" i="21"/>
  <c r="AO307" i="21"/>
  <c r="AN307" i="21"/>
  <c r="AM307" i="21"/>
  <c r="AL307" i="21"/>
  <c r="AK307" i="21"/>
  <c r="AJ307" i="21"/>
  <c r="AI307" i="21"/>
  <c r="AH307" i="21"/>
  <c r="AG307" i="21"/>
  <c r="AF307" i="21"/>
  <c r="AE307" i="21"/>
  <c r="AD307" i="21"/>
  <c r="AC307" i="21"/>
  <c r="AB307" i="21"/>
  <c r="AA307" i="21"/>
  <c r="Z307" i="21"/>
  <c r="Y307" i="21"/>
  <c r="X307" i="21"/>
  <c r="W307" i="21"/>
  <c r="V307" i="21"/>
  <c r="U307" i="21"/>
  <c r="T307" i="21"/>
  <c r="S307" i="21"/>
  <c r="R307" i="21"/>
  <c r="Q307" i="21"/>
  <c r="P307" i="21"/>
  <c r="O307" i="21"/>
  <c r="N307" i="21"/>
  <c r="M307" i="21"/>
  <c r="L307" i="21"/>
  <c r="K307" i="21"/>
  <c r="J307" i="21"/>
  <c r="I307" i="21"/>
  <c r="H307" i="21"/>
  <c r="G307" i="21"/>
  <c r="F307" i="21"/>
  <c r="E307" i="21"/>
  <c r="D307" i="21"/>
  <c r="AL306" i="21"/>
  <c r="AK306" i="21"/>
  <c r="AJ306" i="21"/>
  <c r="AI306" i="21"/>
  <c r="AH306" i="21"/>
  <c r="AG306" i="21"/>
  <c r="AF306" i="21"/>
  <c r="AE306" i="21"/>
  <c r="AD306" i="21"/>
  <c r="AC306" i="21"/>
  <c r="O306" i="21"/>
  <c r="O312" i="21" s="1"/>
  <c r="O313" i="21" s="1"/>
  <c r="N306" i="21"/>
  <c r="M306" i="21"/>
  <c r="L306" i="21"/>
  <c r="K306" i="21"/>
  <c r="J306" i="21"/>
  <c r="I306" i="21"/>
  <c r="H306" i="21"/>
  <c r="G306" i="21"/>
  <c r="F306" i="21"/>
  <c r="E306" i="21"/>
  <c r="D306" i="21"/>
  <c r="AL305" i="21"/>
  <c r="AK305" i="21"/>
  <c r="AJ305" i="21"/>
  <c r="AI305" i="21"/>
  <c r="AH305" i="21"/>
  <c r="AG305" i="21"/>
  <c r="AF305" i="21"/>
  <c r="AE305" i="21"/>
  <c r="AD305" i="21"/>
  <c r="AC305" i="21"/>
  <c r="O305" i="21"/>
  <c r="N305" i="21"/>
  <c r="M305" i="21"/>
  <c r="L305" i="21"/>
  <c r="K305" i="21"/>
  <c r="J305" i="21"/>
  <c r="I305" i="21"/>
  <c r="H305" i="21"/>
  <c r="G305" i="21"/>
  <c r="F305" i="21"/>
  <c r="E305" i="21"/>
  <c r="D305" i="21"/>
  <c r="D311" i="21" s="1"/>
  <c r="AL304" i="21"/>
  <c r="AK304" i="21"/>
  <c r="AJ304" i="21"/>
  <c r="AI304" i="21"/>
  <c r="AH304" i="21"/>
  <c r="AH312" i="21" s="1"/>
  <c r="AH313" i="21" s="1"/>
  <c r="AG304" i="21"/>
  <c r="AG312" i="21" s="1"/>
  <c r="AG313" i="21" s="1"/>
  <c r="AF304" i="21"/>
  <c r="AE304" i="21"/>
  <c r="AD304" i="21"/>
  <c r="AC304" i="21"/>
  <c r="O304" i="21"/>
  <c r="N304" i="21"/>
  <c r="M304" i="21"/>
  <c r="L304" i="21"/>
  <c r="K304" i="21"/>
  <c r="J304" i="21"/>
  <c r="I304" i="21"/>
  <c r="H304" i="21"/>
  <c r="G304" i="21"/>
  <c r="F304" i="21"/>
  <c r="E304" i="21"/>
  <c r="E312" i="21" s="1"/>
  <c r="E313" i="21" s="1"/>
  <c r="D304" i="21"/>
  <c r="AL303" i="21"/>
  <c r="AK303" i="21"/>
  <c r="AJ303" i="21"/>
  <c r="AI303" i="21"/>
  <c r="AH303" i="21"/>
  <c r="AG303" i="21"/>
  <c r="AF303" i="21"/>
  <c r="AE303" i="21"/>
  <c r="AD303" i="21"/>
  <c r="AC303" i="21"/>
  <c r="O303" i="21"/>
  <c r="N303" i="21"/>
  <c r="M303" i="21"/>
  <c r="L303" i="21"/>
  <c r="K303" i="21"/>
  <c r="J303" i="21"/>
  <c r="I303" i="21"/>
  <c r="H303" i="21"/>
  <c r="G303" i="21"/>
  <c r="F303" i="21"/>
  <c r="E303" i="21"/>
  <c r="D303" i="21"/>
  <c r="AL302" i="21"/>
  <c r="AK302" i="21"/>
  <c r="AJ302" i="21"/>
  <c r="AI302" i="21"/>
  <c r="AH302" i="21"/>
  <c r="AG302" i="21"/>
  <c r="AF302" i="21"/>
  <c r="AF312" i="21" s="1"/>
  <c r="AF313" i="21" s="1"/>
  <c r="AE302" i="21"/>
  <c r="AE312" i="21" s="1"/>
  <c r="AE313" i="21" s="1"/>
  <c r="AD302" i="21"/>
  <c r="AD312" i="21" s="1"/>
  <c r="AD313" i="21" s="1"/>
  <c r="AC302" i="21"/>
  <c r="O302" i="21"/>
  <c r="N302" i="21"/>
  <c r="M302" i="21"/>
  <c r="M312" i="21" s="1"/>
  <c r="M313" i="21" s="1"/>
  <c r="L302" i="21"/>
  <c r="L312" i="21" s="1"/>
  <c r="L313" i="21" s="1"/>
  <c r="K302" i="21"/>
  <c r="J302" i="21"/>
  <c r="J312" i="21" s="1"/>
  <c r="J313" i="21" s="1"/>
  <c r="I302" i="21"/>
  <c r="I312" i="21" s="1"/>
  <c r="I313" i="21" s="1"/>
  <c r="H302" i="21"/>
  <c r="G302" i="21"/>
  <c r="F302" i="21"/>
  <c r="E302" i="21"/>
  <c r="D302" i="21"/>
  <c r="AL301" i="21"/>
  <c r="AL311" i="21" s="1"/>
  <c r="AK301" i="21"/>
  <c r="AK311" i="21" s="1"/>
  <c r="AJ301" i="21"/>
  <c r="AI301" i="21"/>
  <c r="AI311" i="21" s="1"/>
  <c r="AH301" i="21"/>
  <c r="AH311" i="21" s="1"/>
  <c r="AG301" i="21"/>
  <c r="AG311" i="21" s="1"/>
  <c r="AF301" i="21"/>
  <c r="AF311" i="21" s="1"/>
  <c r="AE301" i="21"/>
  <c r="AD301" i="21"/>
  <c r="AC301" i="21"/>
  <c r="AC311" i="21" s="1"/>
  <c r="O301" i="21"/>
  <c r="N301" i="21"/>
  <c r="M301" i="21"/>
  <c r="M311" i="21" s="1"/>
  <c r="L301" i="21"/>
  <c r="L311" i="21" s="1"/>
  <c r="K301" i="21"/>
  <c r="K311" i="21" s="1"/>
  <c r="J301" i="21"/>
  <c r="J311" i="21" s="1"/>
  <c r="I301" i="21"/>
  <c r="H301" i="21"/>
  <c r="G301" i="21"/>
  <c r="F301" i="21"/>
  <c r="E301" i="21"/>
  <c r="E311" i="21" s="1"/>
  <c r="D301" i="21"/>
  <c r="AH299" i="21"/>
  <c r="AF299" i="21"/>
  <c r="N299" i="21"/>
  <c r="L299" i="21"/>
  <c r="K299" i="21"/>
  <c r="AH297" i="21"/>
  <c r="AG297" i="21"/>
  <c r="AG299" i="21" s="1"/>
  <c r="N297" i="21"/>
  <c r="M297" i="21"/>
  <c r="M299" i="21" s="1"/>
  <c r="L297" i="21"/>
  <c r="K297" i="21"/>
  <c r="J297" i="21"/>
  <c r="J299" i="21" s="1"/>
  <c r="I297" i="21"/>
  <c r="I299" i="21" s="1"/>
  <c r="D297" i="21"/>
  <c r="D299" i="21" s="1"/>
  <c r="AL296" i="21"/>
  <c r="AK296" i="21"/>
  <c r="AJ296" i="21"/>
  <c r="AI296" i="21"/>
  <c r="AH296" i="21"/>
  <c r="AG296" i="21"/>
  <c r="AF296" i="21"/>
  <c r="AE296" i="21"/>
  <c r="AD296" i="21"/>
  <c r="AC296" i="21"/>
  <c r="O296" i="21"/>
  <c r="N296" i="21"/>
  <c r="M296" i="21"/>
  <c r="L296" i="21"/>
  <c r="K296" i="21"/>
  <c r="J296" i="21"/>
  <c r="I296" i="21"/>
  <c r="H296" i="21"/>
  <c r="G296" i="21"/>
  <c r="F296" i="21"/>
  <c r="E296" i="21"/>
  <c r="D296" i="21"/>
  <c r="AL295" i="21"/>
  <c r="AL297" i="21" s="1"/>
  <c r="AL299" i="21" s="1"/>
  <c r="AK295" i="21"/>
  <c r="AK297" i="21" s="1"/>
  <c r="AK299" i="21" s="1"/>
  <c r="AJ295" i="21"/>
  <c r="AJ297" i="21" s="1"/>
  <c r="AJ299" i="21" s="1"/>
  <c r="AI295" i="21"/>
  <c r="AI297" i="21" s="1"/>
  <c r="AI299" i="21" s="1"/>
  <c r="AH295" i="21"/>
  <c r="AG295" i="21"/>
  <c r="AF295" i="21"/>
  <c r="AF297" i="21" s="1"/>
  <c r="AE295" i="21"/>
  <c r="AE297" i="21" s="1"/>
  <c r="AE299" i="21" s="1"/>
  <c r="AD295" i="21"/>
  <c r="AD297" i="21" s="1"/>
  <c r="AD299" i="21" s="1"/>
  <c r="AC295" i="21"/>
  <c r="O295" i="21"/>
  <c r="O297" i="21" s="1"/>
  <c r="O299" i="21" s="1"/>
  <c r="N295" i="21"/>
  <c r="M295" i="21"/>
  <c r="L295" i="21"/>
  <c r="K295" i="21"/>
  <c r="J295" i="21"/>
  <c r="I295" i="21"/>
  <c r="H295" i="21"/>
  <c r="H297" i="21" s="1"/>
  <c r="H299" i="21" s="1"/>
  <c r="G295" i="21"/>
  <c r="G297" i="21" s="1"/>
  <c r="G299" i="21" s="1"/>
  <c r="F295" i="21"/>
  <c r="F297" i="21" s="1"/>
  <c r="F299" i="21" s="1"/>
  <c r="E295" i="21"/>
  <c r="E297" i="21" s="1"/>
  <c r="E299" i="21" s="1"/>
  <c r="D295" i="21"/>
  <c r="AZ294" i="21"/>
  <c r="AY294" i="21"/>
  <c r="AX294" i="21"/>
  <c r="AW294" i="21"/>
  <c r="AV294" i="21"/>
  <c r="AU294" i="21"/>
  <c r="AT294" i="21"/>
  <c r="AS294" i="21"/>
  <c r="AR294" i="21"/>
  <c r="AQ294" i="21"/>
  <c r="AP294" i="21"/>
  <c r="AO294" i="21"/>
  <c r="AN294" i="21"/>
  <c r="AM294" i="21"/>
  <c r="AI265" i="21"/>
  <c r="K263" i="21"/>
  <c r="K284" i="21" s="1"/>
  <c r="K286" i="21" s="1"/>
  <c r="P253" i="21"/>
  <c r="P278" i="21" s="1"/>
  <c r="P277" i="21" s="1"/>
  <c r="Y242" i="21"/>
  <c r="M242" i="21"/>
  <c r="I242" i="21"/>
  <c r="AB241" i="21"/>
  <c r="AB242" i="21" s="1"/>
  <c r="Z241" i="21"/>
  <c r="Y241" i="21"/>
  <c r="X241" i="21"/>
  <c r="X242" i="21" s="1"/>
  <c r="W241" i="21"/>
  <c r="W242" i="21" s="1"/>
  <c r="V241" i="21"/>
  <c r="U241" i="21"/>
  <c r="U242" i="21" s="1"/>
  <c r="T241" i="21"/>
  <c r="T242" i="21" s="1"/>
  <c r="S241" i="21"/>
  <c r="S242" i="21" s="1"/>
  <c r="R241" i="21"/>
  <c r="R242" i="21" s="1"/>
  <c r="Q241" i="21"/>
  <c r="Q242" i="21" s="1"/>
  <c r="P241" i="21"/>
  <c r="P242" i="21" s="1"/>
  <c r="N241" i="21"/>
  <c r="M241" i="21"/>
  <c r="L241" i="21"/>
  <c r="L242" i="21" s="1"/>
  <c r="K241" i="21"/>
  <c r="K242" i="21" s="1"/>
  <c r="J241" i="21"/>
  <c r="I241" i="21"/>
  <c r="H241" i="21"/>
  <c r="H242" i="21" s="1"/>
  <c r="G241" i="21"/>
  <c r="G242" i="21" s="1"/>
  <c r="E241" i="21"/>
  <c r="E242" i="21" s="1"/>
  <c r="AB240" i="21"/>
  <c r="AA240" i="21"/>
  <c r="Z240" i="21"/>
  <c r="Y240" i="21"/>
  <c r="X240" i="21"/>
  <c r="W240" i="21"/>
  <c r="V240" i="21"/>
  <c r="U240" i="21"/>
  <c r="T240" i="21"/>
  <c r="S240" i="21"/>
  <c r="R240" i="21"/>
  <c r="Q240" i="21"/>
  <c r="P240" i="21"/>
  <c r="O240" i="21"/>
  <c r="N240" i="21"/>
  <c r="M240" i="21"/>
  <c r="L240" i="21"/>
  <c r="K240" i="21"/>
  <c r="J240" i="21"/>
  <c r="I240" i="21"/>
  <c r="H240" i="21"/>
  <c r="G240" i="21"/>
  <c r="F240" i="21"/>
  <c r="E240" i="21"/>
  <c r="AA239" i="21"/>
  <c r="W239" i="21"/>
  <c r="O239" i="21"/>
  <c r="K239" i="21"/>
  <c r="AS235" i="21"/>
  <c r="AL235" i="21"/>
  <c r="AK235" i="21"/>
  <c r="AJ235" i="21"/>
  <c r="AI235" i="21"/>
  <c r="AH235" i="21"/>
  <c r="AG235" i="21"/>
  <c r="AF235" i="21"/>
  <c r="AE235" i="21"/>
  <c r="AD235" i="21"/>
  <c r="AC235" i="21"/>
  <c r="AB235" i="21"/>
  <c r="AA235" i="21"/>
  <c r="Z235" i="21"/>
  <c r="Y235" i="21"/>
  <c r="X235" i="21"/>
  <c r="W235" i="21"/>
  <c r="AT235" i="21" s="1"/>
  <c r="AU235" i="21" s="1"/>
  <c r="AV235" i="21" s="1"/>
  <c r="AW235" i="21" s="1"/>
  <c r="AX235" i="21" s="1"/>
  <c r="AY235" i="21" s="1"/>
  <c r="V235" i="21"/>
  <c r="O235" i="21"/>
  <c r="P235" i="21" s="1"/>
  <c r="AM235" i="21" s="1"/>
  <c r="N235" i="21"/>
  <c r="M235" i="21"/>
  <c r="L235" i="21"/>
  <c r="K235" i="21"/>
  <c r="J235" i="21"/>
  <c r="I235" i="21"/>
  <c r="H235" i="21"/>
  <c r="G235" i="21"/>
  <c r="F235" i="21"/>
  <c r="E235" i="21"/>
  <c r="D235" i="21"/>
  <c r="C235" i="21"/>
  <c r="B235" i="21"/>
  <c r="AS234" i="21"/>
  <c r="K77" i="51" s="1"/>
  <c r="AM234" i="21"/>
  <c r="E77" i="51" s="1"/>
  <c r="AL234" i="21"/>
  <c r="AK234" i="21"/>
  <c r="AJ234" i="21"/>
  <c r="AI234" i="21"/>
  <c r="AH234" i="21"/>
  <c r="AG234" i="21"/>
  <c r="AF234" i="21"/>
  <c r="AE234" i="21"/>
  <c r="AD234" i="21"/>
  <c r="AC234" i="21"/>
  <c r="AB234" i="21"/>
  <c r="D77" i="51" s="1"/>
  <c r="AA234" i="21"/>
  <c r="Z234" i="21"/>
  <c r="Y234" i="21"/>
  <c r="X234" i="21"/>
  <c r="W234" i="21"/>
  <c r="AT234" i="21" s="1"/>
  <c r="V234" i="21"/>
  <c r="O234" i="21"/>
  <c r="P234" i="21" s="1"/>
  <c r="Q234" i="21" s="1"/>
  <c r="N234" i="21"/>
  <c r="M234" i="21"/>
  <c r="L234" i="21"/>
  <c r="K234" i="21"/>
  <c r="J234" i="21"/>
  <c r="I234" i="21"/>
  <c r="H234" i="21"/>
  <c r="G234" i="21"/>
  <c r="F234" i="21"/>
  <c r="E234" i="21"/>
  <c r="D234" i="21"/>
  <c r="C234" i="21"/>
  <c r="B234" i="21"/>
  <c r="BB233" i="21"/>
  <c r="BA233" i="21"/>
  <c r="AY233" i="21"/>
  <c r="AX233" i="21"/>
  <c r="AW233" i="21"/>
  <c r="AV233" i="21"/>
  <c r="AU233" i="21"/>
  <c r="AT233" i="21"/>
  <c r="AS233" i="21"/>
  <c r="AR233" i="21"/>
  <c r="AQ233" i="21"/>
  <c r="AP233" i="21"/>
  <c r="AO233" i="21"/>
  <c r="AN233" i="21"/>
  <c r="AM233" i="21"/>
  <c r="BC227" i="21"/>
  <c r="AL227" i="21"/>
  <c r="AK227" i="21"/>
  <c r="AJ227" i="21"/>
  <c r="AI227" i="21"/>
  <c r="AH227" i="21"/>
  <c r="AG227" i="21"/>
  <c r="AF227" i="21"/>
  <c r="AE227" i="21"/>
  <c r="AD227" i="21"/>
  <c r="AC227" i="21"/>
  <c r="AB227" i="21"/>
  <c r="AA227" i="21"/>
  <c r="Z227" i="21"/>
  <c r="Y227" i="21"/>
  <c r="X227" i="21"/>
  <c r="W227" i="21"/>
  <c r="V227" i="21"/>
  <c r="U227" i="21"/>
  <c r="T227" i="21"/>
  <c r="S227" i="21"/>
  <c r="R227" i="21"/>
  <c r="Q227" i="21"/>
  <c r="P227" i="21"/>
  <c r="BA227" i="21" s="1"/>
  <c r="O227" i="21"/>
  <c r="N227" i="21"/>
  <c r="M227" i="21"/>
  <c r="L227" i="21"/>
  <c r="K227" i="21"/>
  <c r="J227" i="21"/>
  <c r="I227" i="21"/>
  <c r="H227" i="21"/>
  <c r="G227" i="21"/>
  <c r="F227" i="21"/>
  <c r="E227" i="21"/>
  <c r="D227" i="21"/>
  <c r="C227" i="21"/>
  <c r="B227" i="21"/>
  <c r="AL226" i="21"/>
  <c r="AK226" i="21"/>
  <c r="AJ226" i="21"/>
  <c r="AI226" i="21"/>
  <c r="AH226" i="21"/>
  <c r="AG226" i="21"/>
  <c r="AF226" i="21"/>
  <c r="AE226" i="21"/>
  <c r="AD226" i="21"/>
  <c r="AC226" i="21"/>
  <c r="AB226" i="21"/>
  <c r="AA226" i="21"/>
  <c r="Z226" i="21"/>
  <c r="Y226" i="21"/>
  <c r="X226" i="21"/>
  <c r="W226" i="21"/>
  <c r="BC226" i="21" s="1"/>
  <c r="V226" i="21"/>
  <c r="U226" i="21"/>
  <c r="T226" i="21"/>
  <c r="S226" i="21"/>
  <c r="R226" i="21"/>
  <c r="Q226" i="21"/>
  <c r="P226" i="21"/>
  <c r="BA226" i="21" s="1"/>
  <c r="C226" i="21"/>
  <c r="B226" i="21"/>
  <c r="AL225" i="21"/>
  <c r="AK225" i="21"/>
  <c r="AJ225" i="21"/>
  <c r="AI225" i="21"/>
  <c r="AH225" i="21"/>
  <c r="AG225" i="21"/>
  <c r="AF225" i="21"/>
  <c r="AE225" i="21"/>
  <c r="AD225" i="21"/>
  <c r="AC225" i="21"/>
  <c r="AB225" i="21"/>
  <c r="D10" i="51" s="1"/>
  <c r="AA225" i="21"/>
  <c r="Z225" i="21"/>
  <c r="Y225" i="21"/>
  <c r="X225" i="21"/>
  <c r="W225" i="21"/>
  <c r="V225" i="21"/>
  <c r="U225" i="21"/>
  <c r="T225" i="21"/>
  <c r="S225" i="21"/>
  <c r="R225" i="21"/>
  <c r="Q225" i="21"/>
  <c r="P225" i="21"/>
  <c r="O225" i="21"/>
  <c r="N225" i="21"/>
  <c r="M225" i="21"/>
  <c r="L225" i="21"/>
  <c r="K225" i="21"/>
  <c r="J225" i="21"/>
  <c r="I225" i="21"/>
  <c r="H225" i="21"/>
  <c r="G225" i="21"/>
  <c r="F225" i="21"/>
  <c r="E225" i="21"/>
  <c r="D225" i="21"/>
  <c r="C225" i="21"/>
  <c r="B225" i="21"/>
  <c r="A10" i="51" s="1"/>
  <c r="AN224" i="21"/>
  <c r="AL224" i="21"/>
  <c r="AK224" i="21"/>
  <c r="AJ224" i="21"/>
  <c r="AI224" i="21"/>
  <c r="AH224" i="21"/>
  <c r="AG224" i="21"/>
  <c r="AF224" i="21"/>
  <c r="AE224" i="21"/>
  <c r="AD224" i="21"/>
  <c r="AC224" i="21"/>
  <c r="AB224" i="21"/>
  <c r="AA224" i="21"/>
  <c r="Z224" i="21"/>
  <c r="Y224" i="21"/>
  <c r="X224" i="21"/>
  <c r="W224" i="21"/>
  <c r="V224" i="21"/>
  <c r="U224" i="21"/>
  <c r="T224" i="21"/>
  <c r="S224" i="21"/>
  <c r="R224" i="21"/>
  <c r="Q224" i="21"/>
  <c r="BA223" i="21"/>
  <c r="AL223" i="21"/>
  <c r="AK223" i="21"/>
  <c r="AJ223" i="21"/>
  <c r="AI223" i="21"/>
  <c r="AH223" i="21"/>
  <c r="AG223" i="21"/>
  <c r="AF223" i="21"/>
  <c r="AE223" i="21"/>
  <c r="AD223" i="21"/>
  <c r="AC223" i="21"/>
  <c r="AB223" i="21"/>
  <c r="AA223" i="21"/>
  <c r="Z223" i="21"/>
  <c r="Y223" i="21"/>
  <c r="X223" i="21"/>
  <c r="W223" i="21"/>
  <c r="V223" i="21"/>
  <c r="U223" i="21"/>
  <c r="T223" i="21"/>
  <c r="S223" i="21"/>
  <c r="R223" i="21"/>
  <c r="Q223" i="21"/>
  <c r="P223" i="21"/>
  <c r="O223" i="21"/>
  <c r="N223" i="21"/>
  <c r="M223" i="21"/>
  <c r="L223" i="21"/>
  <c r="K223" i="21"/>
  <c r="J223" i="21"/>
  <c r="I223" i="21"/>
  <c r="H223" i="21"/>
  <c r="G223" i="21"/>
  <c r="F223" i="21"/>
  <c r="E223" i="21"/>
  <c r="D223" i="21"/>
  <c r="C223" i="21"/>
  <c r="B27" i="61" s="1"/>
  <c r="B223" i="21"/>
  <c r="A27" i="61" s="1"/>
  <c r="AU222" i="21"/>
  <c r="AV222" i="21" s="1"/>
  <c r="AW222" i="21" s="1"/>
  <c r="AX222" i="21" s="1"/>
  <c r="AM222" i="21"/>
  <c r="AN222" i="21" s="1"/>
  <c r="AO222" i="21" s="1"/>
  <c r="AP222" i="21" s="1"/>
  <c r="AQ222" i="21" s="1"/>
  <c r="AR222" i="21" s="1"/>
  <c r="AS222" i="21" s="1"/>
  <c r="AT222" i="21" s="1"/>
  <c r="AL222" i="21"/>
  <c r="AK222" i="21"/>
  <c r="AJ222" i="21"/>
  <c r="AI222" i="21"/>
  <c r="AH222" i="21"/>
  <c r="AG222" i="21"/>
  <c r="AF222" i="21"/>
  <c r="AE222" i="21"/>
  <c r="AD222" i="21"/>
  <c r="AC222" i="21"/>
  <c r="AB222" i="21"/>
  <c r="AA222" i="21"/>
  <c r="Z222" i="21"/>
  <c r="Y222" i="21"/>
  <c r="X222" i="21"/>
  <c r="W222" i="21"/>
  <c r="V222" i="21"/>
  <c r="U222" i="21"/>
  <c r="T222" i="21"/>
  <c r="S222" i="21"/>
  <c r="R222" i="21"/>
  <c r="Q222" i="21"/>
  <c r="P222" i="21"/>
  <c r="BA222" i="21" s="1"/>
  <c r="O222" i="21"/>
  <c r="N222" i="21"/>
  <c r="M222" i="21"/>
  <c r="L222" i="21"/>
  <c r="K222" i="21"/>
  <c r="J222" i="21"/>
  <c r="I222" i="21"/>
  <c r="H222" i="21"/>
  <c r="G222" i="21"/>
  <c r="F222" i="21"/>
  <c r="E222" i="21"/>
  <c r="D222" i="21"/>
  <c r="C222" i="21"/>
  <c r="B222" i="21"/>
  <c r="BA221" i="21"/>
  <c r="AO221" i="21"/>
  <c r="AM221" i="21"/>
  <c r="AN221" i="21" s="1"/>
  <c r="AN220" i="21" s="1"/>
  <c r="AL221" i="21"/>
  <c r="AK221" i="21"/>
  <c r="AJ221" i="21"/>
  <c r="AI221" i="21"/>
  <c r="AH221" i="21"/>
  <c r="AG221" i="21"/>
  <c r="AF221" i="21"/>
  <c r="AE221" i="21"/>
  <c r="AD221" i="21"/>
  <c r="AC221" i="21"/>
  <c r="AB221" i="21"/>
  <c r="AA221" i="21"/>
  <c r="Z221" i="21"/>
  <c r="Y221" i="21"/>
  <c r="X221" i="21"/>
  <c r="W221" i="21"/>
  <c r="V221" i="21"/>
  <c r="U221" i="21"/>
  <c r="T221" i="21"/>
  <c r="S221" i="21"/>
  <c r="R221" i="21"/>
  <c r="Q221" i="21"/>
  <c r="P221" i="21"/>
  <c r="O221" i="21"/>
  <c r="N221" i="21"/>
  <c r="M221" i="21"/>
  <c r="L221" i="21"/>
  <c r="K221" i="21"/>
  <c r="J221" i="21"/>
  <c r="I221" i="21"/>
  <c r="H221" i="21"/>
  <c r="G221" i="21"/>
  <c r="F221" i="21"/>
  <c r="E221" i="21"/>
  <c r="D221" i="21"/>
  <c r="C221" i="21"/>
  <c r="B221" i="21"/>
  <c r="AM220" i="21"/>
  <c r="AL220" i="21"/>
  <c r="AK220" i="21"/>
  <c r="AJ220" i="21"/>
  <c r="AI220" i="21"/>
  <c r="AH220" i="21"/>
  <c r="AG220" i="21"/>
  <c r="AF220" i="21"/>
  <c r="AE220" i="21"/>
  <c r="AD220" i="21"/>
  <c r="AC220" i="21"/>
  <c r="AB220" i="21"/>
  <c r="D15" i="51" s="1"/>
  <c r="D14" i="51" s="1"/>
  <c r="P296" i="21" s="1"/>
  <c r="AA220" i="21"/>
  <c r="Z220" i="21"/>
  <c r="Y220" i="21"/>
  <c r="X220" i="21"/>
  <c r="W220" i="21"/>
  <c r="V220" i="21"/>
  <c r="U220" i="21"/>
  <c r="T220" i="21"/>
  <c r="S220" i="21"/>
  <c r="R220" i="21"/>
  <c r="Q220" i="21"/>
  <c r="P220" i="21"/>
  <c r="BA220" i="21" s="1"/>
  <c r="O220" i="21"/>
  <c r="N220" i="21"/>
  <c r="M220" i="21"/>
  <c r="L220" i="21"/>
  <c r="K220" i="21"/>
  <c r="J220" i="21"/>
  <c r="I220" i="21"/>
  <c r="H220" i="21"/>
  <c r="G220" i="21"/>
  <c r="F220" i="21"/>
  <c r="E220" i="21"/>
  <c r="D220" i="21"/>
  <c r="C220" i="21"/>
  <c r="B26" i="61" s="1"/>
  <c r="B220" i="21"/>
  <c r="A26" i="61" s="1"/>
  <c r="AP219" i="21"/>
  <c r="AN219" i="21"/>
  <c r="AO219" i="21" s="1"/>
  <c r="AO218" i="21" s="1"/>
  <c r="AL219" i="21"/>
  <c r="AL218" i="21" s="1"/>
  <c r="AK219" i="21"/>
  <c r="AK218" i="21" s="1"/>
  <c r="AJ219" i="21"/>
  <c r="AJ218" i="21" s="1"/>
  <c r="AI219" i="21"/>
  <c r="AI218" i="21" s="1"/>
  <c r="AH219" i="21"/>
  <c r="AG219" i="21"/>
  <c r="AF219" i="21"/>
  <c r="AE219" i="21"/>
  <c r="AD219" i="21"/>
  <c r="AC219" i="21"/>
  <c r="AC218" i="21" s="1"/>
  <c r="AB219" i="21"/>
  <c r="AA219" i="21"/>
  <c r="AA218" i="21" s="1"/>
  <c r="Z219" i="21"/>
  <c r="Z218" i="21" s="1"/>
  <c r="Y219" i="21"/>
  <c r="Y218" i="21" s="1"/>
  <c r="X219" i="21"/>
  <c r="X218" i="21" s="1"/>
  <c r="W219" i="21"/>
  <c r="W218" i="21" s="1"/>
  <c r="V219" i="21"/>
  <c r="U219" i="21"/>
  <c r="T219" i="21"/>
  <c r="S219" i="21"/>
  <c r="R219" i="21"/>
  <c r="Q219" i="21"/>
  <c r="Q218" i="21" s="1"/>
  <c r="P219" i="21"/>
  <c r="C219" i="21"/>
  <c r="B219" i="21"/>
  <c r="AN218" i="21"/>
  <c r="AM218" i="21"/>
  <c r="AH218" i="21"/>
  <c r="AG218" i="21"/>
  <c r="AF218" i="21"/>
  <c r="AE218" i="21"/>
  <c r="AD218" i="21"/>
  <c r="AB218" i="21"/>
  <c r="V218" i="21"/>
  <c r="U218" i="21"/>
  <c r="T218" i="21"/>
  <c r="S218" i="21"/>
  <c r="R218" i="21"/>
  <c r="P218" i="21"/>
  <c r="C218" i="21"/>
  <c r="B218" i="21"/>
  <c r="AX217" i="21"/>
  <c r="AU217" i="21"/>
  <c r="AT217" i="21"/>
  <c r="BC217" i="21" s="1"/>
  <c r="AM217" i="21"/>
  <c r="AL217" i="21"/>
  <c r="AK217" i="21"/>
  <c r="AJ217" i="21"/>
  <c r="AI217" i="21"/>
  <c r="AH217" i="21"/>
  <c r="AG217" i="21"/>
  <c r="AF217" i="21"/>
  <c r="AE217" i="21"/>
  <c r="AD217" i="21"/>
  <c r="AC217" i="21"/>
  <c r="AB217" i="21"/>
  <c r="AA217" i="21"/>
  <c r="AW217" i="21" s="1"/>
  <c r="Z217" i="21"/>
  <c r="AV217" i="21" s="1"/>
  <c r="Y217" i="21"/>
  <c r="X217" i="21"/>
  <c r="W217" i="21"/>
  <c r="AS217" i="21" s="1"/>
  <c r="V217" i="21"/>
  <c r="AR217" i="21" s="1"/>
  <c r="U217" i="21"/>
  <c r="AQ217" i="21" s="1"/>
  <c r="T217" i="21"/>
  <c r="AP217" i="21" s="1"/>
  <c r="S217" i="21"/>
  <c r="AO217" i="21" s="1"/>
  <c r="R217" i="21"/>
  <c r="AN217" i="21" s="1"/>
  <c r="Q217" i="21"/>
  <c r="P217" i="21"/>
  <c r="BA217" i="21" s="1"/>
  <c r="O217" i="21"/>
  <c r="N217" i="21"/>
  <c r="M217" i="21"/>
  <c r="L217" i="21"/>
  <c r="K217" i="21"/>
  <c r="J217" i="21"/>
  <c r="I217" i="21"/>
  <c r="H217" i="21"/>
  <c r="G217" i="21"/>
  <c r="F217" i="21"/>
  <c r="E217" i="21"/>
  <c r="D217" i="21"/>
  <c r="C217" i="21"/>
  <c r="B217" i="21"/>
  <c r="AZ216" i="21"/>
  <c r="AS216" i="21"/>
  <c r="AR216" i="21"/>
  <c r="AO216" i="21"/>
  <c r="AN216" i="21"/>
  <c r="AL216" i="21"/>
  <c r="AK216" i="21"/>
  <c r="AJ216" i="21"/>
  <c r="AI216" i="21"/>
  <c r="AH216" i="21"/>
  <c r="AG216" i="21"/>
  <c r="AF216" i="21"/>
  <c r="AE216" i="21"/>
  <c r="AD216" i="21"/>
  <c r="AC216" i="21"/>
  <c r="AB216" i="21"/>
  <c r="AX216" i="21" s="1"/>
  <c r="AA216" i="21"/>
  <c r="AW216" i="21" s="1"/>
  <c r="Z216" i="21"/>
  <c r="AV216" i="21" s="1"/>
  <c r="Y216" i="21"/>
  <c r="AU216" i="21" s="1"/>
  <c r="X216" i="21"/>
  <c r="AT216" i="21" s="1"/>
  <c r="BC216" i="21" s="1"/>
  <c r="W216" i="21"/>
  <c r="V216" i="21"/>
  <c r="U216" i="21"/>
  <c r="AQ216" i="21" s="1"/>
  <c r="T216" i="21"/>
  <c r="AP216" i="21" s="1"/>
  <c r="S216" i="21"/>
  <c r="R216" i="21"/>
  <c r="Q216" i="21"/>
  <c r="AM216" i="21" s="1"/>
  <c r="P216" i="21"/>
  <c r="O216" i="21"/>
  <c r="N216" i="21"/>
  <c r="M216" i="21"/>
  <c r="L216" i="21"/>
  <c r="K216" i="21"/>
  <c r="J216" i="21"/>
  <c r="I216" i="21"/>
  <c r="H216" i="21"/>
  <c r="G216" i="21"/>
  <c r="F216" i="21"/>
  <c r="E216" i="21"/>
  <c r="D216" i="21"/>
  <c r="C216" i="21"/>
  <c r="B216" i="21"/>
  <c r="AL215" i="21"/>
  <c r="AM215" i="21" s="1"/>
  <c r="AK215" i="21"/>
  <c r="AJ215" i="21"/>
  <c r="AI215" i="21"/>
  <c r="AH215" i="21"/>
  <c r="AG215" i="21"/>
  <c r="AF215" i="21"/>
  <c r="AE215" i="21"/>
  <c r="AD215" i="21"/>
  <c r="AC215" i="21"/>
  <c r="AB215" i="21"/>
  <c r="AA215" i="21"/>
  <c r="Z215" i="21"/>
  <c r="Y215" i="21"/>
  <c r="X215" i="21"/>
  <c r="W215" i="21"/>
  <c r="V215" i="21"/>
  <c r="U215" i="21"/>
  <c r="T215" i="21"/>
  <c r="S215" i="21"/>
  <c r="R215" i="21"/>
  <c r="Q215" i="21"/>
  <c r="P215" i="21"/>
  <c r="BA215" i="21" s="1"/>
  <c r="O215" i="21"/>
  <c r="N215" i="21"/>
  <c r="M215" i="21"/>
  <c r="L215" i="21"/>
  <c r="K215" i="21"/>
  <c r="J215" i="21"/>
  <c r="I215" i="21"/>
  <c r="H215" i="21"/>
  <c r="G215" i="21"/>
  <c r="F215" i="21"/>
  <c r="E215" i="21"/>
  <c r="D215" i="21"/>
  <c r="C215" i="21"/>
  <c r="B215" i="21"/>
  <c r="BA214" i="21"/>
  <c r="AL214" i="21"/>
  <c r="AK214" i="21"/>
  <c r="AJ214" i="21"/>
  <c r="AI214" i="21"/>
  <c r="AH214" i="21"/>
  <c r="AG214" i="21"/>
  <c r="AF214" i="21"/>
  <c r="AE214" i="21"/>
  <c r="AD214" i="21"/>
  <c r="AC214" i="21"/>
  <c r="AB214" i="21"/>
  <c r="AA214" i="21"/>
  <c r="Z214" i="21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AL213" i="21"/>
  <c r="AK213" i="21"/>
  <c r="AJ213" i="21"/>
  <c r="AI213" i="21"/>
  <c r="AH213" i="21"/>
  <c r="AG213" i="21"/>
  <c r="AF213" i="21"/>
  <c r="AE213" i="21"/>
  <c r="AD213" i="21"/>
  <c r="AC213" i="21"/>
  <c r="AB213" i="21"/>
  <c r="D7" i="51" s="1"/>
  <c r="AA213" i="21"/>
  <c r="Z213" i="21"/>
  <c r="Y213" i="21"/>
  <c r="X213" i="21"/>
  <c r="W213" i="21"/>
  <c r="V213" i="21"/>
  <c r="U213" i="21"/>
  <c r="T213" i="21"/>
  <c r="S213" i="21"/>
  <c r="R213" i="21"/>
  <c r="Q213" i="21"/>
  <c r="P213" i="21"/>
  <c r="BA213" i="21" s="1"/>
  <c r="O213" i="21"/>
  <c r="N213" i="21"/>
  <c r="M213" i="21"/>
  <c r="L213" i="21"/>
  <c r="K213" i="21"/>
  <c r="J213" i="21"/>
  <c r="I213" i="21"/>
  <c r="H213" i="21"/>
  <c r="G213" i="21"/>
  <c r="F213" i="21"/>
  <c r="E213" i="21"/>
  <c r="D213" i="21"/>
  <c r="C213" i="21"/>
  <c r="B213" i="21"/>
  <c r="BA212" i="21"/>
  <c r="AL212" i="21"/>
  <c r="AK212" i="21"/>
  <c r="AJ212" i="21"/>
  <c r="AI212" i="21"/>
  <c r="AH212" i="21"/>
  <c r="AG212" i="21"/>
  <c r="AF212" i="21"/>
  <c r="AE212" i="21"/>
  <c r="AD212" i="21"/>
  <c r="AC212" i="21"/>
  <c r="AB212" i="21"/>
  <c r="AA212" i="21"/>
  <c r="Z212" i="21"/>
  <c r="Z239" i="21" s="1"/>
  <c r="Y212" i="21"/>
  <c r="Y239" i="21" s="1"/>
  <c r="X212" i="21"/>
  <c r="X239" i="21" s="1"/>
  <c r="W212" i="21"/>
  <c r="V212" i="21"/>
  <c r="U212" i="21"/>
  <c r="T212" i="21"/>
  <c r="S212" i="21"/>
  <c r="R212" i="21"/>
  <c r="Q212" i="21"/>
  <c r="P212" i="21"/>
  <c r="O212" i="21"/>
  <c r="N212" i="21"/>
  <c r="N239" i="21" s="1"/>
  <c r="M212" i="21"/>
  <c r="M239" i="21" s="1"/>
  <c r="L212" i="21"/>
  <c r="L239" i="21" s="1"/>
  <c r="K212" i="21"/>
  <c r="J212" i="21"/>
  <c r="I212" i="21"/>
  <c r="H212" i="21"/>
  <c r="G212" i="21"/>
  <c r="F212" i="21"/>
  <c r="E212" i="21"/>
  <c r="D212" i="21"/>
  <c r="C212" i="21"/>
  <c r="B212" i="21"/>
  <c r="AU211" i="21"/>
  <c r="AT211" i="21"/>
  <c r="AM211" i="21"/>
  <c r="AW211" i="21" s="1"/>
  <c r="AL211" i="21"/>
  <c r="AV211" i="21" s="1"/>
  <c r="AK211" i="21"/>
  <c r="AJ211" i="21"/>
  <c r="AI211" i="21"/>
  <c r="AS211" i="21" s="1"/>
  <c r="AH211" i="21"/>
  <c r="AR211" i="21" s="1"/>
  <c r="AG211" i="21"/>
  <c r="AQ211" i="21" s="1"/>
  <c r="AF211" i="21"/>
  <c r="AP211" i="21" s="1"/>
  <c r="AE211" i="21"/>
  <c r="AO211" i="21" s="1"/>
  <c r="AD211" i="21"/>
  <c r="AN211" i="21" s="1"/>
  <c r="AX211" i="21" s="1"/>
  <c r="AC211" i="21"/>
  <c r="AB211" i="21"/>
  <c r="AA211" i="21"/>
  <c r="Z211" i="21"/>
  <c r="Y211" i="21"/>
  <c r="X211" i="21"/>
  <c r="W211" i="21"/>
  <c r="V211" i="21"/>
  <c r="U211" i="21"/>
  <c r="T211" i="21"/>
  <c r="S211" i="21"/>
  <c r="R211" i="21"/>
  <c r="Q211" i="21"/>
  <c r="P211" i="21"/>
  <c r="O211" i="21"/>
  <c r="N211" i="21"/>
  <c r="M211" i="21"/>
  <c r="L211" i="21"/>
  <c r="K211" i="21"/>
  <c r="J211" i="21"/>
  <c r="I211" i="21"/>
  <c r="H211" i="21"/>
  <c r="G211" i="21"/>
  <c r="F211" i="21"/>
  <c r="E211" i="21"/>
  <c r="D211" i="21"/>
  <c r="C211" i="21"/>
  <c r="B211" i="21"/>
  <c r="AZ210" i="21"/>
  <c r="AS210" i="21"/>
  <c r="AR210" i="21"/>
  <c r="AO210" i="21"/>
  <c r="AN210" i="21"/>
  <c r="AX210" i="21" s="1"/>
  <c r="AL210" i="21"/>
  <c r="AV210" i="21" s="1"/>
  <c r="AK210" i="21"/>
  <c r="AU210" i="21" s="1"/>
  <c r="AJ210" i="21"/>
  <c r="AT210" i="21" s="1"/>
  <c r="BC210" i="21" s="1"/>
  <c r="AI210" i="21"/>
  <c r="AH210" i="21"/>
  <c r="AG210" i="21"/>
  <c r="AQ210" i="21" s="1"/>
  <c r="AF210" i="21"/>
  <c r="AP210" i="21" s="1"/>
  <c r="AE210" i="21"/>
  <c r="AD210" i="21"/>
  <c r="AC210" i="21"/>
  <c r="AM210" i="21" s="1"/>
  <c r="AW210" i="21" s="1"/>
  <c r="AB210" i="21"/>
  <c r="AA210" i="21"/>
  <c r="Z210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AX209" i="21"/>
  <c r="AU209" i="21"/>
  <c r="AT209" i="21"/>
  <c r="AM209" i="21"/>
  <c r="AL209" i="21"/>
  <c r="AK209" i="21"/>
  <c r="AJ209" i="21"/>
  <c r="AI209" i="21"/>
  <c r="AH209" i="21"/>
  <c r="AG209" i="21"/>
  <c r="AF209" i="21"/>
  <c r="AE209" i="21"/>
  <c r="AD209" i="21"/>
  <c r="AC209" i="21"/>
  <c r="AB209" i="21"/>
  <c r="AA209" i="21"/>
  <c r="AW209" i="21" s="1"/>
  <c r="Z209" i="21"/>
  <c r="AV209" i="21" s="1"/>
  <c r="Y209" i="21"/>
  <c r="X209" i="21"/>
  <c r="W209" i="21"/>
  <c r="AS209" i="21" s="1"/>
  <c r="V209" i="21"/>
  <c r="AR209" i="21" s="1"/>
  <c r="U209" i="21"/>
  <c r="AQ209" i="21" s="1"/>
  <c r="T209" i="21"/>
  <c r="AP209" i="21" s="1"/>
  <c r="S209" i="21"/>
  <c r="AO209" i="21" s="1"/>
  <c r="R209" i="21"/>
  <c r="AN209" i="21" s="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AZ208" i="21"/>
  <c r="AS208" i="21"/>
  <c r="AR208" i="21"/>
  <c r="AO208" i="21"/>
  <c r="AN208" i="21"/>
  <c r="AL208" i="21"/>
  <c r="AK208" i="21"/>
  <c r="AJ208" i="21"/>
  <c r="AI208" i="21"/>
  <c r="AH208" i="21"/>
  <c r="AG208" i="21"/>
  <c r="AF208" i="21"/>
  <c r="AE208" i="21"/>
  <c r="AD208" i="21"/>
  <c r="AC208" i="21"/>
  <c r="AB208" i="21"/>
  <c r="AX208" i="21" s="1"/>
  <c r="AA208" i="21"/>
  <c r="AW208" i="21" s="1"/>
  <c r="Z208" i="21"/>
  <c r="AV208" i="21" s="1"/>
  <c r="Y208" i="21"/>
  <c r="AU208" i="21" s="1"/>
  <c r="X208" i="21"/>
  <c r="AT208" i="21" s="1"/>
  <c r="BC208" i="21" s="1"/>
  <c r="W208" i="21"/>
  <c r="V208" i="21"/>
  <c r="U208" i="21"/>
  <c r="AQ208" i="21" s="1"/>
  <c r="T208" i="21"/>
  <c r="AP208" i="21" s="1"/>
  <c r="S208" i="21"/>
  <c r="R208" i="21"/>
  <c r="Q208" i="21"/>
  <c r="AM208" i="21" s="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AL207" i="21"/>
  <c r="AM207" i="21" s="1"/>
  <c r="AK207" i="21"/>
  <c r="AJ207" i="21"/>
  <c r="AI207" i="21"/>
  <c r="AH207" i="21"/>
  <c r="AG207" i="21"/>
  <c r="AF207" i="21"/>
  <c r="AE207" i="21"/>
  <c r="AD207" i="21"/>
  <c r="AC207" i="21"/>
  <c r="AB207" i="21"/>
  <c r="AA207" i="21"/>
  <c r="Z207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AL206" i="21"/>
  <c r="AK206" i="21"/>
  <c r="AJ206" i="21"/>
  <c r="AI206" i="21"/>
  <c r="AH206" i="21"/>
  <c r="AG206" i="21"/>
  <c r="AF206" i="21"/>
  <c r="AE206" i="21"/>
  <c r="AD206" i="21"/>
  <c r="AC206" i="21"/>
  <c r="AB206" i="21"/>
  <c r="AA206" i="21"/>
  <c r="Z206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AM205" i="21"/>
  <c r="AN205" i="21" s="1"/>
  <c r="AO205" i="21" s="1"/>
  <c r="AP205" i="21" s="1"/>
  <c r="AQ205" i="21" s="1"/>
  <c r="AR205" i="21" s="1"/>
  <c r="AL205" i="21"/>
  <c r="AK205" i="21"/>
  <c r="AJ205" i="21"/>
  <c r="AI205" i="21"/>
  <c r="AH205" i="21"/>
  <c r="AG205" i="21"/>
  <c r="AF205" i="21"/>
  <c r="AE205" i="21"/>
  <c r="AD205" i="21"/>
  <c r="AC205" i="21"/>
  <c r="AB205" i="21"/>
  <c r="AA205" i="21"/>
  <c r="Z205" i="21"/>
  <c r="Y205" i="21"/>
  <c r="X205" i="21"/>
  <c r="W205" i="21"/>
  <c r="V205" i="21"/>
  <c r="U205" i="21"/>
  <c r="T205" i="21"/>
  <c r="S205" i="21"/>
  <c r="R205" i="21"/>
  <c r="Q205" i="21"/>
  <c r="P205" i="21"/>
  <c r="O205" i="21"/>
  <c r="N205" i="21"/>
  <c r="M205" i="21"/>
  <c r="L205" i="21"/>
  <c r="K205" i="21"/>
  <c r="J205" i="21"/>
  <c r="I205" i="21"/>
  <c r="H205" i="21"/>
  <c r="G205" i="21"/>
  <c r="F205" i="21"/>
  <c r="E205" i="21"/>
  <c r="D205" i="21"/>
  <c r="C205" i="21"/>
  <c r="B205" i="21"/>
  <c r="AL204" i="21"/>
  <c r="AK204" i="21"/>
  <c r="AJ204" i="21"/>
  <c r="AI204" i="21"/>
  <c r="AH204" i="21"/>
  <c r="AG204" i="21"/>
  <c r="AF204" i="21"/>
  <c r="AE204" i="21"/>
  <c r="AD204" i="21"/>
  <c r="AC204" i="21"/>
  <c r="AB204" i="21"/>
  <c r="AA204" i="21"/>
  <c r="Z204" i="21"/>
  <c r="Y204" i="21"/>
  <c r="X204" i="21"/>
  <c r="W204" i="21"/>
  <c r="V204" i="21"/>
  <c r="U204" i="21"/>
  <c r="T204" i="21"/>
  <c r="S204" i="21"/>
  <c r="R204" i="21"/>
  <c r="Q204" i="21"/>
  <c r="P204" i="21"/>
  <c r="O204" i="21"/>
  <c r="N204" i="21"/>
  <c r="M204" i="21"/>
  <c r="L204" i="21"/>
  <c r="K204" i="21"/>
  <c r="J204" i="21"/>
  <c r="I204" i="21"/>
  <c r="H204" i="21"/>
  <c r="G204" i="21"/>
  <c r="F204" i="21"/>
  <c r="E204" i="21"/>
  <c r="D204" i="21"/>
  <c r="C204" i="21"/>
  <c r="B204" i="21"/>
  <c r="AY203" i="21"/>
  <c r="AX203" i="21"/>
  <c r="AZ203" i="21" s="1"/>
  <c r="AR203" i="21"/>
  <c r="AP203" i="21"/>
  <c r="AL203" i="21"/>
  <c r="AM203" i="21" s="1"/>
  <c r="AK203" i="21"/>
  <c r="AJ203" i="21"/>
  <c r="AI203" i="21"/>
  <c r="AH203" i="21"/>
  <c r="AG203" i="21"/>
  <c r="AF203" i="21"/>
  <c r="AE203" i="21"/>
  <c r="AD203" i="21"/>
  <c r="AC203" i="21"/>
  <c r="AB203" i="21"/>
  <c r="AA203" i="21"/>
  <c r="AW203" i="21" s="1"/>
  <c r="Z203" i="21"/>
  <c r="AV203" i="21" s="1"/>
  <c r="Y203" i="21"/>
  <c r="AU203" i="21" s="1"/>
  <c r="X203" i="21"/>
  <c r="AT203" i="21" s="1"/>
  <c r="BC203" i="21" s="1"/>
  <c r="W203" i="21"/>
  <c r="AS203" i="21" s="1"/>
  <c r="V203" i="21"/>
  <c r="U203" i="21"/>
  <c r="AQ203" i="21" s="1"/>
  <c r="T203" i="21"/>
  <c r="S203" i="21"/>
  <c r="AO203" i="21" s="1"/>
  <c r="R203" i="21"/>
  <c r="AN203" i="21" s="1"/>
  <c r="Q203" i="21"/>
  <c r="P203" i="21"/>
  <c r="O203" i="21"/>
  <c r="N203" i="21"/>
  <c r="M203" i="21"/>
  <c r="L203" i="21"/>
  <c r="K203" i="21"/>
  <c r="J203" i="21"/>
  <c r="I203" i="21"/>
  <c r="H203" i="21"/>
  <c r="G203" i="21"/>
  <c r="F203" i="21"/>
  <c r="E203" i="21"/>
  <c r="D203" i="21"/>
  <c r="C203" i="21"/>
  <c r="B203" i="21"/>
  <c r="BC202" i="21"/>
  <c r="AV202" i="21"/>
  <c r="AS202" i="21"/>
  <c r="AR202" i="21"/>
  <c r="AQ202" i="21"/>
  <c r="AP202" i="21"/>
  <c r="AO202" i="21"/>
  <c r="AN202" i="21"/>
  <c r="AM202" i="21"/>
  <c r="AL202" i="21"/>
  <c r="AK202" i="21"/>
  <c r="AJ202" i="21"/>
  <c r="AI202" i="21"/>
  <c r="AH202" i="21"/>
  <c r="AG202" i="21"/>
  <c r="AF202" i="21"/>
  <c r="AE202" i="21"/>
  <c r="AD202" i="21"/>
  <c r="AC202" i="21"/>
  <c r="AB202" i="21"/>
  <c r="AX202" i="21" s="1"/>
  <c r="AA202" i="21"/>
  <c r="AW202" i="21" s="1"/>
  <c r="Z202" i="21"/>
  <c r="Y202" i="21"/>
  <c r="AU202" i="21" s="1"/>
  <c r="X202" i="21"/>
  <c r="AT202" i="21" s="1"/>
  <c r="W202" i="21"/>
  <c r="V202" i="21"/>
  <c r="U202" i="21"/>
  <c r="T202" i="21"/>
  <c r="S202" i="21"/>
  <c r="R202" i="21"/>
  <c r="Q202" i="21"/>
  <c r="P202" i="21"/>
  <c r="O202" i="21"/>
  <c r="N202" i="21"/>
  <c r="M202" i="21"/>
  <c r="L202" i="21"/>
  <c r="K202" i="21"/>
  <c r="J202" i="21"/>
  <c r="I202" i="21"/>
  <c r="H202" i="21"/>
  <c r="G202" i="21"/>
  <c r="F202" i="21"/>
  <c r="E202" i="21"/>
  <c r="D202" i="21"/>
  <c r="C202" i="21"/>
  <c r="B202" i="21"/>
  <c r="AY201" i="21"/>
  <c r="AX201" i="21"/>
  <c r="AZ201" i="21" s="1"/>
  <c r="AU201" i="21"/>
  <c r="AT201" i="21"/>
  <c r="BC201" i="21" s="1"/>
  <c r="AS201" i="21"/>
  <c r="AR201" i="21"/>
  <c r="AP201" i="21"/>
  <c r="AM201" i="21"/>
  <c r="AL201" i="21"/>
  <c r="AK201" i="21"/>
  <c r="AJ201" i="21"/>
  <c r="AI201" i="21"/>
  <c r="AH201" i="21"/>
  <c r="AG201" i="21"/>
  <c r="AF201" i="21"/>
  <c r="AE201" i="21"/>
  <c r="AD201" i="21"/>
  <c r="AC201" i="21"/>
  <c r="AB201" i="21"/>
  <c r="AA201" i="21"/>
  <c r="AW201" i="21" s="1"/>
  <c r="Z201" i="21"/>
  <c r="AV201" i="21" s="1"/>
  <c r="Y201" i="21"/>
  <c r="X201" i="21"/>
  <c r="W201" i="21"/>
  <c r="V201" i="21"/>
  <c r="U201" i="21"/>
  <c r="AQ201" i="21" s="1"/>
  <c r="T201" i="21"/>
  <c r="S201" i="21"/>
  <c r="AO201" i="21" s="1"/>
  <c r="R201" i="21"/>
  <c r="AN201" i="21" s="1"/>
  <c r="Q201" i="21"/>
  <c r="P201" i="21"/>
  <c r="O201" i="21"/>
  <c r="N201" i="21"/>
  <c r="M201" i="21"/>
  <c r="L201" i="21"/>
  <c r="K201" i="21"/>
  <c r="J201" i="21"/>
  <c r="I201" i="21"/>
  <c r="H201" i="21"/>
  <c r="G201" i="21"/>
  <c r="F201" i="21"/>
  <c r="E201" i="21"/>
  <c r="D201" i="21"/>
  <c r="C201" i="21"/>
  <c r="B201" i="21"/>
  <c r="AX200" i="21"/>
  <c r="AV200" i="21"/>
  <c r="AS200" i="21"/>
  <c r="AR200" i="21"/>
  <c r="AQ200" i="21"/>
  <c r="AP200" i="21"/>
  <c r="AM200" i="21"/>
  <c r="AL200" i="21"/>
  <c r="AK200" i="21"/>
  <c r="AJ200" i="21"/>
  <c r="AI200" i="21"/>
  <c r="AH200" i="21"/>
  <c r="AG200" i="21"/>
  <c r="AF200" i="21"/>
  <c r="AE200" i="21"/>
  <c r="AD200" i="21"/>
  <c r="AC200" i="21"/>
  <c r="AB200" i="21"/>
  <c r="AA200" i="21"/>
  <c r="AW200" i="21" s="1"/>
  <c r="Z200" i="21"/>
  <c r="Y200" i="21"/>
  <c r="AU200" i="21" s="1"/>
  <c r="X200" i="21"/>
  <c r="AT200" i="21" s="1"/>
  <c r="BC200" i="21" s="1"/>
  <c r="W200" i="21"/>
  <c r="V200" i="21"/>
  <c r="U200" i="21"/>
  <c r="T200" i="21"/>
  <c r="S200" i="21"/>
  <c r="AO200" i="21" s="1"/>
  <c r="R200" i="21"/>
  <c r="AN200" i="21" s="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AM199" i="21"/>
  <c r="AN199" i="21" s="1"/>
  <c r="AO199" i="21" s="1"/>
  <c r="AP199" i="21" s="1"/>
  <c r="AL199" i="21"/>
  <c r="AK199" i="21"/>
  <c r="AJ199" i="21"/>
  <c r="AI199" i="21"/>
  <c r="AH199" i="21"/>
  <c r="AG199" i="21"/>
  <c r="AF199" i="21"/>
  <c r="AE199" i="21"/>
  <c r="AD199" i="21"/>
  <c r="AC199" i="21"/>
  <c r="AB199" i="21"/>
  <c r="AA199" i="21"/>
  <c r="Z199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AL198" i="21"/>
  <c r="AK198" i="21"/>
  <c r="AJ198" i="21"/>
  <c r="AI198" i="21"/>
  <c r="AH198" i="21"/>
  <c r="AG198" i="21"/>
  <c r="AF198" i="21"/>
  <c r="AE198" i="21"/>
  <c r="AD198" i="21"/>
  <c r="AC198" i="21"/>
  <c r="AB198" i="21"/>
  <c r="AA198" i="21"/>
  <c r="Z198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AL197" i="21"/>
  <c r="AK197" i="21"/>
  <c r="AJ197" i="21"/>
  <c r="AI197" i="21"/>
  <c r="AH197" i="21"/>
  <c r="AG197" i="21"/>
  <c r="AF197" i="21"/>
  <c r="AE197" i="21"/>
  <c r="AD197" i="21"/>
  <c r="AC197" i="21"/>
  <c r="AB197" i="21"/>
  <c r="AA197" i="21"/>
  <c r="Z197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AL196" i="21"/>
  <c r="AK196" i="21"/>
  <c r="AJ196" i="21"/>
  <c r="AI196" i="21"/>
  <c r="AH196" i="21"/>
  <c r="AG196" i="21"/>
  <c r="AF196" i="21"/>
  <c r="AE196" i="21"/>
  <c r="AD196" i="21"/>
  <c r="AC196" i="21"/>
  <c r="AB196" i="21"/>
  <c r="AA196" i="21"/>
  <c r="Z196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23" i="61" s="1"/>
  <c r="B196" i="21"/>
  <c r="A23" i="61" s="1"/>
  <c r="AY195" i="21"/>
  <c r="AL195" i="21"/>
  <c r="AK195" i="21"/>
  <c r="AJ195" i="21"/>
  <c r="AI195" i="21"/>
  <c r="AH195" i="21"/>
  <c r="AG195" i="21"/>
  <c r="AF195" i="21"/>
  <c r="AE195" i="21"/>
  <c r="AD195" i="21"/>
  <c r="AC195" i="21"/>
  <c r="AB195" i="21"/>
  <c r="AA195" i="21"/>
  <c r="Z195" i="21"/>
  <c r="Y195" i="21"/>
  <c r="X195" i="21"/>
  <c r="W195" i="21"/>
  <c r="BC195" i="21" s="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BC194" i="21"/>
  <c r="AY194" i="21"/>
  <c r="AL194" i="21"/>
  <c r="AK194" i="21"/>
  <c r="AJ194" i="21"/>
  <c r="AI194" i="21"/>
  <c r="AH194" i="21"/>
  <c r="AG194" i="21"/>
  <c r="AF194" i="21"/>
  <c r="AE194" i="21"/>
  <c r="AD194" i="21"/>
  <c r="AC194" i="21"/>
  <c r="AB194" i="21"/>
  <c r="AA194" i="21"/>
  <c r="Z194" i="21"/>
  <c r="Y194" i="21"/>
  <c r="X194" i="21"/>
  <c r="W194" i="21"/>
  <c r="V194" i="21"/>
  <c r="U194" i="21"/>
  <c r="T194" i="21"/>
  <c r="S194" i="21"/>
  <c r="R194" i="21"/>
  <c r="Q194" i="21"/>
  <c r="P194" i="21"/>
  <c r="AZ194" i="21" s="1"/>
  <c r="O194" i="21"/>
  <c r="N194" i="21"/>
  <c r="M194" i="21"/>
  <c r="L194" i="21"/>
  <c r="K194" i="21"/>
  <c r="J194" i="21"/>
  <c r="I194" i="21"/>
  <c r="H194" i="21"/>
  <c r="G194" i="21"/>
  <c r="F194" i="21"/>
  <c r="E194" i="21"/>
  <c r="D194" i="21"/>
  <c r="C194" i="21"/>
  <c r="B194" i="21"/>
  <c r="AX193" i="21"/>
  <c r="AZ193" i="21" s="1"/>
  <c r="AW193" i="21"/>
  <c r="AW192" i="21" s="1"/>
  <c r="AV193" i="21"/>
  <c r="AV192" i="21" s="1"/>
  <c r="AU193" i="21"/>
  <c r="AU192" i="21" s="1"/>
  <c r="AT193" i="21"/>
  <c r="AS193" i="21"/>
  <c r="AS192" i="21" s="1"/>
  <c r="AR193" i="21"/>
  <c r="AQ193" i="21"/>
  <c r="AP193" i="21"/>
  <c r="AO193" i="21"/>
  <c r="AN193" i="21"/>
  <c r="AM193" i="21"/>
  <c r="AL193" i="21"/>
  <c r="AK193" i="21"/>
  <c r="AJ193" i="21"/>
  <c r="AI193" i="21"/>
  <c r="AH193" i="21"/>
  <c r="AG193" i="21"/>
  <c r="AF193" i="21"/>
  <c r="AE193" i="21"/>
  <c r="AD193" i="21"/>
  <c r="AC193" i="21"/>
  <c r="AB193" i="21"/>
  <c r="AA193" i="21"/>
  <c r="Z193" i="21"/>
  <c r="Y193" i="21"/>
  <c r="X193" i="21"/>
  <c r="W193" i="21"/>
  <c r="V193" i="21"/>
  <c r="U193" i="21"/>
  <c r="T193" i="21"/>
  <c r="S193" i="21"/>
  <c r="R193" i="21"/>
  <c r="Q193" i="21"/>
  <c r="P193" i="21"/>
  <c r="O193" i="21"/>
  <c r="N193" i="21"/>
  <c r="M193" i="21"/>
  <c r="L193" i="21"/>
  <c r="K193" i="21"/>
  <c r="J193" i="21"/>
  <c r="I193" i="21"/>
  <c r="H193" i="21"/>
  <c r="G193" i="21"/>
  <c r="F193" i="21"/>
  <c r="E193" i="21"/>
  <c r="D193" i="21"/>
  <c r="C193" i="21"/>
  <c r="B193" i="21"/>
  <c r="AR192" i="21"/>
  <c r="AQ192" i="21"/>
  <c r="AP192" i="21"/>
  <c r="AO192" i="21"/>
  <c r="AN192" i="21"/>
  <c r="AM192" i="21"/>
  <c r="AL192" i="21"/>
  <c r="AK192" i="21"/>
  <c r="AJ192" i="21"/>
  <c r="AI192" i="21"/>
  <c r="AH192" i="21"/>
  <c r="AG192" i="21"/>
  <c r="AF192" i="21"/>
  <c r="AE192" i="21"/>
  <c r="AD192" i="21"/>
  <c r="AC192" i="21"/>
  <c r="AB192" i="21"/>
  <c r="AA192" i="21"/>
  <c r="Z192" i="21"/>
  <c r="Y192" i="21"/>
  <c r="X192" i="21"/>
  <c r="W192" i="21"/>
  <c r="V192" i="21"/>
  <c r="U192" i="21"/>
  <c r="T192" i="21"/>
  <c r="S192" i="21"/>
  <c r="R192" i="21"/>
  <c r="Q192" i="21"/>
  <c r="P192" i="21"/>
  <c r="O192" i="21"/>
  <c r="N192" i="21"/>
  <c r="M192" i="21"/>
  <c r="L192" i="21"/>
  <c r="K192" i="21"/>
  <c r="J192" i="21"/>
  <c r="I192" i="21"/>
  <c r="H192" i="21"/>
  <c r="G192" i="21"/>
  <c r="F192" i="21"/>
  <c r="E192" i="21"/>
  <c r="E152" i="21" s="1"/>
  <c r="E238" i="21" s="1"/>
  <c r="D192" i="21"/>
  <c r="C192" i="21"/>
  <c r="B22" i="61" s="1"/>
  <c r="B192" i="21"/>
  <c r="A22" i="61" s="1"/>
  <c r="AX191" i="21"/>
  <c r="AZ191" i="21" s="1"/>
  <c r="AW191" i="21"/>
  <c r="AW190" i="21" s="1"/>
  <c r="AV191" i="21"/>
  <c r="AU191" i="21"/>
  <c r="AU190" i="21" s="1"/>
  <c r="AU189" i="21" s="1"/>
  <c r="AT191" i="21"/>
  <c r="AS191" i="21"/>
  <c r="AR191" i="21"/>
  <c r="AR190" i="21" s="1"/>
  <c r="AR189" i="21" s="1"/>
  <c r="AQ191" i="21"/>
  <c r="AP191" i="21"/>
  <c r="AP190" i="21" s="1"/>
  <c r="AP189" i="21" s="1"/>
  <c r="AO191" i="21"/>
  <c r="AN191" i="21"/>
  <c r="AM191" i="21"/>
  <c r="AM190" i="21" s="1"/>
  <c r="AM189" i="21" s="1"/>
  <c r="AL191" i="21"/>
  <c r="AK191" i="21"/>
  <c r="AJ191" i="21"/>
  <c r="AI191" i="21"/>
  <c r="AH191" i="21"/>
  <c r="AG191" i="21"/>
  <c r="AF191" i="21"/>
  <c r="AE191" i="21"/>
  <c r="AD191" i="21"/>
  <c r="AC191" i="21"/>
  <c r="AB191" i="21"/>
  <c r="AA191" i="21"/>
  <c r="Z191" i="21"/>
  <c r="Y191" i="21"/>
  <c r="X191" i="21"/>
  <c r="W191" i="21"/>
  <c r="V191" i="21"/>
  <c r="AY191" i="21" s="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AX190" i="21"/>
  <c r="AV190" i="21"/>
  <c r="AS190" i="21"/>
  <c r="AS189" i="21" s="1"/>
  <c r="AQ190" i="21"/>
  <c r="AQ189" i="21" s="1"/>
  <c r="AO190" i="21"/>
  <c r="AO189" i="21" s="1"/>
  <c r="AN190" i="21"/>
  <c r="AN189" i="21" s="1"/>
  <c r="AL190" i="21"/>
  <c r="AK190" i="21"/>
  <c r="AJ190" i="21"/>
  <c r="AI190" i="21"/>
  <c r="AH190" i="21"/>
  <c r="AG190" i="21"/>
  <c r="AF190" i="21"/>
  <c r="AE190" i="21"/>
  <c r="AD190" i="21"/>
  <c r="AC190" i="21"/>
  <c r="AB190" i="21"/>
  <c r="AA190" i="21"/>
  <c r="Z190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AX189" i="21"/>
  <c r="AW189" i="21"/>
  <c r="AV189" i="21"/>
  <c r="AL189" i="21"/>
  <c r="AK189" i="21"/>
  <c r="AJ189" i="21"/>
  <c r="AI189" i="21"/>
  <c r="AH189" i="21"/>
  <c r="AG189" i="21"/>
  <c r="AF189" i="21"/>
  <c r="AE189" i="21"/>
  <c r="AD189" i="21"/>
  <c r="AC189" i="21"/>
  <c r="AB189" i="21"/>
  <c r="AA189" i="21"/>
  <c r="Z189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I152" i="21" s="1"/>
  <c r="H189" i="21"/>
  <c r="G189" i="21"/>
  <c r="F189" i="21"/>
  <c r="E189" i="21"/>
  <c r="D189" i="21"/>
  <c r="C189" i="21"/>
  <c r="B21" i="61" s="1"/>
  <c r="B189" i="21"/>
  <c r="A21" i="61" s="1"/>
  <c r="AL188" i="21"/>
  <c r="AM188" i="21" s="1"/>
  <c r="AK188" i="21"/>
  <c r="AJ188" i="21"/>
  <c r="AI188" i="21"/>
  <c r="AH188" i="21"/>
  <c r="AG188" i="21"/>
  <c r="AF188" i="21"/>
  <c r="AE188" i="21"/>
  <c r="AD188" i="21"/>
  <c r="AC188" i="21"/>
  <c r="AB188" i="21"/>
  <c r="AA188" i="21"/>
  <c r="Z188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BC187" i="21"/>
  <c r="AV187" i="21"/>
  <c r="AU187" i="21"/>
  <c r="AT187" i="21"/>
  <c r="AS187" i="21"/>
  <c r="AR187" i="21"/>
  <c r="AQ187" i="21"/>
  <c r="AP187" i="21"/>
  <c r="AM187" i="21"/>
  <c r="AW187" i="21" s="1"/>
  <c r="AL187" i="21"/>
  <c r="AK187" i="21"/>
  <c r="AJ187" i="21"/>
  <c r="AI187" i="21"/>
  <c r="AH187" i="21"/>
  <c r="AG187" i="21"/>
  <c r="AF187" i="21"/>
  <c r="AE187" i="21"/>
  <c r="AO187" i="21" s="1"/>
  <c r="AD187" i="21"/>
  <c r="AN187" i="21" s="1"/>
  <c r="AC187" i="21"/>
  <c r="AB187" i="21"/>
  <c r="AA187" i="21"/>
  <c r="Z187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AL186" i="21"/>
  <c r="AK186" i="21"/>
  <c r="AJ186" i="21"/>
  <c r="AJ169" i="21" s="1"/>
  <c r="AI186" i="21"/>
  <c r="AH186" i="21"/>
  <c r="AG186" i="21"/>
  <c r="AF186" i="21"/>
  <c r="AE186" i="21"/>
  <c r="AD186" i="21"/>
  <c r="AC186" i="21"/>
  <c r="AB186" i="21"/>
  <c r="AA186" i="21"/>
  <c r="Z186" i="21"/>
  <c r="Y186" i="21"/>
  <c r="X186" i="21"/>
  <c r="X169" i="21" s="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BC185" i="21"/>
  <c r="AV185" i="21"/>
  <c r="AU185" i="21"/>
  <c r="AU184" i="21" s="1"/>
  <c r="AT185" i="21"/>
  <c r="AT184" i="21" s="1"/>
  <c r="BC184" i="21" s="1"/>
  <c r="AS185" i="21"/>
  <c r="AS184" i="21" s="1"/>
  <c r="AR185" i="21"/>
  <c r="AR184" i="21" s="1"/>
  <c r="AQ185" i="21"/>
  <c r="AQ184" i="21" s="1"/>
  <c r="AP185" i="21"/>
  <c r="AP184" i="21" s="1"/>
  <c r="AM185" i="21"/>
  <c r="AW185" i="21" s="1"/>
  <c r="AW184" i="21" s="1"/>
  <c r="AL185" i="21"/>
  <c r="AK185" i="21"/>
  <c r="AJ185" i="21"/>
  <c r="AI185" i="21"/>
  <c r="AH185" i="21"/>
  <c r="AG185" i="21"/>
  <c r="AF185" i="21"/>
  <c r="AE185" i="21"/>
  <c r="AO185" i="21" s="1"/>
  <c r="AO184" i="21" s="1"/>
  <c r="AD185" i="21"/>
  <c r="AN185" i="21" s="1"/>
  <c r="AC185" i="21"/>
  <c r="AB185" i="21"/>
  <c r="AA185" i="21"/>
  <c r="Z185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AV184" i="21"/>
  <c r="AM184" i="21"/>
  <c r="AL184" i="21"/>
  <c r="AL169" i="21" s="1"/>
  <c r="AK184" i="21"/>
  <c r="AK169" i="21" s="1"/>
  <c r="AJ184" i="21"/>
  <c r="AI184" i="21"/>
  <c r="AH184" i="21"/>
  <c r="AG184" i="21"/>
  <c r="AF184" i="21"/>
  <c r="AE184" i="21"/>
  <c r="AD184" i="21"/>
  <c r="AC184" i="21"/>
  <c r="AB184" i="21"/>
  <c r="AA184" i="21"/>
  <c r="Z184" i="21"/>
  <c r="Z169" i="21" s="1"/>
  <c r="Y184" i="21"/>
  <c r="Y169" i="21" s="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BC183" i="21"/>
  <c r="AZ183" i="21"/>
  <c r="Z183" i="21"/>
  <c r="Y183" i="21"/>
  <c r="X183" i="21"/>
  <c r="W183" i="21"/>
  <c r="V183" i="21"/>
  <c r="AY183" i="21" s="1"/>
  <c r="AL182" i="21"/>
  <c r="AK182" i="21"/>
  <c r="AJ182" i="21"/>
  <c r="AI182" i="21"/>
  <c r="AH182" i="21"/>
  <c r="AG182" i="21"/>
  <c r="AF182" i="21"/>
  <c r="AE182" i="21"/>
  <c r="AD182" i="21"/>
  <c r="AC182" i="21"/>
  <c r="AB182" i="21"/>
  <c r="AA182" i="21"/>
  <c r="Z182" i="21"/>
  <c r="Y182" i="21"/>
  <c r="X182" i="21"/>
  <c r="W182" i="21"/>
  <c r="V182" i="21"/>
  <c r="U182" i="21"/>
  <c r="T182" i="21"/>
  <c r="S182" i="21"/>
  <c r="R182" i="21"/>
  <c r="Q182" i="21"/>
  <c r="P182" i="21"/>
  <c r="O182" i="21"/>
  <c r="N182" i="21"/>
  <c r="M182" i="21"/>
  <c r="L182" i="21"/>
  <c r="K182" i="21"/>
  <c r="J182" i="21"/>
  <c r="I182" i="21"/>
  <c r="H182" i="21"/>
  <c r="G182" i="21"/>
  <c r="F182" i="21"/>
  <c r="E182" i="21"/>
  <c r="D182" i="21"/>
  <c r="C182" i="21"/>
  <c r="B182" i="21"/>
  <c r="AL181" i="21"/>
  <c r="AK181" i="21"/>
  <c r="AJ181" i="21"/>
  <c r="AI181" i="21"/>
  <c r="AH181" i="21"/>
  <c r="AG181" i="21"/>
  <c r="AF181" i="21"/>
  <c r="AE181" i="21"/>
  <c r="AD181" i="21"/>
  <c r="AC181" i="21"/>
  <c r="AB181" i="21"/>
  <c r="AA181" i="21"/>
  <c r="Z181" i="21"/>
  <c r="Y181" i="21"/>
  <c r="X181" i="21"/>
  <c r="W181" i="21"/>
  <c r="V181" i="21"/>
  <c r="U181" i="21"/>
  <c r="T181" i="21"/>
  <c r="S181" i="21"/>
  <c r="R181" i="21"/>
  <c r="Q181" i="21"/>
  <c r="P181" i="21"/>
  <c r="O181" i="21"/>
  <c r="N181" i="21"/>
  <c r="M181" i="21"/>
  <c r="L181" i="21"/>
  <c r="K181" i="21"/>
  <c r="J181" i="21"/>
  <c r="I181" i="21"/>
  <c r="H181" i="21"/>
  <c r="G181" i="21"/>
  <c r="F181" i="21"/>
  <c r="E181" i="21"/>
  <c r="D181" i="21"/>
  <c r="C181" i="21"/>
  <c r="B181" i="21"/>
  <c r="AL180" i="21"/>
  <c r="AK180" i="21"/>
  <c r="AJ180" i="21"/>
  <c r="AI180" i="21"/>
  <c r="AH180" i="21"/>
  <c r="AG180" i="21"/>
  <c r="AF180" i="21"/>
  <c r="AE180" i="21"/>
  <c r="AD180" i="21"/>
  <c r="AC180" i="21"/>
  <c r="AB180" i="21"/>
  <c r="AA180" i="21"/>
  <c r="Z180" i="21"/>
  <c r="Y180" i="21"/>
  <c r="X180" i="21"/>
  <c r="W180" i="21"/>
  <c r="V180" i="21"/>
  <c r="U180" i="21"/>
  <c r="T180" i="21"/>
  <c r="S180" i="21"/>
  <c r="R180" i="21"/>
  <c r="Q180" i="21"/>
  <c r="P180" i="21"/>
  <c r="O180" i="21"/>
  <c r="N180" i="21"/>
  <c r="M180" i="21"/>
  <c r="L180" i="21"/>
  <c r="K180" i="21"/>
  <c r="J180" i="21"/>
  <c r="I180" i="21"/>
  <c r="H180" i="21"/>
  <c r="G180" i="21"/>
  <c r="F180" i="21"/>
  <c r="E180" i="21"/>
  <c r="D180" i="21"/>
  <c r="C180" i="21"/>
  <c r="B180" i="21"/>
  <c r="AX179" i="21"/>
  <c r="AW179" i="21"/>
  <c r="AV179" i="21"/>
  <c r="AU179" i="21"/>
  <c r="AT179" i="21"/>
  <c r="BC179" i="21" s="1"/>
  <c r="AQ179" i="21"/>
  <c r="AP179" i="21"/>
  <c r="AN179" i="21"/>
  <c r="AM179" i="21"/>
  <c r="AL179" i="21"/>
  <c r="AK179" i="21"/>
  <c r="AJ179" i="21"/>
  <c r="AI179" i="21"/>
  <c r="AS179" i="21" s="1"/>
  <c r="AH179" i="21"/>
  <c r="AR179" i="21" s="1"/>
  <c r="AG179" i="21"/>
  <c r="AF179" i="21"/>
  <c r="AE179" i="21"/>
  <c r="AO179" i="21" s="1"/>
  <c r="AD179" i="21"/>
  <c r="AC179" i="21"/>
  <c r="AB179" i="21"/>
  <c r="AA179" i="21"/>
  <c r="Z179" i="21"/>
  <c r="Y179" i="21"/>
  <c r="X179" i="21"/>
  <c r="W179" i="21"/>
  <c r="V179" i="21"/>
  <c r="U179" i="21"/>
  <c r="T179" i="21"/>
  <c r="S179" i="21"/>
  <c r="R179" i="21"/>
  <c r="Q179" i="21"/>
  <c r="P179" i="21"/>
  <c r="O179" i="21"/>
  <c r="N179" i="21"/>
  <c r="M179" i="21"/>
  <c r="L179" i="21"/>
  <c r="K179" i="21"/>
  <c r="J179" i="21"/>
  <c r="I179" i="21"/>
  <c r="H179" i="21"/>
  <c r="G179" i="21"/>
  <c r="F179" i="21"/>
  <c r="E179" i="21"/>
  <c r="D179" i="21"/>
  <c r="C179" i="21"/>
  <c r="B179" i="21"/>
  <c r="AL178" i="21"/>
  <c r="AK178" i="21"/>
  <c r="AJ178" i="21"/>
  <c r="AI178" i="21"/>
  <c r="AH178" i="21"/>
  <c r="AG178" i="21"/>
  <c r="AF178" i="21"/>
  <c r="AE178" i="21"/>
  <c r="AD178" i="21"/>
  <c r="AC178" i="21"/>
  <c r="AB178" i="21"/>
  <c r="AA178" i="21"/>
  <c r="Z178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AL177" i="21"/>
  <c r="AK177" i="21"/>
  <c r="AJ177" i="21"/>
  <c r="AI177" i="21"/>
  <c r="AH177" i="21"/>
  <c r="AG177" i="21"/>
  <c r="AF177" i="21"/>
  <c r="AE177" i="21"/>
  <c r="AD177" i="21"/>
  <c r="AC177" i="21"/>
  <c r="AB177" i="21"/>
  <c r="AA177" i="21"/>
  <c r="Z177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AL176" i="21"/>
  <c r="AK176" i="21"/>
  <c r="AJ176" i="21"/>
  <c r="AI176" i="21"/>
  <c r="AH176" i="21"/>
  <c r="AG176" i="21"/>
  <c r="AF176" i="21"/>
  <c r="AE176" i="21"/>
  <c r="AD176" i="21"/>
  <c r="AC176" i="21"/>
  <c r="AB176" i="21"/>
  <c r="AA176" i="21"/>
  <c r="Z176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AT175" i="21"/>
  <c r="AM175" i="21"/>
  <c r="AN175" i="21" s="1"/>
  <c r="AO175" i="21" s="1"/>
  <c r="AP175" i="21" s="1"/>
  <c r="AQ175" i="21" s="1"/>
  <c r="AR175" i="21" s="1"/>
  <c r="AS175" i="21" s="1"/>
  <c r="AL175" i="21"/>
  <c r="AK175" i="21"/>
  <c r="AJ175" i="21"/>
  <c r="AI175" i="21"/>
  <c r="AH175" i="21"/>
  <c r="AG175" i="21"/>
  <c r="AF175" i="21"/>
  <c r="AE175" i="21"/>
  <c r="AD175" i="21"/>
  <c r="AC175" i="21"/>
  <c r="AB175" i="21"/>
  <c r="AA175" i="21"/>
  <c r="Z175" i="21"/>
  <c r="Y175" i="21"/>
  <c r="X175" i="21"/>
  <c r="W175" i="21"/>
  <c r="V175" i="21"/>
  <c r="U175" i="21"/>
  <c r="T175" i="21"/>
  <c r="S175" i="21"/>
  <c r="R175" i="21"/>
  <c r="Q175" i="21"/>
  <c r="P175" i="21"/>
  <c r="O175" i="21"/>
  <c r="N175" i="21"/>
  <c r="M175" i="21"/>
  <c r="L175" i="21"/>
  <c r="K175" i="21"/>
  <c r="J175" i="21"/>
  <c r="I175" i="21"/>
  <c r="H175" i="21"/>
  <c r="G175" i="21"/>
  <c r="F175" i="21"/>
  <c r="E175" i="21"/>
  <c r="D175" i="21"/>
  <c r="C175" i="21"/>
  <c r="B175" i="21"/>
  <c r="AL174" i="21"/>
  <c r="AK174" i="21"/>
  <c r="AJ174" i="21"/>
  <c r="AI174" i="21"/>
  <c r="AH174" i="21"/>
  <c r="AG174" i="21"/>
  <c r="AF174" i="21"/>
  <c r="AE174" i="21"/>
  <c r="AD174" i="21"/>
  <c r="AC174" i="21"/>
  <c r="AB174" i="21"/>
  <c r="AA174" i="21"/>
  <c r="Z174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AL173" i="21"/>
  <c r="AK173" i="21"/>
  <c r="AJ173" i="21"/>
  <c r="AI173" i="21"/>
  <c r="AH173" i="21"/>
  <c r="AG173" i="21"/>
  <c r="AF173" i="21"/>
  <c r="AE173" i="21"/>
  <c r="AD173" i="21"/>
  <c r="AC173" i="21"/>
  <c r="AB173" i="21"/>
  <c r="AA173" i="21"/>
  <c r="Z173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AL172" i="21"/>
  <c r="AK172" i="21"/>
  <c r="AJ172" i="21"/>
  <c r="AI172" i="21"/>
  <c r="AH172" i="21"/>
  <c r="AG172" i="21"/>
  <c r="AF172" i="21"/>
  <c r="AE172" i="21"/>
  <c r="AD172" i="21"/>
  <c r="AC172" i="21"/>
  <c r="AB172" i="21"/>
  <c r="AA172" i="21"/>
  <c r="Z172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AL171" i="21"/>
  <c r="AK171" i="21"/>
  <c r="AJ171" i="21"/>
  <c r="AI171" i="21"/>
  <c r="AH171" i="21"/>
  <c r="AG171" i="21"/>
  <c r="AF171" i="21"/>
  <c r="AE171" i="21"/>
  <c r="AD171" i="21"/>
  <c r="AC171" i="21"/>
  <c r="AB171" i="21"/>
  <c r="AA171" i="21"/>
  <c r="Z171" i="21"/>
  <c r="Y171" i="21"/>
  <c r="X171" i="21"/>
  <c r="W171" i="21"/>
  <c r="V171" i="21"/>
  <c r="V169" i="21" s="1"/>
  <c r="U171" i="21"/>
  <c r="T171" i="21"/>
  <c r="S171" i="21"/>
  <c r="R171" i="21"/>
  <c r="Q171" i="21"/>
  <c r="P171" i="21"/>
  <c r="O171" i="21"/>
  <c r="N171" i="21"/>
  <c r="M171" i="21"/>
  <c r="L171" i="21"/>
  <c r="K171" i="21"/>
  <c r="J171" i="21"/>
  <c r="I171" i="21"/>
  <c r="H171" i="21"/>
  <c r="G171" i="21"/>
  <c r="F171" i="21"/>
  <c r="E171" i="21"/>
  <c r="D171" i="21"/>
  <c r="C171" i="21"/>
  <c r="B171" i="21"/>
  <c r="AL170" i="21"/>
  <c r="AK170" i="21"/>
  <c r="AJ170" i="21"/>
  <c r="AI170" i="21"/>
  <c r="AH170" i="21"/>
  <c r="AG170" i="21"/>
  <c r="AG169" i="21" s="1"/>
  <c r="AF170" i="21"/>
  <c r="AF169" i="21" s="1"/>
  <c r="AF152" i="21" s="1"/>
  <c r="AE170" i="21"/>
  <c r="AE169" i="21" s="1"/>
  <c r="AE152" i="21" s="1"/>
  <c r="AD170" i="21"/>
  <c r="AD169" i="21" s="1"/>
  <c r="AD152" i="21" s="1"/>
  <c r="AC170" i="21"/>
  <c r="AC169" i="21" s="1"/>
  <c r="AC152" i="21" s="1"/>
  <c r="AB170" i="21"/>
  <c r="AB169" i="21" s="1"/>
  <c r="AA170" i="21"/>
  <c r="Z170" i="21"/>
  <c r="Y170" i="21"/>
  <c r="X170" i="21"/>
  <c r="W170" i="21"/>
  <c r="V170" i="21"/>
  <c r="U170" i="21"/>
  <c r="U169" i="21" s="1"/>
  <c r="T170" i="21"/>
  <c r="T169" i="21" s="1"/>
  <c r="T152" i="21" s="1"/>
  <c r="S170" i="21"/>
  <c r="S169" i="21" s="1"/>
  <c r="S152" i="21" s="1"/>
  <c r="R170" i="21"/>
  <c r="R169" i="21" s="1"/>
  <c r="R152" i="21" s="1"/>
  <c r="Q170" i="21"/>
  <c r="Q169" i="21" s="1"/>
  <c r="Q152" i="21" s="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AI169" i="21"/>
  <c r="AH169" i="21"/>
  <c r="AA169" i="21"/>
  <c r="W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20" i="61" s="1"/>
  <c r="B169" i="21"/>
  <c r="A20" i="61" s="1"/>
  <c r="AQ168" i="21"/>
  <c r="AQ167" i="21" s="1"/>
  <c r="AP168" i="21"/>
  <c r="AP167" i="21" s="1"/>
  <c r="AO168" i="21"/>
  <c r="AO167" i="21" s="1"/>
  <c r="AN168" i="21"/>
  <c r="AN167" i="21" s="1"/>
  <c r="AL168" i="21"/>
  <c r="AK168" i="21"/>
  <c r="AJ168" i="21"/>
  <c r="AI168" i="21"/>
  <c r="AH168" i="21"/>
  <c r="AG168" i="21"/>
  <c r="AS168" i="21" s="1"/>
  <c r="AS167" i="21" s="1"/>
  <c r="AF168" i="21"/>
  <c r="AM168" i="21" s="1"/>
  <c r="AM167" i="21" s="1"/>
  <c r="AE168" i="21"/>
  <c r="AD168" i="21"/>
  <c r="AC168" i="21"/>
  <c r="AB168" i="21"/>
  <c r="AA168" i="21"/>
  <c r="Z168" i="21"/>
  <c r="Y168" i="21"/>
  <c r="X168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AL167" i="21"/>
  <c r="AK167" i="21"/>
  <c r="AJ167" i="21"/>
  <c r="AI167" i="21"/>
  <c r="AH167" i="21"/>
  <c r="AG167" i="21"/>
  <c r="AF167" i="21"/>
  <c r="AE167" i="21"/>
  <c r="AD167" i="21"/>
  <c r="AC167" i="21"/>
  <c r="AB167" i="21"/>
  <c r="AA167" i="21"/>
  <c r="Z167" i="21"/>
  <c r="Y167" i="21"/>
  <c r="X167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9" i="61" s="1"/>
  <c r="B167" i="21"/>
  <c r="A19" i="61" s="1"/>
  <c r="AL166" i="21"/>
  <c r="AK166" i="21"/>
  <c r="AK291" i="21" s="1"/>
  <c r="AJ166" i="21"/>
  <c r="AJ291" i="21" s="1"/>
  <c r="AI166" i="21"/>
  <c r="AI291" i="21" s="1"/>
  <c r="AH166" i="21"/>
  <c r="AH291" i="21" s="1"/>
  <c r="AG166" i="21"/>
  <c r="AG291" i="21" s="1"/>
  <c r="AF166" i="21"/>
  <c r="AF291" i="21" s="1"/>
  <c r="AE166" i="21"/>
  <c r="AE291" i="21" s="1"/>
  <c r="AD166" i="21"/>
  <c r="AD291" i="21" s="1"/>
  <c r="AC166" i="21"/>
  <c r="AC291" i="21" s="1"/>
  <c r="AB166" i="21"/>
  <c r="AB291" i="21" s="1"/>
  <c r="AA166" i="21"/>
  <c r="AA291" i="21" s="1"/>
  <c r="Z166" i="21"/>
  <c r="Z291" i="21" s="1"/>
  <c r="Y166" i="21"/>
  <c r="Y291" i="21" s="1"/>
  <c r="X166" i="21"/>
  <c r="X291" i="21" s="1"/>
  <c r="W166" i="21"/>
  <c r="W291" i="21" s="1"/>
  <c r="V166" i="21"/>
  <c r="V291" i="21" s="1"/>
  <c r="U166" i="21"/>
  <c r="U291" i="21" s="1"/>
  <c r="T166" i="21"/>
  <c r="T291" i="21" s="1"/>
  <c r="S166" i="21"/>
  <c r="S291" i="21" s="1"/>
  <c r="R166" i="21"/>
  <c r="R291" i="21" s="1"/>
  <c r="Q166" i="21"/>
  <c r="Q291" i="21" s="1"/>
  <c r="P166" i="21"/>
  <c r="O166" i="21"/>
  <c r="O291" i="21" s="1"/>
  <c r="N166" i="21"/>
  <c r="N291" i="21" s="1"/>
  <c r="M166" i="21"/>
  <c r="M291" i="21" s="1"/>
  <c r="L166" i="21"/>
  <c r="L291" i="21" s="1"/>
  <c r="K166" i="21"/>
  <c r="K291" i="21" s="1"/>
  <c r="J166" i="21"/>
  <c r="J291" i="21" s="1"/>
  <c r="I166" i="21"/>
  <c r="I291" i="21" s="1"/>
  <c r="H166" i="21"/>
  <c r="H291" i="21" s="1"/>
  <c r="G166" i="21"/>
  <c r="G291" i="21" s="1"/>
  <c r="F166" i="21"/>
  <c r="F291" i="21" s="1"/>
  <c r="E166" i="21"/>
  <c r="E291" i="21" s="1"/>
  <c r="D166" i="21"/>
  <c r="D291" i="21" s="1"/>
  <c r="C166" i="21"/>
  <c r="C291" i="21" s="1"/>
  <c r="B166" i="21"/>
  <c r="B291" i="21" s="1"/>
  <c r="AL165" i="21"/>
  <c r="AK165" i="21"/>
  <c r="AJ165" i="21"/>
  <c r="AI165" i="21"/>
  <c r="AH165" i="21"/>
  <c r="AG165" i="21"/>
  <c r="AF165" i="21"/>
  <c r="AE165" i="21"/>
  <c r="AD165" i="21"/>
  <c r="AC165" i="21"/>
  <c r="AB165" i="21"/>
  <c r="AA165" i="21"/>
  <c r="Z165" i="21"/>
  <c r="Y165" i="21"/>
  <c r="X165" i="21"/>
  <c r="W165" i="21"/>
  <c r="V165" i="21"/>
  <c r="U165" i="21"/>
  <c r="T165" i="21"/>
  <c r="S165" i="21"/>
  <c r="R165" i="21"/>
  <c r="Q165" i="21"/>
  <c r="P165" i="21"/>
  <c r="O165" i="21"/>
  <c r="N165" i="21"/>
  <c r="M165" i="21"/>
  <c r="L165" i="21"/>
  <c r="K165" i="21"/>
  <c r="J165" i="21"/>
  <c r="I165" i="21"/>
  <c r="H165" i="21"/>
  <c r="G165" i="21"/>
  <c r="F165" i="21"/>
  <c r="E165" i="21"/>
  <c r="D165" i="21"/>
  <c r="C165" i="21"/>
  <c r="B165" i="21"/>
  <c r="AL164" i="21"/>
  <c r="AK164" i="21"/>
  <c r="AJ164" i="21"/>
  <c r="AI164" i="21"/>
  <c r="AH164" i="21"/>
  <c r="AG164" i="21"/>
  <c r="AF164" i="21"/>
  <c r="AE164" i="21"/>
  <c r="AD164" i="21"/>
  <c r="AC164" i="21"/>
  <c r="AB164" i="21"/>
  <c r="AA164" i="21"/>
  <c r="Z164" i="21"/>
  <c r="Y164" i="21"/>
  <c r="X164" i="21"/>
  <c r="W164" i="21"/>
  <c r="V164" i="21"/>
  <c r="U164" i="21"/>
  <c r="T164" i="21"/>
  <c r="S164" i="21"/>
  <c r="R164" i="21"/>
  <c r="Q164" i="21"/>
  <c r="P164" i="21"/>
  <c r="O164" i="21"/>
  <c r="N164" i="21"/>
  <c r="M164" i="21"/>
  <c r="L164" i="21"/>
  <c r="K164" i="21"/>
  <c r="J164" i="21"/>
  <c r="I164" i="21"/>
  <c r="H164" i="21"/>
  <c r="G164" i="21"/>
  <c r="F164" i="21"/>
  <c r="E164" i="21"/>
  <c r="D164" i="21"/>
  <c r="C164" i="21"/>
  <c r="B164" i="21"/>
  <c r="AL163" i="21"/>
  <c r="AK163" i="21"/>
  <c r="AJ163" i="21"/>
  <c r="AI163" i="21"/>
  <c r="AH163" i="21"/>
  <c r="AG163" i="21"/>
  <c r="AF163" i="21"/>
  <c r="AE163" i="21"/>
  <c r="AD163" i="21"/>
  <c r="AC163" i="21"/>
  <c r="AB163" i="21"/>
  <c r="AA163" i="21"/>
  <c r="Z163" i="21"/>
  <c r="Y163" i="21"/>
  <c r="X163" i="21"/>
  <c r="W163" i="21"/>
  <c r="V163" i="21"/>
  <c r="U163" i="21"/>
  <c r="T163" i="21"/>
  <c r="S163" i="21"/>
  <c r="R163" i="21"/>
  <c r="Q163" i="21"/>
  <c r="P163" i="21"/>
  <c r="O163" i="21"/>
  <c r="N163" i="21"/>
  <c r="M163" i="21"/>
  <c r="L163" i="21"/>
  <c r="K163" i="21"/>
  <c r="J163" i="21"/>
  <c r="I163" i="21"/>
  <c r="H163" i="21"/>
  <c r="G163" i="21"/>
  <c r="F163" i="21"/>
  <c r="E163" i="21"/>
  <c r="D163" i="21"/>
  <c r="C163" i="21"/>
  <c r="B163" i="21"/>
  <c r="AL162" i="21"/>
  <c r="AK162" i="21"/>
  <c r="AJ162" i="21"/>
  <c r="AI162" i="21"/>
  <c r="AH162" i="21"/>
  <c r="AG162" i="21"/>
  <c r="AF162" i="21"/>
  <c r="AE162" i="21"/>
  <c r="AD162" i="21"/>
  <c r="AC162" i="21"/>
  <c r="AB162" i="21"/>
  <c r="AA162" i="21"/>
  <c r="Z162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AL161" i="21"/>
  <c r="AK161" i="21"/>
  <c r="AJ161" i="21"/>
  <c r="AI161" i="21"/>
  <c r="AH161" i="21"/>
  <c r="AG161" i="21"/>
  <c r="AF161" i="21"/>
  <c r="AE161" i="21"/>
  <c r="AD161" i="21"/>
  <c r="AC161" i="21"/>
  <c r="AB161" i="21"/>
  <c r="AA161" i="21"/>
  <c r="Z161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AL160" i="21"/>
  <c r="AK160" i="21"/>
  <c r="AK290" i="21" s="1"/>
  <c r="AJ160" i="21"/>
  <c r="AJ290" i="21" s="1"/>
  <c r="AI160" i="21"/>
  <c r="AI290" i="21" s="1"/>
  <c r="AH160" i="21"/>
  <c r="AH290" i="21" s="1"/>
  <c r="AG160" i="21"/>
  <c r="AG290" i="21" s="1"/>
  <c r="AF160" i="21"/>
  <c r="AF290" i="21" s="1"/>
  <c r="AE160" i="21"/>
  <c r="AE290" i="21" s="1"/>
  <c r="AD160" i="21"/>
  <c r="AC160" i="21"/>
  <c r="AC290" i="21" s="1"/>
  <c r="AB160" i="21"/>
  <c r="AB290" i="21" s="1"/>
  <c r="AA160" i="21"/>
  <c r="AA290" i="21" s="1"/>
  <c r="Z160" i="21"/>
  <c r="Z290" i="21" s="1"/>
  <c r="Y160" i="21"/>
  <c r="Y290" i="21" s="1"/>
  <c r="X160" i="21"/>
  <c r="X290" i="21" s="1"/>
  <c r="W160" i="21"/>
  <c r="W290" i="21" s="1"/>
  <c r="V160" i="21"/>
  <c r="V290" i="21" s="1"/>
  <c r="U160" i="21"/>
  <c r="U290" i="21" s="1"/>
  <c r="T160" i="21"/>
  <c r="T290" i="21" s="1"/>
  <c r="S160" i="21"/>
  <c r="S290" i="21" s="1"/>
  <c r="R160" i="21"/>
  <c r="R290" i="21" s="1"/>
  <c r="Q160" i="21"/>
  <c r="Q290" i="21" s="1"/>
  <c r="P160" i="21"/>
  <c r="O160" i="21"/>
  <c r="O290" i="21" s="1"/>
  <c r="N160" i="21"/>
  <c r="N290" i="21" s="1"/>
  <c r="M160" i="21"/>
  <c r="M290" i="21" s="1"/>
  <c r="L160" i="21"/>
  <c r="L290" i="21" s="1"/>
  <c r="K160" i="21"/>
  <c r="K290" i="21" s="1"/>
  <c r="J160" i="21"/>
  <c r="J290" i="21" s="1"/>
  <c r="I160" i="21"/>
  <c r="I290" i="21" s="1"/>
  <c r="H160" i="21"/>
  <c r="H290" i="21" s="1"/>
  <c r="G160" i="21"/>
  <c r="G290" i="21" s="1"/>
  <c r="F160" i="21"/>
  <c r="F290" i="21" s="1"/>
  <c r="E160" i="21"/>
  <c r="E290" i="21" s="1"/>
  <c r="D160" i="21"/>
  <c r="D290" i="21" s="1"/>
  <c r="C160" i="21"/>
  <c r="C290" i="21" s="1"/>
  <c r="B160" i="21"/>
  <c r="B290" i="21" s="1"/>
  <c r="AL159" i="21"/>
  <c r="AK159" i="21"/>
  <c r="AJ159" i="21"/>
  <c r="AI159" i="21"/>
  <c r="AH159" i="21"/>
  <c r="AG159" i="21"/>
  <c r="AF159" i="21"/>
  <c r="AE159" i="21"/>
  <c r="AD159" i="21"/>
  <c r="AC159" i="21"/>
  <c r="AB159" i="21"/>
  <c r="AA159" i="21"/>
  <c r="Z159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AL158" i="21"/>
  <c r="AK158" i="21"/>
  <c r="AJ158" i="21"/>
  <c r="AI158" i="21"/>
  <c r="AH158" i="21"/>
  <c r="AG158" i="21"/>
  <c r="AF158" i="21"/>
  <c r="AE158" i="21"/>
  <c r="AD158" i="21"/>
  <c r="AC158" i="21"/>
  <c r="AB158" i="21"/>
  <c r="AA158" i="21"/>
  <c r="Z158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AL157" i="21"/>
  <c r="AK157" i="21"/>
  <c r="AJ157" i="21"/>
  <c r="AI157" i="21"/>
  <c r="AH157" i="21"/>
  <c r="AG157" i="21"/>
  <c r="AF157" i="21"/>
  <c r="AE157" i="21"/>
  <c r="AD157" i="21"/>
  <c r="AC157" i="21"/>
  <c r="AB157" i="21"/>
  <c r="AA157" i="21"/>
  <c r="Z157" i="21"/>
  <c r="Y157" i="21"/>
  <c r="X157" i="21"/>
  <c r="W157" i="21"/>
  <c r="V157" i="21"/>
  <c r="U157" i="21"/>
  <c r="T157" i="21"/>
  <c r="S157" i="21"/>
  <c r="R157" i="21"/>
  <c r="Q157" i="21"/>
  <c r="P157" i="21"/>
  <c r="O157" i="21"/>
  <c r="N157" i="21"/>
  <c r="M157" i="21"/>
  <c r="L157" i="21"/>
  <c r="K157" i="21"/>
  <c r="J157" i="21"/>
  <c r="I157" i="21"/>
  <c r="H157" i="21"/>
  <c r="G157" i="21"/>
  <c r="F157" i="21"/>
  <c r="E157" i="21"/>
  <c r="D157" i="21"/>
  <c r="C157" i="21"/>
  <c r="B157" i="21"/>
  <c r="AL156" i="21"/>
  <c r="AK156" i="21"/>
  <c r="AJ156" i="21"/>
  <c r="AI156" i="21"/>
  <c r="AH156" i="21"/>
  <c r="AG156" i="21"/>
  <c r="AF156" i="21"/>
  <c r="AE156" i="21"/>
  <c r="AD156" i="21"/>
  <c r="AC156" i="21"/>
  <c r="AB156" i="21"/>
  <c r="AA156" i="21"/>
  <c r="Z156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AL155" i="21"/>
  <c r="AK155" i="21"/>
  <c r="AJ155" i="21"/>
  <c r="AI155" i="21"/>
  <c r="AH155" i="21"/>
  <c r="AG155" i="21"/>
  <c r="AF155" i="21"/>
  <c r="AE155" i="21"/>
  <c r="AD155" i="21"/>
  <c r="AC155" i="21"/>
  <c r="AB155" i="21"/>
  <c r="AA155" i="21"/>
  <c r="Z155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AL154" i="21"/>
  <c r="AK154" i="21"/>
  <c r="AJ154" i="21"/>
  <c r="AI154" i="21"/>
  <c r="AH154" i="21"/>
  <c r="AG154" i="21"/>
  <c r="AF154" i="21"/>
  <c r="AE154" i="21"/>
  <c r="AD154" i="21"/>
  <c r="AC154" i="21"/>
  <c r="AB154" i="21"/>
  <c r="AA154" i="21"/>
  <c r="Z154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C289" i="21" s="1"/>
  <c r="B154" i="21"/>
  <c r="B289" i="21" s="1"/>
  <c r="AL153" i="21"/>
  <c r="AK153" i="21"/>
  <c r="AK152" i="21" s="1"/>
  <c r="AJ153" i="21"/>
  <c r="AI153" i="21"/>
  <c r="AI152" i="21" s="1"/>
  <c r="AH153" i="21"/>
  <c r="AG153" i="21"/>
  <c r="AF153" i="21"/>
  <c r="AE153" i="21"/>
  <c r="AD153" i="21"/>
  <c r="AC153" i="21"/>
  <c r="AB153" i="21"/>
  <c r="AA153" i="21"/>
  <c r="AA152" i="21" s="1"/>
  <c r="Z153" i="21"/>
  <c r="Y153" i="21"/>
  <c r="Y152" i="21" s="1"/>
  <c r="X153" i="21"/>
  <c r="W153" i="21"/>
  <c r="W152" i="21" s="1"/>
  <c r="V153" i="21"/>
  <c r="U153" i="21"/>
  <c r="T153" i="21"/>
  <c r="S153" i="21"/>
  <c r="R153" i="21"/>
  <c r="Q153" i="21"/>
  <c r="P153" i="21"/>
  <c r="O153" i="21"/>
  <c r="O152" i="21" s="1"/>
  <c r="N153" i="21"/>
  <c r="N152" i="21" s="1"/>
  <c r="M153" i="21"/>
  <c r="M152" i="21" s="1"/>
  <c r="L153" i="21"/>
  <c r="L152" i="21" s="1"/>
  <c r="K153" i="21"/>
  <c r="K152" i="21" s="1"/>
  <c r="J153" i="21"/>
  <c r="I153" i="21"/>
  <c r="H153" i="21"/>
  <c r="G153" i="21"/>
  <c r="F153" i="21"/>
  <c r="E153" i="21"/>
  <c r="D153" i="21"/>
  <c r="C153" i="21"/>
  <c r="B18" i="61" s="1"/>
  <c r="B153" i="21"/>
  <c r="A18" i="61" s="1"/>
  <c r="AB152" i="21"/>
  <c r="H152" i="21"/>
  <c r="G152" i="21"/>
  <c r="F152" i="21"/>
  <c r="D152" i="21"/>
  <c r="C152" i="21"/>
  <c r="B152" i="21"/>
  <c r="AX151" i="21"/>
  <c r="AM151" i="21"/>
  <c r="AN151" i="21" s="1"/>
  <c r="AO151" i="21" s="1"/>
  <c r="AP151" i="21" s="1"/>
  <c r="AQ151" i="21" s="1"/>
  <c r="AR151" i="21" s="1"/>
  <c r="AS151" i="21" s="1"/>
  <c r="AT151" i="21" s="1"/>
  <c r="AL151" i="21"/>
  <c r="AK151" i="21"/>
  <c r="AJ151" i="21"/>
  <c r="AI151" i="21"/>
  <c r="AH151" i="21"/>
  <c r="AG151" i="21"/>
  <c r="AF151" i="21"/>
  <c r="AE151" i="21"/>
  <c r="AD151" i="21"/>
  <c r="AC151" i="21"/>
  <c r="AB151" i="21"/>
  <c r="AA151" i="21"/>
  <c r="Z151" i="21"/>
  <c r="Y151" i="21"/>
  <c r="X151" i="21"/>
  <c r="W151" i="21"/>
  <c r="V151" i="21"/>
  <c r="AY151" i="21" s="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BC150" i="21"/>
  <c r="AV150" i="21"/>
  <c r="AU150" i="21"/>
  <c r="AT150" i="21"/>
  <c r="AS150" i="21"/>
  <c r="AR150" i="21"/>
  <c r="AQ150" i="21"/>
  <c r="AP150" i="21"/>
  <c r="AO150" i="21"/>
  <c r="AN150" i="21"/>
  <c r="AX150" i="21" s="1"/>
  <c r="AY150" i="21" s="1"/>
  <c r="AL150" i="21"/>
  <c r="AK150" i="21"/>
  <c r="AJ150" i="21"/>
  <c r="AI150" i="21"/>
  <c r="AH150" i="21"/>
  <c r="AG150" i="21"/>
  <c r="AF150" i="21"/>
  <c r="AE150" i="21"/>
  <c r="AD150" i="21"/>
  <c r="AC150" i="21"/>
  <c r="AM150" i="21" s="1"/>
  <c r="AW150" i="21" s="1"/>
  <c r="AB150" i="21"/>
  <c r="AA150" i="21"/>
  <c r="Z150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AX149" i="21"/>
  <c r="AW149" i="21"/>
  <c r="AV149" i="21"/>
  <c r="AV147" i="21" s="1"/>
  <c r="AU149" i="21"/>
  <c r="AT149" i="21"/>
  <c r="AP149" i="21"/>
  <c r="AO149" i="21"/>
  <c r="AN149" i="21"/>
  <c r="AM149" i="21"/>
  <c r="AL149" i="21"/>
  <c r="AK149" i="21"/>
  <c r="AJ149" i="21"/>
  <c r="AI149" i="21"/>
  <c r="AS149" i="21" s="1"/>
  <c r="AH149" i="21"/>
  <c r="AR149" i="21" s="1"/>
  <c r="AG149" i="21"/>
  <c r="AQ149" i="21" s="1"/>
  <c r="AF149" i="21"/>
  <c r="AE149" i="21"/>
  <c r="AD149" i="21"/>
  <c r="AC149" i="21"/>
  <c r="AB149" i="21"/>
  <c r="AA149" i="21"/>
  <c r="Z149" i="21"/>
  <c r="Y149" i="21"/>
  <c r="X149" i="21"/>
  <c r="W149" i="21"/>
  <c r="V149" i="21"/>
  <c r="AY149" i="21" s="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BC148" i="21"/>
  <c r="AV148" i="21"/>
  <c r="N36" i="51" s="1"/>
  <c r="AU148" i="21"/>
  <c r="M36" i="51" s="1"/>
  <c r="AT148" i="21"/>
  <c r="L36" i="51" s="1"/>
  <c r="AS148" i="21"/>
  <c r="K36" i="51" s="1"/>
  <c r="AR148" i="21"/>
  <c r="J36" i="51" s="1"/>
  <c r="AP148" i="21"/>
  <c r="AO148" i="21"/>
  <c r="G36" i="51" s="1"/>
  <c r="AL148" i="21"/>
  <c r="AK148" i="21"/>
  <c r="AJ148" i="21"/>
  <c r="AI148" i="21"/>
  <c r="AH148" i="21"/>
  <c r="AG148" i="21"/>
  <c r="AQ148" i="21" s="1"/>
  <c r="AF148" i="21"/>
  <c r="AE148" i="21"/>
  <c r="AD148" i="21"/>
  <c r="AN148" i="21" s="1"/>
  <c r="AC148" i="21"/>
  <c r="AM148" i="21" s="1"/>
  <c r="AB148" i="21"/>
  <c r="D36" i="51" s="1"/>
  <c r="AA148" i="21"/>
  <c r="Z148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AU147" i="21"/>
  <c r="AL147" i="21"/>
  <c r="AK147" i="21"/>
  <c r="AJ147" i="21"/>
  <c r="AI147" i="21"/>
  <c r="AH147" i="21"/>
  <c r="AG147" i="21"/>
  <c r="AF147" i="21"/>
  <c r="AE147" i="21"/>
  <c r="AD147" i="21"/>
  <c r="AC147" i="21"/>
  <c r="AB147" i="21"/>
  <c r="AA147" i="21"/>
  <c r="Z147" i="21"/>
  <c r="Y147" i="21"/>
  <c r="X147" i="21"/>
  <c r="W147" i="21"/>
  <c r="V147" i="21"/>
  <c r="U147" i="21"/>
  <c r="T147" i="21"/>
  <c r="S147" i="2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BC146" i="21"/>
  <c r="AZ146" i="21"/>
  <c r="AV146" i="21"/>
  <c r="AU146" i="21"/>
  <c r="AT146" i="21"/>
  <c r="AS146" i="21"/>
  <c r="AR146" i="21"/>
  <c r="AP146" i="21"/>
  <c r="AO146" i="21"/>
  <c r="AL146" i="21"/>
  <c r="AK146" i="21"/>
  <c r="AJ146" i="21"/>
  <c r="AI146" i="21"/>
  <c r="AH146" i="21"/>
  <c r="AG146" i="21"/>
  <c r="AF146" i="21"/>
  <c r="AE146" i="21"/>
  <c r="AD146" i="21"/>
  <c r="AC146" i="21"/>
  <c r="AB146" i="21"/>
  <c r="AX146" i="21" s="1"/>
  <c r="AY146" i="21" s="1"/>
  <c r="AA146" i="21"/>
  <c r="AW146" i="21" s="1"/>
  <c r="Z146" i="21"/>
  <c r="Y146" i="21"/>
  <c r="X146" i="21"/>
  <c r="W146" i="21"/>
  <c r="V146" i="21"/>
  <c r="U146" i="21"/>
  <c r="AQ146" i="21" s="1"/>
  <c r="T146" i="21"/>
  <c r="S146" i="21"/>
  <c r="R146" i="21"/>
  <c r="AN146" i="21" s="1"/>
  <c r="Q146" i="21"/>
  <c r="AM146" i="21" s="1"/>
  <c r="P146" i="21"/>
  <c r="O146" i="21"/>
  <c r="N146" i="21"/>
  <c r="M146" i="21"/>
  <c r="L146" i="21"/>
  <c r="K146" i="21"/>
  <c r="J146" i="21"/>
  <c r="I146" i="21"/>
  <c r="H146" i="21"/>
  <c r="G146" i="21"/>
  <c r="F146" i="21"/>
  <c r="E146" i="21"/>
  <c r="D146" i="21"/>
  <c r="C146" i="21"/>
  <c r="B146" i="21"/>
  <c r="AL145" i="21"/>
  <c r="AK145" i="21"/>
  <c r="AJ145" i="21"/>
  <c r="AI145" i="21"/>
  <c r="AH145" i="21"/>
  <c r="AG145" i="21"/>
  <c r="AF145" i="21"/>
  <c r="AE145" i="21"/>
  <c r="AD145" i="21"/>
  <c r="AC145" i="21"/>
  <c r="AB145" i="21"/>
  <c r="AA145" i="21"/>
  <c r="Z145" i="21"/>
  <c r="Y145" i="21"/>
  <c r="X145" i="21"/>
  <c r="W145" i="21"/>
  <c r="V145" i="21"/>
  <c r="U145" i="21"/>
  <c r="T145" i="21"/>
  <c r="S145" i="21"/>
  <c r="R145" i="21"/>
  <c r="Q145" i="21"/>
  <c r="P145" i="21"/>
  <c r="O145" i="21"/>
  <c r="N145" i="21"/>
  <c r="M145" i="21"/>
  <c r="L145" i="21"/>
  <c r="K145" i="21"/>
  <c r="J145" i="21"/>
  <c r="I145" i="21"/>
  <c r="H145" i="21"/>
  <c r="G145" i="21"/>
  <c r="F145" i="21"/>
  <c r="E145" i="21"/>
  <c r="D145" i="21"/>
  <c r="C145" i="21"/>
  <c r="B145" i="21"/>
  <c r="AP144" i="21"/>
  <c r="AQ144" i="21" s="1"/>
  <c r="AR144" i="21" s="1"/>
  <c r="AS144" i="21" s="1"/>
  <c r="AT144" i="21" s="1"/>
  <c r="AN144" i="21"/>
  <c r="AO144" i="21" s="1"/>
  <c r="AM144" i="21"/>
  <c r="AL144" i="21"/>
  <c r="AK144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AM143" i="21"/>
  <c r="AN143" i="21" s="1"/>
  <c r="AO143" i="21" s="1"/>
  <c r="AP143" i="21" s="1"/>
  <c r="AQ143" i="21" s="1"/>
  <c r="AR143" i="21" s="1"/>
  <c r="AS143" i="21" s="1"/>
  <c r="AT143" i="21" s="1"/>
  <c r="AL143" i="21"/>
  <c r="AK143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AN142" i="21"/>
  <c r="AM142" i="21"/>
  <c r="AL142" i="21"/>
  <c r="AK142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AL141" i="21"/>
  <c r="AK141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BC140" i="21"/>
  <c r="AV140" i="21"/>
  <c r="AU140" i="21"/>
  <c r="AT140" i="21"/>
  <c r="AS140" i="21"/>
  <c r="AP140" i="21"/>
  <c r="AO140" i="21"/>
  <c r="AL140" i="21"/>
  <c r="AK140" i="21"/>
  <c r="AJ140" i="21"/>
  <c r="AI140" i="21"/>
  <c r="AH140" i="21"/>
  <c r="AR140" i="21" s="1"/>
  <c r="AG140" i="21"/>
  <c r="AQ140" i="21" s="1"/>
  <c r="AF140" i="21"/>
  <c r="AE140" i="21"/>
  <c r="AD140" i="21"/>
  <c r="AN140" i="21" s="1"/>
  <c r="AX140" i="21" s="1"/>
  <c r="AC140" i="21"/>
  <c r="AM140" i="21" s="1"/>
  <c r="AW140" i="21" s="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AL139" i="21"/>
  <c r="AK139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A50" i="51" s="1"/>
  <c r="BC138" i="21"/>
  <c r="AZ138" i="21"/>
  <c r="AV138" i="21"/>
  <c r="AU138" i="21"/>
  <c r="AT138" i="21"/>
  <c r="AS138" i="21"/>
  <c r="AP138" i="21"/>
  <c r="AO138" i="21"/>
  <c r="AN138" i="21"/>
  <c r="AL138" i="21"/>
  <c r="AK138" i="21"/>
  <c r="AJ138" i="21"/>
  <c r="AI138" i="21"/>
  <c r="AH138" i="21"/>
  <c r="AG138" i="21"/>
  <c r="AF138" i="21"/>
  <c r="AE138" i="21"/>
  <c r="AD138" i="21"/>
  <c r="AC138" i="21"/>
  <c r="AB138" i="21"/>
  <c r="AX138" i="21" s="1"/>
  <c r="AY138" i="21" s="1"/>
  <c r="AA138" i="21"/>
  <c r="AW138" i="21" s="1"/>
  <c r="Z138" i="21"/>
  <c r="Y138" i="21"/>
  <c r="X138" i="21"/>
  <c r="W138" i="21"/>
  <c r="V138" i="21"/>
  <c r="AR138" i="21" s="1"/>
  <c r="U138" i="21"/>
  <c r="AQ138" i="21" s="1"/>
  <c r="T138" i="21"/>
  <c r="S138" i="21"/>
  <c r="R138" i="21"/>
  <c r="Q138" i="21"/>
  <c r="AM138" i="21" s="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AV137" i="21"/>
  <c r="AU137" i="21"/>
  <c r="AT137" i="21"/>
  <c r="AP137" i="21"/>
  <c r="AO137" i="21"/>
  <c r="AN137" i="21"/>
  <c r="AM137" i="21"/>
  <c r="AL137" i="21"/>
  <c r="AK137" i="21"/>
  <c r="AJ137" i="21"/>
  <c r="AI137" i="21"/>
  <c r="AH137" i="21"/>
  <c r="AG137" i="21"/>
  <c r="AF137" i="21"/>
  <c r="AE137" i="21"/>
  <c r="AD137" i="21"/>
  <c r="AC137" i="21"/>
  <c r="AB137" i="21"/>
  <c r="AX137" i="21" s="1"/>
  <c r="AA137" i="21"/>
  <c r="AW137" i="21" s="1"/>
  <c r="Z137" i="21"/>
  <c r="Y137" i="21"/>
  <c r="X137" i="21"/>
  <c r="W137" i="21"/>
  <c r="AS137" i="21" s="1"/>
  <c r="V137" i="21"/>
  <c r="AR137" i="21" s="1"/>
  <c r="U137" i="21"/>
  <c r="AQ137" i="21" s="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BC136" i="21"/>
  <c r="AV136" i="21"/>
  <c r="AU136" i="21"/>
  <c r="AT136" i="21"/>
  <c r="AS136" i="21"/>
  <c r="AP136" i="21"/>
  <c r="AO136" i="21"/>
  <c r="AL136" i="21"/>
  <c r="AK136" i="21"/>
  <c r="AJ136" i="21"/>
  <c r="AI136" i="21"/>
  <c r="AH136" i="21"/>
  <c r="AR136" i="21" s="1"/>
  <c r="AG136" i="21"/>
  <c r="AQ136" i="21" s="1"/>
  <c r="AF136" i="21"/>
  <c r="AE136" i="21"/>
  <c r="AD136" i="21"/>
  <c r="AN136" i="21" s="1"/>
  <c r="AC136" i="21"/>
  <c r="AM136" i="21" s="1"/>
  <c r="AB136" i="21"/>
  <c r="AA136" i="21"/>
  <c r="Z136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AL135" i="21"/>
  <c r="AK135" i="21"/>
  <c r="AJ135" i="21"/>
  <c r="AI135" i="21"/>
  <c r="AH135" i="21"/>
  <c r="AG135" i="21"/>
  <c r="AF135" i="21"/>
  <c r="AE135" i="21"/>
  <c r="AD135" i="21"/>
  <c r="AC135" i="21"/>
  <c r="AB135" i="21"/>
  <c r="AA135" i="21"/>
  <c r="Z135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AL134" i="21"/>
  <c r="AK134" i="21"/>
  <c r="AJ134" i="21"/>
  <c r="AI134" i="21"/>
  <c r="AH134" i="21"/>
  <c r="AG134" i="21"/>
  <c r="AF134" i="21"/>
  <c r="AE134" i="21"/>
  <c r="AD134" i="21"/>
  <c r="AC134" i="21"/>
  <c r="AB134" i="21"/>
  <c r="D68" i="51" s="1"/>
  <c r="AA134" i="21"/>
  <c r="Z134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6" i="61" s="1"/>
  <c r="B134" i="21"/>
  <c r="A16" i="61" s="1"/>
  <c r="AV133" i="21"/>
  <c r="AV129" i="21" s="1"/>
  <c r="AU133" i="21"/>
  <c r="AT133" i="21"/>
  <c r="BC133" i="21" s="1"/>
  <c r="AP133" i="21"/>
  <c r="AO133" i="21"/>
  <c r="AN133" i="21"/>
  <c r="AM133" i="21"/>
  <c r="AL133" i="21"/>
  <c r="AK133" i="21"/>
  <c r="AJ133" i="21"/>
  <c r="AI133" i="21"/>
  <c r="AH133" i="21"/>
  <c r="AG133" i="21"/>
  <c r="AF133" i="21"/>
  <c r="AE133" i="21"/>
  <c r="AD133" i="21"/>
  <c r="AC133" i="21"/>
  <c r="AB133" i="21"/>
  <c r="AX133" i="21" s="1"/>
  <c r="AA133" i="21"/>
  <c r="AW133" i="21" s="1"/>
  <c r="Z133" i="21"/>
  <c r="Y133" i="21"/>
  <c r="X133" i="21"/>
  <c r="W133" i="21"/>
  <c r="AS133" i="21" s="1"/>
  <c r="V133" i="21"/>
  <c r="AR133" i="21" s="1"/>
  <c r="U133" i="21"/>
  <c r="AQ133" i="21" s="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BC132" i="21"/>
  <c r="AZ132" i="21"/>
  <c r="AV132" i="21"/>
  <c r="AU132" i="21"/>
  <c r="AT132" i="21"/>
  <c r="AS132" i="21"/>
  <c r="AP132" i="21"/>
  <c r="AO132" i="21"/>
  <c r="AL132" i="21"/>
  <c r="AK132" i="21"/>
  <c r="AJ132" i="21"/>
  <c r="AI132" i="21"/>
  <c r="AH132" i="21"/>
  <c r="AG132" i="21"/>
  <c r="AF132" i="21"/>
  <c r="AE132" i="21"/>
  <c r="AD132" i="21"/>
  <c r="AC132" i="21"/>
  <c r="AB132" i="21"/>
  <c r="AX132" i="21" s="1"/>
  <c r="AY132" i="21" s="1"/>
  <c r="AA132" i="21"/>
  <c r="AW132" i="21" s="1"/>
  <c r="Z132" i="21"/>
  <c r="Y132" i="21"/>
  <c r="X132" i="21"/>
  <c r="W132" i="21"/>
  <c r="V132" i="21"/>
  <c r="AR132" i="21" s="1"/>
  <c r="U132" i="21"/>
  <c r="AQ132" i="21" s="1"/>
  <c r="T132" i="21"/>
  <c r="S132" i="21"/>
  <c r="R132" i="21"/>
  <c r="AN132" i="21" s="1"/>
  <c r="Q132" i="21"/>
  <c r="AM132" i="21" s="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AV131" i="21"/>
  <c r="AU131" i="21"/>
  <c r="AT131" i="21"/>
  <c r="BC131" i="21" s="1"/>
  <c r="AP131" i="21"/>
  <c r="AO131" i="21"/>
  <c r="AN131" i="21"/>
  <c r="AM131" i="21"/>
  <c r="AL131" i="21"/>
  <c r="AK131" i="21"/>
  <c r="AJ131" i="21"/>
  <c r="AI131" i="21"/>
  <c r="AH131" i="21"/>
  <c r="AG131" i="21"/>
  <c r="AF131" i="21"/>
  <c r="AE131" i="21"/>
  <c r="AD131" i="21"/>
  <c r="AC131" i="21"/>
  <c r="AB131" i="21"/>
  <c r="AX131" i="21" s="1"/>
  <c r="AA131" i="21"/>
  <c r="AW131" i="21" s="1"/>
  <c r="Z131" i="21"/>
  <c r="Y131" i="21"/>
  <c r="X131" i="21"/>
  <c r="W131" i="21"/>
  <c r="AS131" i="21" s="1"/>
  <c r="V131" i="21"/>
  <c r="AR131" i="21" s="1"/>
  <c r="U131" i="21"/>
  <c r="AQ131" i="21" s="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BC130" i="21"/>
  <c r="AV130" i="21"/>
  <c r="AU130" i="21"/>
  <c r="AT130" i="21"/>
  <c r="AS130" i="21"/>
  <c r="AP130" i="21"/>
  <c r="AP129" i="21" s="1"/>
  <c r="AO130" i="21"/>
  <c r="AO129" i="21" s="1"/>
  <c r="AN130" i="21"/>
  <c r="AL130" i="21"/>
  <c r="AK130" i="21"/>
  <c r="AJ130" i="21"/>
  <c r="AI130" i="21"/>
  <c r="AH130" i="21"/>
  <c r="AG130" i="21"/>
  <c r="AF130" i="21"/>
  <c r="AE130" i="21"/>
  <c r="AD130" i="21"/>
  <c r="AC130" i="21"/>
  <c r="AB130" i="21"/>
  <c r="AX130" i="21" s="1"/>
  <c r="AA130" i="21"/>
  <c r="AW130" i="21" s="1"/>
  <c r="AW129" i="21" s="1"/>
  <c r="Z130" i="21"/>
  <c r="Y130" i="21"/>
  <c r="X130" i="21"/>
  <c r="W130" i="21"/>
  <c r="V130" i="21"/>
  <c r="AR130" i="21" s="1"/>
  <c r="U130" i="21"/>
  <c r="AQ130" i="21" s="1"/>
  <c r="T130" i="21"/>
  <c r="S130" i="21"/>
  <c r="R130" i="21"/>
  <c r="Q130" i="21"/>
  <c r="AM130" i="21" s="1"/>
  <c r="AM129" i="21" s="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AU129" i="21"/>
  <c r="AL129" i="21"/>
  <c r="AK129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BC128" i="21"/>
  <c r="AV128" i="21"/>
  <c r="AU128" i="21"/>
  <c r="AT128" i="21"/>
  <c r="AS128" i="21"/>
  <c r="AP128" i="21"/>
  <c r="AO128" i="21"/>
  <c r="AL128" i="21"/>
  <c r="AK128" i="21"/>
  <c r="AJ128" i="21"/>
  <c r="AI128" i="21"/>
  <c r="AH128" i="21"/>
  <c r="AG128" i="21"/>
  <c r="AF128" i="21"/>
  <c r="AE128" i="21"/>
  <c r="AD128" i="21"/>
  <c r="AC128" i="21"/>
  <c r="AB128" i="21"/>
  <c r="AX128" i="21" s="1"/>
  <c r="AA128" i="21"/>
  <c r="AW128" i="21" s="1"/>
  <c r="Z128" i="21"/>
  <c r="Y128" i="21"/>
  <c r="X128" i="21"/>
  <c r="W128" i="21"/>
  <c r="V128" i="21"/>
  <c r="AR128" i="21" s="1"/>
  <c r="U128" i="21"/>
  <c r="AQ128" i="21" s="1"/>
  <c r="T128" i="21"/>
  <c r="S128" i="21"/>
  <c r="R128" i="21"/>
  <c r="AN128" i="21" s="1"/>
  <c r="Q128" i="21"/>
  <c r="AM128" i="21" s="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AV127" i="21"/>
  <c r="AU127" i="21"/>
  <c r="AP127" i="21"/>
  <c r="AO127" i="21"/>
  <c r="AN127" i="21"/>
  <c r="AM127" i="21"/>
  <c r="AL127" i="21"/>
  <c r="AK127" i="21"/>
  <c r="AJ127" i="21"/>
  <c r="AI127" i="21"/>
  <c r="AH127" i="21"/>
  <c r="AG127" i="21"/>
  <c r="AF127" i="21"/>
  <c r="AE127" i="21"/>
  <c r="AD127" i="21"/>
  <c r="AC127" i="21"/>
  <c r="AB127" i="21"/>
  <c r="AX127" i="21" s="1"/>
  <c r="AA127" i="21"/>
  <c r="AW127" i="21" s="1"/>
  <c r="Z127" i="21"/>
  <c r="Y127" i="21"/>
  <c r="X127" i="21"/>
  <c r="AT127" i="21" s="1"/>
  <c r="BC127" i="21" s="1"/>
  <c r="W127" i="21"/>
  <c r="AS127" i="21" s="1"/>
  <c r="V127" i="21"/>
  <c r="AR127" i="21" s="1"/>
  <c r="U127" i="21"/>
  <c r="AQ127" i="21" s="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BC126" i="21"/>
  <c r="AV126" i="21"/>
  <c r="AU126" i="21"/>
  <c r="AT126" i="21"/>
  <c r="AS126" i="21"/>
  <c r="AP126" i="21"/>
  <c r="AO126" i="21"/>
  <c r="AN126" i="21"/>
  <c r="AL126" i="21"/>
  <c r="AK126" i="21"/>
  <c r="AJ126" i="21"/>
  <c r="AI126" i="21"/>
  <c r="AH126" i="21"/>
  <c r="AG126" i="21"/>
  <c r="AF126" i="21"/>
  <c r="AE126" i="21"/>
  <c r="AD126" i="21"/>
  <c r="AC126" i="21"/>
  <c r="AB126" i="21"/>
  <c r="AX126" i="21" s="1"/>
  <c r="AY126" i="21" s="1"/>
  <c r="AA126" i="21"/>
  <c r="AW126" i="21" s="1"/>
  <c r="Z126" i="21"/>
  <c r="Y126" i="21"/>
  <c r="X126" i="21"/>
  <c r="W126" i="21"/>
  <c r="V126" i="21"/>
  <c r="AR126" i="21" s="1"/>
  <c r="U126" i="21"/>
  <c r="AQ126" i="21" s="1"/>
  <c r="T126" i="21"/>
  <c r="S126" i="21"/>
  <c r="R126" i="21"/>
  <c r="Q126" i="21"/>
  <c r="AM126" i="21" s="1"/>
  <c r="P126" i="21"/>
  <c r="BA126" i="21" s="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AV125" i="21"/>
  <c r="AU125" i="21"/>
  <c r="AP125" i="21"/>
  <c r="AO125" i="21"/>
  <c r="AN125" i="21"/>
  <c r="AM125" i="21"/>
  <c r="AL125" i="21"/>
  <c r="AK125" i="21"/>
  <c r="AJ125" i="21"/>
  <c r="AI125" i="21"/>
  <c r="AH125" i="21"/>
  <c r="AG125" i="21"/>
  <c r="AF125" i="21"/>
  <c r="AE125" i="21"/>
  <c r="AD125" i="21"/>
  <c r="AC125" i="21"/>
  <c r="AB125" i="21"/>
  <c r="AX125" i="21" s="1"/>
  <c r="AA125" i="21"/>
  <c r="AW125" i="21" s="1"/>
  <c r="Z125" i="21"/>
  <c r="Y125" i="21"/>
  <c r="X125" i="21"/>
  <c r="AT125" i="21" s="1"/>
  <c r="W125" i="21"/>
  <c r="AS125" i="21" s="1"/>
  <c r="V125" i="21"/>
  <c r="AR125" i="21" s="1"/>
  <c r="U125" i="21"/>
  <c r="AQ125" i="21" s="1"/>
  <c r="T125" i="21"/>
  <c r="S125" i="21"/>
  <c r="R125" i="21"/>
  <c r="Q125" i="21"/>
  <c r="P125" i="21"/>
  <c r="O125" i="21"/>
  <c r="N125" i="21"/>
  <c r="M125" i="21"/>
  <c r="L125" i="21"/>
  <c r="K125" i="21"/>
  <c r="J125" i="21"/>
  <c r="I125" i="21"/>
  <c r="H125" i="21"/>
  <c r="G125" i="21"/>
  <c r="F125" i="21"/>
  <c r="E125" i="21"/>
  <c r="D125" i="21"/>
  <c r="C125" i="21"/>
  <c r="B125" i="21"/>
  <c r="BC124" i="21"/>
  <c r="AZ124" i="21"/>
  <c r="AV124" i="21"/>
  <c r="AU124" i="21"/>
  <c r="AT124" i="21"/>
  <c r="AS124" i="21"/>
  <c r="AP124" i="21"/>
  <c r="AP122" i="21" s="1"/>
  <c r="AO124" i="21"/>
  <c r="AO122" i="21" s="1"/>
  <c r="AN124" i="21"/>
  <c r="AL124" i="21"/>
  <c r="AK124" i="21"/>
  <c r="AJ124" i="21"/>
  <c r="AI124" i="21"/>
  <c r="AH124" i="21"/>
  <c r="AG124" i="21"/>
  <c r="AF124" i="21"/>
  <c r="AE124" i="21"/>
  <c r="AD124" i="21"/>
  <c r="AC124" i="21"/>
  <c r="AB124" i="21"/>
  <c r="AX124" i="21" s="1"/>
  <c r="AY124" i="21" s="1"/>
  <c r="AA124" i="21"/>
  <c r="AW124" i="21" s="1"/>
  <c r="Z124" i="21"/>
  <c r="Y124" i="21"/>
  <c r="X124" i="21"/>
  <c r="W124" i="21"/>
  <c r="V124" i="21"/>
  <c r="AR124" i="21" s="1"/>
  <c r="U124" i="21"/>
  <c r="AQ124" i="21" s="1"/>
  <c r="T124" i="21"/>
  <c r="S124" i="21"/>
  <c r="R124" i="21"/>
  <c r="Q124" i="21"/>
  <c r="AM124" i="21" s="1"/>
  <c r="P124" i="21"/>
  <c r="O124" i="21"/>
  <c r="N124" i="21"/>
  <c r="M124" i="21"/>
  <c r="L124" i="21"/>
  <c r="K124" i="21"/>
  <c r="J124" i="21"/>
  <c r="I124" i="21"/>
  <c r="H124" i="21"/>
  <c r="G124" i="21"/>
  <c r="F124" i="21"/>
  <c r="E124" i="21"/>
  <c r="D124" i="21"/>
  <c r="C124" i="21"/>
  <c r="B124" i="21"/>
  <c r="AV123" i="21"/>
  <c r="AU123" i="21"/>
  <c r="AT123" i="21"/>
  <c r="AP123" i="21"/>
  <c r="AO123" i="21"/>
  <c r="AN123" i="21"/>
  <c r="AM123" i="21"/>
  <c r="AL123" i="21"/>
  <c r="AK123" i="21"/>
  <c r="AJ123" i="21"/>
  <c r="AI123" i="21"/>
  <c r="AH123" i="21"/>
  <c r="AG123" i="21"/>
  <c r="AF123" i="21"/>
  <c r="AE123" i="21"/>
  <c r="AD123" i="21"/>
  <c r="AC123" i="21"/>
  <c r="AB123" i="21"/>
  <c r="AX123" i="21" s="1"/>
  <c r="AA123" i="21"/>
  <c r="AW123" i="21" s="1"/>
  <c r="Z123" i="21"/>
  <c r="Y123" i="21"/>
  <c r="X123" i="21"/>
  <c r="W123" i="21"/>
  <c r="AS123" i="21" s="1"/>
  <c r="V123" i="21"/>
  <c r="AR123" i="21" s="1"/>
  <c r="U123" i="21"/>
  <c r="AQ123" i="21" s="1"/>
  <c r="T123" i="21"/>
  <c r="S123" i="21"/>
  <c r="R123" i="21"/>
  <c r="Q123" i="21"/>
  <c r="P123" i="21"/>
  <c r="O123" i="21"/>
  <c r="N123" i="21"/>
  <c r="M123" i="21"/>
  <c r="L123" i="21"/>
  <c r="K123" i="21"/>
  <c r="J123" i="21"/>
  <c r="I123" i="21"/>
  <c r="H123" i="21"/>
  <c r="G123" i="21"/>
  <c r="F123" i="21"/>
  <c r="E123" i="21"/>
  <c r="D123" i="21"/>
  <c r="C123" i="21"/>
  <c r="B123" i="21"/>
  <c r="AL122" i="21"/>
  <c r="AK122" i="21"/>
  <c r="AJ122" i="21"/>
  <c r="AI122" i="21"/>
  <c r="AH122" i="21"/>
  <c r="AG122" i="21"/>
  <c r="AF122" i="21"/>
  <c r="AE122" i="21"/>
  <c r="AD122" i="21"/>
  <c r="AC122" i="21"/>
  <c r="AB122" i="21"/>
  <c r="D67" i="51" s="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5" i="61" s="1"/>
  <c r="B122" i="21"/>
  <c r="A15" i="61" s="1"/>
  <c r="AM121" i="21"/>
  <c r="AM120" i="21" s="1"/>
  <c r="AL121" i="21"/>
  <c r="AK121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AL120" i="21"/>
  <c r="AK120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AT119" i="21"/>
  <c r="AM119" i="21"/>
  <c r="AN119" i="21" s="1"/>
  <c r="AO119" i="21" s="1"/>
  <c r="AP119" i="21" s="1"/>
  <c r="AQ119" i="21" s="1"/>
  <c r="AR119" i="21" s="1"/>
  <c r="AS119" i="21" s="1"/>
  <c r="AL119" i="21"/>
  <c r="AK119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BA119" i="21" s="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BC118" i="21"/>
  <c r="AV118" i="21"/>
  <c r="AU118" i="21"/>
  <c r="AT118" i="21"/>
  <c r="AS118" i="21"/>
  <c r="AS117" i="21" s="1"/>
  <c r="AP118" i="21"/>
  <c r="AP117" i="21" s="1"/>
  <c r="AO118" i="21"/>
  <c r="AO117" i="21" s="1"/>
  <c r="AL118" i="21"/>
  <c r="AK118" i="21"/>
  <c r="AJ118" i="21"/>
  <c r="AI118" i="21"/>
  <c r="AH118" i="21"/>
  <c r="AR118" i="21" s="1"/>
  <c r="AR117" i="21" s="1"/>
  <c r="AG118" i="21"/>
  <c r="AQ118" i="21" s="1"/>
  <c r="AQ117" i="21" s="1"/>
  <c r="AF118" i="21"/>
  <c r="AE118" i="21"/>
  <c r="AD118" i="21"/>
  <c r="AN118" i="21" s="1"/>
  <c r="AC118" i="21"/>
  <c r="AM118" i="21" s="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AL117" i="21"/>
  <c r="AK117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BC116" i="21"/>
  <c r="BA116" i="21"/>
  <c r="AZ116" i="21"/>
  <c r="AV116" i="21"/>
  <c r="AT116" i="21"/>
  <c r="AS116" i="21"/>
  <c r="AP116" i="21"/>
  <c r="AO116" i="21"/>
  <c r="AN116" i="21"/>
  <c r="AX116" i="21" s="1"/>
  <c r="AY116" i="21" s="1"/>
  <c r="AL116" i="21"/>
  <c r="AK116" i="21"/>
  <c r="AU116" i="21" s="1"/>
  <c r="AJ116" i="21"/>
  <c r="AI116" i="21"/>
  <c r="AH116" i="21"/>
  <c r="AR116" i="21" s="1"/>
  <c r="AG116" i="21"/>
  <c r="AQ116" i="21" s="1"/>
  <c r="AF116" i="21"/>
  <c r="AE116" i="21"/>
  <c r="AD116" i="21"/>
  <c r="AC116" i="21"/>
  <c r="AM116" i="21" s="1"/>
  <c r="AW116" i="21" s="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AM115" i="21"/>
  <c r="AN115" i="21" s="1"/>
  <c r="AO115" i="21" s="1"/>
  <c r="AP115" i="21" s="1"/>
  <c r="AQ115" i="21" s="1"/>
  <c r="AR115" i="21" s="1"/>
  <c r="AS115" i="21" s="1"/>
  <c r="AL115" i="21"/>
  <c r="AK115" i="21"/>
  <c r="AJ115" i="21"/>
  <c r="AI115" i="21"/>
  <c r="AH115" i="21"/>
  <c r="AG115" i="21"/>
  <c r="AF115" i="21"/>
  <c r="AE115" i="21"/>
  <c r="AD115" i="21"/>
  <c r="AC115" i="21"/>
  <c r="AB115" i="21"/>
  <c r="AX115" i="21" s="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BC114" i="21"/>
  <c r="AT114" i="21"/>
  <c r="AS114" i="21"/>
  <c r="AP114" i="21"/>
  <c r="AO114" i="21"/>
  <c r="AL114" i="21"/>
  <c r="AK114" i="21"/>
  <c r="AJ114" i="21"/>
  <c r="AI114" i="21"/>
  <c r="AH114" i="21"/>
  <c r="AG114" i="21"/>
  <c r="AF114" i="21"/>
  <c r="AE114" i="21"/>
  <c r="AD114" i="21"/>
  <c r="AC114" i="21"/>
  <c r="AB114" i="21"/>
  <c r="AX114" i="21" s="1"/>
  <c r="AA114" i="21"/>
  <c r="AW114" i="21" s="1"/>
  <c r="Z114" i="21"/>
  <c r="AV114" i="21" s="1"/>
  <c r="Y114" i="21"/>
  <c r="AU114" i="21" s="1"/>
  <c r="X114" i="21"/>
  <c r="W114" i="21"/>
  <c r="V114" i="21"/>
  <c r="AR114" i="21" s="1"/>
  <c r="U114" i="21"/>
  <c r="AQ114" i="21" s="1"/>
  <c r="T114" i="21"/>
  <c r="S114" i="21"/>
  <c r="R114" i="21"/>
  <c r="AN114" i="21" s="1"/>
  <c r="AN113" i="21" s="1"/>
  <c r="Q114" i="21"/>
  <c r="AM114" i="21" s="1"/>
  <c r="AM113" i="21" s="1"/>
  <c r="P114" i="21"/>
  <c r="O114" i="21"/>
  <c r="N114" i="21"/>
  <c r="M114" i="21"/>
  <c r="L114" i="21"/>
  <c r="K114" i="21"/>
  <c r="J114" i="21"/>
  <c r="I114" i="21"/>
  <c r="H114" i="21"/>
  <c r="G114" i="21"/>
  <c r="F114" i="21"/>
  <c r="E114" i="21"/>
  <c r="D114" i="21"/>
  <c r="C114" i="21"/>
  <c r="B114" i="21"/>
  <c r="AL113" i="21"/>
  <c r="AK113" i="21"/>
  <c r="AJ113" i="21"/>
  <c r="AI113" i="21"/>
  <c r="AH113" i="21"/>
  <c r="AG113" i="21"/>
  <c r="AF113" i="21"/>
  <c r="AE113" i="21"/>
  <c r="AD113" i="21"/>
  <c r="AC113" i="21"/>
  <c r="AB113" i="21"/>
  <c r="AA113" i="21"/>
  <c r="Z113" i="21"/>
  <c r="Y113" i="21"/>
  <c r="X113" i="21"/>
  <c r="W113" i="21"/>
  <c r="V113" i="21"/>
  <c r="U113" i="21"/>
  <c r="T113" i="21"/>
  <c r="S113" i="21"/>
  <c r="R113" i="21"/>
  <c r="Q113" i="21"/>
  <c r="P113" i="21"/>
  <c r="O113" i="21"/>
  <c r="N113" i="21"/>
  <c r="M113" i="21"/>
  <c r="L113" i="21"/>
  <c r="K113" i="21"/>
  <c r="J113" i="21"/>
  <c r="I113" i="21"/>
  <c r="H113" i="21"/>
  <c r="G113" i="21"/>
  <c r="F113" i="21"/>
  <c r="E113" i="21"/>
  <c r="D113" i="21"/>
  <c r="C113" i="21"/>
  <c r="B113" i="21"/>
  <c r="AL112" i="21"/>
  <c r="AK112" i="21"/>
  <c r="AJ112" i="21"/>
  <c r="AI112" i="21"/>
  <c r="AH112" i="21"/>
  <c r="AG112" i="21"/>
  <c r="AF112" i="21"/>
  <c r="AE112" i="21"/>
  <c r="AD112" i="21"/>
  <c r="AC112" i="21"/>
  <c r="AB112" i="21"/>
  <c r="D66" i="51" s="1"/>
  <c r="AA112" i="21"/>
  <c r="Z112" i="21"/>
  <c r="Y112" i="21"/>
  <c r="X112" i="21"/>
  <c r="W112" i="21"/>
  <c r="V112" i="21"/>
  <c r="U112" i="21"/>
  <c r="T112" i="21"/>
  <c r="S112" i="21"/>
  <c r="R112" i="21"/>
  <c r="Q112" i="21"/>
  <c r="P112" i="21"/>
  <c r="O112" i="21"/>
  <c r="N112" i="21"/>
  <c r="M112" i="21"/>
  <c r="L112" i="21"/>
  <c r="K112" i="21"/>
  <c r="J112" i="21"/>
  <c r="I112" i="21"/>
  <c r="H112" i="21"/>
  <c r="G112" i="21"/>
  <c r="F112" i="21"/>
  <c r="E112" i="21"/>
  <c r="D112" i="21"/>
  <c r="C112" i="21"/>
  <c r="B14" i="61" s="1"/>
  <c r="B112" i="21"/>
  <c r="A14" i="61" s="1"/>
  <c r="AW111" i="21"/>
  <c r="AV111" i="21"/>
  <c r="AU111" i="21"/>
  <c r="AT111" i="21"/>
  <c r="BC111" i="21" s="1"/>
  <c r="AS111" i="21"/>
  <c r="AN111" i="21"/>
  <c r="AM111" i="21"/>
  <c r="AL111" i="21"/>
  <c r="AR111" i="21" s="1"/>
  <c r="AK111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BC110" i="21"/>
  <c r="AT110" i="21"/>
  <c r="AS110" i="21"/>
  <c r="AR110" i="21"/>
  <c r="AR109" i="21" s="1"/>
  <c r="AQ110" i="21"/>
  <c r="AP110" i="21"/>
  <c r="AO110" i="21"/>
  <c r="AN110" i="21"/>
  <c r="AN109" i="21" s="1"/>
  <c r="AM110" i="21"/>
  <c r="AM109" i="21" s="1"/>
  <c r="AL110" i="21"/>
  <c r="AX110" i="21" s="1"/>
  <c r="AK110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AS109" i="21"/>
  <c r="AL109" i="21"/>
  <c r="AK109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AN108" i="21"/>
  <c r="AO108" i="21" s="1"/>
  <c r="AP108" i="21" s="1"/>
  <c r="AQ108" i="21" s="1"/>
  <c r="AR108" i="21" s="1"/>
  <c r="AS108" i="21" s="1"/>
  <c r="AT108" i="21" s="1"/>
  <c r="AM108" i="21"/>
  <c r="AL108" i="21"/>
  <c r="AK108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AS107" i="21"/>
  <c r="AT107" i="21" s="1"/>
  <c r="AM107" i="21"/>
  <c r="AN107" i="21" s="1"/>
  <c r="AO107" i="21" s="1"/>
  <c r="AP107" i="21" s="1"/>
  <c r="AQ107" i="21" s="1"/>
  <c r="AR107" i="21" s="1"/>
  <c r="AL107" i="21"/>
  <c r="AK107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BA107" i="21" s="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BC106" i="21"/>
  <c r="AY106" i="21"/>
  <c r="AL106" i="21"/>
  <c r="AK106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AL105" i="21"/>
  <c r="AK105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AS104" i="21"/>
  <c r="AM104" i="21"/>
  <c r="AN104" i="21" s="1"/>
  <c r="AO104" i="21" s="1"/>
  <c r="AP104" i="21" s="1"/>
  <c r="AQ104" i="21" s="1"/>
  <c r="AR104" i="21" s="1"/>
  <c r="AL104" i="21"/>
  <c r="AK104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BC103" i="21"/>
  <c r="AT103" i="21"/>
  <c r="AS103" i="21"/>
  <c r="AP103" i="21"/>
  <c r="AO103" i="21"/>
  <c r="AL103" i="21"/>
  <c r="AV103" i="21" s="1"/>
  <c r="AK103" i="21"/>
  <c r="AU103" i="21" s="1"/>
  <c r="AJ103" i="21"/>
  <c r="AI103" i="21"/>
  <c r="AH103" i="21"/>
  <c r="AR103" i="21" s="1"/>
  <c r="AG103" i="21"/>
  <c r="AQ103" i="21" s="1"/>
  <c r="AF103" i="21"/>
  <c r="AE103" i="21"/>
  <c r="AD103" i="21"/>
  <c r="AN103" i="21" s="1"/>
  <c r="AC103" i="21"/>
  <c r="AM103" i="21" s="1"/>
  <c r="AB103" i="21"/>
  <c r="AA103" i="21"/>
  <c r="Z103" i="21"/>
  <c r="Y103" i="21"/>
  <c r="X103" i="21"/>
  <c r="W103" i="21"/>
  <c r="V103" i="21"/>
  <c r="U103" i="21"/>
  <c r="T103" i="21"/>
  <c r="S103" i="21"/>
  <c r="R103" i="21"/>
  <c r="Q103" i="21"/>
  <c r="P103" i="21"/>
  <c r="O103" i="21"/>
  <c r="N103" i="21"/>
  <c r="M103" i="21"/>
  <c r="L103" i="21"/>
  <c r="K103" i="21"/>
  <c r="J103" i="21"/>
  <c r="I103" i="21"/>
  <c r="H103" i="21"/>
  <c r="G103" i="21"/>
  <c r="F103" i="21"/>
  <c r="E103" i="21"/>
  <c r="D103" i="21"/>
  <c r="C103" i="21"/>
  <c r="B103" i="21"/>
  <c r="AL102" i="21"/>
  <c r="AK102" i="21"/>
  <c r="AJ102" i="21"/>
  <c r="AI102" i="21"/>
  <c r="AH102" i="21"/>
  <c r="AG102" i="21"/>
  <c r="AF102" i="21"/>
  <c r="AE102" i="21"/>
  <c r="AD102" i="21"/>
  <c r="AC102" i="21"/>
  <c r="AB102" i="21"/>
  <c r="D65" i="51" s="1"/>
  <c r="AA102" i="21"/>
  <c r="Z102" i="21"/>
  <c r="Y102" i="21"/>
  <c r="X102" i="21"/>
  <c r="W102" i="21"/>
  <c r="V102" i="21"/>
  <c r="U102" i="21"/>
  <c r="T102" i="21"/>
  <c r="S102" i="21"/>
  <c r="R102" i="21"/>
  <c r="Q102" i="21"/>
  <c r="P102" i="21"/>
  <c r="O102" i="21"/>
  <c r="N102" i="21"/>
  <c r="M102" i="21"/>
  <c r="L102" i="21"/>
  <c r="K102" i="21"/>
  <c r="J102" i="21"/>
  <c r="I102" i="21"/>
  <c r="H102" i="21"/>
  <c r="G102" i="21"/>
  <c r="F102" i="21"/>
  <c r="E102" i="21"/>
  <c r="D102" i="21"/>
  <c r="B102" i="21"/>
  <c r="A13" i="61" s="1"/>
  <c r="BC101" i="21"/>
  <c r="AY101" i="21"/>
  <c r="AX101" i="21"/>
  <c r="AW101" i="21"/>
  <c r="AV101" i="21"/>
  <c r="AU101" i="21"/>
  <c r="AT101" i="21"/>
  <c r="AS101" i="21"/>
  <c r="AR101" i="21"/>
  <c r="AQ101" i="21"/>
  <c r="AP101" i="21"/>
  <c r="AO101" i="21"/>
  <c r="AN101" i="21"/>
  <c r="AM101" i="21"/>
  <c r="AL101" i="21"/>
  <c r="AK101" i="21"/>
  <c r="AJ101" i="21"/>
  <c r="AI101" i="21"/>
  <c r="AH101" i="21"/>
  <c r="AG101" i="21"/>
  <c r="AF101" i="21"/>
  <c r="AE101" i="21"/>
  <c r="AD101" i="21"/>
  <c r="AC101" i="21"/>
  <c r="AB101" i="21"/>
  <c r="AA101" i="21"/>
  <c r="Z101" i="21"/>
  <c r="Y101" i="21"/>
  <c r="X101" i="21"/>
  <c r="W101" i="21"/>
  <c r="V101" i="21"/>
  <c r="U101" i="21"/>
  <c r="T101" i="21"/>
  <c r="S101" i="21"/>
  <c r="R101" i="21"/>
  <c r="Q101" i="21"/>
  <c r="P101" i="21"/>
  <c r="O101" i="21"/>
  <c r="N101" i="21"/>
  <c r="M101" i="21"/>
  <c r="L101" i="21"/>
  <c r="K101" i="21"/>
  <c r="J101" i="21"/>
  <c r="I101" i="21"/>
  <c r="H101" i="21"/>
  <c r="G101" i="21"/>
  <c r="F101" i="21"/>
  <c r="E101" i="21"/>
  <c r="D101" i="21"/>
  <c r="C101" i="21"/>
  <c r="B101" i="21"/>
  <c r="AL100" i="21"/>
  <c r="AM100" i="21" s="1"/>
  <c r="AN100" i="21" s="1"/>
  <c r="AO100" i="21" s="1"/>
  <c r="AP100" i="21" s="1"/>
  <c r="AQ100" i="21" s="1"/>
  <c r="AR100" i="21" s="1"/>
  <c r="AS100" i="21" s="1"/>
  <c r="AT100" i="21" s="1"/>
  <c r="BC100" i="21" s="1"/>
  <c r="AK100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BC99" i="21"/>
  <c r="AV99" i="21"/>
  <c r="AU99" i="21"/>
  <c r="AT99" i="21"/>
  <c r="AS99" i="21"/>
  <c r="AR99" i="21"/>
  <c r="AL99" i="21"/>
  <c r="AK99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AM98" i="21"/>
  <c r="AL98" i="21"/>
  <c r="AK98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A20" i="51" s="1"/>
  <c r="AL97" i="21"/>
  <c r="AK97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AL96" i="21"/>
  <c r="AK96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AL95" i="21"/>
  <c r="AL350" i="21" s="1"/>
  <c r="AK95" i="21"/>
  <c r="AJ95" i="21"/>
  <c r="AI95" i="21"/>
  <c r="AH95" i="21"/>
  <c r="AG95" i="21"/>
  <c r="AF95" i="21"/>
  <c r="AE95" i="21"/>
  <c r="AD95" i="21"/>
  <c r="AC95" i="21"/>
  <c r="AB95" i="21"/>
  <c r="AA95" i="21"/>
  <c r="Z95" i="21"/>
  <c r="Z350" i="21" s="1"/>
  <c r="Y95" i="21"/>
  <c r="X95" i="21"/>
  <c r="W95" i="21"/>
  <c r="V95" i="21"/>
  <c r="U95" i="21"/>
  <c r="T95" i="21"/>
  <c r="S95" i="21"/>
  <c r="R95" i="21"/>
  <c r="Q95" i="21"/>
  <c r="P95" i="21"/>
  <c r="O95" i="21"/>
  <c r="N95" i="21"/>
  <c r="N350" i="21" s="1"/>
  <c r="M95" i="21"/>
  <c r="L95" i="21"/>
  <c r="K95" i="21"/>
  <c r="J95" i="21"/>
  <c r="I95" i="21"/>
  <c r="H95" i="21"/>
  <c r="G95" i="21"/>
  <c r="F95" i="21"/>
  <c r="E95" i="21"/>
  <c r="D95" i="21"/>
  <c r="C95" i="21"/>
  <c r="B95" i="21"/>
  <c r="AL94" i="21"/>
  <c r="AK94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BC94" i="21" s="1"/>
  <c r="V94" i="21"/>
  <c r="AY94" i="21" s="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AL93" i="21"/>
  <c r="AK93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AL92" i="21"/>
  <c r="AK92" i="21"/>
  <c r="AJ92" i="21"/>
  <c r="AI92" i="21"/>
  <c r="AH92" i="21"/>
  <c r="AG92" i="21"/>
  <c r="AF92" i="21"/>
  <c r="AE92" i="21"/>
  <c r="AD92" i="21"/>
  <c r="AC92" i="21"/>
  <c r="AB92" i="21"/>
  <c r="AA92" i="21"/>
  <c r="Z92" i="21"/>
  <c r="Y92" i="21"/>
  <c r="X92" i="21"/>
  <c r="W92" i="21"/>
  <c r="V92" i="21"/>
  <c r="U92" i="21"/>
  <c r="T92" i="21"/>
  <c r="S92" i="21"/>
  <c r="R92" i="21"/>
  <c r="Q92" i="21"/>
  <c r="P92" i="21"/>
  <c r="O92" i="21"/>
  <c r="N92" i="21"/>
  <c r="M92" i="21"/>
  <c r="L92" i="21"/>
  <c r="K92" i="21"/>
  <c r="J92" i="21"/>
  <c r="I92" i="21"/>
  <c r="H92" i="21"/>
  <c r="G92" i="21"/>
  <c r="F92" i="21"/>
  <c r="E92" i="21"/>
  <c r="D92" i="21"/>
  <c r="C92" i="21"/>
  <c r="B92" i="21"/>
  <c r="BA91" i="21"/>
  <c r="AL91" i="21"/>
  <c r="AK91" i="21"/>
  <c r="AJ91" i="21"/>
  <c r="AI91" i="21"/>
  <c r="AH91" i="21"/>
  <c r="AG91" i="21"/>
  <c r="AF91" i="21"/>
  <c r="AE91" i="21"/>
  <c r="AD91" i="21"/>
  <c r="AC91" i="21"/>
  <c r="AB91" i="21"/>
  <c r="AA91" i="21"/>
  <c r="Z91" i="21"/>
  <c r="Y91" i="21"/>
  <c r="X91" i="21"/>
  <c r="W91" i="21"/>
  <c r="V91" i="21"/>
  <c r="U91" i="21"/>
  <c r="T91" i="21"/>
  <c r="S91" i="21"/>
  <c r="R91" i="21"/>
  <c r="Q91" i="21"/>
  <c r="P91" i="21"/>
  <c r="O91" i="21"/>
  <c r="N91" i="21"/>
  <c r="M91" i="21"/>
  <c r="L91" i="21"/>
  <c r="K91" i="21"/>
  <c r="J91" i="21"/>
  <c r="I91" i="21"/>
  <c r="H91" i="21"/>
  <c r="G91" i="21"/>
  <c r="F91" i="21"/>
  <c r="E91" i="21"/>
  <c r="D91" i="21"/>
  <c r="C91" i="21"/>
  <c r="B91" i="21"/>
  <c r="AL90" i="21"/>
  <c r="AK90" i="21"/>
  <c r="AJ90" i="21"/>
  <c r="AI90" i="21"/>
  <c r="AH90" i="21"/>
  <c r="AG90" i="21"/>
  <c r="AF90" i="21"/>
  <c r="AE90" i="21"/>
  <c r="AD90" i="21"/>
  <c r="AC90" i="21"/>
  <c r="AB90" i="21"/>
  <c r="AA90" i="21"/>
  <c r="Z90" i="21"/>
  <c r="Y90" i="21"/>
  <c r="X90" i="21"/>
  <c r="W90" i="21"/>
  <c r="V90" i="21"/>
  <c r="U90" i="21"/>
  <c r="T90" i="21"/>
  <c r="S90" i="21"/>
  <c r="R90" i="21"/>
  <c r="Q90" i="21"/>
  <c r="P90" i="21"/>
  <c r="BA90" i="21" s="1"/>
  <c r="O90" i="21"/>
  <c r="N90" i="21"/>
  <c r="M90" i="21"/>
  <c r="L90" i="21"/>
  <c r="K90" i="21"/>
  <c r="J90" i="21"/>
  <c r="I90" i="21"/>
  <c r="H90" i="21"/>
  <c r="G90" i="21"/>
  <c r="F90" i="21"/>
  <c r="E90" i="21"/>
  <c r="D90" i="21"/>
  <c r="C90" i="21"/>
  <c r="B90" i="21"/>
  <c r="AL89" i="21"/>
  <c r="AK89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AL88" i="21"/>
  <c r="AL276" i="21" s="1"/>
  <c r="AK88" i="21"/>
  <c r="AK276" i="21" s="1"/>
  <c r="AJ88" i="21"/>
  <c r="AJ276" i="21" s="1"/>
  <c r="AI88" i="21"/>
  <c r="AI276" i="21" s="1"/>
  <c r="AH88" i="21"/>
  <c r="AH276" i="21" s="1"/>
  <c r="AG88" i="21"/>
  <c r="AG276" i="21" s="1"/>
  <c r="AF88" i="21"/>
  <c r="AF276" i="21" s="1"/>
  <c r="AE88" i="21"/>
  <c r="AE276" i="21" s="1"/>
  <c r="AD88" i="21"/>
  <c r="AD276" i="21" s="1"/>
  <c r="AC88" i="21"/>
  <c r="AC276" i="21" s="1"/>
  <c r="AB88" i="21"/>
  <c r="AB276" i="21" s="1"/>
  <c r="AA88" i="21"/>
  <c r="AA276" i="21" s="1"/>
  <c r="Z88" i="21"/>
  <c r="Z276" i="21" s="1"/>
  <c r="Y88" i="21"/>
  <c r="Y276" i="21" s="1"/>
  <c r="X88" i="21"/>
  <c r="X276" i="21" s="1"/>
  <c r="W88" i="21"/>
  <c r="W276" i="21" s="1"/>
  <c r="V88" i="21"/>
  <c r="V276" i="21" s="1"/>
  <c r="U88" i="21"/>
  <c r="U276" i="21" s="1"/>
  <c r="T88" i="21"/>
  <c r="T276" i="21" s="1"/>
  <c r="S88" i="21"/>
  <c r="S276" i="21" s="1"/>
  <c r="R88" i="21"/>
  <c r="R276" i="21" s="1"/>
  <c r="Q88" i="21"/>
  <c r="Q276" i="21" s="1"/>
  <c r="P88" i="21"/>
  <c r="P276" i="21" s="1"/>
  <c r="O88" i="21"/>
  <c r="O276" i="21" s="1"/>
  <c r="N88" i="21"/>
  <c r="N276" i="21" s="1"/>
  <c r="M88" i="21"/>
  <c r="M276" i="21" s="1"/>
  <c r="L88" i="21"/>
  <c r="L276" i="21" s="1"/>
  <c r="K88" i="21"/>
  <c r="K276" i="21" s="1"/>
  <c r="J88" i="21"/>
  <c r="J276" i="21" s="1"/>
  <c r="I88" i="21"/>
  <c r="I276" i="21" s="1"/>
  <c r="H88" i="21"/>
  <c r="H276" i="21" s="1"/>
  <c r="G88" i="21"/>
  <c r="G276" i="21" s="1"/>
  <c r="F88" i="21"/>
  <c r="F276" i="21" s="1"/>
  <c r="E88" i="21"/>
  <c r="E276" i="21" s="1"/>
  <c r="D88" i="21"/>
  <c r="D276" i="21" s="1"/>
  <c r="C88" i="21"/>
  <c r="C276" i="21" s="1"/>
  <c r="B88" i="21"/>
  <c r="B276" i="21" s="1"/>
  <c r="AL87" i="21"/>
  <c r="AK87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AL86" i="21"/>
  <c r="AK86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AL85" i="21"/>
  <c r="AL265" i="21" s="1"/>
  <c r="AK85" i="21"/>
  <c r="AK265" i="21" s="1"/>
  <c r="AJ85" i="21"/>
  <c r="AJ265" i="21" s="1"/>
  <c r="AI85" i="21"/>
  <c r="AH85" i="21"/>
  <c r="AH265" i="21" s="1"/>
  <c r="AG85" i="21"/>
  <c r="AG265" i="21" s="1"/>
  <c r="AF85" i="21"/>
  <c r="AF265" i="21" s="1"/>
  <c r="AE85" i="21"/>
  <c r="AE265" i="21" s="1"/>
  <c r="AD85" i="21"/>
  <c r="AD265" i="21" s="1"/>
  <c r="AC85" i="21"/>
  <c r="AC265" i="21" s="1"/>
  <c r="AB85" i="21"/>
  <c r="AB265" i="21" s="1"/>
  <c r="AA85" i="21"/>
  <c r="AA265" i="21" s="1"/>
  <c r="Z85" i="21"/>
  <c r="Z265" i="21" s="1"/>
  <c r="Y85" i="21"/>
  <c r="Y265" i="21" s="1"/>
  <c r="X85" i="21"/>
  <c r="X265" i="21" s="1"/>
  <c r="W85" i="21"/>
  <c r="W265" i="21" s="1"/>
  <c r="V85" i="21"/>
  <c r="V265" i="21" s="1"/>
  <c r="U85" i="21"/>
  <c r="U265" i="21" s="1"/>
  <c r="T85" i="21"/>
  <c r="T265" i="21" s="1"/>
  <c r="S85" i="21"/>
  <c r="S265" i="21" s="1"/>
  <c r="R85" i="21"/>
  <c r="R265" i="21" s="1"/>
  <c r="Q85" i="21"/>
  <c r="Q265" i="21" s="1"/>
  <c r="P85" i="21"/>
  <c r="O85" i="21"/>
  <c r="O265" i="21" s="1"/>
  <c r="N85" i="21"/>
  <c r="N265" i="21" s="1"/>
  <c r="M85" i="21"/>
  <c r="M265" i="21" s="1"/>
  <c r="L85" i="21"/>
  <c r="L265" i="21" s="1"/>
  <c r="K85" i="21"/>
  <c r="K265" i="21" s="1"/>
  <c r="J85" i="21"/>
  <c r="J265" i="21" s="1"/>
  <c r="I85" i="21"/>
  <c r="I265" i="21" s="1"/>
  <c r="H85" i="21"/>
  <c r="H265" i="21" s="1"/>
  <c r="G85" i="21"/>
  <c r="G265" i="21" s="1"/>
  <c r="F85" i="21"/>
  <c r="F265" i="21" s="1"/>
  <c r="E85" i="21"/>
  <c r="E265" i="21" s="1"/>
  <c r="D85" i="21"/>
  <c r="D265" i="21" s="1"/>
  <c r="C85" i="21"/>
  <c r="C265" i="21" s="1"/>
  <c r="B85" i="21"/>
  <c r="B265" i="21" s="1"/>
  <c r="AL84" i="21"/>
  <c r="AK84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AL83" i="21"/>
  <c r="AK83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AL82" i="21"/>
  <c r="AL254" i="21" s="1"/>
  <c r="AK82" i="21"/>
  <c r="AK254" i="21" s="1"/>
  <c r="AJ82" i="21"/>
  <c r="AJ254" i="21" s="1"/>
  <c r="AI82" i="21"/>
  <c r="AI254" i="21" s="1"/>
  <c r="AH82" i="21"/>
  <c r="AH254" i="21" s="1"/>
  <c r="AG82" i="21"/>
  <c r="AG254" i="21" s="1"/>
  <c r="AF82" i="21"/>
  <c r="AF254" i="21" s="1"/>
  <c r="AE82" i="21"/>
  <c r="AE254" i="21" s="1"/>
  <c r="AD82" i="21"/>
  <c r="AD254" i="21" s="1"/>
  <c r="AC82" i="21"/>
  <c r="AC254" i="21" s="1"/>
  <c r="AB82" i="21"/>
  <c r="AB254" i="21" s="1"/>
  <c r="AA82" i="21"/>
  <c r="AA254" i="21" s="1"/>
  <c r="Z82" i="21"/>
  <c r="Z254" i="21" s="1"/>
  <c r="Y82" i="21"/>
  <c r="Y254" i="21" s="1"/>
  <c r="X82" i="21"/>
  <c r="X254" i="21" s="1"/>
  <c r="W82" i="21"/>
  <c r="W254" i="21" s="1"/>
  <c r="V82" i="21"/>
  <c r="V254" i="21" s="1"/>
  <c r="U82" i="21"/>
  <c r="U254" i="21" s="1"/>
  <c r="T82" i="21"/>
  <c r="T254" i="21" s="1"/>
  <c r="S82" i="21"/>
  <c r="S254" i="21" s="1"/>
  <c r="R82" i="21"/>
  <c r="R254" i="21" s="1"/>
  <c r="Q82" i="21"/>
  <c r="Q254" i="21" s="1"/>
  <c r="P82" i="21"/>
  <c r="P254" i="21" s="1"/>
  <c r="O82" i="21"/>
  <c r="O254" i="21" s="1"/>
  <c r="N82" i="21"/>
  <c r="N254" i="21" s="1"/>
  <c r="M82" i="21"/>
  <c r="M254" i="21" s="1"/>
  <c r="L82" i="21"/>
  <c r="L254" i="21" s="1"/>
  <c r="K82" i="21"/>
  <c r="K254" i="21" s="1"/>
  <c r="J82" i="21"/>
  <c r="J254" i="21" s="1"/>
  <c r="I82" i="21"/>
  <c r="I254" i="21" s="1"/>
  <c r="H82" i="21"/>
  <c r="H254" i="21" s="1"/>
  <c r="G82" i="21"/>
  <c r="G254" i="21" s="1"/>
  <c r="F82" i="21"/>
  <c r="F254" i="21" s="1"/>
  <c r="E82" i="21"/>
  <c r="E254" i="21" s="1"/>
  <c r="D82" i="21"/>
  <c r="D254" i="21" s="1"/>
  <c r="C82" i="21"/>
  <c r="C254" i="21" s="1"/>
  <c r="B82" i="21"/>
  <c r="B254" i="21" s="1"/>
  <c r="AL81" i="21"/>
  <c r="AK81" i="21"/>
  <c r="AJ81" i="21"/>
  <c r="AI81" i="21"/>
  <c r="AH81" i="21"/>
  <c r="AG81" i="21"/>
  <c r="AF81" i="21"/>
  <c r="AE81" i="21"/>
  <c r="AD81" i="21"/>
  <c r="AC81" i="21"/>
  <c r="AB81" i="21"/>
  <c r="AA81" i="21"/>
  <c r="Z81" i="21"/>
  <c r="Y81" i="21"/>
  <c r="X81" i="21"/>
  <c r="W81" i="21"/>
  <c r="V81" i="21"/>
  <c r="U81" i="21"/>
  <c r="T81" i="21"/>
  <c r="S81" i="21"/>
  <c r="R81" i="21"/>
  <c r="Q81" i="21"/>
  <c r="P81" i="21"/>
  <c r="O81" i="21"/>
  <c r="N81" i="21"/>
  <c r="M81" i="21"/>
  <c r="L81" i="21"/>
  <c r="K81" i="21"/>
  <c r="J81" i="21"/>
  <c r="I81" i="21"/>
  <c r="H81" i="21"/>
  <c r="G81" i="21"/>
  <c r="F81" i="21"/>
  <c r="E81" i="21"/>
  <c r="D81" i="21"/>
  <c r="C81" i="21"/>
  <c r="B81" i="21"/>
  <c r="AL80" i="21"/>
  <c r="AL275" i="21" s="1"/>
  <c r="AL280" i="21" s="1"/>
  <c r="AK80" i="21"/>
  <c r="AK275" i="21" s="1"/>
  <c r="AK280" i="21" s="1"/>
  <c r="AJ80" i="21"/>
  <c r="AJ275" i="21" s="1"/>
  <c r="AJ280" i="21" s="1"/>
  <c r="AI80" i="21"/>
  <c r="AI275" i="21" s="1"/>
  <c r="AI280" i="21" s="1"/>
  <c r="AH80" i="21"/>
  <c r="AH275" i="21" s="1"/>
  <c r="AH280" i="21" s="1"/>
  <c r="AG80" i="21"/>
  <c r="AG275" i="21" s="1"/>
  <c r="AG280" i="21" s="1"/>
  <c r="AF80" i="21"/>
  <c r="AF275" i="21" s="1"/>
  <c r="AF280" i="21" s="1"/>
  <c r="AE80" i="21"/>
  <c r="AE275" i="21" s="1"/>
  <c r="AE280" i="21" s="1"/>
  <c r="AD80" i="21"/>
  <c r="AD275" i="21" s="1"/>
  <c r="AD280" i="21" s="1"/>
  <c r="AC80" i="21"/>
  <c r="AC275" i="21" s="1"/>
  <c r="AC280" i="21" s="1"/>
  <c r="AB80" i="21"/>
  <c r="AB275" i="21" s="1"/>
  <c r="AB280" i="21" s="1"/>
  <c r="AA80" i="21"/>
  <c r="AA275" i="21" s="1"/>
  <c r="AA280" i="21" s="1"/>
  <c r="Z80" i="21"/>
  <c r="Z275" i="21" s="1"/>
  <c r="Z280" i="21" s="1"/>
  <c r="Y80" i="21"/>
  <c r="Y275" i="21" s="1"/>
  <c r="Y280" i="21" s="1"/>
  <c r="X80" i="21"/>
  <c r="X275" i="21" s="1"/>
  <c r="X280" i="21" s="1"/>
  <c r="W80" i="21"/>
  <c r="W275" i="21" s="1"/>
  <c r="W280" i="21" s="1"/>
  <c r="V80" i="21"/>
  <c r="V275" i="21" s="1"/>
  <c r="V280" i="21" s="1"/>
  <c r="U80" i="21"/>
  <c r="U275" i="21" s="1"/>
  <c r="U280" i="21" s="1"/>
  <c r="T80" i="21"/>
  <c r="T275" i="21" s="1"/>
  <c r="T280" i="21" s="1"/>
  <c r="S80" i="21"/>
  <c r="S275" i="21" s="1"/>
  <c r="S280" i="21" s="1"/>
  <c r="R80" i="21"/>
  <c r="R275" i="21" s="1"/>
  <c r="R280" i="21" s="1"/>
  <c r="Q80" i="21"/>
  <c r="Q275" i="21" s="1"/>
  <c r="Q280" i="21" s="1"/>
  <c r="P80" i="21"/>
  <c r="P275" i="21" s="1"/>
  <c r="P280" i="21" s="1"/>
  <c r="O80" i="21"/>
  <c r="O275" i="21" s="1"/>
  <c r="O280" i="21" s="1"/>
  <c r="N80" i="21"/>
  <c r="N275" i="21" s="1"/>
  <c r="N280" i="21" s="1"/>
  <c r="M80" i="21"/>
  <c r="M275" i="21" s="1"/>
  <c r="M280" i="21" s="1"/>
  <c r="L80" i="21"/>
  <c r="L275" i="21" s="1"/>
  <c r="L280" i="21" s="1"/>
  <c r="K80" i="21"/>
  <c r="K275" i="21" s="1"/>
  <c r="K280" i="21" s="1"/>
  <c r="J80" i="21"/>
  <c r="J275" i="21" s="1"/>
  <c r="J280" i="21" s="1"/>
  <c r="I80" i="21"/>
  <c r="I275" i="21" s="1"/>
  <c r="I280" i="21" s="1"/>
  <c r="H80" i="21"/>
  <c r="H275" i="21" s="1"/>
  <c r="H280" i="21" s="1"/>
  <c r="G80" i="21"/>
  <c r="G275" i="21" s="1"/>
  <c r="G280" i="21" s="1"/>
  <c r="F80" i="21"/>
  <c r="F275" i="21" s="1"/>
  <c r="F280" i="21" s="1"/>
  <c r="E80" i="21"/>
  <c r="E275" i="21" s="1"/>
  <c r="E280" i="21" s="1"/>
  <c r="D80" i="21"/>
  <c r="D275" i="21" s="1"/>
  <c r="D280" i="21" s="1"/>
  <c r="C80" i="21"/>
  <c r="C275" i="21" s="1"/>
  <c r="B80" i="21"/>
  <c r="B275" i="21" s="1"/>
  <c r="AL79" i="21"/>
  <c r="AK79" i="21"/>
  <c r="AJ79" i="21"/>
  <c r="AI79" i="21"/>
  <c r="AH79" i="21"/>
  <c r="AG79" i="21"/>
  <c r="AF79" i="21"/>
  <c r="AE79" i="21"/>
  <c r="AD79" i="21"/>
  <c r="AC79" i="21"/>
  <c r="AB79" i="21"/>
  <c r="AA79" i="21"/>
  <c r="Z79" i="21"/>
  <c r="Y79" i="21"/>
  <c r="X79" i="21"/>
  <c r="W79" i="21"/>
  <c r="V79" i="21"/>
  <c r="U79" i="21"/>
  <c r="T79" i="21"/>
  <c r="S79" i="21"/>
  <c r="R79" i="21"/>
  <c r="Q79" i="21"/>
  <c r="P79" i="21"/>
  <c r="O79" i="21"/>
  <c r="N79" i="21"/>
  <c r="M79" i="21"/>
  <c r="L79" i="21"/>
  <c r="K79" i="21"/>
  <c r="J79" i="21"/>
  <c r="I79" i="21"/>
  <c r="H79" i="21"/>
  <c r="G79" i="21"/>
  <c r="F79" i="21"/>
  <c r="E79" i="21"/>
  <c r="D79" i="21"/>
  <c r="C79" i="21"/>
  <c r="B79" i="21"/>
  <c r="AL78" i="21"/>
  <c r="AL264" i="21" s="1"/>
  <c r="AL279" i="21" s="1"/>
  <c r="AK78" i="21"/>
  <c r="AK264" i="21" s="1"/>
  <c r="AK279" i="21" s="1"/>
  <c r="AK281" i="21" s="1"/>
  <c r="AJ78" i="21"/>
  <c r="AJ264" i="21" s="1"/>
  <c r="AJ279" i="21" s="1"/>
  <c r="AJ281" i="21" s="1"/>
  <c r="AI78" i="21"/>
  <c r="AI264" i="21" s="1"/>
  <c r="AI279" i="21" s="1"/>
  <c r="AI281" i="21" s="1"/>
  <c r="AH78" i="21"/>
  <c r="AH264" i="21" s="1"/>
  <c r="AH279" i="21" s="1"/>
  <c r="AG78" i="21"/>
  <c r="AG264" i="21" s="1"/>
  <c r="AG279" i="21" s="1"/>
  <c r="AF78" i="21"/>
  <c r="AF264" i="21" s="1"/>
  <c r="AF279" i="21" s="1"/>
  <c r="AE78" i="21"/>
  <c r="AE264" i="21" s="1"/>
  <c r="AE279" i="21" s="1"/>
  <c r="AE281" i="21" s="1"/>
  <c r="AD78" i="21"/>
  <c r="AD264" i="21" s="1"/>
  <c r="AD279" i="21" s="1"/>
  <c r="AD281" i="21" s="1"/>
  <c r="AC78" i="21"/>
  <c r="AC264" i="21" s="1"/>
  <c r="AC279" i="21" s="1"/>
  <c r="AC281" i="21" s="1"/>
  <c r="AB78" i="21"/>
  <c r="AB264" i="21" s="1"/>
  <c r="AB279" i="21" s="1"/>
  <c r="AB281" i="21" s="1"/>
  <c r="AA78" i="21"/>
  <c r="AA264" i="21" s="1"/>
  <c r="AA279" i="21" s="1"/>
  <c r="AA281" i="21" s="1"/>
  <c r="Z78" i="21"/>
  <c r="Z264" i="21" s="1"/>
  <c r="Z279" i="21" s="1"/>
  <c r="Y78" i="21"/>
  <c r="Y264" i="21" s="1"/>
  <c r="Y279" i="21" s="1"/>
  <c r="Y281" i="21" s="1"/>
  <c r="X78" i="21"/>
  <c r="X264" i="21" s="1"/>
  <c r="X279" i="21" s="1"/>
  <c r="X281" i="21" s="1"/>
  <c r="W78" i="21"/>
  <c r="W264" i="21" s="1"/>
  <c r="W279" i="21" s="1"/>
  <c r="W281" i="21" s="1"/>
  <c r="V78" i="21"/>
  <c r="V264" i="21" s="1"/>
  <c r="V279" i="21" s="1"/>
  <c r="U78" i="21"/>
  <c r="U264" i="21" s="1"/>
  <c r="U279" i="21" s="1"/>
  <c r="T78" i="21"/>
  <c r="T264" i="21" s="1"/>
  <c r="T279" i="21" s="1"/>
  <c r="S78" i="21"/>
  <c r="S264" i="21" s="1"/>
  <c r="S279" i="21" s="1"/>
  <c r="R78" i="21"/>
  <c r="R264" i="21" s="1"/>
  <c r="R279" i="21" s="1"/>
  <c r="R281" i="21" s="1"/>
  <c r="Q78" i="21"/>
  <c r="Q264" i="21" s="1"/>
  <c r="Q279" i="21" s="1"/>
  <c r="Q281" i="21" s="1"/>
  <c r="P78" i="21"/>
  <c r="P264" i="21" s="1"/>
  <c r="P279" i="21" s="1"/>
  <c r="P281" i="21" s="1"/>
  <c r="O78" i="21"/>
  <c r="O264" i="21" s="1"/>
  <c r="O279" i="21" s="1"/>
  <c r="O281" i="21" s="1"/>
  <c r="N78" i="21"/>
  <c r="N264" i="21" s="1"/>
  <c r="N279" i="21" s="1"/>
  <c r="M78" i="21"/>
  <c r="M264" i="21" s="1"/>
  <c r="M279" i="21" s="1"/>
  <c r="M281" i="21" s="1"/>
  <c r="L78" i="21"/>
  <c r="L264" i="21" s="1"/>
  <c r="L279" i="21" s="1"/>
  <c r="L281" i="21" s="1"/>
  <c r="K78" i="21"/>
  <c r="K264" i="21" s="1"/>
  <c r="K279" i="21" s="1"/>
  <c r="K281" i="21" s="1"/>
  <c r="J78" i="21"/>
  <c r="J264" i="21" s="1"/>
  <c r="J279" i="21" s="1"/>
  <c r="I78" i="21"/>
  <c r="I264" i="21" s="1"/>
  <c r="I279" i="21" s="1"/>
  <c r="H78" i="21"/>
  <c r="H264" i="21" s="1"/>
  <c r="H279" i="21" s="1"/>
  <c r="G78" i="21"/>
  <c r="G264" i="21" s="1"/>
  <c r="G279" i="21" s="1"/>
  <c r="F78" i="21"/>
  <c r="F264" i="21" s="1"/>
  <c r="F279" i="21" s="1"/>
  <c r="F281" i="21" s="1"/>
  <c r="E78" i="21"/>
  <c r="E264" i="21" s="1"/>
  <c r="E279" i="21" s="1"/>
  <c r="E281" i="21" s="1"/>
  <c r="D78" i="21"/>
  <c r="D264" i="21" s="1"/>
  <c r="D279" i="21" s="1"/>
  <c r="D281" i="21" s="1"/>
  <c r="C78" i="21"/>
  <c r="C264" i="21" s="1"/>
  <c r="B78" i="21"/>
  <c r="B264" i="21" s="1"/>
  <c r="AL77" i="21"/>
  <c r="AK77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AL76" i="21"/>
  <c r="AL253" i="21" s="1"/>
  <c r="AL278" i="21" s="1"/>
  <c r="AL277" i="21" s="1"/>
  <c r="AK76" i="21"/>
  <c r="AK253" i="21" s="1"/>
  <c r="AK278" i="21" s="1"/>
  <c r="AJ76" i="21"/>
  <c r="AJ253" i="21" s="1"/>
  <c r="AJ278" i="21" s="1"/>
  <c r="AJ277" i="21" s="1"/>
  <c r="AI76" i="21"/>
  <c r="AI253" i="21" s="1"/>
  <c r="AI278" i="21" s="1"/>
  <c r="AH76" i="21"/>
  <c r="AH253" i="21" s="1"/>
  <c r="AH278" i="21" s="1"/>
  <c r="AG76" i="21"/>
  <c r="AG253" i="21" s="1"/>
  <c r="AG278" i="21" s="1"/>
  <c r="AF76" i="21"/>
  <c r="AF253" i="21" s="1"/>
  <c r="AF278" i="21" s="1"/>
  <c r="AE76" i="21"/>
  <c r="AE253" i="21" s="1"/>
  <c r="AE278" i="21" s="1"/>
  <c r="AE277" i="21" s="1"/>
  <c r="AD76" i="21"/>
  <c r="AD253" i="21" s="1"/>
  <c r="AD278" i="21" s="1"/>
  <c r="AD277" i="21" s="1"/>
  <c r="AC76" i="21"/>
  <c r="AC253" i="21" s="1"/>
  <c r="AC278" i="21" s="1"/>
  <c r="AC277" i="21" s="1"/>
  <c r="AB76" i="21"/>
  <c r="AB253" i="21" s="1"/>
  <c r="AB278" i="21" s="1"/>
  <c r="AB277" i="21" s="1"/>
  <c r="AA76" i="21"/>
  <c r="AA253" i="21" s="1"/>
  <c r="AA278" i="21" s="1"/>
  <c r="AA277" i="21" s="1"/>
  <c r="Z76" i="21"/>
  <c r="Z253" i="21" s="1"/>
  <c r="Z278" i="21" s="1"/>
  <c r="Z277" i="21" s="1"/>
  <c r="Y76" i="21"/>
  <c r="Y253" i="21" s="1"/>
  <c r="Y278" i="21" s="1"/>
  <c r="X76" i="21"/>
  <c r="X253" i="21" s="1"/>
  <c r="X278" i="21" s="1"/>
  <c r="X277" i="21" s="1"/>
  <c r="W76" i="21"/>
  <c r="W253" i="21" s="1"/>
  <c r="W278" i="21" s="1"/>
  <c r="V76" i="21"/>
  <c r="V253" i="21" s="1"/>
  <c r="V278" i="21" s="1"/>
  <c r="U76" i="21"/>
  <c r="U253" i="21" s="1"/>
  <c r="U278" i="21" s="1"/>
  <c r="T76" i="21"/>
  <c r="T253" i="21" s="1"/>
  <c r="T278" i="21" s="1"/>
  <c r="S76" i="21"/>
  <c r="S253" i="21" s="1"/>
  <c r="S278" i="21" s="1"/>
  <c r="S277" i="21" s="1"/>
  <c r="R76" i="21"/>
  <c r="R253" i="21" s="1"/>
  <c r="R278" i="21" s="1"/>
  <c r="R277" i="21" s="1"/>
  <c r="Q76" i="21"/>
  <c r="Q253" i="21" s="1"/>
  <c r="Q278" i="21" s="1"/>
  <c r="Q277" i="21" s="1"/>
  <c r="P76" i="21"/>
  <c r="P376" i="21" s="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C253" i="21" s="1"/>
  <c r="B76" i="21"/>
  <c r="B253" i="21" s="1"/>
  <c r="AL75" i="21"/>
  <c r="AL274" i="21" s="1"/>
  <c r="AL285" i="21" s="1"/>
  <c r="AK75" i="21"/>
  <c r="AK274" i="21" s="1"/>
  <c r="AK285" i="21" s="1"/>
  <c r="AJ75" i="21"/>
  <c r="AJ274" i="21" s="1"/>
  <c r="AJ285" i="21" s="1"/>
  <c r="AI75" i="21"/>
  <c r="AI274" i="21" s="1"/>
  <c r="AI285" i="21" s="1"/>
  <c r="AH75" i="21"/>
  <c r="AH274" i="21" s="1"/>
  <c r="AG75" i="21"/>
  <c r="AG274" i="21" s="1"/>
  <c r="AG285" i="21" s="1"/>
  <c r="AF75" i="21"/>
  <c r="AF274" i="21" s="1"/>
  <c r="AF285" i="21" s="1"/>
  <c r="AE75" i="21"/>
  <c r="AE274" i="21" s="1"/>
  <c r="AE285" i="21" s="1"/>
  <c r="AD75" i="21"/>
  <c r="AD274" i="21" s="1"/>
  <c r="AD285" i="21" s="1"/>
  <c r="AC75" i="21"/>
  <c r="AC274" i="21" s="1"/>
  <c r="AC285" i="21" s="1"/>
  <c r="AB75" i="21"/>
  <c r="AB274" i="21" s="1"/>
  <c r="AB285" i="21" s="1"/>
  <c r="AA75" i="21"/>
  <c r="AA274" i="21" s="1"/>
  <c r="AA285" i="21" s="1"/>
  <c r="Z75" i="21"/>
  <c r="Z274" i="21" s="1"/>
  <c r="Z285" i="21" s="1"/>
  <c r="Y75" i="21"/>
  <c r="Y274" i="21" s="1"/>
  <c r="Y285" i="21" s="1"/>
  <c r="X75" i="21"/>
  <c r="X274" i="21" s="1"/>
  <c r="X285" i="21" s="1"/>
  <c r="W75" i="21"/>
  <c r="V75" i="21"/>
  <c r="V274" i="21" s="1"/>
  <c r="V285" i="21" s="1"/>
  <c r="U75" i="21"/>
  <c r="U274" i="21" s="1"/>
  <c r="U285" i="21" s="1"/>
  <c r="T75" i="21"/>
  <c r="T274" i="21" s="1"/>
  <c r="T285" i="21" s="1"/>
  <c r="S75" i="21"/>
  <c r="S274" i="21" s="1"/>
  <c r="S285" i="21" s="1"/>
  <c r="R75" i="21"/>
  <c r="R274" i="21" s="1"/>
  <c r="R285" i="21" s="1"/>
  <c r="Q75" i="21"/>
  <c r="Q274" i="21" s="1"/>
  <c r="Q285" i="21" s="1"/>
  <c r="P75" i="21"/>
  <c r="P274" i="21" s="1"/>
  <c r="P285" i="21" s="1"/>
  <c r="O75" i="21"/>
  <c r="O274" i="21" s="1"/>
  <c r="O285" i="21" s="1"/>
  <c r="N75" i="21"/>
  <c r="N274" i="21" s="1"/>
  <c r="N285" i="21" s="1"/>
  <c r="M75" i="21"/>
  <c r="M274" i="21" s="1"/>
  <c r="M285" i="21" s="1"/>
  <c r="L75" i="21"/>
  <c r="L274" i="21" s="1"/>
  <c r="L285" i="21" s="1"/>
  <c r="K75" i="21"/>
  <c r="K274" i="21" s="1"/>
  <c r="K285" i="21" s="1"/>
  <c r="J75" i="21"/>
  <c r="J274" i="21" s="1"/>
  <c r="J285" i="21" s="1"/>
  <c r="I75" i="21"/>
  <c r="I274" i="21" s="1"/>
  <c r="I285" i="21" s="1"/>
  <c r="H75" i="21"/>
  <c r="H274" i="21" s="1"/>
  <c r="H285" i="21" s="1"/>
  <c r="G75" i="21"/>
  <c r="G274" i="21" s="1"/>
  <c r="G285" i="21" s="1"/>
  <c r="F75" i="21"/>
  <c r="F274" i="21" s="1"/>
  <c r="F285" i="21" s="1"/>
  <c r="E75" i="21"/>
  <c r="E274" i="21" s="1"/>
  <c r="E285" i="21" s="1"/>
  <c r="D75" i="21"/>
  <c r="D274" i="21" s="1"/>
  <c r="D285" i="21" s="1"/>
  <c r="C75" i="21"/>
  <c r="C274" i="21" s="1"/>
  <c r="B75" i="21"/>
  <c r="B274" i="21" s="1"/>
  <c r="AL74" i="21"/>
  <c r="AL273" i="21" s="1"/>
  <c r="AK74" i="21"/>
  <c r="AK273" i="21" s="1"/>
  <c r="AJ74" i="21"/>
  <c r="AJ273" i="21" s="1"/>
  <c r="AI74" i="21"/>
  <c r="AI273" i="21" s="1"/>
  <c r="AH74" i="21"/>
  <c r="AH273" i="21" s="1"/>
  <c r="AG74" i="21"/>
  <c r="AG273" i="21" s="1"/>
  <c r="AF74" i="21"/>
  <c r="AF273" i="21" s="1"/>
  <c r="AE74" i="21"/>
  <c r="AE273" i="21" s="1"/>
  <c r="AD74" i="21"/>
  <c r="AD273" i="21" s="1"/>
  <c r="AC74" i="21"/>
  <c r="AC273" i="21" s="1"/>
  <c r="AB74" i="21"/>
  <c r="AB273" i="21" s="1"/>
  <c r="AA74" i="21"/>
  <c r="AA273" i="21" s="1"/>
  <c r="Z74" i="21"/>
  <c r="Z273" i="21" s="1"/>
  <c r="Y74" i="21"/>
  <c r="Y273" i="21" s="1"/>
  <c r="X74" i="21"/>
  <c r="X273" i="21" s="1"/>
  <c r="W74" i="21"/>
  <c r="W273" i="21" s="1"/>
  <c r="V74" i="21"/>
  <c r="V273" i="21" s="1"/>
  <c r="U74" i="21"/>
  <c r="U273" i="21" s="1"/>
  <c r="T74" i="21"/>
  <c r="T273" i="21" s="1"/>
  <c r="S74" i="21"/>
  <c r="S273" i="21" s="1"/>
  <c r="R74" i="21"/>
  <c r="R273" i="21" s="1"/>
  <c r="Q74" i="21"/>
  <c r="Q273" i="21" s="1"/>
  <c r="P74" i="21"/>
  <c r="P273" i="21" s="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C273" i="21" s="1"/>
  <c r="B74" i="21"/>
  <c r="B273" i="21" s="1"/>
  <c r="AL73" i="21"/>
  <c r="AL272" i="21" s="1"/>
  <c r="AK73" i="21"/>
  <c r="AK272" i="21" s="1"/>
  <c r="AJ73" i="21"/>
  <c r="AJ272" i="21" s="1"/>
  <c r="AI73" i="21"/>
  <c r="AI272" i="21" s="1"/>
  <c r="AH73" i="21"/>
  <c r="AH272" i="21" s="1"/>
  <c r="AG73" i="21"/>
  <c r="AG272" i="21" s="1"/>
  <c r="AF73" i="21"/>
  <c r="AF272" i="21" s="1"/>
  <c r="AE73" i="21"/>
  <c r="AE272" i="21" s="1"/>
  <c r="AD73" i="21"/>
  <c r="AD272" i="21" s="1"/>
  <c r="AC73" i="21"/>
  <c r="AC272" i="21" s="1"/>
  <c r="AB73" i="21"/>
  <c r="AB272" i="21" s="1"/>
  <c r="AA73" i="21"/>
  <c r="AA272" i="21" s="1"/>
  <c r="Z73" i="21"/>
  <c r="Z272" i="21" s="1"/>
  <c r="Y73" i="21"/>
  <c r="Y272" i="21" s="1"/>
  <c r="X73" i="21"/>
  <c r="X272" i="21" s="1"/>
  <c r="W73" i="21"/>
  <c r="V73" i="21"/>
  <c r="V272" i="21" s="1"/>
  <c r="U73" i="21"/>
  <c r="U272" i="21" s="1"/>
  <c r="T73" i="21"/>
  <c r="T272" i="21" s="1"/>
  <c r="S73" i="21"/>
  <c r="S272" i="21" s="1"/>
  <c r="R73" i="21"/>
  <c r="R272" i="21" s="1"/>
  <c r="Q73" i="21"/>
  <c r="Q272" i="21" s="1"/>
  <c r="P73" i="21"/>
  <c r="P272" i="21" s="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C272" i="21" s="1"/>
  <c r="B73" i="21"/>
  <c r="B272" i="21" s="1"/>
  <c r="AL72" i="21"/>
  <c r="AL271" i="21" s="1"/>
  <c r="AK72" i="21"/>
  <c r="AK271" i="21" s="1"/>
  <c r="AJ72" i="21"/>
  <c r="AJ271" i="21" s="1"/>
  <c r="AI72" i="21"/>
  <c r="AI271" i="21" s="1"/>
  <c r="AH72" i="21"/>
  <c r="AH271" i="21" s="1"/>
  <c r="AG72" i="21"/>
  <c r="AG271" i="21" s="1"/>
  <c r="AF72" i="21"/>
  <c r="AF271" i="21" s="1"/>
  <c r="AE72" i="21"/>
  <c r="AE271" i="21" s="1"/>
  <c r="AD72" i="21"/>
  <c r="AD271" i="21" s="1"/>
  <c r="AC72" i="21"/>
  <c r="AC271" i="21" s="1"/>
  <c r="AB72" i="21"/>
  <c r="AB271" i="21" s="1"/>
  <c r="AA72" i="21"/>
  <c r="AA271" i="21" s="1"/>
  <c r="Z72" i="21"/>
  <c r="Z271" i="21" s="1"/>
  <c r="Y72" i="21"/>
  <c r="Y271" i="21" s="1"/>
  <c r="X72" i="21"/>
  <c r="X271" i="21" s="1"/>
  <c r="W72" i="21"/>
  <c r="W271" i="21" s="1"/>
  <c r="V72" i="21"/>
  <c r="V271" i="21" s="1"/>
  <c r="U72" i="21"/>
  <c r="U271" i="21" s="1"/>
  <c r="T72" i="21"/>
  <c r="T271" i="21" s="1"/>
  <c r="S72" i="21"/>
  <c r="S271" i="21" s="1"/>
  <c r="R72" i="21"/>
  <c r="R271" i="21" s="1"/>
  <c r="Q72" i="21"/>
  <c r="Q271" i="21" s="1"/>
  <c r="P72" i="21"/>
  <c r="P271" i="21" s="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C271" i="21" s="1"/>
  <c r="B72" i="21"/>
  <c r="B271" i="21" s="1"/>
  <c r="AL71" i="21"/>
  <c r="AL270" i="21" s="1"/>
  <c r="AK71" i="21"/>
  <c r="AK270" i="21" s="1"/>
  <c r="AJ71" i="21"/>
  <c r="AJ270" i="21" s="1"/>
  <c r="AI71" i="21"/>
  <c r="AI270" i="21" s="1"/>
  <c r="AH71" i="21"/>
  <c r="AH270" i="21" s="1"/>
  <c r="AG71" i="21"/>
  <c r="AG270" i="21" s="1"/>
  <c r="AF71" i="21"/>
  <c r="AF270" i="21" s="1"/>
  <c r="AE71" i="21"/>
  <c r="AE270" i="21" s="1"/>
  <c r="AD71" i="21"/>
  <c r="AD270" i="21" s="1"/>
  <c r="AC71" i="21"/>
  <c r="AC270" i="21" s="1"/>
  <c r="AB71" i="21"/>
  <c r="AB270" i="21" s="1"/>
  <c r="AA71" i="21"/>
  <c r="AA270" i="21" s="1"/>
  <c r="Z71" i="21"/>
  <c r="Z270" i="21" s="1"/>
  <c r="Y71" i="21"/>
  <c r="Y270" i="21" s="1"/>
  <c r="X71" i="21"/>
  <c r="X270" i="21" s="1"/>
  <c r="W71" i="21"/>
  <c r="V71" i="21"/>
  <c r="V270" i="21" s="1"/>
  <c r="U71" i="21"/>
  <c r="U270" i="21" s="1"/>
  <c r="T71" i="21"/>
  <c r="T270" i="21" s="1"/>
  <c r="S71" i="21"/>
  <c r="S270" i="21" s="1"/>
  <c r="R71" i="21"/>
  <c r="R270" i="21" s="1"/>
  <c r="Q71" i="21"/>
  <c r="Q270" i="21" s="1"/>
  <c r="P71" i="21"/>
  <c r="P270" i="21" s="1"/>
  <c r="O71" i="21"/>
  <c r="O270" i="21" s="1"/>
  <c r="N71" i="21"/>
  <c r="N270" i="21" s="1"/>
  <c r="M71" i="21"/>
  <c r="M270" i="21" s="1"/>
  <c r="L71" i="21"/>
  <c r="L270" i="21" s="1"/>
  <c r="K71" i="21"/>
  <c r="K270" i="21" s="1"/>
  <c r="J71" i="21"/>
  <c r="J270" i="21" s="1"/>
  <c r="I71" i="21"/>
  <c r="I270" i="21" s="1"/>
  <c r="H71" i="21"/>
  <c r="H270" i="21" s="1"/>
  <c r="G71" i="21"/>
  <c r="G270" i="21" s="1"/>
  <c r="F71" i="21"/>
  <c r="F270" i="21" s="1"/>
  <c r="E71" i="21"/>
  <c r="E270" i="21" s="1"/>
  <c r="D71" i="21"/>
  <c r="D270" i="21" s="1"/>
  <c r="C71" i="21"/>
  <c r="C270" i="21" s="1"/>
  <c r="B71" i="21"/>
  <c r="B270" i="21" s="1"/>
  <c r="BC70" i="21"/>
  <c r="AV70" i="21"/>
  <c r="AV269" i="21" s="1"/>
  <c r="AU70" i="21"/>
  <c r="AU269" i="21" s="1"/>
  <c r="AT70" i="21"/>
  <c r="AT269" i="21" s="1"/>
  <c r="AQ70" i="21"/>
  <c r="AQ269" i="21" s="1"/>
  <c r="AP70" i="21"/>
  <c r="AP269" i="21" s="1"/>
  <c r="AO70" i="21"/>
  <c r="AO269" i="21" s="1"/>
  <c r="AM70" i="21"/>
  <c r="AM269" i="21" s="1"/>
  <c r="AL70" i="21"/>
  <c r="AL269" i="21" s="1"/>
  <c r="AK70" i="21"/>
  <c r="AK269" i="21" s="1"/>
  <c r="AJ70" i="21"/>
  <c r="AJ269" i="21" s="1"/>
  <c r="AI70" i="21"/>
  <c r="AI269" i="21" s="1"/>
  <c r="AH70" i="21"/>
  <c r="AH269" i="21" s="1"/>
  <c r="AG70" i="21"/>
  <c r="AG269" i="21" s="1"/>
  <c r="AF70" i="21"/>
  <c r="AF269" i="21" s="1"/>
  <c r="AE70" i="21"/>
  <c r="AE269" i="21" s="1"/>
  <c r="AD70" i="21"/>
  <c r="AD269" i="21" s="1"/>
  <c r="AC70" i="21"/>
  <c r="AC269" i="21" s="1"/>
  <c r="AB70" i="21"/>
  <c r="AB269" i="21" s="1"/>
  <c r="AA70" i="21"/>
  <c r="Z70" i="21"/>
  <c r="Z269" i="21" s="1"/>
  <c r="Y70" i="21"/>
  <c r="Y269" i="21" s="1"/>
  <c r="X70" i="21"/>
  <c r="X269" i="21" s="1"/>
  <c r="W70" i="21"/>
  <c r="W269" i="21" s="1"/>
  <c r="V70" i="21"/>
  <c r="V269" i="21" s="1"/>
  <c r="U70" i="21"/>
  <c r="U269" i="21" s="1"/>
  <c r="T70" i="21"/>
  <c r="T269" i="21" s="1"/>
  <c r="S70" i="21"/>
  <c r="S269" i="21" s="1"/>
  <c r="R70" i="21"/>
  <c r="Q70" i="21"/>
  <c r="Q269" i="21" s="1"/>
  <c r="P70" i="21"/>
  <c r="O70" i="21"/>
  <c r="N70" i="21"/>
  <c r="M70" i="21"/>
  <c r="L70" i="21"/>
  <c r="K70" i="21"/>
  <c r="J70" i="21"/>
  <c r="I70" i="21"/>
  <c r="H70" i="21"/>
  <c r="G70" i="21"/>
  <c r="F70" i="21"/>
  <c r="E70" i="21"/>
  <c r="D70" i="21"/>
  <c r="C70" i="21"/>
  <c r="C269" i="21" s="1"/>
  <c r="B70" i="21"/>
  <c r="B269" i="21" s="1"/>
  <c r="AL69" i="21"/>
  <c r="AL268" i="21" s="1"/>
  <c r="AK69" i="21"/>
  <c r="AK268" i="21" s="1"/>
  <c r="AJ69" i="21"/>
  <c r="AJ268" i="21" s="1"/>
  <c r="AI69" i="21"/>
  <c r="AI268" i="21" s="1"/>
  <c r="AH69" i="21"/>
  <c r="AH268" i="21" s="1"/>
  <c r="AG69" i="21"/>
  <c r="AG268" i="21" s="1"/>
  <c r="AF69" i="21"/>
  <c r="AF268" i="21" s="1"/>
  <c r="AE69" i="21"/>
  <c r="AE268" i="21" s="1"/>
  <c r="AD69" i="21"/>
  <c r="AD268" i="21" s="1"/>
  <c r="AC69" i="21"/>
  <c r="AC268" i="21" s="1"/>
  <c r="AB69" i="21"/>
  <c r="AB268" i="21" s="1"/>
  <c r="AA69" i="21"/>
  <c r="AA268" i="21" s="1"/>
  <c r="Z69" i="21"/>
  <c r="Z268" i="21" s="1"/>
  <c r="Y69" i="21"/>
  <c r="Y268" i="21" s="1"/>
  <c r="X69" i="21"/>
  <c r="X268" i="21" s="1"/>
  <c r="W69" i="21"/>
  <c r="V69" i="21"/>
  <c r="V268" i="21" s="1"/>
  <c r="U69" i="21"/>
  <c r="U268" i="21" s="1"/>
  <c r="T69" i="21"/>
  <c r="T268" i="21" s="1"/>
  <c r="S69" i="21"/>
  <c r="S268" i="21" s="1"/>
  <c r="R69" i="21"/>
  <c r="R268" i="21" s="1"/>
  <c r="Q69" i="21"/>
  <c r="Q268" i="21" s="1"/>
  <c r="P69" i="21"/>
  <c r="P268" i="21" s="1"/>
  <c r="O69" i="21"/>
  <c r="O268" i="21" s="1"/>
  <c r="N69" i="21"/>
  <c r="N268" i="21" s="1"/>
  <c r="M69" i="21"/>
  <c r="M268" i="21" s="1"/>
  <c r="L69" i="21"/>
  <c r="L268" i="21" s="1"/>
  <c r="K69" i="21"/>
  <c r="K268" i="21" s="1"/>
  <c r="J69" i="21"/>
  <c r="J268" i="21" s="1"/>
  <c r="I69" i="21"/>
  <c r="I268" i="21" s="1"/>
  <c r="H69" i="21"/>
  <c r="H268" i="21" s="1"/>
  <c r="G69" i="21"/>
  <c r="G268" i="21" s="1"/>
  <c r="F69" i="21"/>
  <c r="F268" i="21" s="1"/>
  <c r="E69" i="21"/>
  <c r="E268" i="21" s="1"/>
  <c r="D69" i="21"/>
  <c r="D268" i="21" s="1"/>
  <c r="C69" i="21"/>
  <c r="C268" i="21" s="1"/>
  <c r="B69" i="21"/>
  <c r="B268" i="21" s="1"/>
  <c r="AL68" i="21"/>
  <c r="AL267" i="21" s="1"/>
  <c r="AK68" i="21"/>
  <c r="AK267" i="21" s="1"/>
  <c r="AJ68" i="21"/>
  <c r="AJ267" i="21" s="1"/>
  <c r="AI68" i="21"/>
  <c r="AI267" i="21" s="1"/>
  <c r="AH68" i="21"/>
  <c r="AH267" i="21" s="1"/>
  <c r="AG68" i="21"/>
  <c r="AG267" i="21" s="1"/>
  <c r="AF68" i="21"/>
  <c r="AF267" i="21" s="1"/>
  <c r="AE68" i="21"/>
  <c r="AE267" i="21" s="1"/>
  <c r="AE266" i="21" s="1"/>
  <c r="AD68" i="21"/>
  <c r="AD267" i="21" s="1"/>
  <c r="AD266" i="21" s="1"/>
  <c r="AC68" i="21"/>
  <c r="AC267" i="21" s="1"/>
  <c r="AB68" i="21"/>
  <c r="AB267" i="21" s="1"/>
  <c r="AA68" i="21"/>
  <c r="AA267" i="21" s="1"/>
  <c r="Z68" i="21"/>
  <c r="Z267" i="21" s="1"/>
  <c r="Y68" i="21"/>
  <c r="Y267" i="21" s="1"/>
  <c r="X68" i="21"/>
  <c r="X267" i="21" s="1"/>
  <c r="W68" i="21"/>
  <c r="W267" i="21" s="1"/>
  <c r="V68" i="21"/>
  <c r="V267" i="21" s="1"/>
  <c r="U68" i="21"/>
  <c r="U267" i="21" s="1"/>
  <c r="T68" i="21"/>
  <c r="T267" i="21" s="1"/>
  <c r="S68" i="21"/>
  <c r="S267" i="21" s="1"/>
  <c r="S266" i="21" s="1"/>
  <c r="R68" i="21"/>
  <c r="R267" i="21" s="1"/>
  <c r="Q68" i="21"/>
  <c r="Q267" i="21" s="1"/>
  <c r="P68" i="21"/>
  <c r="P267" i="21" s="1"/>
  <c r="O68" i="21"/>
  <c r="O267" i="21" s="1"/>
  <c r="N68" i="21"/>
  <c r="N267" i="21" s="1"/>
  <c r="M68" i="21"/>
  <c r="M267" i="21" s="1"/>
  <c r="L68" i="21"/>
  <c r="L267" i="21" s="1"/>
  <c r="K68" i="21"/>
  <c r="K267" i="21" s="1"/>
  <c r="J68" i="21"/>
  <c r="J267" i="21" s="1"/>
  <c r="I68" i="21"/>
  <c r="I267" i="21" s="1"/>
  <c r="H68" i="21"/>
  <c r="H267" i="21" s="1"/>
  <c r="G68" i="21"/>
  <c r="G267" i="21" s="1"/>
  <c r="F68" i="21"/>
  <c r="F267" i="21" s="1"/>
  <c r="E68" i="21"/>
  <c r="E267" i="21" s="1"/>
  <c r="D68" i="21"/>
  <c r="D267" i="21" s="1"/>
  <c r="C68" i="21"/>
  <c r="C267" i="21" s="1"/>
  <c r="B68" i="21"/>
  <c r="B267" i="21" s="1"/>
  <c r="AL67" i="21"/>
  <c r="AL263" i="21" s="1"/>
  <c r="AL284" i="21" s="1"/>
  <c r="AL286" i="21" s="1"/>
  <c r="AK67" i="21"/>
  <c r="AK263" i="21" s="1"/>
  <c r="AK284" i="21" s="1"/>
  <c r="AK286" i="21" s="1"/>
  <c r="AJ67" i="21"/>
  <c r="AJ263" i="21" s="1"/>
  <c r="AJ284" i="21" s="1"/>
  <c r="AJ286" i="21" s="1"/>
  <c r="AI67" i="21"/>
  <c r="AI263" i="21" s="1"/>
  <c r="AI284" i="21" s="1"/>
  <c r="AI286" i="21" s="1"/>
  <c r="AH67" i="21"/>
  <c r="AH263" i="21" s="1"/>
  <c r="AH284" i="21" s="1"/>
  <c r="AG67" i="21"/>
  <c r="AG263" i="21" s="1"/>
  <c r="AG284" i="21" s="1"/>
  <c r="AG286" i="21" s="1"/>
  <c r="AF67" i="21"/>
  <c r="AF263" i="21" s="1"/>
  <c r="AF284" i="21" s="1"/>
  <c r="AF286" i="21" s="1"/>
  <c r="AE67" i="21"/>
  <c r="AE263" i="21" s="1"/>
  <c r="AE284" i="21" s="1"/>
  <c r="AD67" i="21"/>
  <c r="AD263" i="21" s="1"/>
  <c r="AC67" i="21"/>
  <c r="AC263" i="21" s="1"/>
  <c r="AC284" i="21" s="1"/>
  <c r="AB67" i="21"/>
  <c r="AB263" i="21" s="1"/>
  <c r="AA67" i="21"/>
  <c r="AA263" i="21" s="1"/>
  <c r="AA284" i="21" s="1"/>
  <c r="AA286" i="21" s="1"/>
  <c r="Z67" i="21"/>
  <c r="Z263" i="21" s="1"/>
  <c r="Z284" i="21" s="1"/>
  <c r="Z286" i="21" s="1"/>
  <c r="Y67" i="21"/>
  <c r="Y263" i="21" s="1"/>
  <c r="Y284" i="21" s="1"/>
  <c r="Y286" i="21" s="1"/>
  <c r="X67" i="21"/>
  <c r="X263" i="21" s="1"/>
  <c r="X284" i="21" s="1"/>
  <c r="X286" i="21" s="1"/>
  <c r="W67" i="21"/>
  <c r="V67" i="21"/>
  <c r="V263" i="21" s="1"/>
  <c r="V284" i="21" s="1"/>
  <c r="V286" i="21" s="1"/>
  <c r="U67" i="21"/>
  <c r="U263" i="21" s="1"/>
  <c r="U284" i="21" s="1"/>
  <c r="U286" i="21" s="1"/>
  <c r="T67" i="21"/>
  <c r="T263" i="21" s="1"/>
  <c r="T284" i="21" s="1"/>
  <c r="T286" i="21" s="1"/>
  <c r="S67" i="21"/>
  <c r="S263" i="21" s="1"/>
  <c r="S284" i="21" s="1"/>
  <c r="R67" i="21"/>
  <c r="R263" i="21" s="1"/>
  <c r="Q67" i="21"/>
  <c r="Q263" i="21" s="1"/>
  <c r="Q284" i="21" s="1"/>
  <c r="P67" i="21"/>
  <c r="P263" i="21" s="1"/>
  <c r="O67" i="21"/>
  <c r="O263" i="21" s="1"/>
  <c r="O284" i="21" s="1"/>
  <c r="N67" i="21"/>
  <c r="N263" i="21" s="1"/>
  <c r="N284" i="21" s="1"/>
  <c r="N286" i="21" s="1"/>
  <c r="M67" i="21"/>
  <c r="M263" i="21" s="1"/>
  <c r="M284" i="21" s="1"/>
  <c r="M286" i="21" s="1"/>
  <c r="L67" i="21"/>
  <c r="L263" i="21" s="1"/>
  <c r="L284" i="21" s="1"/>
  <c r="L286" i="21" s="1"/>
  <c r="K67" i="21"/>
  <c r="J67" i="21"/>
  <c r="J263" i="21" s="1"/>
  <c r="J284" i="21" s="1"/>
  <c r="J286" i="21" s="1"/>
  <c r="I67" i="21"/>
  <c r="I263" i="21" s="1"/>
  <c r="I284" i="21" s="1"/>
  <c r="I286" i="21" s="1"/>
  <c r="H67" i="21"/>
  <c r="H263" i="21" s="1"/>
  <c r="H284" i="21" s="1"/>
  <c r="H286" i="21" s="1"/>
  <c r="G67" i="21"/>
  <c r="G263" i="21" s="1"/>
  <c r="G284" i="21" s="1"/>
  <c r="F67" i="21"/>
  <c r="F263" i="21" s="1"/>
  <c r="E67" i="21"/>
  <c r="E263" i="21" s="1"/>
  <c r="E284" i="21" s="1"/>
  <c r="D67" i="21"/>
  <c r="D263" i="21" s="1"/>
  <c r="C67" i="21"/>
  <c r="C263" i="21" s="1"/>
  <c r="B67" i="21"/>
  <c r="B263" i="21" s="1"/>
  <c r="AL66" i="21"/>
  <c r="AL262" i="21" s="1"/>
  <c r="AK66" i="21"/>
  <c r="AK262" i="21" s="1"/>
  <c r="AJ66" i="21"/>
  <c r="AJ262" i="21" s="1"/>
  <c r="AI66" i="21"/>
  <c r="AI262" i="21" s="1"/>
  <c r="AH66" i="21"/>
  <c r="AH262" i="21" s="1"/>
  <c r="AG66" i="21"/>
  <c r="AG262" i="21" s="1"/>
  <c r="AF66" i="21"/>
  <c r="AF262" i="21" s="1"/>
  <c r="AE66" i="21"/>
  <c r="AE262" i="21" s="1"/>
  <c r="AD66" i="21"/>
  <c r="AD262" i="21" s="1"/>
  <c r="AC66" i="21"/>
  <c r="AC262" i="21" s="1"/>
  <c r="AB66" i="21"/>
  <c r="AB262" i="21" s="1"/>
  <c r="AA66" i="21"/>
  <c r="AA262" i="21" s="1"/>
  <c r="Z66" i="21"/>
  <c r="Z262" i="21" s="1"/>
  <c r="Y66" i="21"/>
  <c r="Y262" i="21" s="1"/>
  <c r="X66" i="21"/>
  <c r="X262" i="21" s="1"/>
  <c r="W66" i="21"/>
  <c r="W262" i="21" s="1"/>
  <c r="V66" i="21"/>
  <c r="V262" i="21" s="1"/>
  <c r="U66" i="21"/>
  <c r="U262" i="21" s="1"/>
  <c r="T66" i="21"/>
  <c r="T262" i="21" s="1"/>
  <c r="S66" i="21"/>
  <c r="S262" i="21" s="1"/>
  <c r="R66" i="21"/>
  <c r="R262" i="21" s="1"/>
  <c r="Q66" i="21"/>
  <c r="Q262" i="21" s="1"/>
  <c r="P66" i="21"/>
  <c r="P262" i="21" s="1"/>
  <c r="O66" i="21"/>
  <c r="N66" i="21"/>
  <c r="M66" i="21"/>
  <c r="L66" i="21"/>
  <c r="K66" i="21"/>
  <c r="J66" i="21"/>
  <c r="I66" i="21"/>
  <c r="H66" i="21"/>
  <c r="G66" i="21"/>
  <c r="F66" i="21"/>
  <c r="E66" i="21"/>
  <c r="D66" i="21"/>
  <c r="C66" i="21"/>
  <c r="C262" i="21" s="1"/>
  <c r="B66" i="21"/>
  <c r="B262" i="21" s="1"/>
  <c r="AL65" i="21"/>
  <c r="AL261" i="21" s="1"/>
  <c r="AK65" i="21"/>
  <c r="AK261" i="21" s="1"/>
  <c r="AJ65" i="21"/>
  <c r="AJ261" i="21" s="1"/>
  <c r="AI65" i="21"/>
  <c r="AI261" i="21" s="1"/>
  <c r="AH65" i="21"/>
  <c r="AH261" i="21" s="1"/>
  <c r="AG65" i="21"/>
  <c r="AG261" i="21" s="1"/>
  <c r="AF65" i="21"/>
  <c r="AF261" i="21" s="1"/>
  <c r="AE65" i="21"/>
  <c r="AE261" i="21" s="1"/>
  <c r="AD65" i="21"/>
  <c r="AD261" i="21" s="1"/>
  <c r="AC65" i="21"/>
  <c r="AC261" i="21" s="1"/>
  <c r="AB65" i="21"/>
  <c r="AB261" i="21" s="1"/>
  <c r="AA65" i="21"/>
  <c r="AA261" i="21" s="1"/>
  <c r="Z65" i="21"/>
  <c r="Z261" i="21" s="1"/>
  <c r="Y65" i="21"/>
  <c r="Y261" i="21" s="1"/>
  <c r="X65" i="21"/>
  <c r="X261" i="21" s="1"/>
  <c r="W65" i="21"/>
  <c r="W261" i="21" s="1"/>
  <c r="V65" i="21"/>
  <c r="V261" i="21" s="1"/>
  <c r="U65" i="21"/>
  <c r="U261" i="21" s="1"/>
  <c r="T65" i="21"/>
  <c r="T261" i="21" s="1"/>
  <c r="S65" i="21"/>
  <c r="S261" i="21" s="1"/>
  <c r="R65" i="21"/>
  <c r="R261" i="21" s="1"/>
  <c r="Q65" i="21"/>
  <c r="Q261" i="21" s="1"/>
  <c r="P65" i="21"/>
  <c r="P261" i="21" s="1"/>
  <c r="O65" i="21"/>
  <c r="N65" i="21"/>
  <c r="M65" i="21"/>
  <c r="L65" i="21"/>
  <c r="K65" i="21"/>
  <c r="J65" i="21"/>
  <c r="I65" i="21"/>
  <c r="H65" i="21"/>
  <c r="G65" i="21"/>
  <c r="F65" i="21"/>
  <c r="E65" i="21"/>
  <c r="D65" i="21"/>
  <c r="C65" i="21"/>
  <c r="C261" i="21" s="1"/>
  <c r="B65" i="21"/>
  <c r="B261" i="21" s="1"/>
  <c r="AL64" i="21"/>
  <c r="AL260" i="21" s="1"/>
  <c r="AK64" i="21"/>
  <c r="AK260" i="21" s="1"/>
  <c r="AJ64" i="21"/>
  <c r="AJ260" i="21" s="1"/>
  <c r="AI64" i="21"/>
  <c r="AI260" i="21" s="1"/>
  <c r="AH64" i="21"/>
  <c r="AH260" i="21" s="1"/>
  <c r="AG64" i="21"/>
  <c r="AG260" i="21" s="1"/>
  <c r="AF64" i="21"/>
  <c r="AF260" i="21" s="1"/>
  <c r="AE64" i="21"/>
  <c r="AE260" i="21" s="1"/>
  <c r="AD64" i="21"/>
  <c r="AD260" i="21" s="1"/>
  <c r="AC64" i="21"/>
  <c r="AC260" i="21" s="1"/>
  <c r="AB64" i="21"/>
  <c r="AB260" i="21" s="1"/>
  <c r="AA64" i="21"/>
  <c r="AA260" i="21" s="1"/>
  <c r="Z64" i="21"/>
  <c r="Z260" i="21" s="1"/>
  <c r="Y64" i="21"/>
  <c r="Y260" i="21" s="1"/>
  <c r="X64" i="21"/>
  <c r="X260" i="21" s="1"/>
  <c r="W64" i="21"/>
  <c r="V64" i="21"/>
  <c r="V260" i="21" s="1"/>
  <c r="U64" i="21"/>
  <c r="U260" i="21" s="1"/>
  <c r="T64" i="21"/>
  <c r="T260" i="21" s="1"/>
  <c r="S64" i="21"/>
  <c r="S260" i="21" s="1"/>
  <c r="R64" i="21"/>
  <c r="R260" i="21" s="1"/>
  <c r="Q64" i="21"/>
  <c r="Q260" i="21" s="1"/>
  <c r="P64" i="21"/>
  <c r="P260" i="21" s="1"/>
  <c r="O64" i="21"/>
  <c r="N64" i="21"/>
  <c r="M64" i="21"/>
  <c r="L64" i="21"/>
  <c r="K64" i="21"/>
  <c r="J64" i="21"/>
  <c r="I64" i="21"/>
  <c r="H64" i="21"/>
  <c r="G64" i="21"/>
  <c r="F64" i="21"/>
  <c r="E64" i="21"/>
  <c r="D64" i="21"/>
  <c r="C64" i="21"/>
  <c r="C260" i="21" s="1"/>
  <c r="B64" i="21"/>
  <c r="B260" i="21" s="1"/>
  <c r="AL63" i="21"/>
  <c r="AK63" i="21"/>
  <c r="AJ63" i="21"/>
  <c r="AI63" i="21"/>
  <c r="AH63" i="21"/>
  <c r="AG63" i="21"/>
  <c r="AF63" i="21"/>
  <c r="AE63" i="21"/>
  <c r="AD63" i="21"/>
  <c r="AC63" i="21"/>
  <c r="AB63" i="21"/>
  <c r="AA63" i="21"/>
  <c r="Z63" i="21"/>
  <c r="Y63" i="21"/>
  <c r="X63" i="21"/>
  <c r="W63" i="21"/>
  <c r="V63" i="21"/>
  <c r="U63" i="21"/>
  <c r="T63" i="21"/>
  <c r="S63" i="21"/>
  <c r="R63" i="21"/>
  <c r="Q63" i="21"/>
  <c r="P63" i="21"/>
  <c r="O63" i="21"/>
  <c r="N63" i="21"/>
  <c r="M63" i="21"/>
  <c r="L63" i="21"/>
  <c r="K63" i="21"/>
  <c r="J63" i="21"/>
  <c r="I63" i="21"/>
  <c r="H63" i="21"/>
  <c r="G63" i="21"/>
  <c r="F63" i="21"/>
  <c r="E63" i="21"/>
  <c r="D63" i="21"/>
  <c r="C63" i="21"/>
  <c r="C259" i="21" s="1"/>
  <c r="B63" i="21"/>
  <c r="B259" i="21" s="1"/>
  <c r="AL62" i="21"/>
  <c r="AK62" i="21"/>
  <c r="AJ62" i="21"/>
  <c r="AI62" i="21"/>
  <c r="AH62" i="21"/>
  <c r="AG62" i="21"/>
  <c r="AF62" i="21"/>
  <c r="AE62" i="21"/>
  <c r="AD62" i="21"/>
  <c r="AC62" i="21"/>
  <c r="AB62" i="21"/>
  <c r="AA62" i="21"/>
  <c r="Z62" i="21"/>
  <c r="Y62" i="21"/>
  <c r="X62" i="21"/>
  <c r="W62" i="21"/>
  <c r="V62" i="21"/>
  <c r="U62" i="21"/>
  <c r="T62" i="21"/>
  <c r="S62" i="21"/>
  <c r="R62" i="21"/>
  <c r="Q62" i="21"/>
  <c r="P62" i="21"/>
  <c r="O62" i="21"/>
  <c r="N62" i="21"/>
  <c r="M62" i="21"/>
  <c r="L62" i="21"/>
  <c r="K62" i="21"/>
  <c r="J62" i="21"/>
  <c r="I62" i="21"/>
  <c r="H62" i="21"/>
  <c r="G62" i="21"/>
  <c r="F62" i="21"/>
  <c r="E62" i="21"/>
  <c r="D62" i="21"/>
  <c r="C62" i="21"/>
  <c r="C258" i="21" s="1"/>
  <c r="B62" i="21"/>
  <c r="B258" i="21" s="1"/>
  <c r="AL61" i="21"/>
  <c r="AK61" i="21"/>
  <c r="AJ61" i="21"/>
  <c r="AI61" i="21"/>
  <c r="AH61" i="21"/>
  <c r="AG61" i="21"/>
  <c r="AF61" i="21"/>
  <c r="AE61" i="21"/>
  <c r="AD61" i="21"/>
  <c r="AC61" i="21"/>
  <c r="AB61" i="21"/>
  <c r="AA61" i="21"/>
  <c r="Z61" i="21"/>
  <c r="Y61" i="21"/>
  <c r="X61" i="21"/>
  <c r="W61" i="21"/>
  <c r="V61" i="21"/>
  <c r="U61" i="21"/>
  <c r="T61" i="21"/>
  <c r="S61" i="21"/>
  <c r="R61" i="21"/>
  <c r="Q61" i="21"/>
  <c r="P61" i="21"/>
  <c r="O61" i="21"/>
  <c r="N61" i="21"/>
  <c r="M61" i="21"/>
  <c r="L61" i="21"/>
  <c r="K61" i="21"/>
  <c r="J61" i="21"/>
  <c r="I61" i="21"/>
  <c r="H61" i="21"/>
  <c r="G61" i="21"/>
  <c r="F61" i="21"/>
  <c r="E61" i="21"/>
  <c r="D61" i="21"/>
  <c r="C61" i="21"/>
  <c r="C257" i="21" s="1"/>
  <c r="B61" i="21"/>
  <c r="B257" i="21" s="1"/>
  <c r="AL60" i="21"/>
  <c r="AL252" i="21" s="1"/>
  <c r="AK60" i="21"/>
  <c r="AK252" i="21" s="1"/>
  <c r="AJ60" i="21"/>
  <c r="AJ252" i="21" s="1"/>
  <c r="AI60" i="21"/>
  <c r="AI252" i="21" s="1"/>
  <c r="AH60" i="21"/>
  <c r="AH252" i="21" s="1"/>
  <c r="AG60" i="21"/>
  <c r="AG252" i="21" s="1"/>
  <c r="AF60" i="21"/>
  <c r="AF252" i="21" s="1"/>
  <c r="AE60" i="21"/>
  <c r="AE252" i="21" s="1"/>
  <c r="AD60" i="21"/>
  <c r="AD252" i="21" s="1"/>
  <c r="AC60" i="21"/>
  <c r="AC252" i="21" s="1"/>
  <c r="AB60" i="21"/>
  <c r="AB252" i="21" s="1"/>
  <c r="AA60" i="21"/>
  <c r="AA252" i="21" s="1"/>
  <c r="Z60" i="21"/>
  <c r="Z252" i="21" s="1"/>
  <c r="Y60" i="21"/>
  <c r="Y252" i="21" s="1"/>
  <c r="X60" i="21"/>
  <c r="X252" i="21" s="1"/>
  <c r="W60" i="21"/>
  <c r="W252" i="21" s="1"/>
  <c r="V60" i="21"/>
  <c r="V252" i="21" s="1"/>
  <c r="U60" i="21"/>
  <c r="U252" i="21" s="1"/>
  <c r="T60" i="21"/>
  <c r="T252" i="21" s="1"/>
  <c r="S60" i="21"/>
  <c r="S252" i="21" s="1"/>
  <c r="R60" i="21"/>
  <c r="R252" i="21" s="1"/>
  <c r="Q60" i="21"/>
  <c r="Q252" i="21" s="1"/>
  <c r="P60" i="21"/>
  <c r="P252" i="21" s="1"/>
  <c r="O60" i="21"/>
  <c r="O252" i="21" s="1"/>
  <c r="N60" i="21"/>
  <c r="N252" i="21" s="1"/>
  <c r="M60" i="21"/>
  <c r="M252" i="21" s="1"/>
  <c r="L60" i="21"/>
  <c r="L252" i="21" s="1"/>
  <c r="K60" i="21"/>
  <c r="K252" i="21" s="1"/>
  <c r="J60" i="21"/>
  <c r="J252" i="21" s="1"/>
  <c r="I60" i="21"/>
  <c r="I252" i="21" s="1"/>
  <c r="H60" i="21"/>
  <c r="H252" i="21" s="1"/>
  <c r="G60" i="21"/>
  <c r="G252" i="21" s="1"/>
  <c r="F60" i="21"/>
  <c r="F252" i="21" s="1"/>
  <c r="E60" i="21"/>
  <c r="E252" i="21" s="1"/>
  <c r="D60" i="21"/>
  <c r="D252" i="21" s="1"/>
  <c r="C60" i="21"/>
  <c r="C252" i="21" s="1"/>
  <c r="B60" i="21"/>
  <c r="B252" i="21" s="1"/>
  <c r="AL59" i="21"/>
  <c r="AL251" i="21" s="1"/>
  <c r="AL377" i="21" s="1"/>
  <c r="AK59" i="21"/>
  <c r="AK251" i="21" s="1"/>
  <c r="AJ59" i="21"/>
  <c r="AJ251" i="21" s="1"/>
  <c r="AI59" i="21"/>
  <c r="AI251" i="21" s="1"/>
  <c r="AH59" i="21"/>
  <c r="AH251" i="21" s="1"/>
  <c r="AG59" i="21"/>
  <c r="AG251" i="21" s="1"/>
  <c r="AF59" i="21"/>
  <c r="AF251" i="21" s="1"/>
  <c r="AE59" i="21"/>
  <c r="AE251" i="21" s="1"/>
  <c r="AE377" i="21" s="1"/>
  <c r="AD59" i="21"/>
  <c r="AD251" i="21" s="1"/>
  <c r="AC59" i="21"/>
  <c r="AC251" i="21" s="1"/>
  <c r="AC377" i="21" s="1"/>
  <c r="AB59" i="21"/>
  <c r="AB251" i="21" s="1"/>
  <c r="AA59" i="21"/>
  <c r="AA251" i="21" s="1"/>
  <c r="Z59" i="21"/>
  <c r="Z251" i="21" s="1"/>
  <c r="Y59" i="21"/>
  <c r="Y251" i="21" s="1"/>
  <c r="X59" i="21"/>
  <c r="X251" i="21" s="1"/>
  <c r="W59" i="21"/>
  <c r="W251" i="21" s="1"/>
  <c r="V59" i="21"/>
  <c r="V251" i="21" s="1"/>
  <c r="U59" i="21"/>
  <c r="U251" i="21" s="1"/>
  <c r="T59" i="21"/>
  <c r="T251" i="21" s="1"/>
  <c r="S59" i="21"/>
  <c r="S251" i="21" s="1"/>
  <c r="S377" i="21" s="1"/>
  <c r="R59" i="21"/>
  <c r="R251" i="21" s="1"/>
  <c r="Q59" i="21"/>
  <c r="Q251" i="21" s="1"/>
  <c r="Q377" i="21" s="1"/>
  <c r="P59" i="21"/>
  <c r="P251" i="21" s="1"/>
  <c r="O59" i="21"/>
  <c r="O251" i="21" s="1"/>
  <c r="N59" i="21"/>
  <c r="N251" i="21" s="1"/>
  <c r="M59" i="21"/>
  <c r="M251" i="21" s="1"/>
  <c r="L59" i="21"/>
  <c r="L251" i="21" s="1"/>
  <c r="K59" i="21"/>
  <c r="K251" i="21" s="1"/>
  <c r="J59" i="21"/>
  <c r="J251" i="21" s="1"/>
  <c r="I59" i="21"/>
  <c r="I251" i="21" s="1"/>
  <c r="H59" i="21"/>
  <c r="H251" i="21" s="1"/>
  <c r="G59" i="21"/>
  <c r="G251" i="21" s="1"/>
  <c r="F59" i="21"/>
  <c r="F251" i="21" s="1"/>
  <c r="E59" i="21"/>
  <c r="E251" i="21" s="1"/>
  <c r="D59" i="21"/>
  <c r="D251" i="21" s="1"/>
  <c r="C59" i="21"/>
  <c r="C251" i="21" s="1"/>
  <c r="B59" i="21"/>
  <c r="B251" i="21" s="1"/>
  <c r="AL58" i="21"/>
  <c r="AL250" i="21" s="1"/>
  <c r="AK58" i="21"/>
  <c r="AK250" i="21" s="1"/>
  <c r="AJ58" i="21"/>
  <c r="AJ250" i="21" s="1"/>
  <c r="AI58" i="21"/>
  <c r="AI250" i="21" s="1"/>
  <c r="AH58" i="21"/>
  <c r="AH250" i="21" s="1"/>
  <c r="AG58" i="21"/>
  <c r="AG250" i="21" s="1"/>
  <c r="AF58" i="21"/>
  <c r="AF250" i="21" s="1"/>
  <c r="AE58" i="21"/>
  <c r="AE250" i="21" s="1"/>
  <c r="AD58" i="21"/>
  <c r="AD250" i="21" s="1"/>
  <c r="AC58" i="21"/>
  <c r="AC250" i="21" s="1"/>
  <c r="AB58" i="21"/>
  <c r="AB250" i="21" s="1"/>
  <c r="AA58" i="21"/>
  <c r="AA250" i="21" s="1"/>
  <c r="Z58" i="21"/>
  <c r="Z250" i="21" s="1"/>
  <c r="Y58" i="21"/>
  <c r="Y250" i="21" s="1"/>
  <c r="X58" i="21"/>
  <c r="X250" i="21" s="1"/>
  <c r="W58" i="21"/>
  <c r="W250" i="21" s="1"/>
  <c r="V58" i="21"/>
  <c r="V250" i="21" s="1"/>
  <c r="U58" i="21"/>
  <c r="U250" i="21" s="1"/>
  <c r="T58" i="21"/>
  <c r="T250" i="21" s="1"/>
  <c r="S58" i="21"/>
  <c r="S250" i="21" s="1"/>
  <c r="R58" i="21"/>
  <c r="R250" i="21" s="1"/>
  <c r="Q58" i="21"/>
  <c r="Q250" i="21" s="1"/>
  <c r="P58" i="21"/>
  <c r="P250" i="21" s="1"/>
  <c r="O58" i="21"/>
  <c r="O250" i="21" s="1"/>
  <c r="N58" i="21"/>
  <c r="N250" i="21" s="1"/>
  <c r="M58" i="21"/>
  <c r="M250" i="21" s="1"/>
  <c r="L58" i="21"/>
  <c r="L250" i="21" s="1"/>
  <c r="K58" i="21"/>
  <c r="K250" i="21" s="1"/>
  <c r="J58" i="21"/>
  <c r="J250" i="21" s="1"/>
  <c r="I58" i="21"/>
  <c r="I250" i="21" s="1"/>
  <c r="H58" i="21"/>
  <c r="H250" i="21" s="1"/>
  <c r="G58" i="21"/>
  <c r="G250" i="21" s="1"/>
  <c r="F58" i="21"/>
  <c r="F250" i="21" s="1"/>
  <c r="E58" i="21"/>
  <c r="E250" i="21" s="1"/>
  <c r="D58" i="21"/>
  <c r="D250" i="21" s="1"/>
  <c r="C58" i="21"/>
  <c r="C250" i="21" s="1"/>
  <c r="B58" i="21"/>
  <c r="B250" i="21" s="1"/>
  <c r="AL57" i="21"/>
  <c r="AL249" i="21" s="1"/>
  <c r="AK57" i="21"/>
  <c r="AK249" i="21" s="1"/>
  <c r="AJ57" i="21"/>
  <c r="AJ249" i="21" s="1"/>
  <c r="AI57" i="21"/>
  <c r="AI249" i="21" s="1"/>
  <c r="AH57" i="21"/>
  <c r="AH249" i="21" s="1"/>
  <c r="AG57" i="21"/>
  <c r="AG249" i="21" s="1"/>
  <c r="AF57" i="21"/>
  <c r="AF249" i="21" s="1"/>
  <c r="AE57" i="21"/>
  <c r="AE249" i="21" s="1"/>
  <c r="AD57" i="21"/>
  <c r="AD249" i="21" s="1"/>
  <c r="AC57" i="21"/>
  <c r="AC249" i="21" s="1"/>
  <c r="AB57" i="21"/>
  <c r="AB249" i="21" s="1"/>
  <c r="AA57" i="21"/>
  <c r="AA249" i="21" s="1"/>
  <c r="Z57" i="21"/>
  <c r="Z249" i="21" s="1"/>
  <c r="Y57" i="21"/>
  <c r="Y249" i="21" s="1"/>
  <c r="Y283" i="21" s="1"/>
  <c r="Y282" i="21" s="1"/>
  <c r="X57" i="21"/>
  <c r="X249" i="21" s="1"/>
  <c r="W57" i="21"/>
  <c r="V57" i="21"/>
  <c r="V249" i="21" s="1"/>
  <c r="U57" i="21"/>
  <c r="U249" i="21" s="1"/>
  <c r="T57" i="21"/>
  <c r="T249" i="21" s="1"/>
  <c r="S57" i="21"/>
  <c r="S249" i="21" s="1"/>
  <c r="R57" i="21"/>
  <c r="R249" i="21" s="1"/>
  <c r="Q57" i="21"/>
  <c r="Q249" i="21" s="1"/>
  <c r="P57" i="21"/>
  <c r="O57" i="21"/>
  <c r="N57" i="21"/>
  <c r="M57" i="21"/>
  <c r="L57" i="21"/>
  <c r="K57" i="21"/>
  <c r="J57" i="21"/>
  <c r="I57" i="21"/>
  <c r="H57" i="21"/>
  <c r="G57" i="21"/>
  <c r="F57" i="21"/>
  <c r="E57" i="21"/>
  <c r="D57" i="21"/>
  <c r="C57" i="21"/>
  <c r="C249" i="21" s="1"/>
  <c r="B57" i="21"/>
  <c r="B249" i="21" s="1"/>
  <c r="AL56" i="21"/>
  <c r="AL248" i="21" s="1"/>
  <c r="AL372" i="21" s="1"/>
  <c r="AK56" i="21"/>
  <c r="AK248" i="21" s="1"/>
  <c r="AK372" i="21" s="1"/>
  <c r="AJ56" i="21"/>
  <c r="AJ248" i="21" s="1"/>
  <c r="AJ372" i="21" s="1"/>
  <c r="AI56" i="21"/>
  <c r="AI248" i="21" s="1"/>
  <c r="AI372" i="21" s="1"/>
  <c r="AH56" i="21"/>
  <c r="AH248" i="21" s="1"/>
  <c r="AH372" i="21" s="1"/>
  <c r="AG56" i="21"/>
  <c r="AG248" i="21" s="1"/>
  <c r="AG372" i="21" s="1"/>
  <c r="AF56" i="21"/>
  <c r="AF248" i="21" s="1"/>
  <c r="AF372" i="21" s="1"/>
  <c r="AE56" i="21"/>
  <c r="AE248" i="21" s="1"/>
  <c r="AE372" i="21" s="1"/>
  <c r="AD56" i="21"/>
  <c r="AD248" i="21" s="1"/>
  <c r="AD372" i="21" s="1"/>
  <c r="AC56" i="21"/>
  <c r="AC248" i="21" s="1"/>
  <c r="AC372" i="21" s="1"/>
  <c r="AB56" i="21"/>
  <c r="AB248" i="21" s="1"/>
  <c r="AA56" i="21"/>
  <c r="AA248" i="21" s="1"/>
  <c r="Z56" i="21"/>
  <c r="Z248" i="21" s="1"/>
  <c r="Y56" i="21"/>
  <c r="Y248" i="21" s="1"/>
  <c r="X56" i="21"/>
  <c r="X248" i="21" s="1"/>
  <c r="W56" i="21"/>
  <c r="W248" i="21" s="1"/>
  <c r="W372" i="21" s="1"/>
  <c r="V56" i="21"/>
  <c r="V248" i="21" s="1"/>
  <c r="V372" i="21" s="1"/>
  <c r="U56" i="21"/>
  <c r="U248" i="21" s="1"/>
  <c r="U372" i="21" s="1"/>
  <c r="T56" i="21"/>
  <c r="T248" i="21" s="1"/>
  <c r="T372" i="21" s="1"/>
  <c r="S56" i="21"/>
  <c r="S248" i="21" s="1"/>
  <c r="S372" i="21" s="1"/>
  <c r="R56" i="21"/>
  <c r="R248" i="21" s="1"/>
  <c r="R372" i="21" s="1"/>
  <c r="Q56" i="21"/>
  <c r="Q248" i="21" s="1"/>
  <c r="Q372" i="21" s="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C248" i="21" s="1"/>
  <c r="B56" i="21"/>
  <c r="B248" i="21" s="1"/>
  <c r="AL55" i="21"/>
  <c r="AL247" i="21" s="1"/>
  <c r="AL370" i="21" s="1"/>
  <c r="AK55" i="21"/>
  <c r="AK247" i="21" s="1"/>
  <c r="AK370" i="21" s="1"/>
  <c r="AJ55" i="21"/>
  <c r="AJ247" i="21" s="1"/>
  <c r="AJ370" i="21" s="1"/>
  <c r="AI55" i="21"/>
  <c r="AI247" i="21" s="1"/>
  <c r="AI370" i="21" s="1"/>
  <c r="AH55" i="21"/>
  <c r="AH247" i="21" s="1"/>
  <c r="AH370" i="21" s="1"/>
  <c r="AG55" i="21"/>
  <c r="AG247" i="21" s="1"/>
  <c r="AG370" i="21" s="1"/>
  <c r="AF55" i="21"/>
  <c r="AF247" i="21" s="1"/>
  <c r="AF370" i="21" s="1"/>
  <c r="AE55" i="21"/>
  <c r="AE247" i="21" s="1"/>
  <c r="AE370" i="21" s="1"/>
  <c r="AD55" i="21"/>
  <c r="AD247" i="21" s="1"/>
  <c r="AD370" i="21" s="1"/>
  <c r="AC55" i="21"/>
  <c r="AC247" i="21" s="1"/>
  <c r="AC370" i="21" s="1"/>
  <c r="AB55" i="21"/>
  <c r="AB247" i="21" s="1"/>
  <c r="AA55" i="21"/>
  <c r="AA247" i="21" s="1"/>
  <c r="Z55" i="21"/>
  <c r="Z247" i="21" s="1"/>
  <c r="Y55" i="21"/>
  <c r="Y247" i="21" s="1"/>
  <c r="X55" i="21"/>
  <c r="X247" i="21" s="1"/>
  <c r="W55" i="21"/>
  <c r="W247" i="21" s="1"/>
  <c r="W370" i="21" s="1"/>
  <c r="V55" i="21"/>
  <c r="V247" i="21" s="1"/>
  <c r="V370" i="21" s="1"/>
  <c r="U55" i="21"/>
  <c r="U247" i="21" s="1"/>
  <c r="U370" i="21" s="1"/>
  <c r="T55" i="21"/>
  <c r="T247" i="21" s="1"/>
  <c r="T370" i="21" s="1"/>
  <c r="S55" i="21"/>
  <c r="S247" i="21" s="1"/>
  <c r="S370" i="21" s="1"/>
  <c r="R55" i="21"/>
  <c r="R247" i="21" s="1"/>
  <c r="R370" i="21" s="1"/>
  <c r="Q55" i="21"/>
  <c r="Q247" i="21" s="1"/>
  <c r="Q370" i="21" s="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C247" i="21" s="1"/>
  <c r="B55" i="21"/>
  <c r="B247" i="21" s="1"/>
  <c r="AL54" i="21"/>
  <c r="AL246" i="21" s="1"/>
  <c r="AK54" i="21"/>
  <c r="AK246" i="21" s="1"/>
  <c r="AJ54" i="21"/>
  <c r="AJ246" i="21" s="1"/>
  <c r="AI54" i="21"/>
  <c r="AI246" i="21" s="1"/>
  <c r="AH54" i="21"/>
  <c r="AH246" i="21" s="1"/>
  <c r="AG54" i="21"/>
  <c r="AG246" i="21" s="1"/>
  <c r="AF54" i="21"/>
  <c r="AF246" i="21" s="1"/>
  <c r="AE54" i="21"/>
  <c r="AE246" i="21" s="1"/>
  <c r="AD54" i="21"/>
  <c r="AD246" i="21" s="1"/>
  <c r="AC54" i="21"/>
  <c r="AC246" i="21" s="1"/>
  <c r="AB54" i="21"/>
  <c r="AB246" i="21" s="1"/>
  <c r="AA54" i="21"/>
  <c r="AA246" i="21" s="1"/>
  <c r="Z54" i="21"/>
  <c r="Z246" i="21" s="1"/>
  <c r="Y54" i="21"/>
  <c r="Y246" i="21" s="1"/>
  <c r="X54" i="21"/>
  <c r="X246" i="21" s="1"/>
  <c r="W54" i="21"/>
  <c r="W246" i="21" s="1"/>
  <c r="V54" i="21"/>
  <c r="V246" i="21" s="1"/>
  <c r="U54" i="21"/>
  <c r="U246" i="21" s="1"/>
  <c r="T54" i="21"/>
  <c r="T246" i="21" s="1"/>
  <c r="S54" i="21"/>
  <c r="S246" i="21" s="1"/>
  <c r="R54" i="21"/>
  <c r="R246" i="21" s="1"/>
  <c r="Q54" i="21"/>
  <c r="Q246" i="21" s="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C246" i="21" s="1"/>
  <c r="B54" i="21"/>
  <c r="B246" i="21" s="1"/>
  <c r="X53" i="21"/>
  <c r="U53" i="21"/>
  <c r="C53" i="21"/>
  <c r="F52" i="21"/>
  <c r="F378" i="21" s="1"/>
  <c r="D52" i="21"/>
  <c r="D378" i="21" s="1"/>
  <c r="C52" i="21"/>
  <c r="AG51" i="21"/>
  <c r="AE51" i="21"/>
  <c r="V51" i="21"/>
  <c r="C51" i="21"/>
  <c r="O50" i="21"/>
  <c r="N50" i="21"/>
  <c r="D50" i="21"/>
  <c r="C50" i="21"/>
  <c r="AF49" i="21"/>
  <c r="AE49" i="21"/>
  <c r="C49" i="21"/>
  <c r="N48" i="21"/>
  <c r="M48" i="21"/>
  <c r="C48" i="21"/>
  <c r="AE47" i="21"/>
  <c r="AC47" i="21"/>
  <c r="C47" i="21"/>
  <c r="Q46" i="21"/>
  <c r="I46" i="21"/>
  <c r="H46" i="21"/>
  <c r="G46" i="21"/>
  <c r="F46" i="21"/>
  <c r="E46" i="21"/>
  <c r="D46" i="21"/>
  <c r="C46" i="21"/>
  <c r="AK45" i="21"/>
  <c r="AH45" i="21"/>
  <c r="C45" i="21"/>
  <c r="BA44" i="21"/>
  <c r="AV44" i="21"/>
  <c r="AU44" i="21"/>
  <c r="AT44" i="21"/>
  <c r="AQ44" i="21"/>
  <c r="AP44" i="21"/>
  <c r="AO44" i="21"/>
  <c r="AH44" i="21"/>
  <c r="AD44" i="21"/>
  <c r="O44" i="21"/>
  <c r="K44" i="21"/>
  <c r="I44" i="21"/>
  <c r="C44" i="21"/>
  <c r="Z43" i="21"/>
  <c r="D43" i="21"/>
  <c r="C43" i="21"/>
  <c r="AK42" i="21"/>
  <c r="AF42" i="21"/>
  <c r="Q42" i="21"/>
  <c r="P42" i="21"/>
  <c r="BA42" i="21" s="1"/>
  <c r="M42" i="21"/>
  <c r="C42" i="21"/>
  <c r="AD41" i="21"/>
  <c r="Z41" i="21"/>
  <c r="X41" i="21"/>
  <c r="I41" i="21"/>
  <c r="H41" i="21"/>
  <c r="C41" i="21"/>
  <c r="S40" i="21"/>
  <c r="S364" i="21" s="1"/>
  <c r="C40" i="21"/>
  <c r="AL39" i="21"/>
  <c r="AK39" i="21"/>
  <c r="AJ39" i="21"/>
  <c r="AI39" i="21"/>
  <c r="AH39" i="21"/>
  <c r="AG39" i="21"/>
  <c r="AF39" i="21"/>
  <c r="AE39" i="21"/>
  <c r="AD39" i="21"/>
  <c r="AC39" i="21"/>
  <c r="AB39" i="21"/>
  <c r="D64" i="51" s="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12" i="61" s="1"/>
  <c r="B39" i="21"/>
  <c r="A12" i="61" s="1"/>
  <c r="BA38" i="21"/>
  <c r="AR38" i="21"/>
  <c r="AR37" i="21" s="1"/>
  <c r="BD155" i="32" s="1"/>
  <c r="AQ38" i="21"/>
  <c r="AN38" i="21"/>
  <c r="AN37" i="21" s="1"/>
  <c r="AZ155" i="32" s="1"/>
  <c r="AM38" i="21"/>
  <c r="AM37" i="21" s="1"/>
  <c r="AY155" i="32" s="1"/>
  <c r="AL38" i="21"/>
  <c r="AV38" i="21" s="1"/>
  <c r="AV37" i="21" s="1"/>
  <c r="BH155" i="32" s="1"/>
  <c r="AK38" i="21"/>
  <c r="AU38" i="21" s="1"/>
  <c r="AU37" i="21" s="1"/>
  <c r="BG155" i="32" s="1"/>
  <c r="AJ38" i="21"/>
  <c r="AT38" i="21" s="1"/>
  <c r="AT37" i="21" s="1"/>
  <c r="AI38" i="21"/>
  <c r="AS38" i="21" s="1"/>
  <c r="AH38" i="21"/>
  <c r="AG38" i="21"/>
  <c r="AF38" i="21"/>
  <c r="AP38" i="21" s="1"/>
  <c r="AP37" i="21" s="1"/>
  <c r="BB155" i="32" s="1"/>
  <c r="AE38" i="21"/>
  <c r="AO38" i="21" s="1"/>
  <c r="AO37" i="21" s="1"/>
  <c r="BA155" i="32" s="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A49" i="51" s="1"/>
  <c r="BA37" i="21"/>
  <c r="AS37" i="21"/>
  <c r="BE155" i="32" s="1"/>
  <c r="AQ37" i="21"/>
  <c r="BC155" i="32" s="1"/>
  <c r="AL37" i="21"/>
  <c r="AK37" i="21"/>
  <c r="AJ37" i="21"/>
  <c r="AI37" i="21"/>
  <c r="AH37" i="21"/>
  <c r="AG37" i="2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AV36" i="21"/>
  <c r="AU36" i="21"/>
  <c r="AR36" i="21"/>
  <c r="AQ36" i="21"/>
  <c r="AQ35" i="21" s="1"/>
  <c r="I33" i="51" s="1"/>
  <c r="AP36" i="21"/>
  <c r="AP35" i="21" s="1"/>
  <c r="H33" i="51" s="1"/>
  <c r="AL36" i="21"/>
  <c r="AK36" i="21"/>
  <c r="AJ36" i="21"/>
  <c r="AT36" i="21" s="1"/>
  <c r="BC36" i="21" s="1"/>
  <c r="AI36" i="21"/>
  <c r="AS36" i="21" s="1"/>
  <c r="AS35" i="21" s="1"/>
  <c r="K33" i="51" s="1"/>
  <c r="AH36" i="21"/>
  <c r="AG36" i="21"/>
  <c r="AF36" i="21"/>
  <c r="AE36" i="21"/>
  <c r="AO36" i="21" s="1"/>
  <c r="AD36" i="21"/>
  <c r="AN36" i="21" s="1"/>
  <c r="AC36" i="21"/>
  <c r="AM36" i="21" s="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BA36" i="21" s="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B36" i="21"/>
  <c r="AV35" i="21"/>
  <c r="N33" i="51" s="1"/>
  <c r="AU35" i="21"/>
  <c r="M33" i="51" s="1"/>
  <c r="AT35" i="21"/>
  <c r="L33" i="51" s="1"/>
  <c r="AR35" i="21"/>
  <c r="J33" i="51" s="1"/>
  <c r="AL35" i="21"/>
  <c r="AK35" i="21"/>
  <c r="AJ35" i="21"/>
  <c r="AI35" i="21"/>
  <c r="AH35" i="21"/>
  <c r="AG35" i="21"/>
  <c r="AF35" i="21"/>
  <c r="AE35" i="21"/>
  <c r="AD35" i="21"/>
  <c r="AC35" i="21"/>
  <c r="AB35" i="21"/>
  <c r="D33" i="51" s="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A48" i="51" s="1"/>
  <c r="AX34" i="21"/>
  <c r="AU34" i="21"/>
  <c r="AU32" i="21" s="1"/>
  <c r="BG154" i="32" s="1"/>
  <c r="AQ34" i="21"/>
  <c r="AP34" i="21"/>
  <c r="AO34" i="21"/>
  <c r="AN34" i="21"/>
  <c r="AL34" i="21"/>
  <c r="AV34" i="21" s="1"/>
  <c r="AK34" i="21"/>
  <c r="AJ34" i="21"/>
  <c r="AT34" i="21" s="1"/>
  <c r="BC34" i="21" s="1"/>
  <c r="AI34" i="21"/>
  <c r="AS34" i="21" s="1"/>
  <c r="AS32" i="21" s="1"/>
  <c r="BE154" i="32" s="1"/>
  <c r="AH34" i="21"/>
  <c r="AR34" i="21" s="1"/>
  <c r="AG34" i="21"/>
  <c r="AF34" i="21"/>
  <c r="AE34" i="21"/>
  <c r="AD34" i="21"/>
  <c r="AC34" i="21"/>
  <c r="AM34" i="21" s="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BA34" i="21" s="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A33" i="21"/>
  <c r="AV33" i="21"/>
  <c r="AV32" i="21" s="1"/>
  <c r="BH154" i="32" s="1"/>
  <c r="AU33" i="21"/>
  <c r="AS33" i="21"/>
  <c r="AR33" i="21"/>
  <c r="AR32" i="21" s="1"/>
  <c r="BD154" i="32" s="1"/>
  <c r="AQ33" i="21"/>
  <c r="AQ32" i="21" s="1"/>
  <c r="BC154" i="32" s="1"/>
  <c r="AN33" i="21"/>
  <c r="AX33" i="21" s="1"/>
  <c r="AX32" i="21" s="1"/>
  <c r="AM33" i="21"/>
  <c r="AW33" i="21" s="1"/>
  <c r="AL33" i="21"/>
  <c r="AK33" i="21"/>
  <c r="AJ33" i="21"/>
  <c r="AT33" i="21" s="1"/>
  <c r="AI33" i="21"/>
  <c r="AH33" i="21"/>
  <c r="AG33" i="21"/>
  <c r="AF33" i="21"/>
  <c r="AP33" i="21" s="1"/>
  <c r="AP32" i="21" s="1"/>
  <c r="BB154" i="32" s="1"/>
  <c r="AE33" i="21"/>
  <c r="AO33" i="21" s="1"/>
  <c r="AO32" i="21" s="1"/>
  <c r="BA154" i="32" s="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BA32" i="21"/>
  <c r="AL32" i="21"/>
  <c r="AK32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AV31" i="21"/>
  <c r="AU31" i="21"/>
  <c r="AP31" i="21"/>
  <c r="AO31" i="21"/>
  <c r="AN31" i="21"/>
  <c r="AX31" i="21" s="1"/>
  <c r="AL31" i="21"/>
  <c r="AK31" i="21"/>
  <c r="AJ31" i="21"/>
  <c r="AT31" i="21" s="1"/>
  <c r="BC31" i="21" s="1"/>
  <c r="AI31" i="21"/>
  <c r="AS31" i="21" s="1"/>
  <c r="AH31" i="21"/>
  <c r="AR31" i="21" s="1"/>
  <c r="AG31" i="21"/>
  <c r="AQ31" i="21" s="1"/>
  <c r="AF31" i="21"/>
  <c r="AE31" i="21"/>
  <c r="AD31" i="21"/>
  <c r="AC31" i="21"/>
  <c r="AM31" i="21" s="1"/>
  <c r="AW31" i="21" s="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BA30" i="21"/>
  <c r="AV30" i="21"/>
  <c r="AU30" i="21"/>
  <c r="AT30" i="21"/>
  <c r="BC30" i="21" s="1"/>
  <c r="AQ30" i="21"/>
  <c r="AP30" i="21"/>
  <c r="AO30" i="21"/>
  <c r="AL30" i="21"/>
  <c r="AK30" i="21"/>
  <c r="AJ30" i="21"/>
  <c r="AI30" i="21"/>
  <c r="AS30" i="21" s="1"/>
  <c r="AH30" i="21"/>
  <c r="AR30" i="21" s="1"/>
  <c r="AG30" i="21"/>
  <c r="AF30" i="21"/>
  <c r="AE30" i="21"/>
  <c r="AD30" i="21"/>
  <c r="AN30" i="21" s="1"/>
  <c r="AX30" i="21" s="1"/>
  <c r="AC30" i="21"/>
  <c r="AM30" i="21" s="1"/>
  <c r="AW30" i="21" s="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AV29" i="21"/>
  <c r="AU29" i="21"/>
  <c r="AP29" i="21"/>
  <c r="AO29" i="21"/>
  <c r="AN29" i="21"/>
  <c r="AX29" i="21" s="1"/>
  <c r="AL29" i="21"/>
  <c r="AK29" i="21"/>
  <c r="AJ29" i="21"/>
  <c r="AT29" i="21" s="1"/>
  <c r="BC29" i="21" s="1"/>
  <c r="AI29" i="21"/>
  <c r="AS29" i="21" s="1"/>
  <c r="AH29" i="21"/>
  <c r="AR29" i="21" s="1"/>
  <c r="AG29" i="21"/>
  <c r="AQ29" i="21" s="1"/>
  <c r="AF29" i="21"/>
  <c r="AE29" i="21"/>
  <c r="AD29" i="21"/>
  <c r="AC29" i="21"/>
  <c r="AM29" i="21" s="1"/>
  <c r="AW29" i="21" s="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BA28" i="21"/>
  <c r="AV28" i="21"/>
  <c r="AU28" i="21"/>
  <c r="AT28" i="21"/>
  <c r="BC28" i="21" s="1"/>
  <c r="AQ28" i="21"/>
  <c r="AQ27" i="21" s="1"/>
  <c r="AP28" i="21"/>
  <c r="AP27" i="21" s="1"/>
  <c r="AO28" i="21"/>
  <c r="AO27" i="21" s="1"/>
  <c r="AL28" i="21"/>
  <c r="AK28" i="21"/>
  <c r="AJ28" i="21"/>
  <c r="AI28" i="21"/>
  <c r="AS28" i="21" s="1"/>
  <c r="AH28" i="21"/>
  <c r="AR28" i="21" s="1"/>
  <c r="AR27" i="21" s="1"/>
  <c r="AG28" i="21"/>
  <c r="AF28" i="21"/>
  <c r="AE28" i="21"/>
  <c r="AD28" i="21"/>
  <c r="AN28" i="21" s="1"/>
  <c r="AC28" i="21"/>
  <c r="AM28" i="21" s="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AV27" i="21"/>
  <c r="AU27" i="21"/>
  <c r="AL27" i="21"/>
  <c r="AK27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47" i="51" s="1"/>
  <c r="BA26" i="21"/>
  <c r="AV26" i="21"/>
  <c r="AU26" i="21"/>
  <c r="AT26" i="21"/>
  <c r="BC26" i="21" s="1"/>
  <c r="AQ26" i="21"/>
  <c r="AP26" i="21"/>
  <c r="AO26" i="21"/>
  <c r="AL26" i="21"/>
  <c r="AK26" i="21"/>
  <c r="AJ26" i="21"/>
  <c r="AI26" i="21"/>
  <c r="AH26" i="21"/>
  <c r="AG26" i="21"/>
  <c r="AF26" i="21"/>
  <c r="AE26" i="21"/>
  <c r="AD26" i="21"/>
  <c r="AC26" i="21"/>
  <c r="AM26" i="21" s="1"/>
  <c r="AB26" i="21"/>
  <c r="AX26" i="21" s="1"/>
  <c r="AA26" i="21"/>
  <c r="AW26" i="21" s="1"/>
  <c r="Z26" i="21"/>
  <c r="Y26" i="21"/>
  <c r="X26" i="21"/>
  <c r="W26" i="21"/>
  <c r="AS26" i="21" s="1"/>
  <c r="V26" i="21"/>
  <c r="AR26" i="21" s="1"/>
  <c r="U26" i="21"/>
  <c r="T26" i="21"/>
  <c r="S26" i="21"/>
  <c r="R26" i="21"/>
  <c r="AN26" i="21" s="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B26" i="21"/>
  <c r="AW25" i="21"/>
  <c r="AV25" i="21"/>
  <c r="AU25" i="21"/>
  <c r="AP25" i="21"/>
  <c r="AO25" i="21"/>
  <c r="AN25" i="21"/>
  <c r="AL25" i="21"/>
  <c r="AK25" i="21"/>
  <c r="AJ25" i="21"/>
  <c r="AI25" i="21"/>
  <c r="AH25" i="21"/>
  <c r="AG25" i="21"/>
  <c r="AF25" i="21"/>
  <c r="AE25" i="21"/>
  <c r="AD25" i="21"/>
  <c r="AC25" i="21"/>
  <c r="AM25" i="21" s="1"/>
  <c r="AB25" i="21"/>
  <c r="AX25" i="21" s="1"/>
  <c r="AA25" i="21"/>
  <c r="Z25" i="21"/>
  <c r="Y25" i="21"/>
  <c r="X25" i="21"/>
  <c r="AT25" i="21" s="1"/>
  <c r="BC25" i="21" s="1"/>
  <c r="W25" i="21"/>
  <c r="AS25" i="21" s="1"/>
  <c r="V25" i="21"/>
  <c r="AR25" i="21" s="1"/>
  <c r="U25" i="21"/>
  <c r="AQ25" i="21" s="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BA24" i="21"/>
  <c r="AQ24" i="21"/>
  <c r="AP24" i="21"/>
  <c r="AO24" i="21"/>
  <c r="AL24" i="21"/>
  <c r="AK24" i="21"/>
  <c r="AJ24" i="21"/>
  <c r="AI24" i="21"/>
  <c r="AH24" i="21"/>
  <c r="AG24" i="21"/>
  <c r="AF24" i="21"/>
  <c r="AE24" i="21"/>
  <c r="AD24" i="21"/>
  <c r="AC24" i="21"/>
  <c r="AM24" i="21" s="1"/>
  <c r="AB24" i="21"/>
  <c r="AA24" i="21"/>
  <c r="Z24" i="21"/>
  <c r="Y24" i="21"/>
  <c r="X24" i="21"/>
  <c r="W24" i="21"/>
  <c r="AT24" i="21" s="1"/>
  <c r="V24" i="21"/>
  <c r="AS24" i="21" s="1"/>
  <c r="U24" i="21"/>
  <c r="AR24" i="21" s="1"/>
  <c r="T24" i="21"/>
  <c r="S24" i="21"/>
  <c r="R24" i="21"/>
  <c r="Q24" i="21"/>
  <c r="AN24" i="21" s="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AZ23" i="21"/>
  <c r="AX23" i="21"/>
  <c r="AW23" i="21"/>
  <c r="AV23" i="21"/>
  <c r="AS23" i="21"/>
  <c r="AN23" i="21"/>
  <c r="AM23" i="21"/>
  <c r="AL23" i="21"/>
  <c r="AK23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BC23" i="21" s="1"/>
  <c r="V23" i="21"/>
  <c r="AY23" i="21" s="1"/>
  <c r="U23" i="21"/>
  <c r="AQ23" i="21" s="1"/>
  <c r="T23" i="21"/>
  <c r="AP23" i="21" s="1"/>
  <c r="S23" i="21"/>
  <c r="AO23" i="21" s="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BC22" i="21"/>
  <c r="AT22" i="21"/>
  <c r="AS22" i="21"/>
  <c r="AR22" i="21"/>
  <c r="AO22" i="21"/>
  <c r="AO21" i="21" s="1"/>
  <c r="AN22" i="21"/>
  <c r="AM22" i="21"/>
  <c r="AL22" i="21"/>
  <c r="AV22" i="21" s="1"/>
  <c r="AK22" i="21"/>
  <c r="AU22" i="21" s="1"/>
  <c r="AJ22" i="21"/>
  <c r="AI22" i="21"/>
  <c r="AH22" i="21"/>
  <c r="AG22" i="21"/>
  <c r="AQ22" i="21" s="1"/>
  <c r="AF22" i="21"/>
  <c r="AP22" i="21" s="1"/>
  <c r="AP21" i="21" s="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BA22" i="21" s="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AL21" i="21"/>
  <c r="AK21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BA21" i="21" s="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AL20" i="21"/>
  <c r="AK20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BA20" i="21" s="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AL19" i="21"/>
  <c r="AK19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BA19" i="21" s="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BC18" i="21"/>
  <c r="AZ18" i="21"/>
  <c r="AY18" i="21"/>
  <c r="AL18" i="21"/>
  <c r="AK18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BA18" i="21" s="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AL17" i="21"/>
  <c r="AK17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BA17" i="21" s="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BC16" i="21"/>
  <c r="AT16" i="21"/>
  <c r="AS16" i="21"/>
  <c r="AR16" i="21"/>
  <c r="AO16" i="21"/>
  <c r="AN16" i="21"/>
  <c r="AM16" i="21"/>
  <c r="AL16" i="21"/>
  <c r="AK16" i="21"/>
  <c r="AJ16" i="21"/>
  <c r="AI16" i="21"/>
  <c r="AH16" i="21"/>
  <c r="AG16" i="21"/>
  <c r="AF16" i="21"/>
  <c r="AE16" i="21"/>
  <c r="AD16" i="21"/>
  <c r="AC16" i="21"/>
  <c r="AB16" i="21"/>
  <c r="AX16" i="21" s="1"/>
  <c r="AA16" i="21"/>
  <c r="AW16" i="21" s="1"/>
  <c r="Z16" i="21"/>
  <c r="AV16" i="21" s="1"/>
  <c r="Y16" i="21"/>
  <c r="AU16" i="21" s="1"/>
  <c r="X16" i="21"/>
  <c r="W16" i="21"/>
  <c r="V16" i="21"/>
  <c r="U16" i="21"/>
  <c r="AQ16" i="21" s="1"/>
  <c r="T16" i="21"/>
  <c r="AP16" i="21" s="1"/>
  <c r="S16" i="21"/>
  <c r="R16" i="21"/>
  <c r="Q16" i="21"/>
  <c r="P16" i="21"/>
  <c r="BA16" i="21" s="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AL15" i="21"/>
  <c r="AK15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BA15" i="21" s="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B15" i="21"/>
  <c r="AL14" i="21"/>
  <c r="AK14" i="21"/>
  <c r="AK327" i="21" s="1"/>
  <c r="AJ14" i="21"/>
  <c r="AI14" i="21"/>
  <c r="AH14" i="21"/>
  <c r="AG14" i="21"/>
  <c r="AF14" i="21"/>
  <c r="AE14" i="21"/>
  <c r="AD14" i="21"/>
  <c r="AC14" i="21"/>
  <c r="AB14" i="21"/>
  <c r="AA14" i="21"/>
  <c r="AA327" i="21" s="1"/>
  <c r="Z14" i="21"/>
  <c r="Y14" i="21"/>
  <c r="Y327" i="21" s="1"/>
  <c r="X14" i="21"/>
  <c r="W14" i="21"/>
  <c r="V14" i="21"/>
  <c r="U14" i="21"/>
  <c r="T14" i="21"/>
  <c r="S14" i="21"/>
  <c r="R14" i="21"/>
  <c r="Q14" i="21"/>
  <c r="P14" i="21"/>
  <c r="O14" i="21"/>
  <c r="O327" i="21" s="1"/>
  <c r="N14" i="21"/>
  <c r="M14" i="21"/>
  <c r="L14" i="21"/>
  <c r="K14" i="21"/>
  <c r="J14" i="21"/>
  <c r="I14" i="21"/>
  <c r="H14" i="21"/>
  <c r="G14" i="21"/>
  <c r="F14" i="21"/>
  <c r="E14" i="21"/>
  <c r="D14" i="21"/>
  <c r="D327" i="21" s="1"/>
  <c r="C14" i="21"/>
  <c r="B14" i="21"/>
  <c r="BC13" i="21"/>
  <c r="AL13" i="21"/>
  <c r="AK13" i="21"/>
  <c r="AJ13" i="21"/>
  <c r="AI13" i="21"/>
  <c r="AH13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AY13" i="21" s="1"/>
  <c r="U13" i="21"/>
  <c r="T13" i="21"/>
  <c r="S13" i="21"/>
  <c r="R13" i="21"/>
  <c r="Q13" i="21"/>
  <c r="P13" i="21"/>
  <c r="BA13" i="21" s="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B13" i="21"/>
  <c r="BC12" i="21"/>
  <c r="AY12" i="21"/>
  <c r="AX12" i="21"/>
  <c r="AW12" i="21"/>
  <c r="AV12" i="21"/>
  <c r="AU12" i="21"/>
  <c r="AT12" i="21"/>
  <c r="AS12" i="21"/>
  <c r="AR12" i="21"/>
  <c r="AQ12" i="21"/>
  <c r="AP12" i="21"/>
  <c r="AO12" i="21"/>
  <c r="AN12" i="21"/>
  <c r="AM12" i="21"/>
  <c r="AL12" i="21"/>
  <c r="AK12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BA12" i="21" s="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B12" i="21"/>
  <c r="BC11" i="21"/>
  <c r="AX11" i="21"/>
  <c r="AU11" i="21"/>
  <c r="AT11" i="21"/>
  <c r="AS11" i="21"/>
  <c r="AN11" i="21"/>
  <c r="AM11" i="21"/>
  <c r="AL11" i="21"/>
  <c r="AK11" i="21"/>
  <c r="AJ11" i="21"/>
  <c r="AI11" i="21"/>
  <c r="AH11" i="21"/>
  <c r="AG11" i="21"/>
  <c r="AF11" i="21"/>
  <c r="AE11" i="21"/>
  <c r="AD11" i="21"/>
  <c r="AC11" i="21"/>
  <c r="AB11" i="21"/>
  <c r="AA11" i="21"/>
  <c r="AW11" i="21" s="1"/>
  <c r="Z11" i="21"/>
  <c r="AV11" i="21" s="1"/>
  <c r="Y11" i="21"/>
  <c r="X11" i="21"/>
  <c r="W11" i="21"/>
  <c r="V11" i="21"/>
  <c r="AY11" i="21" s="1"/>
  <c r="U11" i="21"/>
  <c r="AQ11" i="21" s="1"/>
  <c r="T11" i="21"/>
  <c r="AP11" i="21" s="1"/>
  <c r="S11" i="21"/>
  <c r="AO11" i="21" s="1"/>
  <c r="R11" i="21"/>
  <c r="Q11" i="21"/>
  <c r="P11" i="21"/>
  <c r="BA11" i="21" s="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B11" i="21"/>
  <c r="BC10" i="21"/>
  <c r="AT10" i="21"/>
  <c r="AS10" i="21"/>
  <c r="AR10" i="21"/>
  <c r="AO10" i="21"/>
  <c r="AN10" i="21"/>
  <c r="AM10" i="21"/>
  <c r="AL10" i="21"/>
  <c r="AK10" i="21"/>
  <c r="AJ10" i="21"/>
  <c r="AI10" i="21"/>
  <c r="AH10" i="21"/>
  <c r="AG10" i="21"/>
  <c r="AF10" i="21"/>
  <c r="AE10" i="21"/>
  <c r="AD10" i="21"/>
  <c r="AC10" i="21"/>
  <c r="AB10" i="21"/>
  <c r="AX10" i="21" s="1"/>
  <c r="AA10" i="21"/>
  <c r="AW10" i="21" s="1"/>
  <c r="Z10" i="21"/>
  <c r="AV10" i="21" s="1"/>
  <c r="Y10" i="21"/>
  <c r="AU10" i="21" s="1"/>
  <c r="X10" i="21"/>
  <c r="W10" i="21"/>
  <c r="V10" i="21"/>
  <c r="U10" i="21"/>
  <c r="AQ10" i="21" s="1"/>
  <c r="T10" i="21"/>
  <c r="AP10" i="21" s="1"/>
  <c r="S10" i="21"/>
  <c r="R10" i="21"/>
  <c r="Q10" i="21"/>
  <c r="P10" i="21"/>
  <c r="BA10" i="21" s="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B10" i="21"/>
  <c r="AL9" i="21"/>
  <c r="AK9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BA9" i="21" s="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B9" i="21"/>
  <c r="AL8" i="21"/>
  <c r="AK8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BA8" i="21" s="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B8" i="21"/>
  <c r="AL7" i="21"/>
  <c r="AK7" i="21"/>
  <c r="AJ7" i="21"/>
  <c r="AI7" i="21"/>
  <c r="AH7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BA7" i="21" s="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B7" i="21"/>
  <c r="AL6" i="21"/>
  <c r="AK6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B6" i="21"/>
  <c r="AL5" i="21"/>
  <c r="AK5" i="21"/>
  <c r="AJ5" i="21"/>
  <c r="AI5" i="21"/>
  <c r="AH5" i="21"/>
  <c r="AG5" i="21"/>
  <c r="AF5" i="21"/>
  <c r="AE5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BA77" i="21" s="1"/>
  <c r="O5" i="21"/>
  <c r="N5" i="21"/>
  <c r="M5" i="21"/>
  <c r="L5" i="21"/>
  <c r="K5" i="21"/>
  <c r="J5" i="21"/>
  <c r="I5" i="21"/>
  <c r="H5" i="21"/>
  <c r="H237" i="21" s="1"/>
  <c r="G5" i="21"/>
  <c r="G237" i="21" s="1"/>
  <c r="F5" i="21"/>
  <c r="F237" i="21" s="1"/>
  <c r="E5" i="21"/>
  <c r="E237" i="21" s="1"/>
  <c r="D5" i="21"/>
  <c r="C5" i="21"/>
  <c r="B5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H3" i="21"/>
  <c r="G3" i="21"/>
  <c r="F3" i="21"/>
  <c r="E3" i="21"/>
  <c r="D3" i="21"/>
  <c r="B1" i="21"/>
  <c r="AV790" i="44"/>
  <c r="AU790" i="44"/>
  <c r="AQ790" i="44"/>
  <c r="AP790" i="44"/>
  <c r="AO790" i="44"/>
  <c r="AN790" i="44"/>
  <c r="AM790" i="44"/>
  <c r="AJ790" i="44"/>
  <c r="AI790" i="44"/>
  <c r="AE790" i="44"/>
  <c r="AD790" i="44"/>
  <c r="AC790" i="44"/>
  <c r="AB790" i="44"/>
  <c r="AA790" i="44"/>
  <c r="X790" i="44"/>
  <c r="W790" i="44"/>
  <c r="S790" i="44"/>
  <c r="R790" i="44"/>
  <c r="Q790" i="44"/>
  <c r="P790" i="44"/>
  <c r="O790" i="44"/>
  <c r="L790" i="44"/>
  <c r="K790" i="44"/>
  <c r="G790" i="44"/>
  <c r="F790" i="44"/>
  <c r="E790" i="44"/>
  <c r="D790" i="44"/>
  <c r="AX789" i="44"/>
  <c r="AL228" i="21" s="1"/>
  <c r="AW789" i="44"/>
  <c r="AK228" i="21" s="1"/>
  <c r="AV789" i="44"/>
  <c r="AJ228" i="21" s="1"/>
  <c r="AU789" i="44"/>
  <c r="AI228" i="21" s="1"/>
  <c r="AT789" i="44"/>
  <c r="AH228" i="21" s="1"/>
  <c r="AS789" i="44"/>
  <c r="AG228" i="21" s="1"/>
  <c r="AR789" i="44"/>
  <c r="AF228" i="21" s="1"/>
  <c r="AQ789" i="44"/>
  <c r="AE228" i="21" s="1"/>
  <c r="AP789" i="44"/>
  <c r="AD228" i="21" s="1"/>
  <c r="AO789" i="44"/>
  <c r="AC228" i="21" s="1"/>
  <c r="AN789" i="44"/>
  <c r="AB228" i="21" s="1"/>
  <c r="AM789" i="44"/>
  <c r="AA228" i="21" s="1"/>
  <c r="AL789" i="44"/>
  <c r="Z228" i="21" s="1"/>
  <c r="AK789" i="44"/>
  <c r="Y228" i="21" s="1"/>
  <c r="AJ789" i="44"/>
  <c r="X228" i="21" s="1"/>
  <c r="AI789" i="44"/>
  <c r="W228" i="21" s="1"/>
  <c r="AH789" i="44"/>
  <c r="V228" i="21" s="1"/>
  <c r="AG789" i="44"/>
  <c r="U228" i="21" s="1"/>
  <c r="AF789" i="44"/>
  <c r="T228" i="21" s="1"/>
  <c r="AE789" i="44"/>
  <c r="S228" i="21" s="1"/>
  <c r="AD789" i="44"/>
  <c r="R228" i="21" s="1"/>
  <c r="AC789" i="44"/>
  <c r="Q228" i="21" s="1"/>
  <c r="AB789" i="44"/>
  <c r="P228" i="21" s="1"/>
  <c r="AA789" i="44"/>
  <c r="O228" i="21" s="1"/>
  <c r="Z789" i="44"/>
  <c r="N228" i="21" s="1"/>
  <c r="Y789" i="44"/>
  <c r="M228" i="21" s="1"/>
  <c r="X789" i="44"/>
  <c r="L228" i="21" s="1"/>
  <c r="W789" i="44"/>
  <c r="K228" i="21" s="1"/>
  <c r="V789" i="44"/>
  <c r="J228" i="21" s="1"/>
  <c r="U789" i="44"/>
  <c r="I228" i="21" s="1"/>
  <c r="T789" i="44"/>
  <c r="H228" i="21" s="1"/>
  <c r="S789" i="44"/>
  <c r="G228" i="21" s="1"/>
  <c r="R789" i="44"/>
  <c r="F228" i="21" s="1"/>
  <c r="Q789" i="44"/>
  <c r="E228" i="21" s="1"/>
  <c r="P789" i="44"/>
  <c r="D228" i="21" s="1"/>
  <c r="O789" i="44"/>
  <c r="N789" i="44"/>
  <c r="N790" i="44" s="1"/>
  <c r="M789" i="44"/>
  <c r="M790" i="44" s="1"/>
  <c r="L789" i="44"/>
  <c r="K789" i="44"/>
  <c r="J789" i="44"/>
  <c r="J790" i="44" s="1"/>
  <c r="I789" i="44"/>
  <c r="I790" i="44" s="1"/>
  <c r="H789" i="44"/>
  <c r="H790" i="44" s="1"/>
  <c r="G789" i="44"/>
  <c r="F789" i="44"/>
  <c r="E789" i="44"/>
  <c r="D789" i="44"/>
  <c r="AX52" i="44"/>
  <c r="AW52" i="44"/>
  <c r="AK53" i="21" s="1"/>
  <c r="AV52" i="44"/>
  <c r="AJ53" i="21" s="1"/>
  <c r="AU52" i="44"/>
  <c r="AI53" i="21" s="1"/>
  <c r="AT52" i="44"/>
  <c r="AH53" i="21" s="1"/>
  <c r="AS52" i="44"/>
  <c r="AG53" i="21" s="1"/>
  <c r="AR52" i="44"/>
  <c r="AF53" i="21" s="1"/>
  <c r="AQ52" i="44"/>
  <c r="AE53" i="21" s="1"/>
  <c r="AP52" i="44"/>
  <c r="AD53" i="21" s="1"/>
  <c r="AO52" i="44"/>
  <c r="AC53" i="21" s="1"/>
  <c r="AN52" i="44"/>
  <c r="AB53" i="21" s="1"/>
  <c r="AM52" i="44"/>
  <c r="AA53" i="21" s="1"/>
  <c r="AL52" i="44"/>
  <c r="Z53" i="21" s="1"/>
  <c r="AK52" i="44"/>
  <c r="Y53" i="21" s="1"/>
  <c r="AJ52" i="44"/>
  <c r="AI52" i="44"/>
  <c r="W53" i="21" s="1"/>
  <c r="AH52" i="44"/>
  <c r="AG52" i="44"/>
  <c r="AF52" i="44"/>
  <c r="T53" i="21" s="1"/>
  <c r="AE52" i="44"/>
  <c r="S53" i="21" s="1"/>
  <c r="AD52" i="44"/>
  <c r="R53" i="21" s="1"/>
  <c r="AC52" i="44"/>
  <c r="Q53" i="21" s="1"/>
  <c r="AB52" i="44"/>
  <c r="P53" i="21" s="1"/>
  <c r="AA52" i="44"/>
  <c r="O53" i="21" s="1"/>
  <c r="Z52" i="44"/>
  <c r="N53" i="21" s="1"/>
  <c r="Y52" i="44"/>
  <c r="M53" i="21" s="1"/>
  <c r="X52" i="44"/>
  <c r="L53" i="21" s="1"/>
  <c r="W52" i="44"/>
  <c r="K53" i="21" s="1"/>
  <c r="V52" i="44"/>
  <c r="J53" i="21" s="1"/>
  <c r="U52" i="44"/>
  <c r="I53" i="21" s="1"/>
  <c r="T52" i="44"/>
  <c r="H53" i="21" s="1"/>
  <c r="S52" i="44"/>
  <c r="G53" i="21" s="1"/>
  <c r="R52" i="44"/>
  <c r="F53" i="21" s="1"/>
  <c r="Q52" i="44"/>
  <c r="E53" i="21" s="1"/>
  <c r="P52" i="44"/>
  <c r="D53" i="21" s="1"/>
  <c r="O52" i="44"/>
  <c r="N52" i="44"/>
  <c r="M52" i="44"/>
  <c r="L52" i="44"/>
  <c r="K52" i="44"/>
  <c r="J52" i="44"/>
  <c r="I52" i="44"/>
  <c r="H52" i="44"/>
  <c r="G52" i="44"/>
  <c r="F52" i="44"/>
  <c r="E52" i="44"/>
  <c r="D52" i="44"/>
  <c r="AX51" i="44"/>
  <c r="B151" i="12" s="1"/>
  <c r="AW51" i="44"/>
  <c r="AK52" i="21" s="1"/>
  <c r="AV51" i="44"/>
  <c r="AJ52" i="21" s="1"/>
  <c r="AU51" i="44"/>
  <c r="AI52" i="21" s="1"/>
  <c r="AT51" i="44"/>
  <c r="AH52" i="21" s="1"/>
  <c r="AS51" i="44"/>
  <c r="AG52" i="21" s="1"/>
  <c r="AR51" i="44"/>
  <c r="AF52" i="21" s="1"/>
  <c r="AQ51" i="44"/>
  <c r="AE52" i="21" s="1"/>
  <c r="AP51" i="44"/>
  <c r="AD52" i="21" s="1"/>
  <c r="AO51" i="44"/>
  <c r="AC52" i="21" s="1"/>
  <c r="AN51" i="44"/>
  <c r="AB52" i="21" s="1"/>
  <c r="AM51" i="44"/>
  <c r="AA52" i="21" s="1"/>
  <c r="AL51" i="44"/>
  <c r="Z52" i="21" s="1"/>
  <c r="AK51" i="44"/>
  <c r="Y52" i="21" s="1"/>
  <c r="AJ51" i="44"/>
  <c r="X52" i="21" s="1"/>
  <c r="AI51" i="44"/>
  <c r="W52" i="21" s="1"/>
  <c r="AH51" i="44"/>
  <c r="V52" i="21" s="1"/>
  <c r="AG51" i="44"/>
  <c r="U52" i="21" s="1"/>
  <c r="AF51" i="44"/>
  <c r="T52" i="21" s="1"/>
  <c r="AE51" i="44"/>
  <c r="S52" i="21" s="1"/>
  <c r="AD51" i="44"/>
  <c r="R52" i="21" s="1"/>
  <c r="AC51" i="44"/>
  <c r="Q52" i="21" s="1"/>
  <c r="AB51" i="44"/>
  <c r="P52" i="21" s="1"/>
  <c r="AA51" i="44"/>
  <c r="O52" i="21" s="1"/>
  <c r="O378" i="21" s="1"/>
  <c r="Z51" i="44"/>
  <c r="N52" i="21" s="1"/>
  <c r="N378" i="21" s="1"/>
  <c r="Y51" i="44"/>
  <c r="M52" i="21" s="1"/>
  <c r="M378" i="21" s="1"/>
  <c r="X51" i="44"/>
  <c r="L52" i="21" s="1"/>
  <c r="L378" i="21" s="1"/>
  <c r="W51" i="44"/>
  <c r="K52" i="21" s="1"/>
  <c r="K378" i="21" s="1"/>
  <c r="V51" i="44"/>
  <c r="J52" i="21" s="1"/>
  <c r="J378" i="21" s="1"/>
  <c r="U51" i="44"/>
  <c r="I52" i="21" s="1"/>
  <c r="I378" i="21" s="1"/>
  <c r="T51" i="44"/>
  <c r="H52" i="21" s="1"/>
  <c r="H378" i="21" s="1"/>
  <c r="S51" i="44"/>
  <c r="G52" i="21" s="1"/>
  <c r="G378" i="21" s="1"/>
  <c r="R51" i="44"/>
  <c r="Q51" i="44"/>
  <c r="E52" i="21" s="1"/>
  <c r="E378" i="21" s="1"/>
  <c r="P51" i="44"/>
  <c r="O51" i="44"/>
  <c r="N51" i="44"/>
  <c r="M51" i="44"/>
  <c r="L51" i="44"/>
  <c r="K51" i="44"/>
  <c r="J51" i="44"/>
  <c r="I51" i="44"/>
  <c r="H51" i="44"/>
  <c r="G51" i="44"/>
  <c r="F51" i="44"/>
  <c r="E51" i="44"/>
  <c r="D51" i="44"/>
  <c r="AX50" i="44"/>
  <c r="AW50" i="44"/>
  <c r="AK51" i="21" s="1"/>
  <c r="AV50" i="44"/>
  <c r="AJ51" i="21" s="1"/>
  <c r="AU50" i="44"/>
  <c r="AI51" i="21" s="1"/>
  <c r="AT50" i="44"/>
  <c r="AH51" i="21" s="1"/>
  <c r="AS50" i="44"/>
  <c r="AR50" i="44"/>
  <c r="AF51" i="21" s="1"/>
  <c r="AQ50" i="44"/>
  <c r="AP50" i="44"/>
  <c r="AD51" i="21" s="1"/>
  <c r="AO50" i="44"/>
  <c r="AC51" i="21" s="1"/>
  <c r="AN50" i="44"/>
  <c r="AB51" i="21" s="1"/>
  <c r="AM50" i="44"/>
  <c r="AA51" i="21" s="1"/>
  <c r="AL50" i="44"/>
  <c r="Z51" i="21" s="1"/>
  <c r="AK50" i="44"/>
  <c r="Y51" i="21" s="1"/>
  <c r="AJ50" i="44"/>
  <c r="X51" i="21" s="1"/>
  <c r="AI50" i="44"/>
  <c r="W51" i="21" s="1"/>
  <c r="AH50" i="44"/>
  <c r="AG50" i="44"/>
  <c r="U51" i="21" s="1"/>
  <c r="AF50" i="44"/>
  <c r="T51" i="21" s="1"/>
  <c r="AE50" i="44"/>
  <c r="S51" i="21" s="1"/>
  <c r="AD50" i="44"/>
  <c r="R51" i="21" s="1"/>
  <c r="AC50" i="44"/>
  <c r="Q51" i="21" s="1"/>
  <c r="AB50" i="44"/>
  <c r="P51" i="21" s="1"/>
  <c r="BA51" i="21" s="1"/>
  <c r="AA50" i="44"/>
  <c r="O51" i="21" s="1"/>
  <c r="Z50" i="44"/>
  <c r="N51" i="21" s="1"/>
  <c r="Y50" i="44"/>
  <c r="M51" i="21" s="1"/>
  <c r="X50" i="44"/>
  <c r="L51" i="21" s="1"/>
  <c r="W50" i="44"/>
  <c r="K51" i="21" s="1"/>
  <c r="V50" i="44"/>
  <c r="J51" i="21" s="1"/>
  <c r="U50" i="44"/>
  <c r="I51" i="21" s="1"/>
  <c r="T50" i="44"/>
  <c r="H51" i="21" s="1"/>
  <c r="S50" i="44"/>
  <c r="G51" i="21" s="1"/>
  <c r="R50" i="44"/>
  <c r="F51" i="21" s="1"/>
  <c r="Q50" i="44"/>
  <c r="E51" i="21" s="1"/>
  <c r="P50" i="44"/>
  <c r="D51" i="21" s="1"/>
  <c r="O50" i="44"/>
  <c r="N50" i="44"/>
  <c r="M50" i="44"/>
  <c r="L50" i="44"/>
  <c r="K50" i="44"/>
  <c r="J50" i="44"/>
  <c r="I50" i="44"/>
  <c r="H50" i="44"/>
  <c r="G50" i="44"/>
  <c r="F50" i="44"/>
  <c r="E50" i="44"/>
  <c r="D50" i="44"/>
  <c r="AX49" i="44"/>
  <c r="B149" i="12" s="1"/>
  <c r="AW49" i="44"/>
  <c r="AK50" i="21" s="1"/>
  <c r="AV49" i="44"/>
  <c r="AJ50" i="21" s="1"/>
  <c r="AU49" i="44"/>
  <c r="AI50" i="21" s="1"/>
  <c r="AT49" i="44"/>
  <c r="AH50" i="21" s="1"/>
  <c r="AS49" i="44"/>
  <c r="AG50" i="21" s="1"/>
  <c r="AR49" i="44"/>
  <c r="AF50" i="21" s="1"/>
  <c r="AQ49" i="44"/>
  <c r="AE50" i="21" s="1"/>
  <c r="AP49" i="44"/>
  <c r="AD50" i="21" s="1"/>
  <c r="AO49" i="44"/>
  <c r="AC50" i="21" s="1"/>
  <c r="AN49" i="44"/>
  <c r="AB50" i="21" s="1"/>
  <c r="AM49" i="44"/>
  <c r="AA50" i="21" s="1"/>
  <c r="AL49" i="44"/>
  <c r="Z50" i="21" s="1"/>
  <c r="AK49" i="44"/>
  <c r="Y50" i="21" s="1"/>
  <c r="AJ49" i="44"/>
  <c r="X50" i="21" s="1"/>
  <c r="AI49" i="44"/>
  <c r="W50" i="21" s="1"/>
  <c r="AH49" i="44"/>
  <c r="V50" i="21" s="1"/>
  <c r="AG49" i="44"/>
  <c r="U50" i="21" s="1"/>
  <c r="AF49" i="44"/>
  <c r="T50" i="21" s="1"/>
  <c r="AE49" i="44"/>
  <c r="S50" i="21" s="1"/>
  <c r="AD49" i="44"/>
  <c r="R50" i="21" s="1"/>
  <c r="AC49" i="44"/>
  <c r="Q50" i="21" s="1"/>
  <c r="AB49" i="44"/>
  <c r="P50" i="21" s="1"/>
  <c r="AA49" i="44"/>
  <c r="Z49" i="44"/>
  <c r="Y49" i="44"/>
  <c r="M50" i="21" s="1"/>
  <c r="X49" i="44"/>
  <c r="L50" i="21" s="1"/>
  <c r="W49" i="44"/>
  <c r="K50" i="21" s="1"/>
  <c r="V49" i="44"/>
  <c r="J50" i="21" s="1"/>
  <c r="U49" i="44"/>
  <c r="I50" i="21" s="1"/>
  <c r="T49" i="44"/>
  <c r="H50" i="21" s="1"/>
  <c r="S49" i="44"/>
  <c r="G50" i="21" s="1"/>
  <c r="R49" i="44"/>
  <c r="F50" i="21" s="1"/>
  <c r="Q49" i="44"/>
  <c r="E50" i="21" s="1"/>
  <c r="P49" i="44"/>
  <c r="O49" i="44"/>
  <c r="N49" i="44"/>
  <c r="M49" i="44"/>
  <c r="L49" i="44"/>
  <c r="K49" i="44"/>
  <c r="J49" i="44"/>
  <c r="I49" i="44"/>
  <c r="H49" i="44"/>
  <c r="G49" i="44"/>
  <c r="F49" i="44"/>
  <c r="E49" i="44"/>
  <c r="D49" i="44"/>
  <c r="AX48" i="44"/>
  <c r="AW48" i="44"/>
  <c r="AK49" i="21" s="1"/>
  <c r="AV48" i="44"/>
  <c r="AJ49" i="21" s="1"/>
  <c r="AU48" i="44"/>
  <c r="AI49" i="21" s="1"/>
  <c r="AT48" i="44"/>
  <c r="AH49" i="21" s="1"/>
  <c r="AS48" i="44"/>
  <c r="AG49" i="21" s="1"/>
  <c r="AR48" i="44"/>
  <c r="AQ48" i="44"/>
  <c r="AP48" i="44"/>
  <c r="AD49" i="21" s="1"/>
  <c r="AO48" i="44"/>
  <c r="AC49" i="21" s="1"/>
  <c r="AN48" i="44"/>
  <c r="AB49" i="21" s="1"/>
  <c r="AM48" i="44"/>
  <c r="AA49" i="21" s="1"/>
  <c r="AL48" i="44"/>
  <c r="Z49" i="21" s="1"/>
  <c r="AK48" i="44"/>
  <c r="Y49" i="21" s="1"/>
  <c r="AJ48" i="44"/>
  <c r="X49" i="21" s="1"/>
  <c r="AI48" i="44"/>
  <c r="W49" i="21" s="1"/>
  <c r="AH48" i="44"/>
  <c r="V49" i="21" s="1"/>
  <c r="AG48" i="44"/>
  <c r="U49" i="21" s="1"/>
  <c r="AF48" i="44"/>
  <c r="T49" i="21" s="1"/>
  <c r="AE48" i="44"/>
  <c r="S49" i="21" s="1"/>
  <c r="AD48" i="44"/>
  <c r="R49" i="21" s="1"/>
  <c r="AC48" i="44"/>
  <c r="Q49" i="21" s="1"/>
  <c r="AB48" i="44"/>
  <c r="P49" i="21" s="1"/>
  <c r="BA49" i="21" s="1"/>
  <c r="AA48" i="44"/>
  <c r="O49" i="21" s="1"/>
  <c r="Z48" i="44"/>
  <c r="N49" i="21" s="1"/>
  <c r="Y48" i="44"/>
  <c r="M49" i="21" s="1"/>
  <c r="X48" i="44"/>
  <c r="L49" i="21" s="1"/>
  <c r="W48" i="44"/>
  <c r="K49" i="21" s="1"/>
  <c r="V48" i="44"/>
  <c r="J49" i="21" s="1"/>
  <c r="U48" i="44"/>
  <c r="I49" i="21" s="1"/>
  <c r="T48" i="44"/>
  <c r="H49" i="21" s="1"/>
  <c r="S48" i="44"/>
  <c r="G49" i="21" s="1"/>
  <c r="R48" i="44"/>
  <c r="F49" i="21" s="1"/>
  <c r="Q48" i="44"/>
  <c r="E49" i="21" s="1"/>
  <c r="P48" i="44"/>
  <c r="D49" i="21" s="1"/>
  <c r="O48" i="44"/>
  <c r="N48" i="44"/>
  <c r="M48" i="44"/>
  <c r="L48" i="44"/>
  <c r="K48" i="44"/>
  <c r="J48" i="44"/>
  <c r="I48" i="44"/>
  <c r="H48" i="44"/>
  <c r="G48" i="44"/>
  <c r="F48" i="44"/>
  <c r="E48" i="44"/>
  <c r="D48" i="44"/>
  <c r="AX47" i="44"/>
  <c r="B147" i="12" s="1"/>
  <c r="AW47" i="44"/>
  <c r="AK48" i="21" s="1"/>
  <c r="AV47" i="44"/>
  <c r="AJ48" i="21" s="1"/>
  <c r="AU47" i="44"/>
  <c r="AI48" i="21" s="1"/>
  <c r="AT47" i="44"/>
  <c r="AH48" i="21" s="1"/>
  <c r="AS47" i="44"/>
  <c r="AG48" i="21" s="1"/>
  <c r="AR47" i="44"/>
  <c r="AF48" i="21" s="1"/>
  <c r="AQ47" i="44"/>
  <c r="AE48" i="21" s="1"/>
  <c r="AP47" i="44"/>
  <c r="AD48" i="21" s="1"/>
  <c r="AO47" i="44"/>
  <c r="AC48" i="21" s="1"/>
  <c r="AN47" i="44"/>
  <c r="AB48" i="21" s="1"/>
  <c r="AM47" i="44"/>
  <c r="AA48" i="21" s="1"/>
  <c r="AL47" i="44"/>
  <c r="Z48" i="21" s="1"/>
  <c r="AK47" i="44"/>
  <c r="Y48" i="21" s="1"/>
  <c r="AJ47" i="44"/>
  <c r="X48" i="21" s="1"/>
  <c r="AI47" i="44"/>
  <c r="W48" i="21" s="1"/>
  <c r="AH47" i="44"/>
  <c r="V48" i="21" s="1"/>
  <c r="AG47" i="44"/>
  <c r="U48" i="21" s="1"/>
  <c r="AF47" i="44"/>
  <c r="T48" i="21" s="1"/>
  <c r="AE47" i="44"/>
  <c r="S48" i="21" s="1"/>
  <c r="AD47" i="44"/>
  <c r="R48" i="21" s="1"/>
  <c r="AC47" i="44"/>
  <c r="Q48" i="21" s="1"/>
  <c r="AB47" i="44"/>
  <c r="P48" i="21" s="1"/>
  <c r="BA48" i="21" s="1"/>
  <c r="AA47" i="44"/>
  <c r="O48" i="21" s="1"/>
  <c r="Z47" i="44"/>
  <c r="Y47" i="44"/>
  <c r="X47" i="44"/>
  <c r="L48" i="21" s="1"/>
  <c r="W47" i="44"/>
  <c r="K48" i="21" s="1"/>
  <c r="V47" i="44"/>
  <c r="J48" i="21" s="1"/>
  <c r="U47" i="44"/>
  <c r="I48" i="21" s="1"/>
  <c r="T47" i="44"/>
  <c r="H48" i="21" s="1"/>
  <c r="S47" i="44"/>
  <c r="G48" i="21" s="1"/>
  <c r="R47" i="44"/>
  <c r="F48" i="21" s="1"/>
  <c r="Q47" i="44"/>
  <c r="E48" i="21" s="1"/>
  <c r="P47" i="44"/>
  <c r="D48" i="21" s="1"/>
  <c r="O47" i="44"/>
  <c r="N47" i="44"/>
  <c r="M47" i="44"/>
  <c r="L47" i="44"/>
  <c r="K47" i="44"/>
  <c r="J47" i="44"/>
  <c r="I47" i="44"/>
  <c r="H47" i="44"/>
  <c r="G47" i="44"/>
  <c r="F47" i="44"/>
  <c r="E47" i="44"/>
  <c r="D47" i="44"/>
  <c r="AX46" i="44"/>
  <c r="AW46" i="44"/>
  <c r="AK47" i="21" s="1"/>
  <c r="AV46" i="44"/>
  <c r="AJ47" i="21" s="1"/>
  <c r="AU46" i="44"/>
  <c r="AI47" i="21" s="1"/>
  <c r="AT46" i="44"/>
  <c r="AH47" i="21" s="1"/>
  <c r="AS46" i="44"/>
  <c r="AG47" i="21" s="1"/>
  <c r="AR46" i="44"/>
  <c r="AF47" i="21" s="1"/>
  <c r="AQ46" i="44"/>
  <c r="AP46" i="44"/>
  <c r="AD47" i="21" s="1"/>
  <c r="AO46" i="44"/>
  <c r="AN46" i="44"/>
  <c r="AB47" i="21" s="1"/>
  <c r="AM46" i="44"/>
  <c r="AA47" i="21" s="1"/>
  <c r="AL46" i="44"/>
  <c r="Z47" i="21" s="1"/>
  <c r="AK46" i="44"/>
  <c r="Y47" i="21" s="1"/>
  <c r="AJ46" i="44"/>
  <c r="X47" i="21" s="1"/>
  <c r="AI46" i="44"/>
  <c r="W47" i="21" s="1"/>
  <c r="AH46" i="44"/>
  <c r="V47" i="21" s="1"/>
  <c r="AG46" i="44"/>
  <c r="U47" i="21" s="1"/>
  <c r="AF46" i="44"/>
  <c r="T47" i="21" s="1"/>
  <c r="AE46" i="44"/>
  <c r="S47" i="21" s="1"/>
  <c r="AD46" i="44"/>
  <c r="R47" i="21" s="1"/>
  <c r="AC46" i="44"/>
  <c r="Q47" i="21" s="1"/>
  <c r="AB46" i="44"/>
  <c r="P47" i="21" s="1"/>
  <c r="BA47" i="21" s="1"/>
  <c r="AA46" i="44"/>
  <c r="O47" i="21" s="1"/>
  <c r="Z46" i="44"/>
  <c r="N47" i="21" s="1"/>
  <c r="Y46" i="44"/>
  <c r="M47" i="21" s="1"/>
  <c r="X46" i="44"/>
  <c r="L47" i="21" s="1"/>
  <c r="W46" i="44"/>
  <c r="K47" i="21" s="1"/>
  <c r="V46" i="44"/>
  <c r="J47" i="21" s="1"/>
  <c r="U46" i="44"/>
  <c r="I47" i="21" s="1"/>
  <c r="T46" i="44"/>
  <c r="H47" i="21" s="1"/>
  <c r="S46" i="44"/>
  <c r="G47" i="21" s="1"/>
  <c r="R46" i="44"/>
  <c r="F47" i="21" s="1"/>
  <c r="Q46" i="44"/>
  <c r="E47" i="21" s="1"/>
  <c r="P46" i="44"/>
  <c r="D47" i="21" s="1"/>
  <c r="O46" i="44"/>
  <c r="N46" i="44"/>
  <c r="M46" i="44"/>
  <c r="L46" i="44"/>
  <c r="K46" i="44"/>
  <c r="J46" i="44"/>
  <c r="I46" i="44"/>
  <c r="H46" i="44"/>
  <c r="G46" i="44"/>
  <c r="F46" i="44"/>
  <c r="E46" i="44"/>
  <c r="D46" i="44"/>
  <c r="AX45" i="44"/>
  <c r="AW45" i="44"/>
  <c r="AK46" i="21" s="1"/>
  <c r="AV45" i="44"/>
  <c r="AJ46" i="21" s="1"/>
  <c r="AU45" i="44"/>
  <c r="AI46" i="21" s="1"/>
  <c r="AT45" i="44"/>
  <c r="AH46" i="21" s="1"/>
  <c r="AS45" i="44"/>
  <c r="AG46" i="21" s="1"/>
  <c r="AR45" i="44"/>
  <c r="AF46" i="21" s="1"/>
  <c r="AQ45" i="44"/>
  <c r="AE46" i="21" s="1"/>
  <c r="AP45" i="44"/>
  <c r="AD46" i="21" s="1"/>
  <c r="AO45" i="44"/>
  <c r="AC46" i="21" s="1"/>
  <c r="AN45" i="44"/>
  <c r="AB46" i="21" s="1"/>
  <c r="AM45" i="44"/>
  <c r="AA46" i="21" s="1"/>
  <c r="AL45" i="44"/>
  <c r="Z46" i="21" s="1"/>
  <c r="AK45" i="44"/>
  <c r="Y46" i="21" s="1"/>
  <c r="AJ45" i="44"/>
  <c r="X46" i="21" s="1"/>
  <c r="AI45" i="44"/>
  <c r="W46" i="21" s="1"/>
  <c r="AH45" i="44"/>
  <c r="V46" i="21" s="1"/>
  <c r="AG45" i="44"/>
  <c r="U46" i="21" s="1"/>
  <c r="AF45" i="44"/>
  <c r="T46" i="21" s="1"/>
  <c r="AE45" i="44"/>
  <c r="S46" i="21" s="1"/>
  <c r="AD45" i="44"/>
  <c r="R46" i="21" s="1"/>
  <c r="AC45" i="44"/>
  <c r="AB45" i="44"/>
  <c r="P46" i="21" s="1"/>
  <c r="AA45" i="44"/>
  <c r="O46" i="21" s="1"/>
  <c r="Z45" i="44"/>
  <c r="N46" i="21" s="1"/>
  <c r="Y45" i="44"/>
  <c r="M46" i="21" s="1"/>
  <c r="X45" i="44"/>
  <c r="L46" i="21" s="1"/>
  <c r="W45" i="44"/>
  <c r="K46" i="21" s="1"/>
  <c r="V45" i="44"/>
  <c r="J46" i="21" s="1"/>
  <c r="U45" i="44"/>
  <c r="AX44" i="44"/>
  <c r="AL45" i="21" s="1"/>
  <c r="AW44" i="44"/>
  <c r="AV44" i="44"/>
  <c r="AJ45" i="21" s="1"/>
  <c r="AU44" i="44"/>
  <c r="AI45" i="21" s="1"/>
  <c r="AT44" i="44"/>
  <c r="AS44" i="44"/>
  <c r="AG45" i="21" s="1"/>
  <c r="AR44" i="44"/>
  <c r="AF45" i="21" s="1"/>
  <c r="AQ44" i="44"/>
  <c r="AE45" i="21" s="1"/>
  <c r="AP44" i="44"/>
  <c r="AD45" i="21" s="1"/>
  <c r="AO44" i="44"/>
  <c r="AC45" i="21" s="1"/>
  <c r="AN44" i="44"/>
  <c r="AB45" i="21" s="1"/>
  <c r="AM44" i="44"/>
  <c r="AA45" i="21" s="1"/>
  <c r="AL44" i="44"/>
  <c r="Z45" i="21" s="1"/>
  <c r="AK44" i="44"/>
  <c r="Y45" i="21" s="1"/>
  <c r="AJ44" i="44"/>
  <c r="X45" i="21" s="1"/>
  <c r="AI44" i="44"/>
  <c r="W45" i="21" s="1"/>
  <c r="AH44" i="44"/>
  <c r="V45" i="21" s="1"/>
  <c r="AG44" i="44"/>
  <c r="U45" i="21" s="1"/>
  <c r="AF44" i="44"/>
  <c r="T45" i="21" s="1"/>
  <c r="AE44" i="44"/>
  <c r="S45" i="21" s="1"/>
  <c r="AD44" i="44"/>
  <c r="R45" i="21" s="1"/>
  <c r="AC44" i="44"/>
  <c r="Q45" i="21" s="1"/>
  <c r="AB44" i="44"/>
  <c r="P45" i="21" s="1"/>
  <c r="BA45" i="21" s="1"/>
  <c r="AA44" i="44"/>
  <c r="O45" i="21" s="1"/>
  <c r="Z44" i="44"/>
  <c r="N45" i="21" s="1"/>
  <c r="Y44" i="44"/>
  <c r="M45" i="21" s="1"/>
  <c r="X44" i="44"/>
  <c r="L45" i="21" s="1"/>
  <c r="W44" i="44"/>
  <c r="K45" i="21" s="1"/>
  <c r="V44" i="44"/>
  <c r="J45" i="21" s="1"/>
  <c r="U44" i="44"/>
  <c r="I45" i="21" s="1"/>
  <c r="T44" i="44"/>
  <c r="H45" i="21" s="1"/>
  <c r="S44" i="44"/>
  <c r="G45" i="21" s="1"/>
  <c r="R44" i="44"/>
  <c r="F45" i="21" s="1"/>
  <c r="Q44" i="44"/>
  <c r="E45" i="21" s="1"/>
  <c r="P44" i="44"/>
  <c r="D45" i="21" s="1"/>
  <c r="O44" i="44"/>
  <c r="N44" i="44"/>
  <c r="M44" i="44"/>
  <c r="L44" i="44"/>
  <c r="K44" i="44"/>
  <c r="J44" i="44"/>
  <c r="I44" i="44"/>
  <c r="H44" i="44"/>
  <c r="G44" i="44"/>
  <c r="F44" i="44"/>
  <c r="E44" i="44"/>
  <c r="D44" i="44"/>
  <c r="AX43" i="44"/>
  <c r="AW43" i="44"/>
  <c r="AK44" i="21" s="1"/>
  <c r="AV43" i="44"/>
  <c r="AJ44" i="21" s="1"/>
  <c r="AU43" i="44"/>
  <c r="AI44" i="21" s="1"/>
  <c r="AT43" i="44"/>
  <c r="AS43" i="44"/>
  <c r="AG44" i="21" s="1"/>
  <c r="AR43" i="44"/>
  <c r="AF44" i="21" s="1"/>
  <c r="AQ43" i="44"/>
  <c r="AE44" i="21" s="1"/>
  <c r="AP43" i="44"/>
  <c r="AO43" i="44"/>
  <c r="AC44" i="21" s="1"/>
  <c r="AN43" i="44"/>
  <c r="AB44" i="21" s="1"/>
  <c r="AM43" i="44"/>
  <c r="AA44" i="21" s="1"/>
  <c r="AL43" i="44"/>
  <c r="Z44" i="21" s="1"/>
  <c r="AK43" i="44"/>
  <c r="Y44" i="21" s="1"/>
  <c r="AJ43" i="44"/>
  <c r="X44" i="21" s="1"/>
  <c r="AI43" i="44"/>
  <c r="W44" i="21" s="1"/>
  <c r="BC44" i="21" s="1"/>
  <c r="AH43" i="44"/>
  <c r="H143" i="12" s="1"/>
  <c r="AG43" i="44"/>
  <c r="G143" i="12" s="1"/>
  <c r="AF43" i="44"/>
  <c r="AE43" i="44"/>
  <c r="E143" i="12" s="1"/>
  <c r="AD43" i="44"/>
  <c r="D143" i="12" s="1"/>
  <c r="AC43" i="44"/>
  <c r="C143" i="12" s="1"/>
  <c r="AB43" i="44"/>
  <c r="P44" i="21" s="1"/>
  <c r="AA43" i="44"/>
  <c r="Z43" i="44"/>
  <c r="N44" i="21" s="1"/>
  <c r="Y43" i="44"/>
  <c r="M44" i="21" s="1"/>
  <c r="X43" i="44"/>
  <c r="L44" i="21" s="1"/>
  <c r="W43" i="44"/>
  <c r="V43" i="44"/>
  <c r="J44" i="21" s="1"/>
  <c r="U43" i="44"/>
  <c r="T43" i="44"/>
  <c r="H44" i="21" s="1"/>
  <c r="S43" i="44"/>
  <c r="G44" i="21" s="1"/>
  <c r="R43" i="44"/>
  <c r="F44" i="21" s="1"/>
  <c r="Q43" i="44"/>
  <c r="E44" i="21" s="1"/>
  <c r="P43" i="44"/>
  <c r="D44" i="21" s="1"/>
  <c r="O43" i="44"/>
  <c r="N43" i="44"/>
  <c r="N39" i="44" s="1"/>
  <c r="M43" i="44"/>
  <c r="L43" i="44"/>
  <c r="K43" i="44"/>
  <c r="J43" i="44"/>
  <c r="I43" i="44"/>
  <c r="H43" i="44"/>
  <c r="G43" i="44"/>
  <c r="F43" i="44"/>
  <c r="E43" i="44"/>
  <c r="D43" i="44"/>
  <c r="AX42" i="44"/>
  <c r="AW42" i="44"/>
  <c r="AK43" i="21" s="1"/>
  <c r="AV42" i="44"/>
  <c r="AJ43" i="21" s="1"/>
  <c r="AU42" i="44"/>
  <c r="AI43" i="21" s="1"/>
  <c r="AT42" i="44"/>
  <c r="AH43" i="21" s="1"/>
  <c r="AS42" i="44"/>
  <c r="AG43" i="21" s="1"/>
  <c r="AR42" i="44"/>
  <c r="AF43" i="21" s="1"/>
  <c r="AQ42" i="44"/>
  <c r="AE43" i="21" s="1"/>
  <c r="AP42" i="44"/>
  <c r="AD43" i="21" s="1"/>
  <c r="AO42" i="44"/>
  <c r="AC43" i="21" s="1"/>
  <c r="AN42" i="44"/>
  <c r="AB43" i="21" s="1"/>
  <c r="AM42" i="44"/>
  <c r="AA43" i="21" s="1"/>
  <c r="AL42" i="44"/>
  <c r="AK42" i="44"/>
  <c r="Y43" i="21" s="1"/>
  <c r="AJ42" i="44"/>
  <c r="X43" i="21" s="1"/>
  <c r="AI42" i="44"/>
  <c r="W43" i="21" s="1"/>
  <c r="AH42" i="44"/>
  <c r="V43" i="21" s="1"/>
  <c r="AG42" i="44"/>
  <c r="U43" i="21" s="1"/>
  <c r="AF42" i="44"/>
  <c r="T43" i="21" s="1"/>
  <c r="AE42" i="44"/>
  <c r="S43" i="21" s="1"/>
  <c r="AD42" i="44"/>
  <c r="R43" i="21" s="1"/>
  <c r="AC42" i="44"/>
  <c r="Q43" i="21" s="1"/>
  <c r="AB42" i="44"/>
  <c r="P43" i="21" s="1"/>
  <c r="BA43" i="21" s="1"/>
  <c r="AA42" i="44"/>
  <c r="O43" i="21" s="1"/>
  <c r="Z42" i="44"/>
  <c r="N43" i="21" s="1"/>
  <c r="Y42" i="44"/>
  <c r="M43" i="21" s="1"/>
  <c r="X42" i="44"/>
  <c r="L43" i="21" s="1"/>
  <c r="W42" i="44"/>
  <c r="K43" i="21" s="1"/>
  <c r="V42" i="44"/>
  <c r="J43" i="21" s="1"/>
  <c r="U42" i="44"/>
  <c r="I43" i="21" s="1"/>
  <c r="T42" i="44"/>
  <c r="H43" i="21" s="1"/>
  <c r="S42" i="44"/>
  <c r="G43" i="21" s="1"/>
  <c r="R42" i="44"/>
  <c r="F43" i="21" s="1"/>
  <c r="Q42" i="44"/>
  <c r="E43" i="21" s="1"/>
  <c r="P42" i="44"/>
  <c r="O42" i="44"/>
  <c r="N42" i="44"/>
  <c r="M42" i="44"/>
  <c r="M39" i="44" s="1"/>
  <c r="L42" i="44"/>
  <c r="K42" i="44"/>
  <c r="J42" i="44"/>
  <c r="I42" i="44"/>
  <c r="H42" i="44"/>
  <c r="G42" i="44"/>
  <c r="F42" i="44"/>
  <c r="E42" i="44"/>
  <c r="D42" i="44"/>
  <c r="AX41" i="44"/>
  <c r="AW41" i="44"/>
  <c r="AV41" i="44"/>
  <c r="AJ42" i="21" s="1"/>
  <c r="AU41" i="44"/>
  <c r="AI42" i="21" s="1"/>
  <c r="AT41" i="44"/>
  <c r="AH42" i="21" s="1"/>
  <c r="AS41" i="44"/>
  <c r="AG42" i="21" s="1"/>
  <c r="AR41" i="44"/>
  <c r="AQ41" i="44"/>
  <c r="AE42" i="21" s="1"/>
  <c r="AP41" i="44"/>
  <c r="AD42" i="21" s="1"/>
  <c r="AO41" i="44"/>
  <c r="AC42" i="21" s="1"/>
  <c r="AN41" i="44"/>
  <c r="AB42" i="21" s="1"/>
  <c r="AM41" i="44"/>
  <c r="AA42" i="21" s="1"/>
  <c r="AL41" i="44"/>
  <c r="Z42" i="21" s="1"/>
  <c r="AK41" i="44"/>
  <c r="Y42" i="21" s="1"/>
  <c r="AJ41" i="44"/>
  <c r="X42" i="21" s="1"/>
  <c r="AI41" i="44"/>
  <c r="W42" i="21" s="1"/>
  <c r="AH41" i="44"/>
  <c r="V42" i="21" s="1"/>
  <c r="AG41" i="44"/>
  <c r="U42" i="21" s="1"/>
  <c r="AF41" i="44"/>
  <c r="T42" i="21" s="1"/>
  <c r="AE41" i="44"/>
  <c r="S42" i="21" s="1"/>
  <c r="AD41" i="44"/>
  <c r="R42" i="21" s="1"/>
  <c r="AC41" i="44"/>
  <c r="AB41" i="44"/>
  <c r="AB39" i="44" s="1"/>
  <c r="P40" i="21" s="1"/>
  <c r="AA41" i="44"/>
  <c r="O42" i="21" s="1"/>
  <c r="Z41" i="44"/>
  <c r="N42" i="21" s="1"/>
  <c r="Y41" i="44"/>
  <c r="X41" i="44"/>
  <c r="L42" i="21" s="1"/>
  <c r="W41" i="44"/>
  <c r="K42" i="21" s="1"/>
  <c r="V41" i="44"/>
  <c r="J42" i="21" s="1"/>
  <c r="U41" i="44"/>
  <c r="I42" i="21" s="1"/>
  <c r="T41" i="44"/>
  <c r="H42" i="21" s="1"/>
  <c r="S41" i="44"/>
  <c r="G42" i="21" s="1"/>
  <c r="R41" i="44"/>
  <c r="F42" i="21" s="1"/>
  <c r="Q41" i="44"/>
  <c r="E42" i="21" s="1"/>
  <c r="P41" i="44"/>
  <c r="P39" i="44" s="1"/>
  <c r="D40" i="21" s="1"/>
  <c r="D364" i="21" s="1"/>
  <c r="O41" i="44"/>
  <c r="N41" i="44"/>
  <c r="M41" i="44"/>
  <c r="L41" i="44"/>
  <c r="K41" i="44"/>
  <c r="J41" i="44"/>
  <c r="I41" i="44"/>
  <c r="H41" i="44"/>
  <c r="G41" i="44"/>
  <c r="F41" i="44"/>
  <c r="F39" i="44" s="1"/>
  <c r="E41" i="44"/>
  <c r="D41" i="44"/>
  <c r="D39" i="44" s="1"/>
  <c r="AX40" i="44"/>
  <c r="AW40" i="44"/>
  <c r="AK41" i="21" s="1"/>
  <c r="AV40" i="44"/>
  <c r="AJ41" i="21" s="1"/>
  <c r="AU40" i="44"/>
  <c r="AI41" i="21" s="1"/>
  <c r="AT40" i="44"/>
  <c r="AT39" i="44" s="1"/>
  <c r="AH40" i="21" s="1"/>
  <c r="AH364" i="21" s="1"/>
  <c r="AS40" i="44"/>
  <c r="AG41" i="21" s="1"/>
  <c r="AR40" i="44"/>
  <c r="AF41" i="21" s="1"/>
  <c r="AQ40" i="44"/>
  <c r="AE41" i="21" s="1"/>
  <c r="AP40" i="44"/>
  <c r="AO40" i="44"/>
  <c r="AC41" i="21" s="1"/>
  <c r="AN40" i="44"/>
  <c r="AB41" i="21" s="1"/>
  <c r="AM40" i="44"/>
  <c r="AA41" i="21" s="1"/>
  <c r="AL40" i="44"/>
  <c r="AK40" i="44"/>
  <c r="Y41" i="21" s="1"/>
  <c r="AJ40" i="44"/>
  <c r="AJ39" i="44" s="1"/>
  <c r="X40" i="21" s="1"/>
  <c r="X364" i="21" s="1"/>
  <c r="AI40" i="44"/>
  <c r="W41" i="21" s="1"/>
  <c r="AH40" i="44"/>
  <c r="V41" i="21" s="1"/>
  <c r="AG40" i="44"/>
  <c r="U41" i="21" s="1"/>
  <c r="AF40" i="44"/>
  <c r="T41" i="21" s="1"/>
  <c r="AE40" i="44"/>
  <c r="S41" i="21" s="1"/>
  <c r="AD40" i="44"/>
  <c r="R41" i="21" s="1"/>
  <c r="AC40" i="44"/>
  <c r="Q41" i="21" s="1"/>
  <c r="AB40" i="44"/>
  <c r="P41" i="21" s="1"/>
  <c r="BA41" i="21" s="1"/>
  <c r="AA40" i="44"/>
  <c r="O41" i="21" s="1"/>
  <c r="Z40" i="44"/>
  <c r="N41" i="21" s="1"/>
  <c r="Y40" i="44"/>
  <c r="M41" i="21" s="1"/>
  <c r="X40" i="44"/>
  <c r="L41" i="21" s="1"/>
  <c r="W40" i="44"/>
  <c r="K41" i="21" s="1"/>
  <c r="V40" i="44"/>
  <c r="V39" i="44" s="1"/>
  <c r="J40" i="21" s="1"/>
  <c r="J364" i="21" s="1"/>
  <c r="U40" i="44"/>
  <c r="T40" i="44"/>
  <c r="T39" i="44" s="1"/>
  <c r="H40" i="21" s="1"/>
  <c r="H364" i="21" s="1"/>
  <c r="S40" i="44"/>
  <c r="G41" i="21" s="1"/>
  <c r="R40" i="44"/>
  <c r="F41" i="21" s="1"/>
  <c r="Q40" i="44"/>
  <c r="E41" i="21" s="1"/>
  <c r="P40" i="44"/>
  <c r="D41" i="21" s="1"/>
  <c r="O40" i="44"/>
  <c r="O39" i="44" s="1"/>
  <c r="N40" i="44"/>
  <c r="M40" i="44"/>
  <c r="L40" i="44"/>
  <c r="L39" i="44" s="1"/>
  <c r="K40" i="44"/>
  <c r="K39" i="44" s="1"/>
  <c r="J40" i="44"/>
  <c r="J39" i="44" s="1"/>
  <c r="I40" i="44"/>
  <c r="H40" i="44"/>
  <c r="H39" i="44" s="1"/>
  <c r="G40" i="44"/>
  <c r="F40" i="44"/>
  <c r="E40" i="44"/>
  <c r="E39" i="44" s="1"/>
  <c r="D40" i="44"/>
  <c r="AS39" i="44"/>
  <c r="AG40" i="21" s="1"/>
  <c r="AG364" i="21" s="1"/>
  <c r="AQ39" i="44"/>
  <c r="AE40" i="21" s="1"/>
  <c r="AE364" i="21" s="1"/>
  <c r="AG39" i="44"/>
  <c r="AE39" i="44"/>
  <c r="E139" i="12" s="1"/>
  <c r="U39" i="44"/>
  <c r="I40" i="21" s="1"/>
  <c r="I364" i="21" s="1"/>
  <c r="S39" i="44"/>
  <c r="G40" i="21" s="1"/>
  <c r="G364" i="21" s="1"/>
  <c r="I39" i="44"/>
  <c r="G39" i="44"/>
  <c r="B1" i="44"/>
  <c r="E132" i="48"/>
  <c r="D132" i="48"/>
  <c r="D131" i="48"/>
  <c r="E131" i="48" s="1"/>
  <c r="B127" i="48"/>
  <c r="A127" i="48"/>
  <c r="B126" i="48"/>
  <c r="B128" i="48" s="1"/>
  <c r="A126" i="48"/>
  <c r="B125" i="48"/>
  <c r="A125" i="48"/>
  <c r="B124" i="48"/>
  <c r="A124" i="48"/>
  <c r="B123" i="48"/>
  <c r="A123" i="48"/>
  <c r="B122" i="48"/>
  <c r="A122" i="48"/>
  <c r="A121" i="48"/>
  <c r="B116" i="48"/>
  <c r="B117" i="48" s="1"/>
  <c r="E115" i="48"/>
  <c r="D115" i="48"/>
  <c r="E113" i="48"/>
  <c r="D113" i="48"/>
  <c r="F107" i="48"/>
  <c r="F108" i="48" s="1"/>
  <c r="F109" i="48" s="1"/>
  <c r="F110" i="48" s="1"/>
  <c r="F96" i="48"/>
  <c r="F97" i="48" s="1"/>
  <c r="F98" i="48" s="1"/>
  <c r="F95" i="48"/>
  <c r="F84" i="48"/>
  <c r="F85" i="48" s="1"/>
  <c r="F86" i="48" s="1"/>
  <c r="F83" i="48"/>
  <c r="D75" i="48"/>
  <c r="D87" i="48" s="1"/>
  <c r="D99" i="48" s="1"/>
  <c r="F72" i="48"/>
  <c r="F73" i="48" s="1"/>
  <c r="F74" i="48" s="1"/>
  <c r="D63" i="48"/>
  <c r="F59" i="48"/>
  <c r="F60" i="48" s="1"/>
  <c r="F61" i="48" s="1"/>
  <c r="F62" i="48" s="1"/>
  <c r="D47" i="48"/>
  <c r="D45" i="48"/>
  <c r="D36" i="48"/>
  <c r="D35" i="48"/>
  <c r="F34" i="48"/>
  <c r="D32" i="48"/>
  <c r="D29" i="48"/>
  <c r="D27" i="48"/>
  <c r="D26" i="48"/>
  <c r="A23" i="48"/>
  <c r="G22" i="48"/>
  <c r="F22" i="48"/>
  <c r="D22" i="48"/>
  <c r="D23" i="48" s="1"/>
  <c r="D24" i="48" s="1"/>
  <c r="L383" i="21" l="1"/>
  <c r="L382" i="21"/>
  <c r="AJ383" i="21"/>
  <c r="AJ382" i="21"/>
  <c r="G41" i="51"/>
  <c r="G39" i="51" s="1"/>
  <c r="G47" i="51"/>
  <c r="G45" i="51" s="1"/>
  <c r="AX136" i="21"/>
  <c r="M383" i="21"/>
  <c r="M382" i="21"/>
  <c r="Y383" i="21"/>
  <c r="Y382" i="21"/>
  <c r="AK383" i="21"/>
  <c r="AK382" i="21"/>
  <c r="H41" i="51"/>
  <c r="H39" i="51" s="1"/>
  <c r="BB153" i="32"/>
  <c r="BB152" i="32" s="1"/>
  <c r="AP20" i="21"/>
  <c r="AZ26" i="21"/>
  <c r="AY26" i="21"/>
  <c r="AW28" i="21"/>
  <c r="AW27" i="21" s="1"/>
  <c r="AM27" i="21"/>
  <c r="I47" i="51"/>
  <c r="I45" i="51" s="1"/>
  <c r="I41" i="51"/>
  <c r="I39" i="51" s="1"/>
  <c r="W382" i="21"/>
  <c r="W383" i="21"/>
  <c r="BA153" i="32"/>
  <c r="BA152" i="32" s="1"/>
  <c r="AO20" i="21"/>
  <c r="AQ21" i="21"/>
  <c r="AX28" i="21"/>
  <c r="AN27" i="21"/>
  <c r="AT32" i="21"/>
  <c r="BC33" i="21"/>
  <c r="AI382" i="21"/>
  <c r="AI383" i="21"/>
  <c r="P378" i="21"/>
  <c r="BA52" i="21"/>
  <c r="AZ30" i="21"/>
  <c r="AY30" i="21"/>
  <c r="AW34" i="21"/>
  <c r="AM32" i="21"/>
  <c r="AY154" i="32" s="1"/>
  <c r="AM35" i="21"/>
  <c r="E33" i="51" s="1"/>
  <c r="AW36" i="21"/>
  <c r="BC107" i="21"/>
  <c r="AU107" i="21"/>
  <c r="AV107" i="21" s="1"/>
  <c r="AW107" i="21" s="1"/>
  <c r="AX107" i="21" s="1"/>
  <c r="K382" i="21"/>
  <c r="K383" i="21"/>
  <c r="AY16" i="21"/>
  <c r="AZ16" i="21"/>
  <c r="AW32" i="21"/>
  <c r="BI154" i="32" s="1"/>
  <c r="AN35" i="21"/>
  <c r="F33" i="51" s="1"/>
  <c r="AX36" i="21"/>
  <c r="G9" i="13"/>
  <c r="G6" i="13"/>
  <c r="G10" i="13"/>
  <c r="G7" i="13"/>
  <c r="G8" i="13"/>
  <c r="B119" i="48"/>
  <c r="B118" i="48"/>
  <c r="F30" i="48"/>
  <c r="BA50" i="21"/>
  <c r="AY10" i="21"/>
  <c r="AZ10" i="21"/>
  <c r="AZ25" i="21"/>
  <c r="AY25" i="21"/>
  <c r="J41" i="51"/>
  <c r="J39" i="51" s="1"/>
  <c r="BJ154" i="32"/>
  <c r="AZ32" i="21"/>
  <c r="AY32" i="21"/>
  <c r="AO35" i="21"/>
  <c r="G33" i="51" s="1"/>
  <c r="P364" i="21"/>
  <c r="BA40" i="21"/>
  <c r="AS21" i="21"/>
  <c r="AS27" i="21"/>
  <c r="AZ29" i="21"/>
  <c r="AY29" i="21"/>
  <c r="I383" i="21"/>
  <c r="I382" i="21"/>
  <c r="I345" i="21"/>
  <c r="AG383" i="21"/>
  <c r="AG382" i="21"/>
  <c r="AG345" i="21"/>
  <c r="AM21" i="21"/>
  <c r="AU24" i="21"/>
  <c r="AV24" i="21" s="1"/>
  <c r="AW24" i="21" s="1"/>
  <c r="AX24" i="21" s="1"/>
  <c r="BC24" i="21"/>
  <c r="AT21" i="21"/>
  <c r="AX103" i="21"/>
  <c r="AN21" i="21"/>
  <c r="AZ31" i="21"/>
  <c r="AY31" i="21"/>
  <c r="BF155" i="32"/>
  <c r="BC37" i="21"/>
  <c r="N362" i="21"/>
  <c r="N361" i="21"/>
  <c r="Z362" i="21"/>
  <c r="Z361" i="21"/>
  <c r="AL362" i="21"/>
  <c r="AL361" i="21"/>
  <c r="J330" i="21"/>
  <c r="J294" i="21"/>
  <c r="J233" i="21"/>
  <c r="V330" i="21"/>
  <c r="V294" i="21"/>
  <c r="V233" i="21"/>
  <c r="S231" i="21"/>
  <c r="S237" i="21"/>
  <c r="AE231" i="21"/>
  <c r="AE237" i="21"/>
  <c r="AP139" i="21"/>
  <c r="M380" i="21"/>
  <c r="M325" i="21"/>
  <c r="M387" i="21" s="1"/>
  <c r="Y325" i="21"/>
  <c r="Y380" i="21"/>
  <c r="Y320" i="21"/>
  <c r="AK380" i="21"/>
  <c r="AK325" i="21"/>
  <c r="AK320" i="21"/>
  <c r="Y335" i="21"/>
  <c r="AW22" i="21"/>
  <c r="AW21" i="21" s="1"/>
  <c r="U383" i="21"/>
  <c r="U345" i="21"/>
  <c r="U382" i="21"/>
  <c r="AW103" i="21"/>
  <c r="H36" i="51"/>
  <c r="AP147" i="21"/>
  <c r="BC149" i="21"/>
  <c r="AT147" i="21"/>
  <c r="BC147" i="21" s="1"/>
  <c r="M327" i="21"/>
  <c r="AK335" i="21"/>
  <c r="Q376" i="21"/>
  <c r="Q283" i="21"/>
  <c r="Q282" i="21" s="1"/>
  <c r="L376" i="21"/>
  <c r="L253" i="21"/>
  <c r="L278" i="21" s="1"/>
  <c r="L277" i="21" s="1"/>
  <c r="AF39" i="44"/>
  <c r="AR39" i="44"/>
  <c r="AF40" i="21" s="1"/>
  <c r="AF364" i="21" s="1"/>
  <c r="N383" i="21"/>
  <c r="N382" i="21"/>
  <c r="Z383" i="21"/>
  <c r="Z382" i="21"/>
  <c r="B152" i="12"/>
  <c r="AL53" i="21"/>
  <c r="O362" i="21"/>
  <c r="O361" i="21"/>
  <c r="AA362" i="21"/>
  <c r="AA361" i="21"/>
  <c r="D359" i="21"/>
  <c r="D357" i="21"/>
  <c r="D367" i="21"/>
  <c r="D366" i="21"/>
  <c r="D231" i="21"/>
  <c r="D230" i="21"/>
  <c r="K330" i="21"/>
  <c r="K294" i="21"/>
  <c r="K233" i="21"/>
  <c r="W330" i="21"/>
  <c r="W294" i="21"/>
  <c r="W233" i="21"/>
  <c r="T231" i="21"/>
  <c r="T237" i="21"/>
  <c r="AF231" i="21"/>
  <c r="AF237" i="21"/>
  <c r="N380" i="21"/>
  <c r="N325" i="21"/>
  <c r="N387" i="21" s="1"/>
  <c r="Z325" i="21"/>
  <c r="Z380" i="21"/>
  <c r="Z320" i="21"/>
  <c r="C7" i="62"/>
  <c r="D7" i="61"/>
  <c r="AL380" i="21"/>
  <c r="AL325" i="21"/>
  <c r="AL320" i="21"/>
  <c r="AR11" i="21"/>
  <c r="N327" i="21"/>
  <c r="Z327" i="21"/>
  <c r="C8" i="62"/>
  <c r="D8" i="61"/>
  <c r="AX22" i="21"/>
  <c r="AR23" i="21"/>
  <c r="AR21" i="21" s="1"/>
  <c r="AT27" i="21"/>
  <c r="AN32" i="21"/>
  <c r="AZ154" i="32" s="1"/>
  <c r="AY33" i="21"/>
  <c r="BA39" i="21"/>
  <c r="O369" i="21"/>
  <c r="O246" i="21"/>
  <c r="AA245" i="21"/>
  <c r="BA81" i="21"/>
  <c r="BA123" i="21"/>
  <c r="AZ123" i="21"/>
  <c r="AY123" i="21"/>
  <c r="BC143" i="21"/>
  <c r="AU143" i="21"/>
  <c r="AV143" i="21" s="1"/>
  <c r="AW143" i="21" s="1"/>
  <c r="AX143" i="21" s="1"/>
  <c r="E36" i="51"/>
  <c r="AW148" i="21"/>
  <c r="AM147" i="21"/>
  <c r="K238" i="21"/>
  <c r="K229" i="21"/>
  <c r="K230" i="21"/>
  <c r="W238" i="21"/>
  <c r="W229" i="21"/>
  <c r="W230" i="21"/>
  <c r="AI238" i="21"/>
  <c r="AI229" i="21"/>
  <c r="AI230" i="21"/>
  <c r="G139" i="12"/>
  <c r="U40" i="21"/>
  <c r="U364" i="21" s="1"/>
  <c r="L330" i="21"/>
  <c r="L294" i="21"/>
  <c r="L233" i="21"/>
  <c r="AA335" i="21"/>
  <c r="AY140" i="21"/>
  <c r="AZ140" i="21"/>
  <c r="B143" i="12"/>
  <c r="AL44" i="21"/>
  <c r="B150" i="12"/>
  <c r="AL51" i="21"/>
  <c r="D383" i="21"/>
  <c r="D382" i="21"/>
  <c r="D345" i="21"/>
  <c r="P383" i="21"/>
  <c r="P382" i="21"/>
  <c r="P345" i="21"/>
  <c r="BA53" i="21"/>
  <c r="AB383" i="21"/>
  <c r="AB382" i="21"/>
  <c r="E361" i="21"/>
  <c r="E362" i="21"/>
  <c r="Q361" i="21"/>
  <c r="Q362" i="21"/>
  <c r="AC361" i="21"/>
  <c r="AC362" i="21"/>
  <c r="F357" i="21"/>
  <c r="F367" i="21"/>
  <c r="F366" i="21"/>
  <c r="F359" i="21"/>
  <c r="F231" i="21"/>
  <c r="F230" i="21"/>
  <c r="M294" i="21"/>
  <c r="M330" i="21"/>
  <c r="M233" i="21"/>
  <c r="Y330" i="21"/>
  <c r="Y294" i="21"/>
  <c r="Y233" i="21"/>
  <c r="J237" i="21"/>
  <c r="V237" i="21"/>
  <c r="AH237" i="21"/>
  <c r="D380" i="21"/>
  <c r="D325" i="21"/>
  <c r="D387" i="21" s="1"/>
  <c r="P380" i="21"/>
  <c r="P325" i="21"/>
  <c r="P387" i="21" s="1"/>
  <c r="P320" i="21"/>
  <c r="D32" i="51"/>
  <c r="D30" i="51" s="1"/>
  <c r="AB380" i="21"/>
  <c r="AB325" i="21"/>
  <c r="AB320" i="21"/>
  <c r="AZ12" i="21"/>
  <c r="D335" i="21"/>
  <c r="P327" i="21"/>
  <c r="AB327" i="21"/>
  <c r="N41" i="51"/>
  <c r="N39" i="51" s="1"/>
  <c r="B43" i="51"/>
  <c r="B49" i="51"/>
  <c r="BP155" i="32"/>
  <c r="BO155" i="32"/>
  <c r="BN155" i="32"/>
  <c r="BM155" i="32"/>
  <c r="BL155" i="32"/>
  <c r="BK155" i="32"/>
  <c r="BT155" i="32"/>
  <c r="BS155" i="32"/>
  <c r="BR155" i="32"/>
  <c r="BQ155" i="32"/>
  <c r="E369" i="21"/>
  <c r="E246" i="21"/>
  <c r="Q369" i="21"/>
  <c r="Q245" i="21"/>
  <c r="AC369" i="21"/>
  <c r="AC245" i="21"/>
  <c r="O372" i="21"/>
  <c r="O248" i="21"/>
  <c r="O341" i="21"/>
  <c r="O259" i="21"/>
  <c r="AA341" i="21"/>
  <c r="AA259" i="21"/>
  <c r="O340" i="21"/>
  <c r="O269" i="21"/>
  <c r="AA269" i="21"/>
  <c r="AW70" i="21"/>
  <c r="O376" i="21"/>
  <c r="O253" i="21"/>
  <c r="O278" i="21" s="1"/>
  <c r="O277" i="21" s="1"/>
  <c r="BC119" i="21"/>
  <c r="AT117" i="21"/>
  <c r="BC117" i="21" s="1"/>
  <c r="AU119" i="21"/>
  <c r="M230" i="21"/>
  <c r="M238" i="21"/>
  <c r="M229" i="21"/>
  <c r="Y230" i="21"/>
  <c r="Y238" i="21"/>
  <c r="Y229" i="21"/>
  <c r="AK230" i="21"/>
  <c r="AK238" i="21"/>
  <c r="AK229" i="21"/>
  <c r="W39" i="44"/>
  <c r="K40" i="21" s="1"/>
  <c r="K364" i="21" s="1"/>
  <c r="AI39" i="44"/>
  <c r="W40" i="21" s="1"/>
  <c r="W364" i="21" s="1"/>
  <c r="AU39" i="44"/>
  <c r="AI40" i="21" s="1"/>
  <c r="AI364" i="21" s="1"/>
  <c r="C8" i="13"/>
  <c r="B142" i="12"/>
  <c r="E383" i="21"/>
  <c r="E382" i="21"/>
  <c r="Q383" i="21"/>
  <c r="Q382" i="21"/>
  <c r="AC383" i="21"/>
  <c r="AC382" i="21"/>
  <c r="F362" i="21"/>
  <c r="F361" i="21"/>
  <c r="R362" i="21"/>
  <c r="R361" i="21"/>
  <c r="AD362" i="21"/>
  <c r="AD361" i="21"/>
  <c r="G357" i="21"/>
  <c r="G367" i="21"/>
  <c r="G366" i="21"/>
  <c r="G359" i="21"/>
  <c r="G231" i="21"/>
  <c r="G230" i="21"/>
  <c r="N330" i="21"/>
  <c r="N294" i="21"/>
  <c r="N233" i="21"/>
  <c r="Z330" i="21"/>
  <c r="Z294" i="21"/>
  <c r="Z233" i="21"/>
  <c r="K237" i="21"/>
  <c r="K243" i="21" s="1"/>
  <c r="K231" i="21"/>
  <c r="W237" i="21"/>
  <c r="W243" i="21" s="1"/>
  <c r="W231" i="21"/>
  <c r="AI237" i="21"/>
  <c r="AI231" i="21"/>
  <c r="E380" i="21"/>
  <c r="E325" i="21"/>
  <c r="E387" i="21" s="1"/>
  <c r="Q380" i="21"/>
  <c r="Q325" i="21"/>
  <c r="Q320" i="21"/>
  <c r="AC380" i="21"/>
  <c r="AC320" i="21"/>
  <c r="AC325" i="21"/>
  <c r="BA6" i="21"/>
  <c r="E327" i="21"/>
  <c r="Q327" i="21"/>
  <c r="AC327" i="21"/>
  <c r="BA14" i="21"/>
  <c r="AY34" i="21"/>
  <c r="BC38" i="21"/>
  <c r="J41" i="21"/>
  <c r="Q44" i="21"/>
  <c r="AM44" i="21"/>
  <c r="F369" i="21"/>
  <c r="F246" i="21"/>
  <c r="R369" i="21"/>
  <c r="R245" i="21"/>
  <c r="R378" i="21" s="1"/>
  <c r="AD369" i="21"/>
  <c r="AD245" i="21"/>
  <c r="AD378" i="21" s="1"/>
  <c r="I370" i="21"/>
  <c r="I247" i="21"/>
  <c r="I377" i="21"/>
  <c r="I249" i="21"/>
  <c r="I283" i="21" s="1"/>
  <c r="I282" i="21" s="1"/>
  <c r="U376" i="21"/>
  <c r="U283" i="21"/>
  <c r="U282" i="21" s="1"/>
  <c r="AG376" i="21"/>
  <c r="AG283" i="21"/>
  <c r="AG282" i="21" s="1"/>
  <c r="AJ377" i="21"/>
  <c r="O338" i="21"/>
  <c r="O257" i="21"/>
  <c r="AA338" i="21"/>
  <c r="AA257" i="21"/>
  <c r="O266" i="21"/>
  <c r="AA266" i="21"/>
  <c r="BA79" i="21"/>
  <c r="AU100" i="21"/>
  <c r="AV100" i="21" s="1"/>
  <c r="AW100" i="21" s="1"/>
  <c r="AX100" i="21" s="1"/>
  <c r="BC123" i="21"/>
  <c r="BA124" i="21"/>
  <c r="BC125" i="21"/>
  <c r="BA131" i="21"/>
  <c r="AZ131" i="21"/>
  <c r="AY131" i="21"/>
  <c r="BA137" i="21"/>
  <c r="AZ137" i="21"/>
  <c r="AY137" i="21"/>
  <c r="AQ139" i="21"/>
  <c r="X39" i="44"/>
  <c r="L40" i="21" s="1"/>
  <c r="L364" i="21" s="1"/>
  <c r="AV39" i="44"/>
  <c r="AJ40" i="21" s="1"/>
  <c r="AJ364" i="21" s="1"/>
  <c r="C7" i="13"/>
  <c r="B141" i="12"/>
  <c r="AL42" i="21"/>
  <c r="B148" i="12"/>
  <c r="AL49" i="21"/>
  <c r="F382" i="21"/>
  <c r="F383" i="21"/>
  <c r="R382" i="21"/>
  <c r="R383" i="21"/>
  <c r="AD382" i="21"/>
  <c r="AD383" i="21"/>
  <c r="G362" i="21"/>
  <c r="G361" i="21"/>
  <c r="S362" i="21"/>
  <c r="S361" i="21"/>
  <c r="AE362" i="21"/>
  <c r="AE361" i="21"/>
  <c r="T790" i="44"/>
  <c r="AF790" i="44"/>
  <c r="AR790" i="44"/>
  <c r="H367" i="21"/>
  <c r="H366" i="21"/>
  <c r="H359" i="21"/>
  <c r="H357" i="21"/>
  <c r="H231" i="21"/>
  <c r="H230" i="21"/>
  <c r="O330" i="21"/>
  <c r="O294" i="21"/>
  <c r="O233" i="21"/>
  <c r="AA294" i="21"/>
  <c r="AA330" i="21"/>
  <c r="AA233" i="21"/>
  <c r="L237" i="21"/>
  <c r="L231" i="21"/>
  <c r="X237" i="21"/>
  <c r="AJ237" i="21"/>
  <c r="AU139" i="21"/>
  <c r="AU135" i="21" s="1"/>
  <c r="F380" i="21"/>
  <c r="F325" i="21"/>
  <c r="F387" i="21" s="1"/>
  <c r="R380" i="21"/>
  <c r="R325" i="21"/>
  <c r="R320" i="21"/>
  <c r="AD380" i="21"/>
  <c r="AD320" i="21"/>
  <c r="AD325" i="21"/>
  <c r="F327" i="21"/>
  <c r="R327" i="21"/>
  <c r="AD327" i="21"/>
  <c r="AU105" i="21"/>
  <c r="R44" i="21"/>
  <c r="G369" i="21"/>
  <c r="G246" i="21"/>
  <c r="S369" i="21"/>
  <c r="S245" i="21"/>
  <c r="S378" i="21" s="1"/>
  <c r="AE369" i="21"/>
  <c r="AE245" i="21"/>
  <c r="AE378" i="21" s="1"/>
  <c r="E372" i="21"/>
  <c r="E248" i="21"/>
  <c r="I339" i="21"/>
  <c r="I258" i="21"/>
  <c r="U339" i="21"/>
  <c r="U258" i="21"/>
  <c r="AG339" i="21"/>
  <c r="AG258" i="21"/>
  <c r="E341" i="21"/>
  <c r="E259" i="21"/>
  <c r="Q259" i="21"/>
  <c r="Q341" i="21"/>
  <c r="AC341" i="21"/>
  <c r="AC259" i="21"/>
  <c r="E340" i="21"/>
  <c r="E269" i="21"/>
  <c r="I281" i="21"/>
  <c r="U281" i="21"/>
  <c r="AG281" i="21"/>
  <c r="BA87" i="21"/>
  <c r="BA98" i="21"/>
  <c r="AR113" i="21"/>
  <c r="AS113" i="21"/>
  <c r="AT115" i="21"/>
  <c r="BC151" i="21"/>
  <c r="AU151" i="21"/>
  <c r="AV151" i="21" s="1"/>
  <c r="AW151" i="21" s="1"/>
  <c r="R230" i="21"/>
  <c r="R238" i="21"/>
  <c r="R229" i="21"/>
  <c r="AD230" i="21"/>
  <c r="AD238" i="21"/>
  <c r="AD229" i="21"/>
  <c r="D11" i="51"/>
  <c r="AB361" i="21"/>
  <c r="AB362" i="21"/>
  <c r="E359" i="21"/>
  <c r="E357" i="21"/>
  <c r="E367" i="21"/>
  <c r="E366" i="21"/>
  <c r="E231" i="21"/>
  <c r="E230" i="21"/>
  <c r="AH39" i="44"/>
  <c r="Y39" i="44"/>
  <c r="M40" i="21" s="1"/>
  <c r="M364" i="21" s="1"/>
  <c r="AK39" i="44"/>
  <c r="Y40" i="21" s="1"/>
  <c r="Y364" i="21" s="1"/>
  <c r="AW39" i="44"/>
  <c r="AK40" i="21" s="1"/>
  <c r="AK364" i="21" s="1"/>
  <c r="B140" i="12"/>
  <c r="C6" i="13"/>
  <c r="G345" i="21"/>
  <c r="G383" i="21"/>
  <c r="G382" i="21"/>
  <c r="S383" i="21"/>
  <c r="S382" i="21"/>
  <c r="S345" i="21"/>
  <c r="AE345" i="21"/>
  <c r="AE383" i="21"/>
  <c r="AE382" i="21"/>
  <c r="H362" i="21"/>
  <c r="H361" i="21"/>
  <c r="T362" i="21"/>
  <c r="T361" i="21"/>
  <c r="AF362" i="21"/>
  <c r="AF361" i="21"/>
  <c r="U790" i="44"/>
  <c r="AG790" i="44"/>
  <c r="AS790" i="44"/>
  <c r="D330" i="21"/>
  <c r="D294" i="21"/>
  <c r="D233" i="21"/>
  <c r="P330" i="21"/>
  <c r="P294" i="21"/>
  <c r="P233" i="21"/>
  <c r="D4" i="51"/>
  <c r="AB294" i="21"/>
  <c r="AB330" i="21"/>
  <c r="AB233" i="21"/>
  <c r="M237" i="21"/>
  <c r="M243" i="21" s="1"/>
  <c r="M231" i="21"/>
  <c r="Y237" i="21"/>
  <c r="Y243" i="21" s="1"/>
  <c r="Y231" i="21"/>
  <c r="AK231" i="21"/>
  <c r="AK237" i="21"/>
  <c r="AV139" i="21"/>
  <c r="G380" i="21"/>
  <c r="G325" i="21"/>
  <c r="G387" i="21" s="1"/>
  <c r="S380" i="21"/>
  <c r="S325" i="21"/>
  <c r="S320" i="21"/>
  <c r="AE380" i="21"/>
  <c r="AE320" i="21"/>
  <c r="AE325" i="21"/>
  <c r="G327" i="21"/>
  <c r="S327" i="21"/>
  <c r="AE327" i="21"/>
  <c r="B47" i="51"/>
  <c r="B41" i="51"/>
  <c r="AV105" i="21"/>
  <c r="AH41" i="21"/>
  <c r="S44" i="21"/>
  <c r="BA54" i="21"/>
  <c r="K370" i="21"/>
  <c r="K247" i="21"/>
  <c r="F372" i="21"/>
  <c r="F248" i="21"/>
  <c r="K377" i="21"/>
  <c r="K249" i="21"/>
  <c r="K283" i="21" s="1"/>
  <c r="K282" i="21" s="1"/>
  <c r="W249" i="21"/>
  <c r="AI376" i="21"/>
  <c r="AI283" i="21"/>
  <c r="AI282" i="21" s="1"/>
  <c r="E338" i="21"/>
  <c r="E257" i="21"/>
  <c r="Q338" i="21"/>
  <c r="Q257" i="21"/>
  <c r="AC338" i="21"/>
  <c r="AC257" i="21"/>
  <c r="F341" i="21"/>
  <c r="F259" i="21"/>
  <c r="R341" i="21"/>
  <c r="R259" i="21"/>
  <c r="AD341" i="21"/>
  <c r="AD259" i="21"/>
  <c r="W260" i="21"/>
  <c r="E266" i="21"/>
  <c r="Q266" i="21"/>
  <c r="AC266" i="21"/>
  <c r="F340" i="21"/>
  <c r="F269" i="21"/>
  <c r="R269" i="21"/>
  <c r="R266" i="21" s="1"/>
  <c r="AN70" i="21"/>
  <c r="BA83" i="21"/>
  <c r="BA104" i="21"/>
  <c r="AT104" i="21"/>
  <c r="BA108" i="21"/>
  <c r="AU108" i="21"/>
  <c r="AV108" i="21" s="1"/>
  <c r="AW108" i="21" s="1"/>
  <c r="AX108" i="21" s="1"/>
  <c r="BC108" i="21"/>
  <c r="AN129" i="21"/>
  <c r="AN122" i="21" s="1"/>
  <c r="AS139" i="21"/>
  <c r="AA383" i="21"/>
  <c r="AA382" i="21"/>
  <c r="X330" i="21"/>
  <c r="X294" i="21"/>
  <c r="X233" i="21"/>
  <c r="AG237" i="21"/>
  <c r="O380" i="21"/>
  <c r="O325" i="21"/>
  <c r="O387" i="21" s="1"/>
  <c r="O335" i="21"/>
  <c r="M41" i="51"/>
  <c r="M39" i="51" s="1"/>
  <c r="N376" i="21"/>
  <c r="N253" i="21"/>
  <c r="N278" i="21" s="1"/>
  <c r="N277" i="21" s="1"/>
  <c r="F36" i="51"/>
  <c r="AX148" i="21"/>
  <c r="AN147" i="21"/>
  <c r="Z39" i="44"/>
  <c r="N40" i="21" s="1"/>
  <c r="N364" i="21" s="1"/>
  <c r="AL39" i="44"/>
  <c r="Z40" i="21" s="1"/>
  <c r="Z364" i="21" s="1"/>
  <c r="AX39" i="44"/>
  <c r="C10" i="13"/>
  <c r="B146" i="12"/>
  <c r="AL47" i="21"/>
  <c r="H383" i="21"/>
  <c r="H382" i="21"/>
  <c r="H345" i="21"/>
  <c r="T382" i="21"/>
  <c r="T383" i="21"/>
  <c r="AF383" i="21"/>
  <c r="AF382" i="21"/>
  <c r="AF345" i="21"/>
  <c r="I362" i="21"/>
  <c r="I361" i="21"/>
  <c r="U362" i="21"/>
  <c r="U361" i="21"/>
  <c r="AG362" i="21"/>
  <c r="AG361" i="21"/>
  <c r="V790" i="44"/>
  <c r="AH790" i="44"/>
  <c r="AT790" i="44"/>
  <c r="E330" i="21"/>
  <c r="E294" i="21"/>
  <c r="E233" i="21"/>
  <c r="Q330" i="21"/>
  <c r="Q294" i="21"/>
  <c r="Q233" i="21"/>
  <c r="N231" i="21"/>
  <c r="N237" i="21"/>
  <c r="Z237" i="21"/>
  <c r="AL237" i="21"/>
  <c r="H380" i="21"/>
  <c r="H325" i="21"/>
  <c r="H387" i="21" s="1"/>
  <c r="T380" i="21"/>
  <c r="T325" i="21"/>
  <c r="T320" i="21"/>
  <c r="AF380" i="21"/>
  <c r="AF320" i="21"/>
  <c r="AF325" i="21"/>
  <c r="H327" i="21"/>
  <c r="T327" i="21"/>
  <c r="AF327" i="21"/>
  <c r="D41" i="51"/>
  <c r="D39" i="51" s="1"/>
  <c r="D47" i="51"/>
  <c r="D45" i="51" s="1"/>
  <c r="BA35" i="21"/>
  <c r="AS105" i="21"/>
  <c r="AS102" i="21" s="1"/>
  <c r="D42" i="21"/>
  <c r="U44" i="21"/>
  <c r="L370" i="21"/>
  <c r="L247" i="21"/>
  <c r="G372" i="21"/>
  <c r="G248" i="21"/>
  <c r="BA56" i="21"/>
  <c r="L377" i="21"/>
  <c r="L249" i="21"/>
  <c r="L283" i="21" s="1"/>
  <c r="L282" i="21" s="1"/>
  <c r="X283" i="21"/>
  <c r="X282" i="21" s="1"/>
  <c r="AJ376" i="21"/>
  <c r="AJ283" i="21"/>
  <c r="AJ282" i="21" s="1"/>
  <c r="F338" i="21"/>
  <c r="F257" i="21"/>
  <c r="R338" i="21"/>
  <c r="R257" i="21"/>
  <c r="AD338" i="21"/>
  <c r="AD257" i="21"/>
  <c r="K339" i="21"/>
  <c r="K258" i="21"/>
  <c r="W339" i="21"/>
  <c r="W258" i="21"/>
  <c r="AI339" i="21"/>
  <c r="AI258" i="21"/>
  <c r="BA63" i="21"/>
  <c r="F266" i="21"/>
  <c r="W268" i="21"/>
  <c r="BA101" i="21"/>
  <c r="AZ101" i="21"/>
  <c r="AP105" i="21"/>
  <c r="AP102" i="21" s="1"/>
  <c r="BA112" i="21"/>
  <c r="BA118" i="21"/>
  <c r="BA130" i="21"/>
  <c r="AY130" i="21"/>
  <c r="AX129" i="21"/>
  <c r="AX122" i="21" s="1"/>
  <c r="AZ130" i="21"/>
  <c r="BC137" i="21"/>
  <c r="AT135" i="21"/>
  <c r="AT139" i="21"/>
  <c r="BC139" i="21" s="1"/>
  <c r="T230" i="21"/>
  <c r="T238" i="21"/>
  <c r="T229" i="21"/>
  <c r="AF230" i="21"/>
  <c r="AF238" i="21"/>
  <c r="AF229" i="21"/>
  <c r="O383" i="21"/>
  <c r="O382" i="21"/>
  <c r="D361" i="21"/>
  <c r="D362" i="21"/>
  <c r="U237" i="21"/>
  <c r="X383" i="21"/>
  <c r="X345" i="21"/>
  <c r="X382" i="21"/>
  <c r="AA39" i="44"/>
  <c r="O40" i="21" s="1"/>
  <c r="O364" i="21" s="1"/>
  <c r="AM39" i="44"/>
  <c r="AA40" i="21" s="1"/>
  <c r="AA364" i="21" s="1"/>
  <c r="B145" i="12"/>
  <c r="AL46" i="21"/>
  <c r="J362" i="21"/>
  <c r="J361" i="21"/>
  <c r="V362" i="21"/>
  <c r="V361" i="21"/>
  <c r="AH362" i="21"/>
  <c r="AH361" i="21"/>
  <c r="F330" i="21"/>
  <c r="F294" i="21"/>
  <c r="F233" i="21"/>
  <c r="R330" i="21"/>
  <c r="R294" i="21"/>
  <c r="R233" i="21"/>
  <c r="O231" i="21"/>
  <c r="O237" i="21"/>
  <c r="AA231" i="21"/>
  <c r="AA237" i="21"/>
  <c r="I380" i="21"/>
  <c r="I325" i="21"/>
  <c r="I387" i="21" s="1"/>
  <c r="U380" i="21"/>
  <c r="U325" i="21"/>
  <c r="U320" i="21"/>
  <c r="AG380" i="21"/>
  <c r="AG320" i="21"/>
  <c r="AG325" i="21"/>
  <c r="AM9" i="21"/>
  <c r="I327" i="21"/>
  <c r="U327" i="21"/>
  <c r="AG327" i="21"/>
  <c r="AM15" i="21"/>
  <c r="AO15" i="21" s="1"/>
  <c r="AO14" i="21" s="1"/>
  <c r="AM19" i="21"/>
  <c r="BA23" i="21"/>
  <c r="BA25" i="21"/>
  <c r="BA27" i="21"/>
  <c r="BA29" i="21"/>
  <c r="BA31" i="21"/>
  <c r="V44" i="21"/>
  <c r="M370" i="21"/>
  <c r="M247" i="21"/>
  <c r="BA61" i="21"/>
  <c r="L339" i="21"/>
  <c r="L258" i="21"/>
  <c r="X258" i="21"/>
  <c r="X339" i="21"/>
  <c r="AJ339" i="21"/>
  <c r="AJ258" i="21"/>
  <c r="W263" i="21"/>
  <c r="W284" i="21" s="1"/>
  <c r="BA68" i="21"/>
  <c r="BA93" i="21"/>
  <c r="AQ105" i="21"/>
  <c r="BA113" i="21"/>
  <c r="BA121" i="21"/>
  <c r="BA128" i="21"/>
  <c r="AY128" i="21"/>
  <c r="AZ128" i="21"/>
  <c r="AW136" i="21"/>
  <c r="AP135" i="21"/>
  <c r="AN39" i="44"/>
  <c r="AB40" i="21" s="1"/>
  <c r="AB364" i="21" s="1"/>
  <c r="F143" i="12"/>
  <c r="T44" i="21"/>
  <c r="J383" i="21"/>
  <c r="J382" i="21"/>
  <c r="J345" i="21"/>
  <c r="C43" i="11"/>
  <c r="V53" i="21"/>
  <c r="AH383" i="21"/>
  <c r="AH382" i="21"/>
  <c r="AH345" i="21"/>
  <c r="K362" i="21"/>
  <c r="K361" i="21"/>
  <c r="W362" i="21"/>
  <c r="W361" i="21"/>
  <c r="AI362" i="21"/>
  <c r="AI361" i="21"/>
  <c r="G330" i="21"/>
  <c r="G294" i="21"/>
  <c r="G233" i="21"/>
  <c r="S330" i="21"/>
  <c r="S294" i="21"/>
  <c r="S233" i="21"/>
  <c r="J367" i="21"/>
  <c r="N367" i="21"/>
  <c r="M367" i="21"/>
  <c r="P359" i="21"/>
  <c r="L367" i="21"/>
  <c r="O359" i="21"/>
  <c r="K367" i="21"/>
  <c r="N359" i="21"/>
  <c r="P357" i="21"/>
  <c r="I367" i="21"/>
  <c r="M359" i="21"/>
  <c r="O357" i="21"/>
  <c r="L359" i="21"/>
  <c r="N357" i="21"/>
  <c r="K359" i="21"/>
  <c r="M357" i="21"/>
  <c r="I359" i="21"/>
  <c r="J357" i="21"/>
  <c r="K357" i="21"/>
  <c r="I357" i="21"/>
  <c r="J359" i="21"/>
  <c r="P367" i="21"/>
  <c r="L357" i="21"/>
  <c r="O367" i="21"/>
  <c r="D237" i="21"/>
  <c r="AH367" i="21"/>
  <c r="AC359" i="21"/>
  <c r="Q359" i="21"/>
  <c r="AE357" i="21"/>
  <c r="S357" i="21"/>
  <c r="AD357" i="21"/>
  <c r="R357" i="21"/>
  <c r="AL367" i="21"/>
  <c r="AC357" i="21"/>
  <c r="Q357" i="21"/>
  <c r="AK367" i="21"/>
  <c r="AL359" i="21"/>
  <c r="AJ367" i="21"/>
  <c r="AK359" i="21"/>
  <c r="AI367" i="21"/>
  <c r="AJ359" i="21"/>
  <c r="AL357" i="21"/>
  <c r="AG367" i="21"/>
  <c r="AI359" i="21"/>
  <c r="W359" i="21"/>
  <c r="AK357" i="21"/>
  <c r="AF367" i="21"/>
  <c r="AE367" i="21"/>
  <c r="AG359" i="21"/>
  <c r="U359" i="21"/>
  <c r="AI357" i="21"/>
  <c r="AD367" i="21"/>
  <c r="AF359" i="21"/>
  <c r="T359" i="21"/>
  <c r="AH357" i="21"/>
  <c r="V357" i="21"/>
  <c r="AE359" i="21"/>
  <c r="AD359" i="21"/>
  <c r="V359" i="21"/>
  <c r="S359" i="21"/>
  <c r="R359" i="21"/>
  <c r="AJ357" i="21"/>
  <c r="AG357" i="21"/>
  <c r="AF357" i="21"/>
  <c r="AC367" i="21"/>
  <c r="W357" i="21"/>
  <c r="U357" i="21"/>
  <c r="AH359" i="21"/>
  <c r="T357" i="21"/>
  <c r="P237" i="21"/>
  <c r="BA122" i="21"/>
  <c r="BA120" i="21"/>
  <c r="BA110" i="21"/>
  <c r="D76" i="51"/>
  <c r="D79" i="51" s="1"/>
  <c r="P316" i="21" s="1"/>
  <c r="AB231" i="21"/>
  <c r="AB237" i="21"/>
  <c r="AM139" i="21"/>
  <c r="AM105" i="21" s="1"/>
  <c r="AM102" i="21" s="1"/>
  <c r="J380" i="21"/>
  <c r="J325" i="21"/>
  <c r="J387" i="21" s="1"/>
  <c r="V380" i="21"/>
  <c r="V325" i="21"/>
  <c r="V320" i="21"/>
  <c r="AH380" i="21"/>
  <c r="AH320" i="21"/>
  <c r="AH325" i="21"/>
  <c r="AZ11" i="21"/>
  <c r="AZ13" i="21"/>
  <c r="J327" i="21"/>
  <c r="V327" i="21"/>
  <c r="AH327" i="21"/>
  <c r="AN15" i="21"/>
  <c r="AN19" i="21"/>
  <c r="AN17" i="21" s="1"/>
  <c r="BC35" i="21"/>
  <c r="AL41" i="21"/>
  <c r="BA99" i="21"/>
  <c r="AX118" i="21"/>
  <c r="AN117" i="21"/>
  <c r="G67" i="51"/>
  <c r="G15" i="61"/>
  <c r="AS135" i="21"/>
  <c r="AV135" i="21"/>
  <c r="BA142" i="21"/>
  <c r="AO142" i="21"/>
  <c r="C9" i="13"/>
  <c r="B144" i="12"/>
  <c r="P361" i="21"/>
  <c r="P362" i="21"/>
  <c r="I237" i="21"/>
  <c r="I231" i="21"/>
  <c r="AA380" i="21"/>
  <c r="AA325" i="21"/>
  <c r="AA320" i="21"/>
  <c r="Q39" i="44"/>
  <c r="E40" i="21" s="1"/>
  <c r="E364" i="21" s="1"/>
  <c r="AC39" i="44"/>
  <c r="AO39" i="44"/>
  <c r="AC40" i="21" s="1"/>
  <c r="AC364" i="21" s="1"/>
  <c r="L362" i="21"/>
  <c r="L361" i="21"/>
  <c r="X362" i="21"/>
  <c r="X361" i="21"/>
  <c r="AJ362" i="21"/>
  <c r="AJ361" i="21"/>
  <c r="Y790" i="44"/>
  <c r="AK790" i="44"/>
  <c r="AW790" i="44"/>
  <c r="H330" i="21"/>
  <c r="H294" i="21"/>
  <c r="H233" i="21"/>
  <c r="T330" i="21"/>
  <c r="T294" i="21"/>
  <c r="T233" i="21"/>
  <c r="Q231" i="21"/>
  <c r="Q237" i="21"/>
  <c r="AC231" i="21"/>
  <c r="AC237" i="21"/>
  <c r="AN139" i="21"/>
  <c r="K380" i="21"/>
  <c r="K325" i="21"/>
  <c r="K387" i="21" s="1"/>
  <c r="W380" i="21"/>
  <c r="W325" i="21"/>
  <c r="W320" i="21"/>
  <c r="AI380" i="21"/>
  <c r="AI320" i="21"/>
  <c r="AI325" i="21"/>
  <c r="K327" i="21"/>
  <c r="W327" i="21"/>
  <c r="AI327" i="21"/>
  <c r="AW38" i="21"/>
  <c r="AW37" i="21" s="1"/>
  <c r="BI155" i="32" s="1"/>
  <c r="AL43" i="21"/>
  <c r="AL50" i="21"/>
  <c r="W272" i="21"/>
  <c r="H67" i="51"/>
  <c r="R39" i="44"/>
  <c r="F40" i="21" s="1"/>
  <c r="F364" i="21" s="1"/>
  <c r="AD39" i="44"/>
  <c r="AP39" i="44"/>
  <c r="AD40" i="21" s="1"/>
  <c r="AD364" i="21" s="1"/>
  <c r="M362" i="21"/>
  <c r="M361" i="21"/>
  <c r="Y362" i="21"/>
  <c r="Y361" i="21"/>
  <c r="AK362" i="21"/>
  <c r="AK361" i="21"/>
  <c r="Z790" i="44"/>
  <c r="AL790" i="44"/>
  <c r="AX790" i="44"/>
  <c r="I330" i="21"/>
  <c r="I294" i="21"/>
  <c r="I233" i="21"/>
  <c r="U330" i="21"/>
  <c r="U294" i="21"/>
  <c r="U233" i="21"/>
  <c r="R231" i="21"/>
  <c r="R237" i="21"/>
  <c r="AD231" i="21"/>
  <c r="AD237" i="21"/>
  <c r="AO139" i="21"/>
  <c r="AO105" i="21" s="1"/>
  <c r="L380" i="21"/>
  <c r="L325" i="21"/>
  <c r="L387" i="21" s="1"/>
  <c r="X380" i="21"/>
  <c r="X325" i="21"/>
  <c r="X320" i="21"/>
  <c r="AJ380" i="21"/>
  <c r="AJ320" i="21"/>
  <c r="AJ325" i="21"/>
  <c r="L327" i="21"/>
  <c r="X327" i="21"/>
  <c r="AJ327" i="21"/>
  <c r="AX38" i="21"/>
  <c r="AL48" i="21"/>
  <c r="AL52" i="21"/>
  <c r="AL327" i="21" s="1"/>
  <c r="BA70" i="21"/>
  <c r="W270" i="21"/>
  <c r="BA72" i="21"/>
  <c r="P265" i="21"/>
  <c r="BA85" i="21"/>
  <c r="BA89" i="21"/>
  <c r="BA103" i="21"/>
  <c r="BA106" i="21"/>
  <c r="BA114" i="21"/>
  <c r="I230" i="21"/>
  <c r="I238" i="21"/>
  <c r="I229" i="21"/>
  <c r="AQ199" i="21"/>
  <c r="AP198" i="21"/>
  <c r="AP197" i="21" s="1"/>
  <c r="D369" i="21"/>
  <c r="D246" i="21"/>
  <c r="P369" i="21"/>
  <c r="P246" i="21"/>
  <c r="AB245" i="21"/>
  <c r="J370" i="21"/>
  <c r="J247" i="21"/>
  <c r="D372" i="21"/>
  <c r="D248" i="21"/>
  <c r="P372" i="21"/>
  <c r="P248" i="21"/>
  <c r="J377" i="21"/>
  <c r="J249" i="21"/>
  <c r="J283" i="21" s="1"/>
  <c r="J282" i="21" s="1"/>
  <c r="V376" i="21"/>
  <c r="V283" i="21"/>
  <c r="V282" i="21" s="1"/>
  <c r="AH376" i="21"/>
  <c r="AH283" i="21"/>
  <c r="AK377" i="21"/>
  <c r="D338" i="21"/>
  <c r="D257" i="21"/>
  <c r="P338" i="21"/>
  <c r="P257" i="21"/>
  <c r="AB338" i="21"/>
  <c r="AB257" i="21"/>
  <c r="J339" i="21"/>
  <c r="J258" i="21"/>
  <c r="V339" i="21"/>
  <c r="V258" i="21"/>
  <c r="AH339" i="21"/>
  <c r="AH258" i="21"/>
  <c r="D341" i="21"/>
  <c r="D259" i="21"/>
  <c r="P341" i="21"/>
  <c r="P259" i="21"/>
  <c r="AB341" i="21"/>
  <c r="AB259" i="21"/>
  <c r="AB266" i="21"/>
  <c r="D340" i="21"/>
  <c r="D269" i="21"/>
  <c r="D266" i="21" s="1"/>
  <c r="P340" i="21"/>
  <c r="AZ340" i="21" s="1"/>
  <c r="P269" i="21"/>
  <c r="P266" i="21" s="1"/>
  <c r="M376" i="21"/>
  <c r="M253" i="21"/>
  <c r="M278" i="21" s="1"/>
  <c r="M277" i="21" s="1"/>
  <c r="Y277" i="21"/>
  <c r="AK277" i="21"/>
  <c r="J281" i="21"/>
  <c r="V281" i="21"/>
  <c r="AH281" i="21"/>
  <c r="AW118" i="21"/>
  <c r="AM117" i="21"/>
  <c r="BA136" i="21"/>
  <c r="AO135" i="21"/>
  <c r="AR139" i="21"/>
  <c r="AR105" i="21" s="1"/>
  <c r="AR102" i="21" s="1"/>
  <c r="L229" i="21"/>
  <c r="L230" i="21"/>
  <c r="L238" i="21"/>
  <c r="X152" i="21"/>
  <c r="AJ152" i="21"/>
  <c r="S230" i="21"/>
  <c r="S238" i="21"/>
  <c r="S229" i="21"/>
  <c r="AE230" i="21"/>
  <c r="AE238" i="21"/>
  <c r="AE229" i="21"/>
  <c r="I29" i="62"/>
  <c r="J21" i="61"/>
  <c r="D229" i="21"/>
  <c r="D238" i="21"/>
  <c r="N230" i="21"/>
  <c r="N238" i="21"/>
  <c r="N229" i="21"/>
  <c r="Z152" i="21"/>
  <c r="E19" i="61"/>
  <c r="U152" i="21"/>
  <c r="U231" i="21" s="1"/>
  <c r="AG152" i="21"/>
  <c r="AG231" i="21" s="1"/>
  <c r="AN188" i="21"/>
  <c r="AO188" i="21" s="1"/>
  <c r="AP188" i="21" s="1"/>
  <c r="AQ188" i="21" s="1"/>
  <c r="AR188" i="21" s="1"/>
  <c r="AS188" i="21" s="1"/>
  <c r="AT188" i="21" s="1"/>
  <c r="AM186" i="21"/>
  <c r="AZ222" i="21"/>
  <c r="AY222" i="21"/>
  <c r="M377" i="21"/>
  <c r="M249" i="21"/>
  <c r="M283" i="21" s="1"/>
  <c r="M282" i="21" s="1"/>
  <c r="AK376" i="21"/>
  <c r="AK283" i="21"/>
  <c r="AK282" i="21" s="1"/>
  <c r="G338" i="21"/>
  <c r="G257" i="21"/>
  <c r="S338" i="21"/>
  <c r="S257" i="21"/>
  <c r="AE338" i="21"/>
  <c r="AE257" i="21"/>
  <c r="M339" i="21"/>
  <c r="M258" i="21"/>
  <c r="Y258" i="21"/>
  <c r="Y339" i="21"/>
  <c r="AK339" i="21"/>
  <c r="AK258" i="21"/>
  <c r="G341" i="21"/>
  <c r="G259" i="21"/>
  <c r="S341" i="21"/>
  <c r="S259" i="21"/>
  <c r="AE341" i="21"/>
  <c r="AE259" i="21"/>
  <c r="G266" i="21"/>
  <c r="G340" i="21"/>
  <c r="G269" i="21"/>
  <c r="BA84" i="21"/>
  <c r="O350" i="21"/>
  <c r="AA350" i="21"/>
  <c r="N354" i="21"/>
  <c r="Z354" i="21"/>
  <c r="AL354" i="21"/>
  <c r="BA115" i="21"/>
  <c r="AZ115" i="21"/>
  <c r="AY115" i="21"/>
  <c r="AU122" i="21"/>
  <c r="BA127" i="21"/>
  <c r="AZ127" i="21"/>
  <c r="AY127" i="21"/>
  <c r="BA145" i="21"/>
  <c r="I36" i="51"/>
  <c r="AQ147" i="21"/>
  <c r="F238" i="21"/>
  <c r="F229" i="21"/>
  <c r="O238" i="21"/>
  <c r="O229" i="21"/>
  <c r="O230" i="21"/>
  <c r="AA238" i="21"/>
  <c r="AA229" i="21"/>
  <c r="F19" i="61"/>
  <c r="H369" i="21"/>
  <c r="H246" i="21"/>
  <c r="T369" i="21"/>
  <c r="T245" i="21"/>
  <c r="T378" i="21" s="1"/>
  <c r="AF369" i="21"/>
  <c r="AF245" i="21"/>
  <c r="AF378" i="21" s="1"/>
  <c r="N370" i="21"/>
  <c r="N247" i="21"/>
  <c r="H372" i="21"/>
  <c r="H248" i="21"/>
  <c r="N377" i="21"/>
  <c r="N249" i="21"/>
  <c r="N283" i="21" s="1"/>
  <c r="N282" i="21" s="1"/>
  <c r="Z283" i="21"/>
  <c r="Z282" i="21" s="1"/>
  <c r="AL376" i="21"/>
  <c r="AL283" i="21"/>
  <c r="AL282" i="21" s="1"/>
  <c r="BA59" i="21"/>
  <c r="H338" i="21"/>
  <c r="H257" i="21"/>
  <c r="T338" i="21"/>
  <c r="T257" i="21"/>
  <c r="AF338" i="21"/>
  <c r="AF257" i="21"/>
  <c r="N339" i="21"/>
  <c r="N258" i="21"/>
  <c r="Z339" i="21"/>
  <c r="Z258" i="21"/>
  <c r="AL339" i="21"/>
  <c r="AL258" i="21"/>
  <c r="H341" i="21"/>
  <c r="H259" i="21"/>
  <c r="T341" i="21"/>
  <c r="T259" i="21"/>
  <c r="AF341" i="21"/>
  <c r="AF259" i="21"/>
  <c r="H266" i="21"/>
  <c r="T266" i="21"/>
  <c r="AF266" i="21"/>
  <c r="H340" i="21"/>
  <c r="H269" i="21"/>
  <c r="AR70" i="21"/>
  <c r="N281" i="21"/>
  <c r="Z281" i="21"/>
  <c r="AL281" i="21"/>
  <c r="N355" i="21"/>
  <c r="N323" i="21"/>
  <c r="Z355" i="21"/>
  <c r="Z323" i="21"/>
  <c r="AL355" i="21"/>
  <c r="AL323" i="21"/>
  <c r="D350" i="21"/>
  <c r="P350" i="21"/>
  <c r="AB350" i="21"/>
  <c r="H353" i="21"/>
  <c r="T353" i="21"/>
  <c r="AF353" i="21"/>
  <c r="O354" i="21"/>
  <c r="AA354" i="21"/>
  <c r="BA109" i="21"/>
  <c r="AT109" i="21"/>
  <c r="BC109" i="21" s="1"/>
  <c r="AZ110" i="21"/>
  <c r="AV122" i="21"/>
  <c r="AS129" i="21"/>
  <c r="BA134" i="21"/>
  <c r="AZ150" i="21"/>
  <c r="G19" i="61"/>
  <c r="D21" i="61"/>
  <c r="C29" i="62"/>
  <c r="AZ211" i="21"/>
  <c r="AY211" i="21"/>
  <c r="I369" i="21"/>
  <c r="I246" i="21"/>
  <c r="U369" i="21"/>
  <c r="U245" i="21"/>
  <c r="U378" i="21" s="1"/>
  <c r="AG369" i="21"/>
  <c r="AG245" i="21"/>
  <c r="AG378" i="21" s="1"/>
  <c r="O370" i="21"/>
  <c r="O247" i="21"/>
  <c r="I372" i="21"/>
  <c r="I248" i="21"/>
  <c r="O377" i="21"/>
  <c r="O249" i="21"/>
  <c r="O283" i="21" s="1"/>
  <c r="O282" i="21" s="1"/>
  <c r="AA283" i="21"/>
  <c r="AA282" i="21" s="1"/>
  <c r="R377" i="21"/>
  <c r="AD377" i="21"/>
  <c r="I338" i="21"/>
  <c r="I257" i="21"/>
  <c r="U257" i="21"/>
  <c r="U338" i="21"/>
  <c r="AG338" i="21"/>
  <c r="O339" i="21"/>
  <c r="O258" i="21"/>
  <c r="O256" i="21" s="1"/>
  <c r="O255" i="21" s="1"/>
  <c r="AA339" i="21"/>
  <c r="AA258" i="21"/>
  <c r="I341" i="21"/>
  <c r="I259" i="21"/>
  <c r="U341" i="21"/>
  <c r="U259" i="21"/>
  <c r="AG259" i="21"/>
  <c r="AG341" i="21"/>
  <c r="O286" i="21"/>
  <c r="U266" i="21"/>
  <c r="AG266" i="21"/>
  <c r="I340" i="21"/>
  <c r="I269" i="21"/>
  <c r="I266" i="21" s="1"/>
  <c r="AS70" i="21"/>
  <c r="O355" i="21"/>
  <c r="O323" i="21"/>
  <c r="AA355" i="21"/>
  <c r="AA323" i="21"/>
  <c r="N348" i="21"/>
  <c r="Z348" i="21"/>
  <c r="AL348" i="21"/>
  <c r="E350" i="21"/>
  <c r="Q350" i="21"/>
  <c r="AC350" i="21"/>
  <c r="I353" i="21"/>
  <c r="U353" i="21"/>
  <c r="AG353" i="21"/>
  <c r="D354" i="21"/>
  <c r="P354" i="21"/>
  <c r="AB354" i="21"/>
  <c r="AY114" i="21"/>
  <c r="AX113" i="21"/>
  <c r="AO113" i="21"/>
  <c r="AQ135" i="21"/>
  <c r="BA143" i="21"/>
  <c r="H19" i="61"/>
  <c r="L29" i="62"/>
  <c r="M21" i="61"/>
  <c r="C33" i="62"/>
  <c r="D22" i="61"/>
  <c r="J369" i="21"/>
  <c r="J246" i="21"/>
  <c r="V369" i="21"/>
  <c r="V245" i="21"/>
  <c r="V378" i="21" s="1"/>
  <c r="AH369" i="21"/>
  <c r="AH245" i="21"/>
  <c r="AH378" i="21" s="1"/>
  <c r="D370" i="21"/>
  <c r="D247" i="21"/>
  <c r="P370" i="21"/>
  <c r="P247" i="21"/>
  <c r="J372" i="21"/>
  <c r="J248" i="21"/>
  <c r="D377" i="21"/>
  <c r="D249" i="21"/>
  <c r="D283" i="21" s="1"/>
  <c r="P377" i="21"/>
  <c r="P249" i="21"/>
  <c r="P283" i="21" s="1"/>
  <c r="AB283" i="21"/>
  <c r="J338" i="21"/>
  <c r="J257" i="21"/>
  <c r="V338" i="21"/>
  <c r="V257" i="21"/>
  <c r="AH338" i="21"/>
  <c r="AH257" i="21"/>
  <c r="D339" i="21"/>
  <c r="D258" i="21"/>
  <c r="D256" i="21" s="1"/>
  <c r="P339" i="21"/>
  <c r="P258" i="21"/>
  <c r="AB339" i="21"/>
  <c r="AB258" i="21"/>
  <c r="J341" i="21"/>
  <c r="J259" i="21"/>
  <c r="V341" i="21"/>
  <c r="V259" i="21"/>
  <c r="AH259" i="21"/>
  <c r="AH341" i="21"/>
  <c r="D284" i="21"/>
  <c r="D286" i="21" s="1"/>
  <c r="P284" i="21"/>
  <c r="P286" i="21" s="1"/>
  <c r="AB284" i="21"/>
  <c r="AB286" i="21" s="1"/>
  <c r="V266" i="21"/>
  <c r="AH266" i="21"/>
  <c r="J340" i="21"/>
  <c r="J269" i="21"/>
  <c r="J266" i="21" s="1"/>
  <c r="G376" i="21"/>
  <c r="G253" i="21"/>
  <c r="G278" i="21" s="1"/>
  <c r="G277" i="21" s="1"/>
  <c r="D355" i="21"/>
  <c r="D323" i="21"/>
  <c r="P355" i="21"/>
  <c r="P323" i="21"/>
  <c r="AB355" i="21"/>
  <c r="AB323" i="21"/>
  <c r="H347" i="21"/>
  <c r="T347" i="21"/>
  <c r="AF347" i="21"/>
  <c r="O348" i="21"/>
  <c r="AA348" i="21"/>
  <c r="J353" i="21"/>
  <c r="V353" i="21"/>
  <c r="AH353" i="21"/>
  <c r="E354" i="21"/>
  <c r="Q354" i="21"/>
  <c r="AC354" i="21"/>
  <c r="BA102" i="21"/>
  <c r="AM112" i="21"/>
  <c r="AP113" i="21"/>
  <c r="AS122" i="21"/>
  <c r="AR135" i="21"/>
  <c r="BA139" i="21"/>
  <c r="BA146" i="21"/>
  <c r="BA147" i="21"/>
  <c r="BC175" i="21"/>
  <c r="AU175" i="21"/>
  <c r="AV175" i="21" s="1"/>
  <c r="AW175" i="21" s="1"/>
  <c r="AX175" i="21" s="1"/>
  <c r="AX185" i="21"/>
  <c r="AN184" i="21"/>
  <c r="L77" i="51"/>
  <c r="AU234" i="21"/>
  <c r="K369" i="21"/>
  <c r="K246" i="21"/>
  <c r="W369" i="21"/>
  <c r="W245" i="21"/>
  <c r="W378" i="21" s="1"/>
  <c r="AI369" i="21"/>
  <c r="AI245" i="21"/>
  <c r="AI378" i="21" s="1"/>
  <c r="E370" i="21"/>
  <c r="E247" i="21"/>
  <c r="BA55" i="21"/>
  <c r="K372" i="21"/>
  <c r="K248" i="21"/>
  <c r="E377" i="21"/>
  <c r="E249" i="21"/>
  <c r="E283" i="21" s="1"/>
  <c r="E282" i="21" s="1"/>
  <c r="AC376" i="21"/>
  <c r="AC283" i="21"/>
  <c r="AC282" i="21" s="1"/>
  <c r="BA57" i="21"/>
  <c r="T377" i="21"/>
  <c r="AF377" i="21"/>
  <c r="K338" i="21"/>
  <c r="K257" i="21"/>
  <c r="W338" i="21"/>
  <c r="W257" i="21"/>
  <c r="W256" i="21" s="1"/>
  <c r="W322" i="21" s="1"/>
  <c r="W324" i="21" s="1"/>
  <c r="AI338" i="21"/>
  <c r="AI257" i="21"/>
  <c r="E339" i="21"/>
  <c r="E258" i="21"/>
  <c r="E256" i="21" s="1"/>
  <c r="E255" i="21" s="1"/>
  <c r="Q339" i="21"/>
  <c r="Q258" i="21"/>
  <c r="AC339" i="21"/>
  <c r="AC258" i="21"/>
  <c r="BA62" i="21"/>
  <c r="K341" i="21"/>
  <c r="K259" i="21"/>
  <c r="W341" i="21"/>
  <c r="W259" i="21"/>
  <c r="AI341" i="21"/>
  <c r="AI259" i="21"/>
  <c r="BA64" i="21"/>
  <c r="E286" i="21"/>
  <c r="Q286" i="21"/>
  <c r="AC286" i="21"/>
  <c r="BA67" i="21"/>
  <c r="W266" i="21"/>
  <c r="AI266" i="21"/>
  <c r="BA69" i="21"/>
  <c r="K340" i="21"/>
  <c r="K269" i="21"/>
  <c r="K266" i="21" s="1"/>
  <c r="BA71" i="21"/>
  <c r="W274" i="21"/>
  <c r="W285" i="21" s="1"/>
  <c r="H376" i="21"/>
  <c r="H253" i="21"/>
  <c r="H278" i="21" s="1"/>
  <c r="H277" i="21" s="1"/>
  <c r="T277" i="21"/>
  <c r="AF277" i="21"/>
  <c r="E355" i="21"/>
  <c r="E323" i="21"/>
  <c r="Q355" i="21"/>
  <c r="Q323" i="21"/>
  <c r="AC355" i="21"/>
  <c r="AC323" i="21"/>
  <c r="I347" i="21"/>
  <c r="U347" i="21"/>
  <c r="AG347" i="21"/>
  <c r="D348" i="21"/>
  <c r="P348" i="21"/>
  <c r="AB348" i="21"/>
  <c r="H349" i="21"/>
  <c r="K353" i="21"/>
  <c r="W353" i="21"/>
  <c r="AI353" i="21"/>
  <c r="AZ106" i="21"/>
  <c r="AY110" i="21"/>
  <c r="BA117" i="21"/>
  <c r="BA125" i="21"/>
  <c r="AZ125" i="21"/>
  <c r="AY125" i="21"/>
  <c r="AQ129" i="21"/>
  <c r="AQ122" i="21" s="1"/>
  <c r="BA138" i="21"/>
  <c r="D289" i="21"/>
  <c r="D292" i="21" s="1"/>
  <c r="D328" i="21"/>
  <c r="D336" i="21" s="1"/>
  <c r="C5" i="14"/>
  <c r="P328" i="21"/>
  <c r="P321" i="21"/>
  <c r="P289" i="21"/>
  <c r="P292" i="21" s="1"/>
  <c r="AB328" i="21"/>
  <c r="AB321" i="21"/>
  <c r="AB289" i="21"/>
  <c r="AB292" i="21" s="1"/>
  <c r="C6" i="14"/>
  <c r="P290" i="21"/>
  <c r="C7" i="14"/>
  <c r="P291" i="21"/>
  <c r="D19" i="61"/>
  <c r="AX187" i="21"/>
  <c r="AN186" i="21"/>
  <c r="G21" i="61"/>
  <c r="F29" i="62"/>
  <c r="I33" i="62"/>
  <c r="J22" i="61"/>
  <c r="E385" i="21"/>
  <c r="E239" i="21"/>
  <c r="E243" i="21" s="1"/>
  <c r="Q385" i="21"/>
  <c r="Q239" i="21"/>
  <c r="AC385" i="21"/>
  <c r="L369" i="21"/>
  <c r="L246" i="21"/>
  <c r="X245" i="21"/>
  <c r="AJ369" i="21"/>
  <c r="AJ245" i="21"/>
  <c r="AJ378" i="21" s="1"/>
  <c r="F370" i="21"/>
  <c r="F247" i="21"/>
  <c r="L372" i="21"/>
  <c r="L248" i="21"/>
  <c r="F377" i="21"/>
  <c r="F249" i="21"/>
  <c r="F283" i="21" s="1"/>
  <c r="R376" i="21"/>
  <c r="R283" i="21"/>
  <c r="AD376" i="21"/>
  <c r="AD283" i="21"/>
  <c r="U377" i="21"/>
  <c r="AG377" i="21"/>
  <c r="L338" i="21"/>
  <c r="L257" i="21"/>
  <c r="X338" i="21"/>
  <c r="X257" i="21"/>
  <c r="AJ338" i="21"/>
  <c r="AJ257" i="21"/>
  <c r="F339" i="21"/>
  <c r="F258" i="21"/>
  <c r="F256" i="21" s="1"/>
  <c r="F255" i="21" s="1"/>
  <c r="R339" i="21"/>
  <c r="R258" i="21"/>
  <c r="AD339" i="21"/>
  <c r="AD258" i="21"/>
  <c r="L341" i="21"/>
  <c r="L259" i="21"/>
  <c r="X341" i="21"/>
  <c r="X259" i="21"/>
  <c r="AJ341" i="21"/>
  <c r="AJ259" i="21"/>
  <c r="F284" i="21"/>
  <c r="F286" i="21" s="1"/>
  <c r="R284" i="21"/>
  <c r="R286" i="21" s="1"/>
  <c r="AD284" i="21"/>
  <c r="AD286" i="21" s="1"/>
  <c r="L266" i="21"/>
  <c r="X266" i="21"/>
  <c r="AJ266" i="21"/>
  <c r="L269" i="21"/>
  <c r="L340" i="21"/>
  <c r="I376" i="21"/>
  <c r="I253" i="21"/>
  <c r="I278" i="21" s="1"/>
  <c r="I277" i="21" s="1"/>
  <c r="U277" i="21"/>
  <c r="AG277" i="21"/>
  <c r="J347" i="21"/>
  <c r="V347" i="21"/>
  <c r="AH347" i="21"/>
  <c r="E348" i="21"/>
  <c r="Q348" i="21"/>
  <c r="AC348" i="21"/>
  <c r="I349" i="21"/>
  <c r="AR129" i="21"/>
  <c r="AR122" i="21" s="1"/>
  <c r="BA133" i="21"/>
  <c r="AZ133" i="21"/>
  <c r="AY133" i="21"/>
  <c r="BA141" i="21"/>
  <c r="BA150" i="21"/>
  <c r="AB230" i="21"/>
  <c r="AB229" i="21"/>
  <c r="AB238" i="21"/>
  <c r="J19" i="61"/>
  <c r="AO186" i="21"/>
  <c r="AS186" i="21"/>
  <c r="B42" i="51"/>
  <c r="B48" i="51"/>
  <c r="B33" i="51"/>
  <c r="M369" i="21"/>
  <c r="M246" i="21"/>
  <c r="M245" i="21" s="1"/>
  <c r="Y245" i="21"/>
  <c r="AK369" i="21"/>
  <c r="AK245" i="21"/>
  <c r="AK378" i="21" s="1"/>
  <c r="G370" i="21"/>
  <c r="G247" i="21"/>
  <c r="M372" i="21"/>
  <c r="M248" i="21"/>
  <c r="G377" i="21"/>
  <c r="G249" i="21"/>
  <c r="G283" i="21" s="1"/>
  <c r="G282" i="21" s="1"/>
  <c r="S376" i="21"/>
  <c r="S283" i="21"/>
  <c r="S282" i="21" s="1"/>
  <c r="AE376" i="21"/>
  <c r="AE283" i="21"/>
  <c r="AE282" i="21" s="1"/>
  <c r="V377" i="21"/>
  <c r="AH377" i="21"/>
  <c r="M338" i="21"/>
  <c r="M257" i="21"/>
  <c r="Y338" i="21"/>
  <c r="Y257" i="21"/>
  <c r="AK257" i="21"/>
  <c r="AK338" i="21"/>
  <c r="G339" i="21"/>
  <c r="G258" i="21"/>
  <c r="G256" i="21" s="1"/>
  <c r="G255" i="21" s="1"/>
  <c r="S339" i="21"/>
  <c r="S258" i="21"/>
  <c r="AE339" i="21"/>
  <c r="AE258" i="21"/>
  <c r="M341" i="21"/>
  <c r="M259" i="21"/>
  <c r="Y341" i="21"/>
  <c r="Y259" i="21"/>
  <c r="AK341" i="21"/>
  <c r="AK259" i="21"/>
  <c r="G286" i="21"/>
  <c r="S286" i="21"/>
  <c r="AE286" i="21"/>
  <c r="Y266" i="21"/>
  <c r="AK266" i="21"/>
  <c r="M340" i="21"/>
  <c r="M269" i="21"/>
  <c r="M266" i="21" s="1"/>
  <c r="J376" i="21"/>
  <c r="J253" i="21"/>
  <c r="J278" i="21" s="1"/>
  <c r="J277" i="21" s="1"/>
  <c r="V277" i="21"/>
  <c r="AH277" i="21"/>
  <c r="G281" i="21"/>
  <c r="S281" i="21"/>
  <c r="BA86" i="21"/>
  <c r="K347" i="21"/>
  <c r="W347" i="21"/>
  <c r="AI347" i="21"/>
  <c r="J349" i="21"/>
  <c r="BA95" i="21"/>
  <c r="BA100" i="21"/>
  <c r="AZ114" i="21"/>
  <c r="AZ126" i="21"/>
  <c r="AT129" i="21"/>
  <c r="BC129" i="21" s="1"/>
  <c r="BA132" i="21"/>
  <c r="BA135" i="21"/>
  <c r="BA140" i="21"/>
  <c r="BA144" i="21"/>
  <c r="BA151" i="21"/>
  <c r="F289" i="21"/>
  <c r="F292" i="21" s="1"/>
  <c r="F328" i="21"/>
  <c r="R328" i="21"/>
  <c r="R289" i="21"/>
  <c r="R292" i="21" s="1"/>
  <c r="R321" i="21"/>
  <c r="AD289" i="21"/>
  <c r="AD328" i="21"/>
  <c r="AD321" i="21"/>
  <c r="AD290" i="21"/>
  <c r="P169" i="21"/>
  <c r="AT186" i="21"/>
  <c r="BC186" i="21" s="1"/>
  <c r="H29" i="62"/>
  <c r="I21" i="61"/>
  <c r="E229" i="21"/>
  <c r="AG257" i="21"/>
  <c r="AG256" i="21" s="1"/>
  <c r="AG255" i="21" s="1"/>
  <c r="N369" i="21"/>
  <c r="N246" i="21"/>
  <c r="N245" i="21" s="1"/>
  <c r="Z245" i="21"/>
  <c r="AL369" i="21"/>
  <c r="AL245" i="21"/>
  <c r="AL378" i="21" s="1"/>
  <c r="H370" i="21"/>
  <c r="H247" i="21"/>
  <c r="N372" i="21"/>
  <c r="N248" i="21"/>
  <c r="H377" i="21"/>
  <c r="H249" i="21"/>
  <c r="H283" i="21" s="1"/>
  <c r="H282" i="21" s="1"/>
  <c r="T376" i="21"/>
  <c r="T283" i="21"/>
  <c r="T282" i="21" s="1"/>
  <c r="AF376" i="21"/>
  <c r="AF283" i="21"/>
  <c r="AF282" i="21" s="1"/>
  <c r="W377" i="21"/>
  <c r="AI377" i="21"/>
  <c r="N338" i="21"/>
  <c r="N257" i="21"/>
  <c r="Z338" i="21"/>
  <c r="Z257" i="21"/>
  <c r="Z256" i="21" s="1"/>
  <c r="Z255" i="21" s="1"/>
  <c r="AL257" i="21"/>
  <c r="AL338" i="21"/>
  <c r="H339" i="21"/>
  <c r="H258" i="21"/>
  <c r="H256" i="21" s="1"/>
  <c r="H255" i="21" s="1"/>
  <c r="T339" i="21"/>
  <c r="T258" i="21"/>
  <c r="AF339" i="21"/>
  <c r="AF258" i="21"/>
  <c r="N341" i="21"/>
  <c r="N259" i="21"/>
  <c r="Z341" i="21"/>
  <c r="Z259" i="21"/>
  <c r="AL341" i="21"/>
  <c r="AL259" i="21"/>
  <c r="Z266" i="21"/>
  <c r="AL266" i="21"/>
  <c r="N340" i="21"/>
  <c r="N269" i="21"/>
  <c r="N266" i="21" s="1"/>
  <c r="AX70" i="21"/>
  <c r="BA75" i="21"/>
  <c r="K376" i="21"/>
  <c r="K253" i="21"/>
  <c r="K278" i="21" s="1"/>
  <c r="K277" i="21" s="1"/>
  <c r="W277" i="21"/>
  <c r="AI277" i="21"/>
  <c r="H281" i="21"/>
  <c r="T281" i="21"/>
  <c r="AF281" i="21"/>
  <c r="K349" i="21"/>
  <c r="BA97" i="21"/>
  <c r="BA111" i="21"/>
  <c r="AQ113" i="21"/>
  <c r="AW122" i="21"/>
  <c r="AM122" i="21"/>
  <c r="BA129" i="21"/>
  <c r="AU144" i="21"/>
  <c r="AV144" i="21" s="1"/>
  <c r="AW144" i="21" s="1"/>
  <c r="AX144" i="21" s="1"/>
  <c r="BC144" i="21"/>
  <c r="BA148" i="21"/>
  <c r="BA149" i="21"/>
  <c r="J152" i="21"/>
  <c r="V152" i="21"/>
  <c r="AH152" i="21"/>
  <c r="Q230" i="21"/>
  <c r="Q238" i="21"/>
  <c r="Q229" i="21"/>
  <c r="AC230" i="21"/>
  <c r="AC238" i="21"/>
  <c r="AC229" i="21"/>
  <c r="AM180" i="21"/>
  <c r="L33" i="62"/>
  <c r="M22" i="61"/>
  <c r="AZ202" i="21"/>
  <c r="AY202" i="21"/>
  <c r="AA230" i="21"/>
  <c r="E289" i="21"/>
  <c r="E292" i="21" s="1"/>
  <c r="E328" i="21"/>
  <c r="Q328" i="21"/>
  <c r="Q321" i="21"/>
  <c r="Q289" i="21"/>
  <c r="Q292" i="21" s="1"/>
  <c r="AC328" i="21"/>
  <c r="AC321" i="21"/>
  <c r="AC289" i="21"/>
  <c r="AC292" i="21" s="1"/>
  <c r="M29" i="62"/>
  <c r="N21" i="61"/>
  <c r="E22" i="61"/>
  <c r="D33" i="62"/>
  <c r="M33" i="62"/>
  <c r="N22" i="61"/>
  <c r="AM214" i="21"/>
  <c r="AM213" i="21" s="1"/>
  <c r="AN215" i="21"/>
  <c r="O21" i="61"/>
  <c r="N29" i="62"/>
  <c r="AZ189" i="21"/>
  <c r="E33" i="62"/>
  <c r="F22" i="61"/>
  <c r="AZ217" i="21"/>
  <c r="AY217" i="21"/>
  <c r="E15" i="51"/>
  <c r="E14" i="51" s="1"/>
  <c r="D26" i="61"/>
  <c r="F355" i="21"/>
  <c r="F323" i="21"/>
  <c r="R355" i="21"/>
  <c r="R323" i="21"/>
  <c r="AD355" i="21"/>
  <c r="AD323" i="21"/>
  <c r="L347" i="21"/>
  <c r="X347" i="21"/>
  <c r="AJ347" i="21"/>
  <c r="F348" i="21"/>
  <c r="R348" i="21"/>
  <c r="AD348" i="21"/>
  <c r="L349" i="21"/>
  <c r="F350" i="21"/>
  <c r="R350" i="21"/>
  <c r="AD350" i="21"/>
  <c r="L353" i="21"/>
  <c r="X353" i="21"/>
  <c r="AJ353" i="21"/>
  <c r="F354" i="21"/>
  <c r="R354" i="21"/>
  <c r="AD354" i="21"/>
  <c r="G238" i="21"/>
  <c r="G243" i="21" s="1"/>
  <c r="G229" i="21"/>
  <c r="G328" i="21"/>
  <c r="G289" i="21"/>
  <c r="G292" i="21" s="1"/>
  <c r="S328" i="21"/>
  <c r="S321" i="21"/>
  <c r="S289" i="21"/>
  <c r="S292" i="21" s="1"/>
  <c r="AE328" i="21"/>
  <c r="AE321" i="21"/>
  <c r="AE289" i="21"/>
  <c r="AE292" i="21" s="1"/>
  <c r="AY189" i="21"/>
  <c r="AY190" i="21"/>
  <c r="F33" i="62"/>
  <c r="G22" i="61"/>
  <c r="AY193" i="21"/>
  <c r="H239" i="21"/>
  <c r="T385" i="21"/>
  <c r="T239" i="21"/>
  <c r="AF385" i="21"/>
  <c r="A7" i="51"/>
  <c r="A25" i="61"/>
  <c r="V242" i="21"/>
  <c r="G355" i="21"/>
  <c r="G323" i="21"/>
  <c r="S355" i="21"/>
  <c r="S323" i="21"/>
  <c r="AE355" i="21"/>
  <c r="AE323" i="21"/>
  <c r="M347" i="21"/>
  <c r="Y347" i="21"/>
  <c r="AK347" i="21"/>
  <c r="G348" i="21"/>
  <c r="S348" i="21"/>
  <c r="AE348" i="21"/>
  <c r="M349" i="21"/>
  <c r="G350" i="21"/>
  <c r="S350" i="21"/>
  <c r="AE350" i="21"/>
  <c r="M353" i="21"/>
  <c r="Y353" i="21"/>
  <c r="AK353" i="21"/>
  <c r="G354" i="21"/>
  <c r="S354" i="21"/>
  <c r="AE354" i="21"/>
  <c r="D13" i="61"/>
  <c r="AX111" i="21"/>
  <c r="AX109" i="21" s="1"/>
  <c r="H238" i="21"/>
  <c r="H243" i="21" s="1"/>
  <c r="H229" i="21"/>
  <c r="H289" i="21"/>
  <c r="H292" i="21" s="1"/>
  <c r="H328" i="21"/>
  <c r="T289" i="21"/>
  <c r="T292" i="21" s="1"/>
  <c r="T321" i="21"/>
  <c r="T328" i="21"/>
  <c r="AF289" i="21"/>
  <c r="AF292" i="21" s="1"/>
  <c r="AF328" i="21"/>
  <c r="AF321" i="21"/>
  <c r="AR168" i="21"/>
  <c r="AR167" i="21" s="1"/>
  <c r="AZ190" i="21"/>
  <c r="BC191" i="21"/>
  <c r="AT190" i="21"/>
  <c r="G33" i="62"/>
  <c r="H22" i="61"/>
  <c r="J242" i="21"/>
  <c r="D317" i="21"/>
  <c r="D315" i="21"/>
  <c r="D318" i="21"/>
  <c r="H355" i="21"/>
  <c r="H323" i="21"/>
  <c r="T355" i="21"/>
  <c r="T323" i="21"/>
  <c r="AF355" i="21"/>
  <c r="AF323" i="21"/>
  <c r="N347" i="21"/>
  <c r="Z347" i="21"/>
  <c r="AL347" i="21"/>
  <c r="H348" i="21"/>
  <c r="T348" i="21"/>
  <c r="AF348" i="21"/>
  <c r="N349" i="21"/>
  <c r="H350" i="21"/>
  <c r="T350" i="21"/>
  <c r="AF350" i="21"/>
  <c r="N353" i="21"/>
  <c r="Z353" i="21"/>
  <c r="AL353" i="21"/>
  <c r="H354" i="21"/>
  <c r="T354" i="21"/>
  <c r="AF354" i="21"/>
  <c r="B50" i="51"/>
  <c r="B35" i="51"/>
  <c r="I289" i="21"/>
  <c r="I292" i="21" s="1"/>
  <c r="I328" i="21"/>
  <c r="U289" i="21"/>
  <c r="U292" i="21" s="1"/>
  <c r="U321" i="21"/>
  <c r="U328" i="21"/>
  <c r="AG289" i="21"/>
  <c r="AG292" i="21" s="1"/>
  <c r="AG328" i="21"/>
  <c r="AG321" i="21"/>
  <c r="AY179" i="21"/>
  <c r="H33" i="62"/>
  <c r="I22" i="61"/>
  <c r="AS205" i="21"/>
  <c r="AM206" i="21"/>
  <c r="AM204" i="21" s="1"/>
  <c r="AN207" i="21"/>
  <c r="I323" i="21"/>
  <c r="I355" i="21"/>
  <c r="U323" i="21"/>
  <c r="U355" i="21"/>
  <c r="AG323" i="21"/>
  <c r="AG355" i="21"/>
  <c r="O347" i="21"/>
  <c r="AA347" i="21"/>
  <c r="I348" i="21"/>
  <c r="U348" i="21"/>
  <c r="AG348" i="21"/>
  <c r="O349" i="21"/>
  <c r="I350" i="21"/>
  <c r="U350" i="21"/>
  <c r="AG350" i="21"/>
  <c r="O353" i="21"/>
  <c r="AA353" i="21"/>
  <c r="I354" i="21"/>
  <c r="U354" i="21"/>
  <c r="AG354" i="21"/>
  <c r="AN121" i="21"/>
  <c r="AZ149" i="21"/>
  <c r="AZ151" i="21"/>
  <c r="J328" i="21"/>
  <c r="J289" i="21"/>
  <c r="J292" i="21" s="1"/>
  <c r="V328" i="21"/>
  <c r="V321" i="21"/>
  <c r="V289" i="21"/>
  <c r="V292" i="21" s="1"/>
  <c r="AH328" i="21"/>
  <c r="AH321" i="21"/>
  <c r="AH289" i="21"/>
  <c r="AH292" i="21" s="1"/>
  <c r="AT168" i="21"/>
  <c r="AZ179" i="21"/>
  <c r="AM198" i="21"/>
  <c r="AM197" i="21" s="1"/>
  <c r="AY200" i="21"/>
  <c r="BC209" i="21"/>
  <c r="BC211" i="21"/>
  <c r="BA216" i="21"/>
  <c r="AY216" i="21"/>
  <c r="F15" i="51"/>
  <c r="F14" i="51" s="1"/>
  <c r="E26" i="61"/>
  <c r="AH285" i="21"/>
  <c r="AH286" i="21" s="1"/>
  <c r="D376" i="21"/>
  <c r="D253" i="21"/>
  <c r="D278" i="21" s="1"/>
  <c r="D277" i="21" s="1"/>
  <c r="J323" i="21"/>
  <c r="J355" i="21"/>
  <c r="V323" i="21"/>
  <c r="V355" i="21"/>
  <c r="AH323" i="21"/>
  <c r="AH355" i="21"/>
  <c r="D347" i="21"/>
  <c r="P347" i="21"/>
  <c r="AB347" i="21"/>
  <c r="J348" i="21"/>
  <c r="V348" i="21"/>
  <c r="AH348" i="21"/>
  <c r="D349" i="21"/>
  <c r="P349" i="21"/>
  <c r="AZ349" i="21" s="1"/>
  <c r="AZ94" i="21"/>
  <c r="J350" i="21"/>
  <c r="V350" i="21"/>
  <c r="AH350" i="21"/>
  <c r="D353" i="21"/>
  <c r="P353" i="21"/>
  <c r="AB353" i="21"/>
  <c r="J354" i="21"/>
  <c r="V354" i="21"/>
  <c r="AH354" i="21"/>
  <c r="AU110" i="21"/>
  <c r="AU109" i="21" s="1"/>
  <c r="AO111" i="21"/>
  <c r="AO109" i="21" s="1"/>
  <c r="AO147" i="21"/>
  <c r="K328" i="21"/>
  <c r="K289" i="21"/>
  <c r="K292" i="21" s="1"/>
  <c r="W328" i="21"/>
  <c r="W321" i="21"/>
  <c r="W289" i="21"/>
  <c r="W292" i="21" s="1"/>
  <c r="AI328" i="21"/>
  <c r="AI321" i="21"/>
  <c r="AI289" i="21"/>
  <c r="AI292" i="21" s="1"/>
  <c r="AU168" i="21"/>
  <c r="AU167" i="21" s="1"/>
  <c r="E21" i="61"/>
  <c r="D29" i="62"/>
  <c r="AN198" i="21"/>
  <c r="AN197" i="21" s="1"/>
  <c r="AZ200" i="21"/>
  <c r="AO220" i="21"/>
  <c r="AP221" i="21"/>
  <c r="Z242" i="21"/>
  <c r="E376" i="21"/>
  <c r="E253" i="21"/>
  <c r="E278" i="21" s="1"/>
  <c r="E277" i="21" s="1"/>
  <c r="BA76" i="21"/>
  <c r="BA78" i="21"/>
  <c r="BA80" i="21"/>
  <c r="BA82" i="21"/>
  <c r="BA88" i="21"/>
  <c r="K355" i="21"/>
  <c r="K323" i="21"/>
  <c r="W355" i="21"/>
  <c r="W323" i="21"/>
  <c r="AI355" i="21"/>
  <c r="AI323" i="21"/>
  <c r="E347" i="21"/>
  <c r="Q347" i="21"/>
  <c r="AC347" i="21"/>
  <c r="BA92" i="21"/>
  <c r="K348" i="21"/>
  <c r="W348" i="21"/>
  <c r="AI348" i="21"/>
  <c r="E349" i="21"/>
  <c r="BA94" i="21"/>
  <c r="K350" i="21"/>
  <c r="W350" i="21"/>
  <c r="AI350" i="21"/>
  <c r="E353" i="21"/>
  <c r="Q353" i="21"/>
  <c r="AC353" i="21"/>
  <c r="BA96" i="21"/>
  <c r="K354" i="21"/>
  <c r="W354" i="21"/>
  <c r="AI354" i="21"/>
  <c r="AV110" i="21"/>
  <c r="AV109" i="21" s="1"/>
  <c r="AP111" i="21"/>
  <c r="AP109" i="21" s="1"/>
  <c r="L328" i="21"/>
  <c r="L289" i="21"/>
  <c r="L292" i="21" s="1"/>
  <c r="X328" i="21"/>
  <c r="X321" i="21"/>
  <c r="X289" i="21"/>
  <c r="X292" i="21" s="1"/>
  <c r="AJ328" i="21"/>
  <c r="AJ321" i="21"/>
  <c r="AJ289" i="21"/>
  <c r="AJ292" i="21" s="1"/>
  <c r="AV168" i="21"/>
  <c r="AV167" i="21" s="1"/>
  <c r="E29" i="62"/>
  <c r="F21" i="61"/>
  <c r="AX192" i="21"/>
  <c r="AO198" i="21"/>
  <c r="AO197" i="21" s="1"/>
  <c r="AZ209" i="21"/>
  <c r="AY209" i="21"/>
  <c r="N242" i="21"/>
  <c r="F376" i="21"/>
  <c r="F253" i="21"/>
  <c r="F278" i="21" s="1"/>
  <c r="F277" i="21" s="1"/>
  <c r="L355" i="21"/>
  <c r="L323" i="21"/>
  <c r="X355" i="21"/>
  <c r="AJ355" i="21"/>
  <c r="AJ323" i="21"/>
  <c r="F347" i="21"/>
  <c r="R347" i="21"/>
  <c r="AD347" i="21"/>
  <c r="L348" i="21"/>
  <c r="X348" i="21"/>
  <c r="AJ348" i="21"/>
  <c r="F349" i="21"/>
  <c r="L350" i="21"/>
  <c r="X350" i="21"/>
  <c r="AJ350" i="21"/>
  <c r="F353" i="21"/>
  <c r="R353" i="21"/>
  <c r="AD353" i="21"/>
  <c r="L354" i="21"/>
  <c r="X354" i="21"/>
  <c r="AJ354" i="21"/>
  <c r="AW110" i="21"/>
  <c r="AW109" i="21" s="1"/>
  <c r="AQ111" i="21"/>
  <c r="AQ109" i="21" s="1"/>
  <c r="AQ102" i="21" s="1"/>
  <c r="M328" i="21"/>
  <c r="M289" i="21"/>
  <c r="M292" i="21" s="1"/>
  <c r="Y328" i="21"/>
  <c r="Y336" i="21" s="1"/>
  <c r="Y321" i="21"/>
  <c r="Y289" i="21"/>
  <c r="Y292" i="21" s="1"/>
  <c r="AK328" i="21"/>
  <c r="AK336" i="21" s="1"/>
  <c r="AK321" i="21"/>
  <c r="AK289" i="21"/>
  <c r="AK292" i="21" s="1"/>
  <c r="AW168" i="21"/>
  <c r="AW167" i="21" s="1"/>
  <c r="R234" i="21"/>
  <c r="AN234" i="21"/>
  <c r="F77" i="51" s="1"/>
  <c r="M355" i="21"/>
  <c r="M323" i="21"/>
  <c r="Y355" i="21"/>
  <c r="Y323" i="21"/>
  <c r="AK355" i="21"/>
  <c r="AK323" i="21"/>
  <c r="G347" i="21"/>
  <c r="S347" i="21"/>
  <c r="AE347" i="21"/>
  <c r="M348" i="21"/>
  <c r="Y348" i="21"/>
  <c r="AK348" i="21"/>
  <c r="G349" i="21"/>
  <c r="M350" i="21"/>
  <c r="Y350" i="21"/>
  <c r="AK350" i="21"/>
  <c r="G353" i="21"/>
  <c r="S353" i="21"/>
  <c r="AE353" i="21"/>
  <c r="M354" i="21"/>
  <c r="Y354" i="21"/>
  <c r="AK354" i="21"/>
  <c r="D14" i="61"/>
  <c r="D15" i="61"/>
  <c r="AR147" i="21"/>
  <c r="AL152" i="21"/>
  <c r="AL231" i="21" s="1"/>
  <c r="N328" i="21"/>
  <c r="N289" i="21"/>
  <c r="N292" i="21" s="1"/>
  <c r="Z328" i="21"/>
  <c r="Z321" i="21"/>
  <c r="Z289" i="21"/>
  <c r="Z292" i="21" s="1"/>
  <c r="C13" i="14"/>
  <c r="AL328" i="21"/>
  <c r="AL289" i="21"/>
  <c r="AL321" i="21"/>
  <c r="C14" i="14"/>
  <c r="AL290" i="21"/>
  <c r="C15" i="14"/>
  <c r="AL291" i="21"/>
  <c r="AX168" i="21"/>
  <c r="G29" i="62"/>
  <c r="H21" i="61"/>
  <c r="BC193" i="21"/>
  <c r="AT192" i="21"/>
  <c r="L22" i="61" s="1"/>
  <c r="AY210" i="21"/>
  <c r="Q235" i="21"/>
  <c r="AS147" i="21"/>
  <c r="O328" i="21"/>
  <c r="O336" i="21" s="1"/>
  <c r="O289" i="21"/>
  <c r="O292" i="21" s="1"/>
  <c r="AA328" i="21"/>
  <c r="AA336" i="21" s="1"/>
  <c r="AA321" i="21"/>
  <c r="AA289" i="21"/>
  <c r="AA292" i="21" s="1"/>
  <c r="K33" i="62"/>
  <c r="AY208" i="21"/>
  <c r="D385" i="21"/>
  <c r="M366" i="21"/>
  <c r="L366" i="21"/>
  <c r="K366" i="21"/>
  <c r="J366" i="21"/>
  <c r="I366" i="21"/>
  <c r="P366" i="21"/>
  <c r="O366" i="21"/>
  <c r="N366" i="21"/>
  <c r="D239" i="21"/>
  <c r="AK366" i="21"/>
  <c r="AJ366" i="21"/>
  <c r="AI366" i="21"/>
  <c r="AH366" i="21"/>
  <c r="AG366" i="21"/>
  <c r="AF366" i="21"/>
  <c r="AE366" i="21"/>
  <c r="AD366" i="21"/>
  <c r="AC366" i="21"/>
  <c r="AL366" i="21"/>
  <c r="BA225" i="21"/>
  <c r="P239" i="21"/>
  <c r="BA224" i="21"/>
  <c r="AB239" i="21"/>
  <c r="AQ219" i="21"/>
  <c r="AP218" i="21"/>
  <c r="BC222" i="21"/>
  <c r="X323" i="21"/>
  <c r="AK318" i="21"/>
  <c r="AK317" i="21"/>
  <c r="AK315" i="21"/>
  <c r="O318" i="21"/>
  <c r="O317" i="21"/>
  <c r="O315" i="21"/>
  <c r="AL317" i="21"/>
  <c r="AG318" i="21"/>
  <c r="AG317" i="21"/>
  <c r="AG315" i="21"/>
  <c r="R385" i="21"/>
  <c r="AD385" i="21"/>
  <c r="AO224" i="21"/>
  <c r="S385" i="21"/>
  <c r="AE385" i="21"/>
  <c r="E315" i="21"/>
  <c r="E318" i="21"/>
  <c r="E317" i="21"/>
  <c r="AL312" i="21"/>
  <c r="I385" i="21"/>
  <c r="U385" i="21"/>
  <c r="AG385" i="21"/>
  <c r="B7" i="51"/>
  <c r="B25" i="61"/>
  <c r="I318" i="21"/>
  <c r="I317" i="21"/>
  <c r="I315" i="21"/>
  <c r="K317" i="21"/>
  <c r="AZ195" i="21"/>
  <c r="V385" i="21"/>
  <c r="AH385" i="21"/>
  <c r="D6" i="51"/>
  <c r="H317" i="21"/>
  <c r="AE318" i="21"/>
  <c r="AE317" i="21"/>
  <c r="AE315" i="21"/>
  <c r="J318" i="21"/>
  <c r="J315" i="21"/>
  <c r="J317" i="21"/>
  <c r="L318" i="21"/>
  <c r="L317" i="21"/>
  <c r="L315" i="21"/>
  <c r="W385" i="21"/>
  <c r="AI385" i="21"/>
  <c r="F239" i="21"/>
  <c r="R239" i="21"/>
  <c r="AJ385" i="21"/>
  <c r="G239" i="21"/>
  <c r="S239" i="21"/>
  <c r="AK385" i="21"/>
  <c r="M318" i="21"/>
  <c r="M317" i="21"/>
  <c r="M315" i="21"/>
  <c r="AF318" i="21"/>
  <c r="AF315" i="21"/>
  <c r="AL385" i="21"/>
  <c r="I239" i="21"/>
  <c r="U239" i="21"/>
  <c r="AI317" i="21"/>
  <c r="J239" i="21"/>
  <c r="V239" i="21"/>
  <c r="AJ318" i="21"/>
  <c r="AJ317" i="21"/>
  <c r="AJ315" i="21"/>
  <c r="AF317" i="21"/>
  <c r="K312" i="21"/>
  <c r="K313" i="21" s="1"/>
  <c r="K315" i="21" s="1"/>
  <c r="G317" i="21"/>
  <c r="N318" i="21"/>
  <c r="N317" i="21"/>
  <c r="N315" i="21"/>
  <c r="AH318" i="21"/>
  <c r="AH317" i="21"/>
  <c r="AE311" i="21"/>
  <c r="AH315" i="21"/>
  <c r="F317" i="21"/>
  <c r="AD311" i="21"/>
  <c r="AY307" i="21"/>
  <c r="AZ308" i="21"/>
  <c r="O24" i="32"/>
  <c r="N24" i="32"/>
  <c r="D312" i="21"/>
  <c r="D313" i="21" s="1"/>
  <c r="G311" i="21"/>
  <c r="AJ311" i="21"/>
  <c r="AC312" i="21"/>
  <c r="AC313" i="21" s="1"/>
  <c r="H311" i="21"/>
  <c r="F312" i="21"/>
  <c r="F313" i="21" s="1"/>
  <c r="F315" i="21" s="1"/>
  <c r="AI312" i="21"/>
  <c r="AC297" i="21"/>
  <c r="AC299" i="21" s="1"/>
  <c r="I311" i="21"/>
  <c r="G312" i="21"/>
  <c r="G313" i="21" s="1"/>
  <c r="G315" i="21" s="1"/>
  <c r="AD315" i="21"/>
  <c r="AD318" i="21"/>
  <c r="H312" i="21"/>
  <c r="H313" i="21" s="1"/>
  <c r="H315" i="21" s="1"/>
  <c r="F311" i="21"/>
  <c r="P20" i="32"/>
  <c r="K52" i="32"/>
  <c r="J52" i="32"/>
  <c r="H41" i="32"/>
  <c r="O23" i="32"/>
  <c r="O21" i="32" s="1"/>
  <c r="O20" i="32" s="1"/>
  <c r="N23" i="32"/>
  <c r="N26" i="32"/>
  <c r="M26" i="32"/>
  <c r="BU46" i="32"/>
  <c r="BS46" i="32"/>
  <c r="BR46" i="32"/>
  <c r="O55" i="32"/>
  <c r="N55" i="32"/>
  <c r="BF55" i="32"/>
  <c r="BE55" i="32"/>
  <c r="BD55" i="32"/>
  <c r="BC55" i="32"/>
  <c r="BB55" i="32"/>
  <c r="BA55" i="32"/>
  <c r="AZ55" i="32"/>
  <c r="AY55" i="32"/>
  <c r="BI55" i="32"/>
  <c r="BH55" i="32"/>
  <c r="BJ55" i="32"/>
  <c r="BG55" i="32"/>
  <c r="J9" i="32"/>
  <c r="J8" i="32" s="1"/>
  <c r="BB31" i="32"/>
  <c r="H44" i="32"/>
  <c r="G44" i="32"/>
  <c r="G41" i="32" s="1"/>
  <c r="I46" i="32"/>
  <c r="I41" i="32" s="1"/>
  <c r="I39" i="32" s="1"/>
  <c r="I31" i="32" s="1"/>
  <c r="H46" i="32"/>
  <c r="BA47" i="32"/>
  <c r="BI47" i="32"/>
  <c r="BG47" i="32"/>
  <c r="BJ47" i="32"/>
  <c r="BH47" i="32"/>
  <c r="BF47" i="32"/>
  <c r="BE47" i="32"/>
  <c r="BD47" i="32"/>
  <c r="BC47" i="32"/>
  <c r="BB47" i="32"/>
  <c r="AZ47" i="32"/>
  <c r="AY47" i="32"/>
  <c r="BL61" i="32"/>
  <c r="BK61" i="32"/>
  <c r="BR61" i="32"/>
  <c r="BO61" i="32"/>
  <c r="BN61" i="32"/>
  <c r="BP61" i="32"/>
  <c r="BM61" i="32"/>
  <c r="BL17" i="32"/>
  <c r="BL16" i="32" s="1"/>
  <c r="AZ17" i="32"/>
  <c r="BK17" i="32"/>
  <c r="BK16" i="32" s="1"/>
  <c r="AY16" i="32"/>
  <c r="BL26" i="32"/>
  <c r="AZ26" i="32"/>
  <c r="BK26" i="32"/>
  <c r="BL28" i="32"/>
  <c r="AZ28" i="32"/>
  <c r="BK28" i="32"/>
  <c r="BU35" i="32"/>
  <c r="BT35" i="32"/>
  <c r="BS35" i="32"/>
  <c r="BR35" i="32"/>
  <c r="BQ35" i="32"/>
  <c r="BP35" i="32"/>
  <c r="BO35" i="32"/>
  <c r="BN35" i="32"/>
  <c r="BM35" i="32"/>
  <c r="BM33" i="32" s="1"/>
  <c r="N41" i="32"/>
  <c r="AY1" i="32"/>
  <c r="AC1" i="32" s="1"/>
  <c r="Q1" i="32"/>
  <c r="P39" i="32"/>
  <c r="BE43" i="32"/>
  <c r="BA43" i="32"/>
  <c r="BJ43" i="32"/>
  <c r="BJ41" i="32" s="1"/>
  <c r="BI43" i="32"/>
  <c r="BH43" i="32"/>
  <c r="BH41" i="32" s="1"/>
  <c r="BG43" i="32"/>
  <c r="BG41" i="32" s="1"/>
  <c r="BF43" i="32"/>
  <c r="BD43" i="32"/>
  <c r="BC43" i="32"/>
  <c r="BB43" i="32"/>
  <c r="AZ43" i="32"/>
  <c r="AY43" i="32"/>
  <c r="J48" i="32"/>
  <c r="I48" i="32"/>
  <c r="F54" i="32"/>
  <c r="E54" i="32"/>
  <c r="L9" i="32"/>
  <c r="L8" i="32" s="1"/>
  <c r="BU25" i="32"/>
  <c r="G49" i="32"/>
  <c r="F49" i="32"/>
  <c r="M13" i="32"/>
  <c r="M12" i="32" s="1"/>
  <c r="M9" i="32" s="1"/>
  <c r="M8" i="32" s="1"/>
  <c r="BL33" i="32"/>
  <c r="N43" i="32"/>
  <c r="K51" i="32"/>
  <c r="J51" i="32"/>
  <c r="N9" i="32"/>
  <c r="N8" i="32" s="1"/>
  <c r="I21" i="32"/>
  <c r="I20" i="32" s="1"/>
  <c r="O33" i="32"/>
  <c r="BK33" i="32"/>
  <c r="BH37" i="32"/>
  <c r="BG37" i="32"/>
  <c r="BF37" i="32"/>
  <c r="BE37" i="32"/>
  <c r="BD37" i="32"/>
  <c r="BC37" i="32"/>
  <c r="BB37" i="32"/>
  <c r="BA37" i="32"/>
  <c r="AZ37" i="32"/>
  <c r="AY37" i="32"/>
  <c r="M38" i="32"/>
  <c r="H39" i="32"/>
  <c r="H31" i="32" s="1"/>
  <c r="N56" i="32"/>
  <c r="M56" i="32"/>
  <c r="O9" i="32"/>
  <c r="O8" i="32" s="1"/>
  <c r="BN10" i="32"/>
  <c r="BM10" i="32"/>
  <c r="K15" i="32"/>
  <c r="K14" i="32" s="1"/>
  <c r="K8" i="32" s="1"/>
  <c r="J20" i="32"/>
  <c r="P33" i="32"/>
  <c r="P31" i="32" s="1"/>
  <c r="BU34" i="32"/>
  <c r="BT34" i="32"/>
  <c r="BT33" i="32" s="1"/>
  <c r="BS34" i="32"/>
  <c r="BS33" i="32" s="1"/>
  <c r="BR34" i="32"/>
  <c r="BR33" i="32" s="1"/>
  <c r="BQ34" i="32"/>
  <c r="BQ33" i="32" s="1"/>
  <c r="BP34" i="32"/>
  <c r="BP33" i="32" s="1"/>
  <c r="BO34" i="32"/>
  <c r="BO33" i="32" s="1"/>
  <c r="BN34" i="32"/>
  <c r="BN33" i="32" s="1"/>
  <c r="BC10" i="32"/>
  <c r="BR15" i="32"/>
  <c r="BR14" i="32" s="1"/>
  <c r="K20" i="32"/>
  <c r="AH20" i="32"/>
  <c r="AT20" i="32"/>
  <c r="BI36" i="32"/>
  <c r="BH36" i="32"/>
  <c r="BH31" i="32" s="1"/>
  <c r="BG36" i="32"/>
  <c r="BF36" i="32"/>
  <c r="BF31" i="32" s="1"/>
  <c r="BE36" i="32"/>
  <c r="BD36" i="32"/>
  <c r="BC36" i="32"/>
  <c r="BB36" i="32"/>
  <c r="BA36" i="32"/>
  <c r="AZ36" i="32"/>
  <c r="N37" i="32"/>
  <c r="BJ37" i="32"/>
  <c r="F9" i="32"/>
  <c r="F8" i="32" s="1"/>
  <c r="BK10" i="32"/>
  <c r="O11" i="32"/>
  <c r="BS15" i="32"/>
  <c r="BS14" i="32" s="1"/>
  <c r="G21" i="32"/>
  <c r="G20" i="32" s="1"/>
  <c r="L20" i="32"/>
  <c r="AY36" i="32"/>
  <c r="L45" i="32"/>
  <c r="L41" i="32" s="1"/>
  <c r="M53" i="32"/>
  <c r="L53" i="32"/>
  <c r="G19" i="32"/>
  <c r="G18" i="32" s="1"/>
  <c r="H21" i="32"/>
  <c r="H20" i="32" s="1"/>
  <c r="M21" i="32"/>
  <c r="M20" i="32" s="1"/>
  <c r="J41" i="32"/>
  <c r="J39" i="32" s="1"/>
  <c r="J31" i="32" s="1"/>
  <c r="H88" i="32"/>
  <c r="G88" i="32"/>
  <c r="G85" i="32" s="1"/>
  <c r="M92" i="32"/>
  <c r="M85" i="32" s="1"/>
  <c r="L92" i="32"/>
  <c r="BT15" i="32"/>
  <c r="BT14" i="32" s="1"/>
  <c r="BJ38" i="32"/>
  <c r="K41" i="32"/>
  <c r="BP50" i="32"/>
  <c r="BM50" i="32"/>
  <c r="N59" i="32"/>
  <c r="BS63" i="32"/>
  <c r="BO70" i="32"/>
  <c r="BS70" i="32"/>
  <c r="BQ70" i="32"/>
  <c r="BL73" i="32"/>
  <c r="BK73" i="32"/>
  <c r="BV73" i="32"/>
  <c r="BS73" i="32"/>
  <c r="BR73" i="32"/>
  <c r="BN73" i="32"/>
  <c r="G74" i="32"/>
  <c r="BU15" i="32"/>
  <c r="BU14" i="32" s="1"/>
  <c r="AY38" i="32"/>
  <c r="M45" i="32"/>
  <c r="BC45" i="32"/>
  <c r="AY45" i="32"/>
  <c r="BI45" i="32"/>
  <c r="BI41" i="32" s="1"/>
  <c r="BN50" i="32"/>
  <c r="BN70" i="32"/>
  <c r="AZ98" i="32"/>
  <c r="BK98" i="32"/>
  <c r="BP103" i="32"/>
  <c r="BN103" i="32"/>
  <c r="BM103" i="32"/>
  <c r="BL103" i="32"/>
  <c r="AZ103" i="32"/>
  <c r="BA103" i="32" s="1"/>
  <c r="BB103" i="32" s="1"/>
  <c r="BC103" i="32" s="1"/>
  <c r="BD103" i="32" s="1"/>
  <c r="BE103" i="32" s="1"/>
  <c r="BF103" i="32" s="1"/>
  <c r="BG103" i="32" s="1"/>
  <c r="BH103" i="32" s="1"/>
  <c r="BI103" i="32" s="1"/>
  <c r="BJ103" i="32" s="1"/>
  <c r="BK103" i="32"/>
  <c r="BV103" i="32"/>
  <c r="BT103" i="32"/>
  <c r="BR103" i="32"/>
  <c r="BQ103" i="32"/>
  <c r="H126" i="32"/>
  <c r="AY14" i="32"/>
  <c r="BV15" i="32"/>
  <c r="BV14" i="32" s="1"/>
  <c r="BK27" i="32"/>
  <c r="BH52" i="32"/>
  <c r="BG52" i="32"/>
  <c r="BE52" i="32"/>
  <c r="BD52" i="32"/>
  <c r="BB52" i="32"/>
  <c r="BE59" i="32"/>
  <c r="I74" i="32"/>
  <c r="BN105" i="32"/>
  <c r="BM105" i="32"/>
  <c r="BL105" i="32"/>
  <c r="AZ105" i="32"/>
  <c r="BA105" i="32" s="1"/>
  <c r="BB105" i="32" s="1"/>
  <c r="BC105" i="32" s="1"/>
  <c r="BD105" i="32" s="1"/>
  <c r="BE105" i="32" s="1"/>
  <c r="BF105" i="32" s="1"/>
  <c r="BG105" i="32" s="1"/>
  <c r="BH105" i="32" s="1"/>
  <c r="BI105" i="32" s="1"/>
  <c r="BJ105" i="32" s="1"/>
  <c r="BK105" i="32"/>
  <c r="BU105" i="32"/>
  <c r="BT105" i="32"/>
  <c r="BR105" i="32"/>
  <c r="BQ105" i="32"/>
  <c r="BP105" i="32"/>
  <c r="BO105" i="32"/>
  <c r="BK15" i="32"/>
  <c r="BK14" i="32" s="1"/>
  <c r="AZ27" i="32"/>
  <c r="BL27" i="32"/>
  <c r="X212" i="32"/>
  <c r="BA38" i="32"/>
  <c r="AZ39" i="32"/>
  <c r="BF42" i="32"/>
  <c r="BF41" i="32" s="1"/>
  <c r="BB42" i="32"/>
  <c r="BA45" i="32"/>
  <c r="AZ48" i="32"/>
  <c r="BH48" i="32"/>
  <c r="BF48" i="32"/>
  <c r="BQ50" i="32"/>
  <c r="BI51" i="32"/>
  <c r="BH51" i="32"/>
  <c r="BF51" i="32"/>
  <c r="BE51" i="32"/>
  <c r="BC51" i="32"/>
  <c r="AY52" i="32"/>
  <c r="BH67" i="32"/>
  <c r="L82" i="32"/>
  <c r="BS86" i="32"/>
  <c r="BK86" i="32"/>
  <c r="BL15" i="32"/>
  <c r="BL14" i="32" s="1"/>
  <c r="BK29" i="32"/>
  <c r="BB38" i="32"/>
  <c r="BA39" i="32"/>
  <c r="G40" i="32"/>
  <c r="AY42" i="32"/>
  <c r="F43" i="32"/>
  <c r="F41" i="32" s="1"/>
  <c r="F39" i="32" s="1"/>
  <c r="F31" i="32" s="1"/>
  <c r="K44" i="32"/>
  <c r="BB45" i="32"/>
  <c r="K46" i="32"/>
  <c r="N48" i="32"/>
  <c r="AY48" i="32"/>
  <c r="H49" i="32"/>
  <c r="AY51" i="32"/>
  <c r="AZ52" i="32"/>
  <c r="I57" i="32"/>
  <c r="J68" i="32"/>
  <c r="J67" i="32" s="1"/>
  <c r="J62" i="32" s="1"/>
  <c r="F74" i="32"/>
  <c r="O86" i="32"/>
  <c r="O85" i="32" s="1"/>
  <c r="BT124" i="32"/>
  <c r="BM15" i="32"/>
  <c r="BM14" i="32" s="1"/>
  <c r="AZ29" i="32"/>
  <c r="BL29" i="32"/>
  <c r="B33" i="61"/>
  <c r="A36" i="62"/>
  <c r="AA213" i="32"/>
  <c r="AA214" i="32"/>
  <c r="BC38" i="32"/>
  <c r="BB39" i="32"/>
  <c r="AZ42" i="32"/>
  <c r="AZ41" i="32" s="1"/>
  <c r="BD45" i="32"/>
  <c r="BA48" i="32"/>
  <c r="J49" i="32"/>
  <c r="AZ51" i="32"/>
  <c r="BA52" i="32"/>
  <c r="I64" i="32"/>
  <c r="M68" i="32"/>
  <c r="M67" i="32" s="1"/>
  <c r="P67" i="32"/>
  <c r="G71" i="32"/>
  <c r="G67" i="32" s="1"/>
  <c r="H74" i="32"/>
  <c r="H62" i="32" s="1"/>
  <c r="BN83" i="32"/>
  <c r="BU83" i="32"/>
  <c r="BT83" i="32"/>
  <c r="BR83" i="32"/>
  <c r="BQ83" i="32"/>
  <c r="BP83" i="32"/>
  <c r="H85" i="32"/>
  <c r="BI124" i="32"/>
  <c r="BJ124" i="32" s="1"/>
  <c r="Z200" i="32"/>
  <c r="Z201" i="32"/>
  <c r="Z202" i="32"/>
  <c r="AL200" i="32"/>
  <c r="AL201" i="32"/>
  <c r="AL202" i="32"/>
  <c r="AX200" i="32"/>
  <c r="AX201" i="32"/>
  <c r="AX202" i="32"/>
  <c r="BN15" i="32"/>
  <c r="BN14" i="32" s="1"/>
  <c r="D31" i="61"/>
  <c r="BJ32" i="32"/>
  <c r="BI33" i="32"/>
  <c r="BD38" i="32"/>
  <c r="BC39" i="32"/>
  <c r="BA42" i="32"/>
  <c r="H43" i="32"/>
  <c r="M44" i="32"/>
  <c r="M41" i="32" s="1"/>
  <c r="M39" i="32" s="1"/>
  <c r="BD44" i="32"/>
  <c r="AZ44" i="32"/>
  <c r="BM44" i="32" s="1"/>
  <c r="BE45" i="32"/>
  <c r="BN46" i="32"/>
  <c r="BV46" i="32"/>
  <c r="BT46" i="32"/>
  <c r="BM46" i="32"/>
  <c r="BB48" i="32"/>
  <c r="L49" i="32"/>
  <c r="BA51" i="32"/>
  <c r="BC52" i="32"/>
  <c r="L57" i="32"/>
  <c r="H58" i="32"/>
  <c r="BI64" i="32"/>
  <c r="BH64" i="32"/>
  <c r="BG64" i="32"/>
  <c r="BF64" i="32"/>
  <c r="BE64" i="32"/>
  <c r="BD64" i="32"/>
  <c r="BC64" i="32"/>
  <c r="BB64" i="32"/>
  <c r="AZ64" i="32"/>
  <c r="AY64" i="32"/>
  <c r="L64" i="32"/>
  <c r="O67" i="32"/>
  <c r="BA67" i="32"/>
  <c r="M74" i="32"/>
  <c r="L78" i="32"/>
  <c r="L74" i="32" s="1"/>
  <c r="J80" i="32"/>
  <c r="J74" i="32" s="1"/>
  <c r="L84" i="32"/>
  <c r="K84" i="32"/>
  <c r="K82" i="32" s="1"/>
  <c r="BO15" i="32"/>
  <c r="BO14" i="32" s="1"/>
  <c r="BK19" i="32"/>
  <c r="BK18" i="32" s="1"/>
  <c r="BR25" i="32"/>
  <c r="Q214" i="32"/>
  <c r="K4" i="60"/>
  <c r="AY32" i="32"/>
  <c r="BJ33" i="32"/>
  <c r="BE38" i="32"/>
  <c r="BD39" i="32"/>
  <c r="K40" i="32"/>
  <c r="BC42" i="32"/>
  <c r="BC41" i="32" s="1"/>
  <c r="BL44" i="32"/>
  <c r="F45" i="32"/>
  <c r="BF45" i="32"/>
  <c r="BC48" i="32"/>
  <c r="AY49" i="32"/>
  <c r="BG49" i="32"/>
  <c r="BE49" i="32"/>
  <c r="G50" i="32"/>
  <c r="BB51" i="32"/>
  <c r="BF52" i="32"/>
  <c r="K58" i="32"/>
  <c r="BA64" i="32"/>
  <c r="M65" i="32"/>
  <c r="M64" i="32" s="1"/>
  <c r="L66" i="32"/>
  <c r="BS66" i="32"/>
  <c r="BR66" i="32"/>
  <c r="BQ66" i="32"/>
  <c r="BP66" i="32"/>
  <c r="BO66" i="32"/>
  <c r="BN66" i="32"/>
  <c r="BM66" i="32"/>
  <c r="BL66" i="32"/>
  <c r="BV66" i="32"/>
  <c r="BJ66" i="32"/>
  <c r="BU66" i="32"/>
  <c r="BN71" i="32"/>
  <c r="BR71" i="32"/>
  <c r="BP71" i="32"/>
  <c r="BM73" i="32"/>
  <c r="BI76" i="32"/>
  <c r="BH76" i="32"/>
  <c r="BG76" i="32"/>
  <c r="BF76" i="32"/>
  <c r="BE76" i="32"/>
  <c r="BD76" i="32"/>
  <c r="BC76" i="32"/>
  <c r="BB76" i="32"/>
  <c r="BA76" i="32"/>
  <c r="AZ76" i="32"/>
  <c r="AY76" i="32"/>
  <c r="M77" i="32"/>
  <c r="BP80" i="32"/>
  <c r="AY97" i="32"/>
  <c r="BP15" i="32"/>
  <c r="BP14" i="32" s="1"/>
  <c r="AZ19" i="32"/>
  <c r="BL19" i="32"/>
  <c r="BL18" i="32" s="1"/>
  <c r="BS25" i="32"/>
  <c r="R214" i="32"/>
  <c r="AZ32" i="32"/>
  <c r="AY33" i="32"/>
  <c r="BV34" i="32"/>
  <c r="BI35" i="32"/>
  <c r="BV35" i="32" s="1"/>
  <c r="BF38" i="32"/>
  <c r="BF39" i="32"/>
  <c r="E42" i="32"/>
  <c r="E41" i="32" s="1"/>
  <c r="E39" i="32" s="1"/>
  <c r="E31" i="32" s="1"/>
  <c r="BD42" i="32"/>
  <c r="O44" i="32"/>
  <c r="O41" i="32" s="1"/>
  <c r="O39" i="32" s="1"/>
  <c r="BA44" i="32"/>
  <c r="BP44" i="32" s="1"/>
  <c r="BO44" i="32"/>
  <c r="H45" i="32"/>
  <c r="BG45" i="32"/>
  <c r="BP46" i="32"/>
  <c r="BD48" i="32"/>
  <c r="N49" i="32"/>
  <c r="AZ49" i="32"/>
  <c r="I50" i="32"/>
  <c r="BD51" i="32"/>
  <c r="BI52" i="32"/>
  <c r="BK53" i="32"/>
  <c r="L54" i="32"/>
  <c r="BO58" i="32"/>
  <c r="BQ58" i="32"/>
  <c r="BS58" i="32"/>
  <c r="F60" i="32"/>
  <c r="F59" i="32" s="1"/>
  <c r="E61" i="32"/>
  <c r="E59" i="32" s="1"/>
  <c r="F63" i="32"/>
  <c r="BJ64" i="32"/>
  <c r="P64" i="32"/>
  <c r="P62" i="32" s="1"/>
  <c r="O66" i="32"/>
  <c r="O64" i="32" s="1"/>
  <c r="O62" i="32" s="1"/>
  <c r="BM71" i="32"/>
  <c r="BJ76" i="32"/>
  <c r="L87" i="32"/>
  <c r="K87" i="32"/>
  <c r="K85" i="32" s="1"/>
  <c r="BO104" i="32"/>
  <c r="BM106" i="32"/>
  <c r="BL106" i="32"/>
  <c r="AZ106" i="32"/>
  <c r="BA106" i="32" s="1"/>
  <c r="BB106" i="32" s="1"/>
  <c r="BC106" i="32" s="1"/>
  <c r="BD106" i="32" s="1"/>
  <c r="BE106" i="32" s="1"/>
  <c r="BF106" i="32" s="1"/>
  <c r="BG106" i="32" s="1"/>
  <c r="BH106" i="32" s="1"/>
  <c r="BI106" i="32" s="1"/>
  <c r="BJ106" i="32" s="1"/>
  <c r="BK106" i="32"/>
  <c r="BV106" i="32"/>
  <c r="BT106" i="32"/>
  <c r="BS106" i="32"/>
  <c r="BR106" i="32"/>
  <c r="BQ106" i="32"/>
  <c r="BP106" i="32"/>
  <c r="BO106" i="32"/>
  <c r="BN106" i="32"/>
  <c r="BG39" i="32"/>
  <c r="BE42" i="32"/>
  <c r="BE41" i="32" s="1"/>
  <c r="BB44" i="32"/>
  <c r="BN44" i="32" s="1"/>
  <c r="BH45" i="32"/>
  <c r="BQ46" i="32"/>
  <c r="J47" i="32"/>
  <c r="BE48" i="32"/>
  <c r="BA49" i="32"/>
  <c r="BG51" i="32"/>
  <c r="E52" i="32"/>
  <c r="BJ52" i="32"/>
  <c r="F53" i="32"/>
  <c r="BL53" i="32"/>
  <c r="BL54" i="32"/>
  <c r="BN58" i="32"/>
  <c r="I60" i="32"/>
  <c r="I59" i="32" s="1"/>
  <c r="H61" i="32"/>
  <c r="H59" i="32" s="1"/>
  <c r="H67" i="32"/>
  <c r="I69" i="32"/>
  <c r="I67" i="32" s="1"/>
  <c r="I62" i="32" s="1"/>
  <c r="F72" i="32"/>
  <c r="F67" i="32" s="1"/>
  <c r="E73" i="32"/>
  <c r="E67" i="32" s="1"/>
  <c r="E62" i="32" s="1"/>
  <c r="AY74" i="32"/>
  <c r="N76" i="32"/>
  <c r="N74" i="32" s="1"/>
  <c r="K79" i="32"/>
  <c r="K74" i="32" s="1"/>
  <c r="K62" i="32" s="1"/>
  <c r="K117" i="32"/>
  <c r="BJ53" i="32"/>
  <c r="BI54" i="32"/>
  <c r="AZ63" i="32"/>
  <c r="BU63" i="32" s="1"/>
  <c r="BJ65" i="32"/>
  <c r="AZ75" i="32"/>
  <c r="BM75" i="32" s="1"/>
  <c r="BJ77" i="32"/>
  <c r="BH79" i="32"/>
  <c r="AZ86" i="32"/>
  <c r="BK96" i="32"/>
  <c r="I99" i="32"/>
  <c r="I97" i="32" s="1"/>
  <c r="H99" i="32"/>
  <c r="BB104" i="32"/>
  <c r="BC104" i="32" s="1"/>
  <c r="BD104" i="32" s="1"/>
  <c r="BE104" i="32" s="1"/>
  <c r="BF104" i="32" s="1"/>
  <c r="BG104" i="32" s="1"/>
  <c r="BH104" i="32" s="1"/>
  <c r="BI104" i="32" s="1"/>
  <c r="BJ104" i="32" s="1"/>
  <c r="BU104" i="32"/>
  <c r="BT104" i="32"/>
  <c r="BS104" i="32"/>
  <c r="AA206" i="32"/>
  <c r="AA207" i="32" s="1"/>
  <c r="AA208" i="32" s="1"/>
  <c r="AA209" i="32" s="1"/>
  <c r="AA210" i="32" s="1"/>
  <c r="AA211" i="32" s="1"/>
  <c r="AA148" i="32"/>
  <c r="AM206" i="32"/>
  <c r="AM207" i="32" s="1"/>
  <c r="AM208" i="32" s="1"/>
  <c r="AM209" i="32" s="1"/>
  <c r="AM210" i="32" s="1"/>
  <c r="AM148" i="32"/>
  <c r="BJ54" i="32"/>
  <c r="BG57" i="32"/>
  <c r="BR58" i="32"/>
  <c r="BD60" i="32"/>
  <c r="BD59" i="32" s="1"/>
  <c r="BA63" i="32"/>
  <c r="AY65" i="32"/>
  <c r="BG69" i="32"/>
  <c r="BR70" i="32"/>
  <c r="BQ71" i="32"/>
  <c r="BD72" i="32"/>
  <c r="BD67" i="32" s="1"/>
  <c r="BC73" i="32"/>
  <c r="BU73" i="32" s="1"/>
  <c r="BA75" i="32"/>
  <c r="AY77" i="32"/>
  <c r="BJ78" i="32"/>
  <c r="BI79" i="32"/>
  <c r="BG81" i="32"/>
  <c r="BA86" i="32"/>
  <c r="BE90" i="32"/>
  <c r="BD90" i="32"/>
  <c r="BC90" i="32"/>
  <c r="BB90" i="32"/>
  <c r="BA90" i="32"/>
  <c r="AZ90" i="32"/>
  <c r="BH90" i="32"/>
  <c r="I164" i="32"/>
  <c r="BI164" i="32"/>
  <c r="BK78" i="32"/>
  <c r="BJ79" i="32"/>
  <c r="AY84" i="32"/>
  <c r="BI84" i="32"/>
  <c r="BF84" i="32"/>
  <c r="BH87" i="32"/>
  <c r="BF87" i="32"/>
  <c r="BC87" i="32"/>
  <c r="BN90" i="32"/>
  <c r="H113" i="32"/>
  <c r="J117" i="32"/>
  <c r="BP132" i="32"/>
  <c r="BO132" i="32"/>
  <c r="BN132" i="32"/>
  <c r="BM132" i="32"/>
  <c r="BV132" i="32"/>
  <c r="BU132" i="32"/>
  <c r="AZ132" i="32"/>
  <c r="BA132" i="32" s="1"/>
  <c r="BB132" i="32" s="1"/>
  <c r="BC132" i="32" s="1"/>
  <c r="BD132" i="32" s="1"/>
  <c r="BE132" i="32" s="1"/>
  <c r="BF132" i="32" s="1"/>
  <c r="BG132" i="32" s="1"/>
  <c r="BH132" i="32" s="1"/>
  <c r="BI132" i="32" s="1"/>
  <c r="BJ132" i="32" s="1"/>
  <c r="BR132" i="32"/>
  <c r="BQ132" i="32"/>
  <c r="BK132" i="32"/>
  <c r="BA53" i="32"/>
  <c r="AZ54" i="32"/>
  <c r="BJ56" i="32"/>
  <c r="BV56" i="32"/>
  <c r="BI57" i="32"/>
  <c r="BT58" i="32"/>
  <c r="BF60" i="32"/>
  <c r="BF59" i="32" s="1"/>
  <c r="BE61" i="32"/>
  <c r="BQ61" i="32" s="1"/>
  <c r="BC63" i="32"/>
  <c r="BT63" i="32" s="1"/>
  <c r="BA65" i="32"/>
  <c r="BJ68" i="32"/>
  <c r="BV68" i="32"/>
  <c r="BI69" i="32"/>
  <c r="BT70" i="32"/>
  <c r="BG71" i="32"/>
  <c r="BS71" i="32" s="1"/>
  <c r="BF72" i="32"/>
  <c r="BF67" i="32" s="1"/>
  <c r="BE73" i="32"/>
  <c r="BE67" i="32" s="1"/>
  <c r="BC75" i="32"/>
  <c r="BA77" i="32"/>
  <c r="AZ78" i="32"/>
  <c r="BT78" i="32" s="1"/>
  <c r="AY79" i="32"/>
  <c r="BJ80" i="32"/>
  <c r="BJ74" i="32" s="1"/>
  <c r="BI81" i="32"/>
  <c r="F83" i="32"/>
  <c r="F82" i="32" s="1"/>
  <c r="N84" i="32"/>
  <c r="N82" i="32" s="1"/>
  <c r="AZ84" i="32"/>
  <c r="BC86" i="32"/>
  <c r="AY87" i="32"/>
  <c r="J88" i="32"/>
  <c r="J85" i="32" s="1"/>
  <c r="BK88" i="32"/>
  <c r="O90" i="32"/>
  <c r="BF90" i="32"/>
  <c r="BP104" i="32"/>
  <c r="J115" i="32"/>
  <c r="J113" i="32" s="1"/>
  <c r="I116" i="32"/>
  <c r="BL118" i="32"/>
  <c r="AZ118" i="32"/>
  <c r="BK118" i="32"/>
  <c r="AY117" i="32"/>
  <c r="AM145" i="21" s="1"/>
  <c r="L122" i="32"/>
  <c r="H121" i="32"/>
  <c r="F131" i="32"/>
  <c r="E131" i="32"/>
  <c r="BA54" i="32"/>
  <c r="BK56" i="32"/>
  <c r="BJ57" i="32"/>
  <c r="BU58" i="32"/>
  <c r="BG60" i="32"/>
  <c r="BD63" i="32"/>
  <c r="BB65" i="32"/>
  <c r="BK68" i="32"/>
  <c r="BJ69" i="32"/>
  <c r="BU70" i="32"/>
  <c r="BT71" i="32"/>
  <c r="BD75" i="32"/>
  <c r="BB77" i="32"/>
  <c r="BB74" i="32" s="1"/>
  <c r="BM78" i="32"/>
  <c r="AZ79" i="32"/>
  <c r="BK80" i="32"/>
  <c r="BJ81" i="32"/>
  <c r="BA82" i="32"/>
  <c r="AY82" i="32"/>
  <c r="BH82" i="32"/>
  <c r="BA84" i="32"/>
  <c r="BE86" i="32"/>
  <c r="AZ87" i="32"/>
  <c r="BG90" i="32"/>
  <c r="J99" i="32"/>
  <c r="J97" i="32" s="1"/>
  <c r="BQ104" i="32"/>
  <c r="F108" i="32"/>
  <c r="K114" i="32"/>
  <c r="K113" i="32" s="1"/>
  <c r="BQ114" i="32"/>
  <c r="AZ114" i="32"/>
  <c r="BA114" i="32" s="1"/>
  <c r="BB114" i="32" s="1"/>
  <c r="BC114" i="32" s="1"/>
  <c r="BD114" i="32" s="1"/>
  <c r="BE114" i="32" s="1"/>
  <c r="BF114" i="32" s="1"/>
  <c r="BG114" i="32" s="1"/>
  <c r="BH114" i="32" s="1"/>
  <c r="BI114" i="32" s="1"/>
  <c r="BJ114" i="32" s="1"/>
  <c r="BK114" i="32"/>
  <c r="AY113" i="32"/>
  <c r="AZ113" i="32" s="1"/>
  <c r="BA113" i="32" s="1"/>
  <c r="BB113" i="32" s="1"/>
  <c r="BC113" i="32" s="1"/>
  <c r="BD113" i="32" s="1"/>
  <c r="BE113" i="32" s="1"/>
  <c r="BF113" i="32" s="1"/>
  <c r="BG113" i="32" s="1"/>
  <c r="BH113" i="32" s="1"/>
  <c r="BI113" i="32" s="1"/>
  <c r="BJ113" i="32" s="1"/>
  <c r="BP115" i="32"/>
  <c r="AZ115" i="32"/>
  <c r="BA115" i="32" s="1"/>
  <c r="BB115" i="32" s="1"/>
  <c r="BC115" i="32" s="1"/>
  <c r="BD115" i="32" s="1"/>
  <c r="BE115" i="32" s="1"/>
  <c r="BF115" i="32" s="1"/>
  <c r="BG115" i="32" s="1"/>
  <c r="BH115" i="32" s="1"/>
  <c r="BI115" i="32" s="1"/>
  <c r="BJ115" i="32" s="1"/>
  <c r="BK115" i="32"/>
  <c r="BT115" i="32"/>
  <c r="BK120" i="32"/>
  <c r="BV120" i="32"/>
  <c r="BR120" i="32"/>
  <c r="BQ120" i="32"/>
  <c r="BO120" i="32"/>
  <c r="BN120" i="32"/>
  <c r="Q139" i="32"/>
  <c r="E140" i="32"/>
  <c r="E139" i="32" s="1"/>
  <c r="AH139" i="32"/>
  <c r="BQ140" i="32"/>
  <c r="AN200" i="32"/>
  <c r="AN201" i="32"/>
  <c r="AN202" i="32"/>
  <c r="BJ46" i="32"/>
  <c r="BF50" i="32"/>
  <c r="BV50" i="32" s="1"/>
  <c r="BC53" i="32"/>
  <c r="BB54" i="32"/>
  <c r="AZ56" i="32"/>
  <c r="BP56" i="32" s="1"/>
  <c r="BL56" i="32"/>
  <c r="AY57" i="32"/>
  <c r="BJ58" i="32"/>
  <c r="BV58" i="32" s="1"/>
  <c r="BH60" i="32"/>
  <c r="BG61" i="32"/>
  <c r="BE63" i="32"/>
  <c r="BC65" i="32"/>
  <c r="AZ68" i="32"/>
  <c r="BL68" i="32"/>
  <c r="AY69" i="32"/>
  <c r="AY67" i="32" s="1"/>
  <c r="BJ70" i="32"/>
  <c r="BV70" i="32"/>
  <c r="BI71" i="32"/>
  <c r="BI67" i="32" s="1"/>
  <c r="BH72" i="32"/>
  <c r="BG73" i="32"/>
  <c r="BE75" i="32"/>
  <c r="BC77" i="32"/>
  <c r="BB78" i="32"/>
  <c r="BN78" i="32"/>
  <c r="BA79" i="32"/>
  <c r="AZ80" i="32"/>
  <c r="BL80" i="32" s="1"/>
  <c r="AY81" i="32"/>
  <c r="AZ82" i="32"/>
  <c r="H83" i="32"/>
  <c r="H82" i="32" s="1"/>
  <c r="BB84" i="32"/>
  <c r="F86" i="32"/>
  <c r="BF86" i="32"/>
  <c r="BA87" i="32"/>
  <c r="L89" i="32"/>
  <c r="BI90" i="32"/>
  <c r="L100" i="32"/>
  <c r="L99" i="32" s="1"/>
  <c r="L108" i="32"/>
  <c r="L97" i="32" s="1"/>
  <c r="M113" i="32"/>
  <c r="P117" i="32"/>
  <c r="AZ120" i="32"/>
  <c r="BA120" i="32" s="1"/>
  <c r="BB120" i="32" s="1"/>
  <c r="BC120" i="32" s="1"/>
  <c r="BD120" i="32" s="1"/>
  <c r="BE120" i="32" s="1"/>
  <c r="BF120" i="32" s="1"/>
  <c r="BG120" i="32" s="1"/>
  <c r="BH120" i="32" s="1"/>
  <c r="BI120" i="32" s="1"/>
  <c r="BJ120" i="32" s="1"/>
  <c r="K122" i="32"/>
  <c r="J127" i="32"/>
  <c r="J126" i="32" s="1"/>
  <c r="J121" i="32" s="1"/>
  <c r="N126" i="32"/>
  <c r="N128" i="32"/>
  <c r="P126" i="32"/>
  <c r="BK128" i="32"/>
  <c r="AZ128" i="32"/>
  <c r="S202" i="32"/>
  <c r="S200" i="32"/>
  <c r="S201" i="32"/>
  <c r="AQ202" i="32"/>
  <c r="AQ200" i="32"/>
  <c r="AQ201" i="32"/>
  <c r="I157" i="32"/>
  <c r="H157" i="32"/>
  <c r="K177" i="32"/>
  <c r="V175" i="32"/>
  <c r="J177" i="32"/>
  <c r="BD53" i="32"/>
  <c r="BC54" i="32"/>
  <c r="BM56" i="32"/>
  <c r="AZ57" i="32"/>
  <c r="BK58" i="32"/>
  <c r="BI60" i="32"/>
  <c r="BI59" i="32" s="1"/>
  <c r="BH61" i="32"/>
  <c r="BF63" i="32"/>
  <c r="BD65" i="32"/>
  <c r="BM68" i="32"/>
  <c r="AZ69" i="32"/>
  <c r="BK70" i="32"/>
  <c r="BJ71" i="32"/>
  <c r="BV71" i="32"/>
  <c r="BI72" i="32"/>
  <c r="BH73" i="32"/>
  <c r="BF75" i="32"/>
  <c r="BF74" i="32" s="1"/>
  <c r="BD77" i="32"/>
  <c r="BC78" i="32"/>
  <c r="BB79" i="32"/>
  <c r="BM80" i="32"/>
  <c r="AZ81" i="32"/>
  <c r="BB82" i="32"/>
  <c r="BC84" i="32"/>
  <c r="BH86" i="32"/>
  <c r="BB87" i="32"/>
  <c r="BG88" i="32"/>
  <c r="BE88" i="32"/>
  <c r="BB88" i="32"/>
  <c r="BJ88" i="32"/>
  <c r="BF89" i="32"/>
  <c r="BE89" i="32"/>
  <c r="BD89" i="32"/>
  <c r="BC89" i="32"/>
  <c r="BB89" i="32"/>
  <c r="BA89" i="32"/>
  <c r="BI89" i="32"/>
  <c r="BJ90" i="32"/>
  <c r="J91" i="32"/>
  <c r="BL96" i="32"/>
  <c r="E97" i="32"/>
  <c r="K101" i="32"/>
  <c r="K99" i="32" s="1"/>
  <c r="K97" i="32" s="1"/>
  <c r="J108" i="32"/>
  <c r="BS123" i="32"/>
  <c r="BR123" i="32"/>
  <c r="BO123" i="32"/>
  <c r="BN123" i="32"/>
  <c r="BL123" i="32"/>
  <c r="AZ123" i="32"/>
  <c r="BA123" i="32" s="1"/>
  <c r="BB123" i="32" s="1"/>
  <c r="BC123" i="32" s="1"/>
  <c r="BD123" i="32" s="1"/>
  <c r="BE123" i="32" s="1"/>
  <c r="BF123" i="32" s="1"/>
  <c r="BG123" i="32" s="1"/>
  <c r="BH123" i="32" s="1"/>
  <c r="BI123" i="32" s="1"/>
  <c r="BJ123" i="32" s="1"/>
  <c r="BK123" i="32"/>
  <c r="L126" i="32"/>
  <c r="O126" i="32"/>
  <c r="O121" i="32" s="1"/>
  <c r="BS127" i="32"/>
  <c r="BR127" i="32"/>
  <c r="BP127" i="32"/>
  <c r="BO127" i="32"/>
  <c r="AZ127" i="32"/>
  <c r="BA127" i="32" s="1"/>
  <c r="BB127" i="32" s="1"/>
  <c r="BC127" i="32" s="1"/>
  <c r="BD127" i="32" s="1"/>
  <c r="BE127" i="32" s="1"/>
  <c r="BF127" i="32" s="1"/>
  <c r="BG127" i="32" s="1"/>
  <c r="BH127" i="32" s="1"/>
  <c r="BI127" i="32" s="1"/>
  <c r="BJ127" i="32" s="1"/>
  <c r="BM127" i="32"/>
  <c r="BL127" i="32"/>
  <c r="AY126" i="32"/>
  <c r="BK127" i="32"/>
  <c r="BD54" i="32"/>
  <c r="BN56" i="32"/>
  <c r="BA57" i="32"/>
  <c r="BJ60" i="32"/>
  <c r="BG63" i="32"/>
  <c r="BE65" i="32"/>
  <c r="BL70" i="32"/>
  <c r="BK71" i="32"/>
  <c r="BJ72" i="32"/>
  <c r="BG75" i="32"/>
  <c r="BG74" i="32" s="1"/>
  <c r="BE77" i="32"/>
  <c r="BP78" i="32"/>
  <c r="BC79" i="32"/>
  <c r="BN80" i="32"/>
  <c r="BA81" i="32"/>
  <c r="BC82" i="32"/>
  <c r="J83" i="32"/>
  <c r="J82" i="32" s="1"/>
  <c r="BD84" i="32"/>
  <c r="I85" i="32"/>
  <c r="BD87" i="32"/>
  <c r="BN88" i="32"/>
  <c r="BR89" i="32"/>
  <c r="BQ89" i="32"/>
  <c r="BM89" i="32"/>
  <c r="BK90" i="32"/>
  <c r="BR95" i="32"/>
  <c r="BQ95" i="32"/>
  <c r="BP95" i="32"/>
  <c r="BM96" i="32"/>
  <c r="O99" i="32"/>
  <c r="J102" i="32"/>
  <c r="I103" i="32"/>
  <c r="H104" i="32"/>
  <c r="H97" i="32" s="1"/>
  <c r="N108" i="32"/>
  <c r="N97" i="32" s="1"/>
  <c r="BQ115" i="32"/>
  <c r="BL120" i="32"/>
  <c r="N123" i="32"/>
  <c r="N122" i="32" s="1"/>
  <c r="N121" i="32" s="1"/>
  <c r="M126" i="32"/>
  <c r="M121" i="32" s="1"/>
  <c r="H129" i="32"/>
  <c r="G129" i="32"/>
  <c r="BF53" i="32"/>
  <c r="BE54" i="32"/>
  <c r="BO56" i="32"/>
  <c r="BB57" i="32"/>
  <c r="BM58" i="32"/>
  <c r="AY60" i="32"/>
  <c r="BJ61" i="32"/>
  <c r="BH63" i="32"/>
  <c r="BF65" i="32"/>
  <c r="BO68" i="32"/>
  <c r="BB69" i="32"/>
  <c r="BB67" i="32" s="1"/>
  <c r="BL71" i="32"/>
  <c r="AY72" i="32"/>
  <c r="BJ73" i="32"/>
  <c r="BH75" i="32"/>
  <c r="BF77" i="32"/>
  <c r="BQ78" i="32"/>
  <c r="BD79" i="32"/>
  <c r="BO80" i="32"/>
  <c r="BB81" i="32"/>
  <c r="BD82" i="32"/>
  <c r="BE84" i="32"/>
  <c r="BE87" i="32"/>
  <c r="BD91" i="32"/>
  <c r="BC91" i="32"/>
  <c r="BB91" i="32"/>
  <c r="BA91" i="32"/>
  <c r="AZ91" i="32"/>
  <c r="AY91" i="32"/>
  <c r="BJ91" i="32"/>
  <c r="BG91" i="32"/>
  <c r="H93" i="32"/>
  <c r="BS100" i="32"/>
  <c r="BR100" i="32"/>
  <c r="BQ100" i="32"/>
  <c r="BP100" i="32"/>
  <c r="BN100" i="32"/>
  <c r="BM100" i="32"/>
  <c r="AZ100" i="32"/>
  <c r="BA100" i="32" s="1"/>
  <c r="BB100" i="32" s="1"/>
  <c r="BC100" i="32" s="1"/>
  <c r="BD100" i="32" s="1"/>
  <c r="BE100" i="32" s="1"/>
  <c r="BF100" i="32" s="1"/>
  <c r="BG100" i="32" s="1"/>
  <c r="BH100" i="32" s="1"/>
  <c r="BI100" i="32" s="1"/>
  <c r="BJ100" i="32" s="1"/>
  <c r="BK100" i="32"/>
  <c r="BV100" i="32"/>
  <c r="AY99" i="32"/>
  <c r="AZ99" i="32" s="1"/>
  <c r="BA99" i="32" s="1"/>
  <c r="BB99" i="32" s="1"/>
  <c r="BC99" i="32" s="1"/>
  <c r="BD99" i="32" s="1"/>
  <c r="BE99" i="32" s="1"/>
  <c r="BF99" i="32" s="1"/>
  <c r="BG99" i="32" s="1"/>
  <c r="BH99" i="32" s="1"/>
  <c r="BI99" i="32" s="1"/>
  <c r="BJ99" i="32" s="1"/>
  <c r="F107" i="32"/>
  <c r="M108" i="32"/>
  <c r="M97" i="32" s="1"/>
  <c r="BS114" i="32"/>
  <c r="BM120" i="32"/>
  <c r="P122" i="32"/>
  <c r="P121" i="32" s="1"/>
  <c r="J133" i="32"/>
  <c r="BS143" i="32"/>
  <c r="BN143" i="32"/>
  <c r="BM143" i="32"/>
  <c r="AZ143" i="32"/>
  <c r="BA143" i="32" s="1"/>
  <c r="BB143" i="32" s="1"/>
  <c r="BC143" i="32" s="1"/>
  <c r="BD143" i="32" s="1"/>
  <c r="BE143" i="32" s="1"/>
  <c r="BF143" i="32" s="1"/>
  <c r="BG143" i="32" s="1"/>
  <c r="BH143" i="32" s="1"/>
  <c r="BI143" i="32" s="1"/>
  <c r="BJ143" i="32" s="1"/>
  <c r="BV143" i="32"/>
  <c r="BK143" i="32"/>
  <c r="J162" i="32"/>
  <c r="J156" i="32" s="1"/>
  <c r="I162" i="32"/>
  <c r="BI63" i="32"/>
  <c r="BI75" i="32"/>
  <c r="BR78" i="32"/>
  <c r="BE79" i="32"/>
  <c r="BE82" i="32"/>
  <c r="M83" i="32"/>
  <c r="M82" i="32" s="1"/>
  <c r="BL83" i="32"/>
  <c r="BV83" i="32"/>
  <c r="BS83" i="32"/>
  <c r="BM83" i="32"/>
  <c r="BG84" i="32"/>
  <c r="L86" i="32"/>
  <c r="F87" i="32"/>
  <c r="BG87" i="32"/>
  <c r="BA88" i="32"/>
  <c r="BV88" i="32" s="1"/>
  <c r="BG89" i="32"/>
  <c r="N91" i="32"/>
  <c r="N85" i="32" s="1"/>
  <c r="BE91" i="32"/>
  <c r="E96" i="32"/>
  <c r="F99" i="32"/>
  <c r="F97" i="32" s="1"/>
  <c r="BT100" i="32"/>
  <c r="G106" i="32"/>
  <c r="G97" i="32" s="1"/>
  <c r="AY108" i="32"/>
  <c r="AZ108" i="32" s="1"/>
  <c r="BA108" i="32" s="1"/>
  <c r="BB108" i="32" s="1"/>
  <c r="BC108" i="32" s="1"/>
  <c r="BD108" i="32" s="1"/>
  <c r="BE108" i="32" s="1"/>
  <c r="BF108" i="32" s="1"/>
  <c r="BG108" i="32" s="1"/>
  <c r="BH108" i="32" s="1"/>
  <c r="BI108" i="32" s="1"/>
  <c r="BJ108" i="32" s="1"/>
  <c r="BL110" i="32"/>
  <c r="AZ110" i="32"/>
  <c r="N111" i="32"/>
  <c r="M112" i="32"/>
  <c r="F121" i="32"/>
  <c r="BU123" i="32"/>
  <c r="F126" i="32"/>
  <c r="BU127" i="32"/>
  <c r="L134" i="32"/>
  <c r="L133" i="32" s="1"/>
  <c r="K134" i="32"/>
  <c r="K133" i="32" s="1"/>
  <c r="O143" i="32"/>
  <c r="O82" i="32"/>
  <c r="BH84" i="32"/>
  <c r="BI86" i="32"/>
  <c r="BG86" i="32"/>
  <c r="BD86" i="32"/>
  <c r="BI87" i="32"/>
  <c r="BC88" i="32"/>
  <c r="BH89" i="32"/>
  <c r="BF91" i="32"/>
  <c r="K93" i="32"/>
  <c r="BU100" i="32"/>
  <c r="H105" i="32"/>
  <c r="AZ109" i="32"/>
  <c r="O110" i="32"/>
  <c r="O108" i="32" s="1"/>
  <c r="BL112" i="32"/>
  <c r="BK112" i="32"/>
  <c r="BL111" i="32"/>
  <c r="AZ111" i="32"/>
  <c r="BK111" i="32"/>
  <c r="BK108" i="32" s="1"/>
  <c r="I113" i="32"/>
  <c r="BV123" i="32"/>
  <c r="L125" i="32"/>
  <c r="BV127" i="32"/>
  <c r="J155" i="32"/>
  <c r="I155" i="32"/>
  <c r="BE93" i="32"/>
  <c r="BD94" i="32"/>
  <c r="BO95" i="32"/>
  <c r="BB96" i="32"/>
  <c r="BR104" i="32"/>
  <c r="BV124" i="32"/>
  <c r="F152" i="32"/>
  <c r="AZ163" i="32"/>
  <c r="BL163" i="32"/>
  <c r="BK163" i="32"/>
  <c r="J164" i="32"/>
  <c r="K39" i="61"/>
  <c r="J19" i="62"/>
  <c r="BK124" i="32"/>
  <c r="BP130" i="32"/>
  <c r="BO130" i="32"/>
  <c r="BM130" i="32"/>
  <c r="L145" i="32"/>
  <c r="Q200" i="32"/>
  <c r="Q201" i="32"/>
  <c r="Q202" i="32"/>
  <c r="AC200" i="32"/>
  <c r="AC201" i="32"/>
  <c r="AC202" i="32"/>
  <c r="AO200" i="32"/>
  <c r="AO201" i="32"/>
  <c r="AO202" i="32"/>
  <c r="K167" i="32"/>
  <c r="BK101" i="32"/>
  <c r="BL124" i="32"/>
  <c r="BK125" i="32"/>
  <c r="BN130" i="32"/>
  <c r="AZ134" i="32"/>
  <c r="BK134" i="32"/>
  <c r="AY133" i="32"/>
  <c r="AZ133" i="32" s="1"/>
  <c r="BA133" i="32" s="1"/>
  <c r="BB133" i="32" s="1"/>
  <c r="BC133" i="32" s="1"/>
  <c r="BD133" i="32" s="1"/>
  <c r="BE133" i="32" s="1"/>
  <c r="BF133" i="32" s="1"/>
  <c r="BG133" i="32" s="1"/>
  <c r="BH133" i="32" s="1"/>
  <c r="BI133" i="32" s="1"/>
  <c r="BJ133" i="32" s="1"/>
  <c r="I140" i="32"/>
  <c r="I139" i="32" s="1"/>
  <c r="V139" i="32"/>
  <c r="V202" i="32"/>
  <c r="R206" i="32"/>
  <c r="R207" i="32" s="1"/>
  <c r="R208" i="32" s="1"/>
  <c r="R209" i="32" s="1"/>
  <c r="R210" i="32" s="1"/>
  <c r="R211" i="32" s="1"/>
  <c r="AD201" i="32"/>
  <c r="AD202" i="32"/>
  <c r="AD200" i="32"/>
  <c r="AP201" i="32"/>
  <c r="AP202" i="32"/>
  <c r="AP200" i="32"/>
  <c r="M156" i="32"/>
  <c r="L166" i="32"/>
  <c r="L165" i="32" s="1"/>
  <c r="K166" i="32"/>
  <c r="K165" i="32" s="1"/>
  <c r="K164" i="32" s="1"/>
  <c r="K156" i="32" s="1"/>
  <c r="AZ171" i="32"/>
  <c r="BL171" i="32"/>
  <c r="BL170" i="32" s="1"/>
  <c r="BK171" i="32"/>
  <c r="BK170" i="32" s="1"/>
  <c r="AY170" i="32"/>
  <c r="M19" i="62"/>
  <c r="N39" i="61"/>
  <c r="AZ101" i="32"/>
  <c r="BL101" i="32"/>
  <c r="BK102" i="32"/>
  <c r="BM124" i="32"/>
  <c r="AZ125" i="32"/>
  <c r="BL125" i="32"/>
  <c r="BQ130" i="32"/>
  <c r="BK136" i="32"/>
  <c r="N156" i="32"/>
  <c r="N149" i="32" s="1"/>
  <c r="N19" i="62"/>
  <c r="O39" i="61"/>
  <c r="BE85" i="32"/>
  <c r="BJ92" i="32"/>
  <c r="BI93" i="32"/>
  <c r="BH94" i="32"/>
  <c r="BS95" i="32"/>
  <c r="BF96" i="32"/>
  <c r="AZ102" i="32"/>
  <c r="BV104" i="32"/>
  <c r="BN124" i="32"/>
  <c r="BK129" i="32"/>
  <c r="BR130" i="32"/>
  <c r="M134" i="32"/>
  <c r="M133" i="32" s="1"/>
  <c r="P136" i="32"/>
  <c r="BL136" i="32"/>
  <c r="AB200" i="32"/>
  <c r="AB201" i="32"/>
  <c r="AB202" i="32"/>
  <c r="E149" i="32"/>
  <c r="M151" i="32"/>
  <c r="M150" i="32" s="1"/>
  <c r="M149" i="32" s="1"/>
  <c r="O156" i="32"/>
  <c r="F156" i="32"/>
  <c r="N173" i="32"/>
  <c r="N172" i="32" s="1"/>
  <c r="U175" i="32"/>
  <c r="J176" i="32"/>
  <c r="J175" i="32" s="1"/>
  <c r="J174" i="32" s="1"/>
  <c r="I176" i="32"/>
  <c r="I175" i="32" s="1"/>
  <c r="BE175" i="32"/>
  <c r="BE174" i="32" s="1"/>
  <c r="BT176" i="32"/>
  <c r="BT175" i="32" s="1"/>
  <c r="BT174" i="32" s="1"/>
  <c r="BU176" i="32"/>
  <c r="BU175" i="32" s="1"/>
  <c r="BU174" i="32" s="1"/>
  <c r="BS176" i="32"/>
  <c r="BS175" i="32" s="1"/>
  <c r="BS174" i="32" s="1"/>
  <c r="BQ176" i="32"/>
  <c r="BQ175" i="32" s="1"/>
  <c r="BQ174" i="32" s="1"/>
  <c r="BK92" i="32"/>
  <c r="BJ93" i="32"/>
  <c r="BI94" i="32"/>
  <c r="BT95" i="32"/>
  <c r="BG96" i="32"/>
  <c r="BK104" i="32"/>
  <c r="BK116" i="32"/>
  <c r="BO124" i="32"/>
  <c r="G128" i="32"/>
  <c r="G126" i="32" s="1"/>
  <c r="E130" i="32"/>
  <c r="E126" i="32" s="1"/>
  <c r="E121" i="32" s="1"/>
  <c r="BS130" i="32"/>
  <c r="Z139" i="32"/>
  <c r="M140" i="32"/>
  <c r="AE202" i="32"/>
  <c r="AE201" i="32"/>
  <c r="AE200" i="32"/>
  <c r="AY93" i="32"/>
  <c r="BJ94" i="32"/>
  <c r="BU95" i="32"/>
  <c r="BH96" i="32"/>
  <c r="BL104" i="32"/>
  <c r="BL116" i="32"/>
  <c r="BP124" i="32"/>
  <c r="BT130" i="32"/>
  <c r="G135" i="32"/>
  <c r="G133" i="32" s="1"/>
  <c r="N139" i="32"/>
  <c r="BB151" i="32"/>
  <c r="BA150" i="32"/>
  <c r="I152" i="32"/>
  <c r="L39" i="61"/>
  <c r="K19" i="62"/>
  <c r="BH85" i="32"/>
  <c r="BA92" i="32"/>
  <c r="BM92" i="32" s="1"/>
  <c r="AZ93" i="32"/>
  <c r="AY94" i="32"/>
  <c r="BV95" i="32"/>
  <c r="BI96" i="32"/>
  <c r="BM104" i="32"/>
  <c r="BA116" i="32"/>
  <c r="BM116" i="32"/>
  <c r="BQ124" i="32"/>
  <c r="AZ129" i="32"/>
  <c r="BU130" i="32"/>
  <c r="I135" i="32"/>
  <c r="I133" i="32" s="1"/>
  <c r="I121" i="32" s="1"/>
  <c r="BO136" i="32"/>
  <c r="P140" i="32"/>
  <c r="O140" i="32"/>
  <c r="O139" i="32" s="1"/>
  <c r="AB139" i="32"/>
  <c r="M142" i="32"/>
  <c r="M141" i="32" s="1"/>
  <c r="J154" i="32"/>
  <c r="J152" i="32" s="1"/>
  <c r="H171" i="32"/>
  <c r="H170" i="32" s="1"/>
  <c r="G171" i="32"/>
  <c r="G170" i="32" s="1"/>
  <c r="BN92" i="32"/>
  <c r="BA93" i="32"/>
  <c r="AZ94" i="32"/>
  <c r="BK95" i="32"/>
  <c r="BJ96" i="32"/>
  <c r="BN104" i="32"/>
  <c r="BK107" i="32"/>
  <c r="BK119" i="32"/>
  <c r="BR124" i="32"/>
  <c r="BV130" i="32"/>
  <c r="BL135" i="32"/>
  <c r="AZ135" i="32"/>
  <c r="BK135" i="32"/>
  <c r="AM141" i="32"/>
  <c r="AM139" i="32" s="1"/>
  <c r="BA142" i="32"/>
  <c r="D200" i="32"/>
  <c r="D201" i="32"/>
  <c r="D202" i="32"/>
  <c r="AH201" i="32"/>
  <c r="X201" i="32"/>
  <c r="X202" i="32"/>
  <c r="X200" i="32"/>
  <c r="AJ201" i="32"/>
  <c r="AJ202" i="32"/>
  <c r="AJ200" i="32"/>
  <c r="AV201" i="32"/>
  <c r="AV202" i="32"/>
  <c r="AV200" i="32"/>
  <c r="H159" i="32"/>
  <c r="I161" i="32"/>
  <c r="BF164" i="32"/>
  <c r="G168" i="32"/>
  <c r="F168" i="32"/>
  <c r="F167" i="32" s="1"/>
  <c r="BH168" i="32"/>
  <c r="BH167" i="32" s="1"/>
  <c r="BH164" i="32" s="1"/>
  <c r="BG168" i="32"/>
  <c r="BG167" i="32" s="1"/>
  <c r="BG164" i="32" s="1"/>
  <c r="BF168" i="32"/>
  <c r="BF167" i="32" s="1"/>
  <c r="BE168" i="32"/>
  <c r="BE167" i="32" s="1"/>
  <c r="BE164" i="32" s="1"/>
  <c r="BD168" i="32"/>
  <c r="BD167" i="32" s="1"/>
  <c r="BD164" i="32" s="1"/>
  <c r="Y200" i="32"/>
  <c r="Y202" i="32"/>
  <c r="Y201" i="32"/>
  <c r="AK200" i="32"/>
  <c r="AK202" i="32"/>
  <c r="AK201" i="32"/>
  <c r="AW200" i="32"/>
  <c r="AW202" i="32"/>
  <c r="AW201" i="32"/>
  <c r="AZ107" i="32"/>
  <c r="BL107" i="32" s="1"/>
  <c r="AZ119" i="32"/>
  <c r="AZ131" i="32"/>
  <c r="L135" i="32"/>
  <c r="E137" i="32"/>
  <c r="E136" i="32" s="1"/>
  <c r="BK142" i="32"/>
  <c r="AY141" i="32"/>
  <c r="AY139" i="32" s="1"/>
  <c r="D35" i="61" s="1"/>
  <c r="K144" i="32"/>
  <c r="K139" i="32" s="1"/>
  <c r="BB144" i="32"/>
  <c r="BN144" i="32" s="1"/>
  <c r="H145" i="32"/>
  <c r="K153" i="32"/>
  <c r="K152" i="32" s="1"/>
  <c r="K149" i="32" s="1"/>
  <c r="O152" i="32"/>
  <c r="O174" i="32"/>
  <c r="D206" i="32"/>
  <c r="D207" i="32" s="1"/>
  <c r="D208" i="32" s="1"/>
  <c r="D209" i="32" s="1"/>
  <c r="D210" i="32" s="1"/>
  <c r="AB206" i="32"/>
  <c r="AB207" i="32" s="1"/>
  <c r="AB208" i="32" s="1"/>
  <c r="AB209" i="32" s="1"/>
  <c r="AB210" i="32" s="1"/>
  <c r="AB211" i="32" s="1"/>
  <c r="AN206" i="32"/>
  <c r="AN207" i="32" s="1"/>
  <c r="AN208" i="32" s="1"/>
  <c r="AN209" i="32" s="1"/>
  <c r="AN210" i="32" s="1"/>
  <c r="AN211" i="32" s="1"/>
  <c r="AY150" i="32"/>
  <c r="Y175" i="32"/>
  <c r="M39" i="61"/>
  <c r="L19" i="62"/>
  <c r="AZ187" i="32"/>
  <c r="BK187" i="32"/>
  <c r="R148" i="32"/>
  <c r="Q206" i="32"/>
  <c r="Q207" i="32" s="1"/>
  <c r="Q208" i="32" s="1"/>
  <c r="Q209" i="32" s="1"/>
  <c r="Q210" i="32" s="1"/>
  <c r="Q211" i="32" s="1"/>
  <c r="AC206" i="32"/>
  <c r="AC207" i="32" s="1"/>
  <c r="AC212" i="32" s="1"/>
  <c r="AZ150" i="32"/>
  <c r="BK151" i="32"/>
  <c r="BK150" i="32" s="1"/>
  <c r="A19" i="62"/>
  <c r="B39" i="61"/>
  <c r="H175" i="32"/>
  <c r="H174" i="32" s="1"/>
  <c r="AD206" i="32"/>
  <c r="AD207" i="32" s="1"/>
  <c r="AD208" i="32" s="1"/>
  <c r="AD214" i="32" s="1"/>
  <c r="BL151" i="32"/>
  <c r="BL150" i="32" s="1"/>
  <c r="K198" i="32"/>
  <c r="K197" i="32" s="1"/>
  <c r="K190" i="32" s="1"/>
  <c r="K385" i="21" s="1"/>
  <c r="J198" i="32"/>
  <c r="J197" i="32" s="1"/>
  <c r="T201" i="32"/>
  <c r="T202" i="32"/>
  <c r="T200" i="32"/>
  <c r="AF200" i="32"/>
  <c r="AF202" i="32"/>
  <c r="AF201" i="32"/>
  <c r="AR202" i="32"/>
  <c r="AR201" i="32"/>
  <c r="AR200" i="32"/>
  <c r="S206" i="32"/>
  <c r="S207" i="32" s="1"/>
  <c r="S208" i="32" s="1"/>
  <c r="S209" i="32" s="1"/>
  <c r="S210" i="32" s="1"/>
  <c r="S211" i="32" s="1"/>
  <c r="AE206" i="32"/>
  <c r="AE207" i="32" s="1"/>
  <c r="AE208" i="32" s="1"/>
  <c r="AE214" i="32" s="1"/>
  <c r="BM151" i="32"/>
  <c r="BM150" i="32" s="1"/>
  <c r="N166" i="32"/>
  <c r="N165" i="32" s="1"/>
  <c r="N164" i="32" s="1"/>
  <c r="K176" i="32"/>
  <c r="K175" i="32" s="1"/>
  <c r="K174" i="32" s="1"/>
  <c r="F190" i="32"/>
  <c r="F385" i="21" s="1"/>
  <c r="BP140" i="32"/>
  <c r="U201" i="32"/>
  <c r="U202" i="32"/>
  <c r="U200" i="32"/>
  <c r="AG200" i="32"/>
  <c r="AG202" i="32"/>
  <c r="AG201" i="32"/>
  <c r="AS202" i="32"/>
  <c r="AS201" i="32"/>
  <c r="AS200" i="32"/>
  <c r="T206" i="32"/>
  <c r="T207" i="32" s="1"/>
  <c r="AF206" i="32"/>
  <c r="AF207" i="32" s="1"/>
  <c r="AF208" i="32" s="1"/>
  <c r="AF214" i="32" s="1"/>
  <c r="L177" i="32"/>
  <c r="L175" i="32" s="1"/>
  <c r="L174" i="32" s="1"/>
  <c r="J180" i="32"/>
  <c r="J179" i="32" s="1"/>
  <c r="BP185" i="32"/>
  <c r="BO185" i="32"/>
  <c r="BM185" i="32"/>
  <c r="BL185" i="32"/>
  <c r="AZ185" i="32"/>
  <c r="BA185" i="32" s="1"/>
  <c r="BB185" i="32" s="1"/>
  <c r="BC185" i="32" s="1"/>
  <c r="BD185" i="32" s="1"/>
  <c r="BE185" i="32" s="1"/>
  <c r="BF185" i="32" s="1"/>
  <c r="BG185" i="32" s="1"/>
  <c r="BH185" i="32" s="1"/>
  <c r="BI185" i="32" s="1"/>
  <c r="BJ185" i="32" s="1"/>
  <c r="BK185" i="32"/>
  <c r="BU185" i="32"/>
  <c r="BT185" i="32"/>
  <c r="J189" i="32"/>
  <c r="J188" i="32" s="1"/>
  <c r="BR192" i="32"/>
  <c r="BP192" i="32"/>
  <c r="BO192" i="32"/>
  <c r="BL192" i="32"/>
  <c r="BK192" i="32"/>
  <c r="BV192" i="32"/>
  <c r="BU192" i="32"/>
  <c r="AZ192" i="32"/>
  <c r="BA192" i="32" s="1"/>
  <c r="BB192" i="32" s="1"/>
  <c r="BC192" i="32" s="1"/>
  <c r="BD192" i="32" s="1"/>
  <c r="BE192" i="32" s="1"/>
  <c r="BF192" i="32" s="1"/>
  <c r="BG192" i="32" s="1"/>
  <c r="BH192" i="32" s="1"/>
  <c r="BI192" i="32" s="1"/>
  <c r="BJ192" i="32" s="1"/>
  <c r="BM192" i="32"/>
  <c r="J194" i="32"/>
  <c r="BP195" i="32"/>
  <c r="BO195" i="32"/>
  <c r="BN195" i="32"/>
  <c r="AZ195" i="32"/>
  <c r="BA195" i="32" s="1"/>
  <c r="BB195" i="32" s="1"/>
  <c r="BC195" i="32" s="1"/>
  <c r="BD195" i="32" s="1"/>
  <c r="BE195" i="32" s="1"/>
  <c r="BM195" i="32"/>
  <c r="BL195" i="32"/>
  <c r="BK195" i="32"/>
  <c r="AY193" i="32"/>
  <c r="AY190" i="32" s="1"/>
  <c r="U139" i="32"/>
  <c r="V201" i="32"/>
  <c r="AH200" i="32"/>
  <c r="AH202" i="32"/>
  <c r="AT200" i="32"/>
  <c r="AT201" i="32"/>
  <c r="AT202" i="32"/>
  <c r="U206" i="32"/>
  <c r="U207" i="32" s="1"/>
  <c r="U208" i="32" s="1"/>
  <c r="U209" i="32" s="1"/>
  <c r="U210" i="32" s="1"/>
  <c r="AG206" i="32"/>
  <c r="AG207" i="32" s="1"/>
  <c r="AG208" i="32" s="1"/>
  <c r="AG214" i="32" s="1"/>
  <c r="G173" i="32"/>
  <c r="G172" i="32" s="1"/>
  <c r="M176" i="32"/>
  <c r="M175" i="32" s="1"/>
  <c r="M174" i="32" s="1"/>
  <c r="N185" i="32"/>
  <c r="N180" i="32" s="1"/>
  <c r="N179" i="32" s="1"/>
  <c r="O192" i="32"/>
  <c r="L193" i="32"/>
  <c r="L190" i="32" s="1"/>
  <c r="L385" i="21" s="1"/>
  <c r="P193" i="32"/>
  <c r="BR140" i="32"/>
  <c r="W200" i="32"/>
  <c r="W201" i="32"/>
  <c r="W202" i="32"/>
  <c r="AI200" i="32"/>
  <c r="AI201" i="32"/>
  <c r="AI202" i="32"/>
  <c r="AU200" i="32"/>
  <c r="AU201" i="32"/>
  <c r="AU202" i="32"/>
  <c r="V206" i="32"/>
  <c r="V207" i="32" s="1"/>
  <c r="V208" i="32" s="1"/>
  <c r="V209" i="32" s="1"/>
  <c r="V210" i="32" s="1"/>
  <c r="V211" i="32" s="1"/>
  <c r="AH206" i="32"/>
  <c r="AH207" i="32" s="1"/>
  <c r="AH208" i="32" s="1"/>
  <c r="AH214" i="32" s="1"/>
  <c r="L168" i="32"/>
  <c r="L167" i="32" s="1"/>
  <c r="F181" i="32"/>
  <c r="F180" i="32" s="1"/>
  <c r="F179" i="32" s="1"/>
  <c r="L180" i="32"/>
  <c r="L179" i="32" s="1"/>
  <c r="K180" i="32"/>
  <c r="K179" i="32" s="1"/>
  <c r="BV185" i="32"/>
  <c r="N190" i="32"/>
  <c r="N385" i="21" s="1"/>
  <c r="W206" i="32"/>
  <c r="W207" i="32" s="1"/>
  <c r="W208" i="32" s="1"/>
  <c r="W209" i="32" s="1"/>
  <c r="W210" i="32" s="1"/>
  <c r="W211" i="32" s="1"/>
  <c r="AI206" i="32"/>
  <c r="AI207" i="32" s="1"/>
  <c r="AI208" i="32" s="1"/>
  <c r="F166" i="32"/>
  <c r="F165" i="32" s="1"/>
  <c r="F164" i="32" s="1"/>
  <c r="G169" i="32"/>
  <c r="H181" i="32"/>
  <c r="H180" i="32" s="1"/>
  <c r="H179" i="32" s="1"/>
  <c r="M180" i="32"/>
  <c r="M179" i="32" s="1"/>
  <c r="E182" i="32"/>
  <c r="E180" i="32" s="1"/>
  <c r="E179" i="32" s="1"/>
  <c r="BT184" i="32"/>
  <c r="BR184" i="32"/>
  <c r="BQ184" i="32"/>
  <c r="BP184" i="32"/>
  <c r="BO184" i="32"/>
  <c r="BN184" i="32"/>
  <c r="BM184" i="32"/>
  <c r="BL184" i="32"/>
  <c r="AZ184" i="32"/>
  <c r="BA184" i="32" s="1"/>
  <c r="BB184" i="32" s="1"/>
  <c r="BC184" i="32" s="1"/>
  <c r="BD184" i="32" s="1"/>
  <c r="BE184" i="32" s="1"/>
  <c r="BF184" i="32" s="1"/>
  <c r="BG184" i="32" s="1"/>
  <c r="BH184" i="32" s="1"/>
  <c r="BI184" i="32" s="1"/>
  <c r="BJ184" i="32" s="1"/>
  <c r="BV184" i="32"/>
  <c r="BU184" i="32"/>
  <c r="O190" i="32"/>
  <c r="O385" i="21" s="1"/>
  <c r="AZ191" i="32"/>
  <c r="BL191" i="32"/>
  <c r="BK191" i="32"/>
  <c r="X206" i="32"/>
  <c r="X207" i="32" s="1"/>
  <c r="X208" i="32" s="1"/>
  <c r="X209" i="32" s="1"/>
  <c r="X210" i="32" s="1"/>
  <c r="X211" i="32" s="1"/>
  <c r="AJ206" i="32"/>
  <c r="AJ207" i="32" s="1"/>
  <c r="AJ208" i="32" s="1"/>
  <c r="AJ209" i="32" s="1"/>
  <c r="AJ210" i="32" s="1"/>
  <c r="AJ211" i="32" s="1"/>
  <c r="BC164" i="32"/>
  <c r="AZ168" i="32"/>
  <c r="AZ167" i="32" s="1"/>
  <c r="AZ164" i="32" s="1"/>
  <c r="G182" i="32"/>
  <c r="G180" i="32" s="1"/>
  <c r="G179" i="32" s="1"/>
  <c r="O184" i="32"/>
  <c r="BK184" i="32"/>
  <c r="BK193" i="32"/>
  <c r="Z206" i="32"/>
  <c r="Z207" i="32" s="1"/>
  <c r="Z208" i="32" s="1"/>
  <c r="Z209" i="32" s="1"/>
  <c r="Z210" i="32" s="1"/>
  <c r="Z211" i="32" s="1"/>
  <c r="Y206" i="32"/>
  <c r="Y207" i="32" s="1"/>
  <c r="Y208" i="32" s="1"/>
  <c r="Y209" i="32" s="1"/>
  <c r="Y210" i="32" s="1"/>
  <c r="Y211" i="32" s="1"/>
  <c r="AK206" i="32"/>
  <c r="AK207" i="32" s="1"/>
  <c r="AK208" i="32" s="1"/>
  <c r="AK209" i="32" s="1"/>
  <c r="AK210" i="32" s="1"/>
  <c r="AK211" i="32" s="1"/>
  <c r="P167" i="32"/>
  <c r="P164" i="32" s="1"/>
  <c r="P156" i="32" s="1"/>
  <c r="P149" i="32" s="1"/>
  <c r="C19" i="62"/>
  <c r="D39" i="61"/>
  <c r="BK183" i="32"/>
  <c r="P190" i="32"/>
  <c r="P385" i="21" s="1"/>
  <c r="AL206" i="32"/>
  <c r="AL207" i="32" s="1"/>
  <c r="AL208" i="32" s="1"/>
  <c r="AL209" i="32" s="1"/>
  <c r="AL210" i="32" s="1"/>
  <c r="AL211" i="32" s="1"/>
  <c r="AY168" i="32"/>
  <c r="BJ168" i="32"/>
  <c r="BJ167" i="32" s="1"/>
  <c r="BJ164" i="32" s="1"/>
  <c r="BI168" i="32"/>
  <c r="BI167" i="32" s="1"/>
  <c r="BB168" i="32"/>
  <c r="BB167" i="32" s="1"/>
  <c r="BB164" i="32" s="1"/>
  <c r="I178" i="32"/>
  <c r="O180" i="32"/>
  <c r="O179" i="32" s="1"/>
  <c r="AZ183" i="32"/>
  <c r="BL181" i="32"/>
  <c r="BK182" i="32"/>
  <c r="BK180" i="32" s="1"/>
  <c r="BK179" i="32" s="1"/>
  <c r="X21" i="60"/>
  <c r="AF21" i="60"/>
  <c r="R21" i="60"/>
  <c r="AE21" i="60"/>
  <c r="AD21" i="60"/>
  <c r="AC21" i="60"/>
  <c r="AB21" i="60"/>
  <c r="AA21" i="60"/>
  <c r="Z21" i="60"/>
  <c r="Y21" i="60"/>
  <c r="AH21" i="60"/>
  <c r="AG21" i="60"/>
  <c r="AI21" i="60"/>
  <c r="U21" i="60"/>
  <c r="BR176" i="32"/>
  <c r="BR175" i="32" s="1"/>
  <c r="BR174" i="32" s="1"/>
  <c r="BA181" i="32"/>
  <c r="BM181" i="32" s="1"/>
  <c r="AZ182" i="32"/>
  <c r="BL182" i="32"/>
  <c r="AZ196" i="32"/>
  <c r="BK186" i="32"/>
  <c r="E39" i="61"/>
  <c r="D19" i="62"/>
  <c r="BV176" i="32"/>
  <c r="BV175" i="32" s="1"/>
  <c r="BV174" i="32" s="1"/>
  <c r="AZ186" i="32"/>
  <c r="BL186" i="32" s="1"/>
  <c r="F39" i="61"/>
  <c r="E19" i="62"/>
  <c r="BK176" i="32"/>
  <c r="BK175" i="32" s="1"/>
  <c r="BK174" i="32" s="1"/>
  <c r="B41" i="61"/>
  <c r="A21" i="62"/>
  <c r="M198" i="32"/>
  <c r="M197" i="32" s="1"/>
  <c r="M190" i="32" s="1"/>
  <c r="M385" i="21" s="1"/>
  <c r="G39" i="61"/>
  <c r="F19" i="62"/>
  <c r="BL176" i="32"/>
  <c r="BL175" i="32" s="1"/>
  <c r="BL174" i="32" s="1"/>
  <c r="F192" i="32"/>
  <c r="H39" i="61"/>
  <c r="G19" i="62"/>
  <c r="BM176" i="32"/>
  <c r="BM175" i="32" s="1"/>
  <c r="BM174" i="32" s="1"/>
  <c r="B42" i="61"/>
  <c r="A22" i="62"/>
  <c r="H192" i="32"/>
  <c r="H190" i="32" s="1"/>
  <c r="H385" i="21" s="1"/>
  <c r="AZ194" i="32"/>
  <c r="BK196" i="32"/>
  <c r="AZ198" i="32"/>
  <c r="BK198" i="32"/>
  <c r="BK197" i="32" s="1"/>
  <c r="O16" i="64"/>
  <c r="P15" i="64"/>
  <c r="BN176" i="32"/>
  <c r="BN175" i="32" s="1"/>
  <c r="BN174" i="32" s="1"/>
  <c r="A20" i="62"/>
  <c r="B40" i="61"/>
  <c r="BL196" i="32"/>
  <c r="BD175" i="32"/>
  <c r="BD174" i="32" s="1"/>
  <c r="AY180" i="32"/>
  <c r="AY179" i="32" s="1"/>
  <c r="G193" i="32"/>
  <c r="G190" i="32" s="1"/>
  <c r="G385" i="21" s="1"/>
  <c r="Q17" i="60"/>
  <c r="AF29" i="60"/>
  <c r="AE29" i="60"/>
  <c r="R29" i="60"/>
  <c r="U29" i="60"/>
  <c r="AI29" i="60"/>
  <c r="AG29" i="60"/>
  <c r="AI36" i="60"/>
  <c r="AG36" i="60"/>
  <c r="AE36" i="60"/>
  <c r="S36" i="60" s="1"/>
  <c r="R36" i="60"/>
  <c r="V36" i="60" s="1"/>
  <c r="U36" i="60"/>
  <c r="AH36" i="60"/>
  <c r="AF36" i="60"/>
  <c r="Z43" i="60"/>
  <c r="Y43" i="60"/>
  <c r="X43" i="60"/>
  <c r="AI43" i="60"/>
  <c r="AG43" i="60"/>
  <c r="AB43" i="60"/>
  <c r="AE43" i="60"/>
  <c r="AD43" i="60"/>
  <c r="AC43" i="60"/>
  <c r="AA43" i="60"/>
  <c r="U43" i="60"/>
  <c r="R43" i="60"/>
  <c r="AH43" i="60"/>
  <c r="AF43" i="60"/>
  <c r="AI46" i="60"/>
  <c r="AG46" i="60"/>
  <c r="R46" i="60"/>
  <c r="U46" i="60"/>
  <c r="AH46" i="60"/>
  <c r="O20" i="60"/>
  <c r="Q20" i="60" s="1"/>
  <c r="AB25" i="60"/>
  <c r="AA25" i="60"/>
  <c r="AC25" i="60"/>
  <c r="Z25" i="60"/>
  <c r="Y25" i="60"/>
  <c r="X25" i="60"/>
  <c r="U25" i="60"/>
  <c r="AI25" i="60"/>
  <c r="AH25" i="60"/>
  <c r="AG25" i="60"/>
  <c r="R25" i="60"/>
  <c r="AE25" i="60"/>
  <c r="AD25" i="60"/>
  <c r="S27" i="60"/>
  <c r="V27" i="60" s="1"/>
  <c r="Z40" i="60"/>
  <c r="Y40" i="60"/>
  <c r="X40" i="60"/>
  <c r="AI40" i="60"/>
  <c r="AG40" i="60"/>
  <c r="AD40" i="60"/>
  <c r="AC40" i="60"/>
  <c r="AB40" i="60"/>
  <c r="AA40" i="60"/>
  <c r="U40" i="60"/>
  <c r="R40" i="60"/>
  <c r="AF40" i="60"/>
  <c r="AE40" i="60"/>
  <c r="AC15" i="60"/>
  <c r="AA15" i="60"/>
  <c r="Z15" i="60"/>
  <c r="Y15" i="60"/>
  <c r="X15" i="60"/>
  <c r="AI15" i="60"/>
  <c r="U15" i="60"/>
  <c r="AH15" i="60"/>
  <c r="AG15" i="60"/>
  <c r="AF15" i="60"/>
  <c r="R15" i="60"/>
  <c r="AD15" i="60"/>
  <c r="AB15" i="60"/>
  <c r="AF25" i="60"/>
  <c r="AH40" i="60"/>
  <c r="AA22" i="60"/>
  <c r="AI22" i="60"/>
  <c r="U22" i="60"/>
  <c r="AH22" i="60"/>
  <c r="AG22" i="60"/>
  <c r="AF22" i="60"/>
  <c r="R22" i="60"/>
  <c r="AE22" i="60"/>
  <c r="AD22" i="60"/>
  <c r="AC22" i="60"/>
  <c r="AB22" i="60"/>
  <c r="Y22" i="60"/>
  <c r="X22" i="60"/>
  <c r="AE15" i="60"/>
  <c r="R26" i="60"/>
  <c r="AI26" i="60"/>
  <c r="AH26" i="60"/>
  <c r="U26" i="60"/>
  <c r="AG26" i="60"/>
  <c r="S26" i="60" s="1"/>
  <c r="V26" i="60" s="1"/>
  <c r="Z22" i="60"/>
  <c r="AI27" i="60"/>
  <c r="U27" i="60"/>
  <c r="AH27" i="60"/>
  <c r="R27" i="60"/>
  <c r="L100" i="60"/>
  <c r="L101" i="60"/>
  <c r="AI12" i="60"/>
  <c r="S12" i="60" s="1"/>
  <c r="V12" i="60" s="1"/>
  <c r="AH12" i="60"/>
  <c r="U12" i="60"/>
  <c r="R12" i="60"/>
  <c r="AB28" i="60"/>
  <c r="AA28" i="60"/>
  <c r="AI28" i="60"/>
  <c r="AH28" i="60"/>
  <c r="AG28" i="60"/>
  <c r="R28" i="60"/>
  <c r="AF28" i="60"/>
  <c r="AE28" i="60"/>
  <c r="S28" i="60" s="1"/>
  <c r="V28" i="60" s="1"/>
  <c r="AD28" i="60"/>
  <c r="AC28" i="60"/>
  <c r="Z28" i="60"/>
  <c r="Y28" i="60"/>
  <c r="U28" i="60"/>
  <c r="Q9" i="60"/>
  <c r="R10" i="60"/>
  <c r="AI10" i="60"/>
  <c r="V10" i="60"/>
  <c r="AG10" i="60"/>
  <c r="S10" i="60" s="1"/>
  <c r="AH10" i="60"/>
  <c r="R13" i="60"/>
  <c r="AI13" i="60"/>
  <c r="AG13" i="60"/>
  <c r="AF13" i="60"/>
  <c r="R23" i="60"/>
  <c r="AI23" i="60"/>
  <c r="AH23" i="60"/>
  <c r="U23" i="60"/>
  <c r="AG23" i="60"/>
  <c r="AF35" i="60"/>
  <c r="AE35" i="60"/>
  <c r="R35" i="60"/>
  <c r="AA35" i="60"/>
  <c r="Z35" i="60"/>
  <c r="Y35" i="60"/>
  <c r="X35" i="60"/>
  <c r="U35" i="60"/>
  <c r="AI35" i="60"/>
  <c r="AH35" i="60"/>
  <c r="AG35" i="60"/>
  <c r="AC35" i="60"/>
  <c r="AB35" i="60"/>
  <c r="Y14" i="60"/>
  <c r="AI14" i="60"/>
  <c r="U14" i="60"/>
  <c r="AH14" i="60"/>
  <c r="AG14" i="60"/>
  <c r="AF14" i="60"/>
  <c r="R14" i="60"/>
  <c r="AE14" i="60"/>
  <c r="AD14" i="60"/>
  <c r="AC14" i="60"/>
  <c r="AB14" i="60"/>
  <c r="AA14" i="60"/>
  <c r="X14" i="60"/>
  <c r="AH29" i="60"/>
  <c r="S29" i="60" s="1"/>
  <c r="U10" i="60"/>
  <c r="U13" i="60"/>
  <c r="AF32" i="60"/>
  <c r="AE32" i="60"/>
  <c r="R32" i="60"/>
  <c r="AA32" i="60"/>
  <c r="AC32" i="60"/>
  <c r="AB32" i="60"/>
  <c r="Z32" i="60"/>
  <c r="Y32" i="60"/>
  <c r="X32" i="60"/>
  <c r="U32" i="60"/>
  <c r="AI32" i="60"/>
  <c r="AG32" i="60"/>
  <c r="AD32" i="60"/>
  <c r="AD35" i="60"/>
  <c r="O39" i="60"/>
  <c r="Q39" i="60"/>
  <c r="AA37" i="60"/>
  <c r="Z37" i="60"/>
  <c r="Y37" i="60"/>
  <c r="X37" i="60"/>
  <c r="AH37" i="60"/>
  <c r="U37" i="60"/>
  <c r="S61" i="60"/>
  <c r="R37" i="60"/>
  <c r="AE38" i="60"/>
  <c r="R38" i="60"/>
  <c r="AD38" i="60"/>
  <c r="AC38" i="60"/>
  <c r="AB38" i="60"/>
  <c r="Z38" i="60"/>
  <c r="AH55" i="60"/>
  <c r="U55" i="60"/>
  <c r="AG55" i="60"/>
  <c r="AF55" i="60"/>
  <c r="AE55" i="60"/>
  <c r="R55" i="60"/>
  <c r="AD55" i="60"/>
  <c r="AC55" i="60"/>
  <c r="AB55" i="60"/>
  <c r="AA55" i="60"/>
  <c r="Y55" i="60"/>
  <c r="X55" i="60"/>
  <c r="AF69" i="60"/>
  <c r="AE69" i="60"/>
  <c r="R69" i="60"/>
  <c r="AD69" i="60"/>
  <c r="AC69" i="60"/>
  <c r="AB69" i="60"/>
  <c r="AA69" i="60"/>
  <c r="Z69" i="60"/>
  <c r="Y69" i="60"/>
  <c r="X69" i="60"/>
  <c r="AI69" i="60"/>
  <c r="AH69" i="60"/>
  <c r="U69" i="60"/>
  <c r="AF72" i="60"/>
  <c r="R72" i="60"/>
  <c r="AI72" i="60"/>
  <c r="AH72" i="60"/>
  <c r="U72" i="60"/>
  <c r="AA73" i="60"/>
  <c r="X73" i="60"/>
  <c r="AI73" i="60"/>
  <c r="U73" i="60"/>
  <c r="AH73" i="60"/>
  <c r="AG73" i="60"/>
  <c r="AF73" i="60"/>
  <c r="R73" i="60"/>
  <c r="AE73" i="60"/>
  <c r="AD73" i="60"/>
  <c r="AC73" i="60"/>
  <c r="AB73" i="60"/>
  <c r="Z73" i="60"/>
  <c r="AF89" i="60"/>
  <c r="AE89" i="60"/>
  <c r="R89" i="60"/>
  <c r="U89" i="60"/>
  <c r="AI89" i="60"/>
  <c r="AH89" i="60"/>
  <c r="AG89" i="60"/>
  <c r="AD89" i="60"/>
  <c r="AC89" i="60"/>
  <c r="AB89" i="60"/>
  <c r="AG91" i="60"/>
  <c r="AI91" i="60"/>
  <c r="U91" i="60"/>
  <c r="AH91" i="60"/>
  <c r="AF91" i="60"/>
  <c r="S91" i="60" s="1"/>
  <c r="V91" i="60" s="1"/>
  <c r="R91" i="60"/>
  <c r="AG18" i="60"/>
  <c r="S18" i="60" s="1"/>
  <c r="AB50" i="60"/>
  <c r="AA50" i="60"/>
  <c r="Z50" i="60"/>
  <c r="Y50" i="60"/>
  <c r="AI50" i="60"/>
  <c r="AH50" i="60"/>
  <c r="U50" i="60"/>
  <c r="AG50" i="60"/>
  <c r="AE50" i="60"/>
  <c r="R50" i="60"/>
  <c r="AD50" i="60"/>
  <c r="AH78" i="60"/>
  <c r="U78" i="60"/>
  <c r="Z78" i="60"/>
  <c r="Y78" i="60"/>
  <c r="X78" i="60"/>
  <c r="AI78" i="60"/>
  <c r="AG78" i="60"/>
  <c r="AF78" i="60"/>
  <c r="R78" i="60"/>
  <c r="AE78" i="60"/>
  <c r="AD78" i="60"/>
  <c r="AC78" i="60"/>
  <c r="AB78" i="60"/>
  <c r="AB11" i="60"/>
  <c r="O17" i="60"/>
  <c r="U18" i="60"/>
  <c r="AH18" i="60"/>
  <c r="AI59" i="60"/>
  <c r="AH59" i="60"/>
  <c r="U59" i="60"/>
  <c r="AG59" i="60"/>
  <c r="R59" i="60"/>
  <c r="AB68" i="60"/>
  <c r="AI68" i="60"/>
  <c r="AH68" i="60"/>
  <c r="U68" i="60"/>
  <c r="AG68" i="60"/>
  <c r="AF68" i="60"/>
  <c r="AE68" i="60"/>
  <c r="R68" i="60"/>
  <c r="AD68" i="60"/>
  <c r="S107" i="60"/>
  <c r="X119" i="60"/>
  <c r="X129" i="60" s="1"/>
  <c r="T101" i="60"/>
  <c r="T100" i="60"/>
  <c r="AC11" i="60"/>
  <c r="V18" i="60"/>
  <c r="AB37" i="60"/>
  <c r="AI52" i="60"/>
  <c r="AH52" i="60"/>
  <c r="U52" i="60"/>
  <c r="AG52" i="60"/>
  <c r="AF52" i="60"/>
  <c r="AE52" i="60"/>
  <c r="R52" i="60"/>
  <c r="AD52" i="60"/>
  <c r="AC52" i="60"/>
  <c r="AB52" i="60"/>
  <c r="Z52" i="60"/>
  <c r="Y52" i="60"/>
  <c r="X70" i="60"/>
  <c r="AI70" i="60"/>
  <c r="AH70" i="60"/>
  <c r="U70" i="60"/>
  <c r="AG70" i="60"/>
  <c r="AF70" i="60"/>
  <c r="AE70" i="60"/>
  <c r="R70" i="60"/>
  <c r="AD70" i="60"/>
  <c r="AC70" i="60"/>
  <c r="AB70" i="60"/>
  <c r="AA70" i="60"/>
  <c r="Z70" i="60"/>
  <c r="AA78" i="60"/>
  <c r="AE132" i="60"/>
  <c r="AI131" i="60"/>
  <c r="W131" i="60"/>
  <c r="K131" i="60"/>
  <c r="AA130" i="60"/>
  <c r="AD132" i="60"/>
  <c r="AH131" i="60"/>
  <c r="J131" i="60"/>
  <c r="Z130" i="60"/>
  <c r="N130" i="60"/>
  <c r="AC132" i="60"/>
  <c r="AG131" i="60"/>
  <c r="I131" i="60"/>
  <c r="Y130" i="60"/>
  <c r="M130" i="60"/>
  <c r="AB132" i="60"/>
  <c r="P132" i="60"/>
  <c r="AF131" i="60"/>
  <c r="T131" i="60"/>
  <c r="X130" i="60"/>
  <c r="L130" i="60"/>
  <c r="AA132" i="60"/>
  <c r="AE131" i="60"/>
  <c r="AI130" i="60"/>
  <c r="W130" i="60"/>
  <c r="K130" i="60"/>
  <c r="K133" i="60" s="1"/>
  <c r="Z132" i="60"/>
  <c r="N132" i="60"/>
  <c r="AD131" i="60"/>
  <c r="AH130" i="60"/>
  <c r="J130" i="60"/>
  <c r="Y132" i="60"/>
  <c r="M132" i="60"/>
  <c r="AC131" i="60"/>
  <c r="Q131" i="60"/>
  <c r="AG130" i="60"/>
  <c r="AG133" i="60" s="1"/>
  <c r="I130" i="60"/>
  <c r="X132" i="60"/>
  <c r="L132" i="60"/>
  <c r="AB131" i="60"/>
  <c r="P131" i="60"/>
  <c r="AF130" i="60"/>
  <c r="T130" i="60"/>
  <c r="AI132" i="60"/>
  <c r="W132" i="60"/>
  <c r="K132" i="60"/>
  <c r="AA131" i="60"/>
  <c r="O131" i="60"/>
  <c r="AE130" i="60"/>
  <c r="J132" i="60"/>
  <c r="Z131" i="60"/>
  <c r="N131" i="60"/>
  <c r="AD130" i="60"/>
  <c r="AD133" i="60" s="1"/>
  <c r="AG132" i="60"/>
  <c r="I132" i="60"/>
  <c r="Y131" i="60"/>
  <c r="M131" i="60"/>
  <c r="AC130" i="60"/>
  <c r="AF132" i="60"/>
  <c r="T132" i="60"/>
  <c r="X131" i="60"/>
  <c r="L131" i="60"/>
  <c r="AB130" i="60"/>
  <c r="P130" i="60"/>
  <c r="AD11" i="60"/>
  <c r="AI30" i="60"/>
  <c r="R30" i="60"/>
  <c r="AI33" i="60"/>
  <c r="R33" i="60"/>
  <c r="AC37" i="60"/>
  <c r="X38" i="60"/>
  <c r="X50" i="60"/>
  <c r="AE54" i="60"/>
  <c r="R54" i="60"/>
  <c r="AD54" i="60"/>
  <c r="AC54" i="60"/>
  <c r="AB54" i="60"/>
  <c r="AA54" i="60"/>
  <c r="Z54" i="60"/>
  <c r="Y54" i="60"/>
  <c r="X54" i="60"/>
  <c r="AH54" i="60"/>
  <c r="U54" i="60"/>
  <c r="AG54" i="60"/>
  <c r="AB65" i="60"/>
  <c r="AA65" i="60"/>
  <c r="Z65" i="60"/>
  <c r="Y65" i="60"/>
  <c r="X65" i="60"/>
  <c r="AI65" i="60"/>
  <c r="AH65" i="60"/>
  <c r="U65" i="60"/>
  <c r="AG65" i="60"/>
  <c r="AE65" i="60"/>
  <c r="R65" i="60"/>
  <c r="AD65" i="60"/>
  <c r="R74" i="60"/>
  <c r="AI74" i="60"/>
  <c r="AH74" i="60"/>
  <c r="U74" i="60"/>
  <c r="R11" i="60"/>
  <c r="AE11" i="60"/>
  <c r="AD19" i="60"/>
  <c r="S19" i="60" s="1"/>
  <c r="AG30" i="60"/>
  <c r="S30" i="60" s="1"/>
  <c r="V30" i="60" s="1"/>
  <c r="AC31" i="60"/>
  <c r="AG33" i="60"/>
  <c r="AD37" i="60"/>
  <c r="Y38" i="60"/>
  <c r="AC50" i="60"/>
  <c r="X52" i="60"/>
  <c r="Y70" i="60"/>
  <c r="Z79" i="60"/>
  <c r="AF79" i="60"/>
  <c r="R79" i="60"/>
  <c r="AE79" i="60"/>
  <c r="AD79" i="60"/>
  <c r="AC79" i="60"/>
  <c r="AB79" i="60"/>
  <c r="AA79" i="60"/>
  <c r="Y79" i="60"/>
  <c r="X79" i="60"/>
  <c r="AI79" i="60"/>
  <c r="U79" i="60"/>
  <c r="AH79" i="60"/>
  <c r="N103" i="60"/>
  <c r="M103" i="60"/>
  <c r="P102" i="60"/>
  <c r="L103" i="60"/>
  <c r="W103" i="60"/>
  <c r="K103" i="60"/>
  <c r="N102" i="60"/>
  <c r="J103" i="60"/>
  <c r="M102" i="60"/>
  <c r="P101" i="60"/>
  <c r="P104" i="60" s="1"/>
  <c r="P105" i="60" s="1"/>
  <c r="T103" i="60"/>
  <c r="W102" i="60"/>
  <c r="K102" i="60"/>
  <c r="N101" i="60"/>
  <c r="N104" i="60" s="1"/>
  <c r="J102" i="60"/>
  <c r="M101" i="60"/>
  <c r="M104" i="60" s="1"/>
  <c r="M105" i="60" s="1"/>
  <c r="I102" i="60"/>
  <c r="P103" i="60"/>
  <c r="W101" i="60"/>
  <c r="I103" i="60"/>
  <c r="K101" i="60"/>
  <c r="T102" i="60"/>
  <c r="J101" i="60"/>
  <c r="I101" i="60"/>
  <c r="L102" i="60"/>
  <c r="AF11" i="60"/>
  <c r="AE19" i="60"/>
  <c r="AI24" i="60"/>
  <c r="AH30" i="60"/>
  <c r="AD31" i="60"/>
  <c r="AH33" i="60"/>
  <c r="AE37" i="60"/>
  <c r="AA38" i="60"/>
  <c r="O49" i="60"/>
  <c r="O102" i="60" s="1"/>
  <c r="AF50" i="60"/>
  <c r="AA52" i="60"/>
  <c r="Z56" i="60"/>
  <c r="Y56" i="60"/>
  <c r="X56" i="60"/>
  <c r="AI56" i="60"/>
  <c r="AH56" i="60"/>
  <c r="U56" i="60"/>
  <c r="AG56" i="60"/>
  <c r="AF56" i="60"/>
  <c r="AE56" i="60"/>
  <c r="R56" i="60"/>
  <c r="AC56" i="60"/>
  <c r="AB56" i="60"/>
  <c r="AI64" i="60"/>
  <c r="AH64" i="60"/>
  <c r="U64" i="60"/>
  <c r="AG64" i="60"/>
  <c r="AF64" i="60"/>
  <c r="AE64" i="60"/>
  <c r="S64" i="60" s="1"/>
  <c r="V64" i="60" s="1"/>
  <c r="R64" i="60"/>
  <c r="S74" i="60"/>
  <c r="U109" i="60"/>
  <c r="R109" i="60"/>
  <c r="D58" i="12"/>
  <c r="D63" i="12" s="1"/>
  <c r="D59" i="12"/>
  <c r="AG11" i="60"/>
  <c r="O16" i="60"/>
  <c r="O101" i="60" s="1"/>
  <c r="O104" i="60" s="1"/>
  <c r="R19" i="60"/>
  <c r="AF19" i="60"/>
  <c r="R24" i="60"/>
  <c r="U30" i="60"/>
  <c r="AE31" i="60"/>
  <c r="U33" i="60"/>
  <c r="AF37" i="60"/>
  <c r="AF38" i="60"/>
  <c r="S44" i="60"/>
  <c r="V44" i="60" s="1"/>
  <c r="S46" i="60"/>
  <c r="V46" i="60" s="1"/>
  <c r="S58" i="60"/>
  <c r="S59" i="60"/>
  <c r="V59" i="60" s="1"/>
  <c r="S60" i="60"/>
  <c r="V60" i="60" s="1"/>
  <c r="AC65" i="60"/>
  <c r="AB71" i="60"/>
  <c r="AA71" i="60"/>
  <c r="Z71" i="60"/>
  <c r="Y71" i="60"/>
  <c r="X71" i="60"/>
  <c r="AI71" i="60"/>
  <c r="AH71" i="60"/>
  <c r="U71" i="60"/>
  <c r="AG71" i="60"/>
  <c r="AF71" i="60"/>
  <c r="AE71" i="60"/>
  <c r="R71" i="60"/>
  <c r="AD71" i="60"/>
  <c r="Q76" i="60"/>
  <c r="O76" i="60"/>
  <c r="O103" i="60" s="1"/>
  <c r="U11" i="60"/>
  <c r="AH11" i="60"/>
  <c r="AG19" i="60"/>
  <c r="AG24" i="60"/>
  <c r="AG37" i="60"/>
  <c r="AG38" i="60"/>
  <c r="O157" i="60"/>
  <c r="Q48" i="60"/>
  <c r="AF54" i="60"/>
  <c r="AA56" i="60"/>
  <c r="AF65" i="60"/>
  <c r="AG79" i="60"/>
  <c r="AI93" i="60"/>
  <c r="AH93" i="60"/>
  <c r="U93" i="60"/>
  <c r="AF93" i="60"/>
  <c r="AB93" i="60"/>
  <c r="Z93" i="60"/>
  <c r="Y93" i="60"/>
  <c r="X93" i="60"/>
  <c r="R93" i="60"/>
  <c r="AG93" i="60"/>
  <c r="AE93" i="60"/>
  <c r="AD93" i="60"/>
  <c r="AC93" i="60"/>
  <c r="AB31" i="60"/>
  <c r="AA31" i="60"/>
  <c r="AI31" i="60"/>
  <c r="AG31" i="60"/>
  <c r="AI34" i="60"/>
  <c r="S34" i="60" s="1"/>
  <c r="V34" i="60"/>
  <c r="AI37" i="60"/>
  <c r="AH38" i="60"/>
  <c r="AH42" i="60"/>
  <c r="S42" i="60" s="1"/>
  <c r="U42" i="60"/>
  <c r="R42" i="60"/>
  <c r="V42" i="60" s="1"/>
  <c r="AH45" i="60"/>
  <c r="S45" i="60" s="1"/>
  <c r="U45" i="60"/>
  <c r="R45" i="60"/>
  <c r="O67" i="60"/>
  <c r="Q67" i="60" s="1"/>
  <c r="AC68" i="60"/>
  <c r="AG72" i="60"/>
  <c r="G14" i="63"/>
  <c r="H30" i="10"/>
  <c r="AC53" i="60"/>
  <c r="AC62" i="60"/>
  <c r="AA80" i="60"/>
  <c r="AC82" i="60"/>
  <c r="AE94" i="60"/>
  <c r="M129" i="60"/>
  <c r="E139" i="60"/>
  <c r="H14" i="63"/>
  <c r="H31" i="10"/>
  <c r="G12" i="62" s="1"/>
  <c r="AD53" i="60"/>
  <c r="AD62" i="60"/>
  <c r="AI84" i="60"/>
  <c r="AC84" i="60"/>
  <c r="AF84" i="60"/>
  <c r="AC88" i="60"/>
  <c r="AB88" i="60"/>
  <c r="AH88" i="60"/>
  <c r="U88" i="60"/>
  <c r="AG88" i="60"/>
  <c r="V106" i="60"/>
  <c r="AF119" i="60"/>
  <c r="AF129" i="60" s="1"/>
  <c r="U113" i="60"/>
  <c r="V113" i="60" s="1"/>
  <c r="R113" i="60"/>
  <c r="H32" i="10"/>
  <c r="H12" i="62" s="1"/>
  <c r="E8" i="13"/>
  <c r="D23" i="10"/>
  <c r="E9" i="13"/>
  <c r="E23" i="10"/>
  <c r="O17" i="12"/>
  <c r="AA82" i="60"/>
  <c r="AG82" i="60"/>
  <c r="AE82" i="60"/>
  <c r="U117" i="60"/>
  <c r="R117" i="60"/>
  <c r="V117" i="60" s="1"/>
  <c r="AF53" i="60"/>
  <c r="AF62" i="60"/>
  <c r="AE80" i="60"/>
  <c r="R82" i="60"/>
  <c r="AF82" i="60"/>
  <c r="AH84" i="60"/>
  <c r="T119" i="60"/>
  <c r="T129" i="60" s="1"/>
  <c r="AB123" i="60"/>
  <c r="S120" i="60"/>
  <c r="H34" i="10"/>
  <c r="J12" i="62" s="1"/>
  <c r="M60" i="12"/>
  <c r="AG53" i="60"/>
  <c r="AB58" i="60"/>
  <c r="AG62" i="60"/>
  <c r="R80" i="60"/>
  <c r="AF80" i="60"/>
  <c r="AH82" i="60"/>
  <c r="U86" i="60"/>
  <c r="AH86" i="60"/>
  <c r="AC129" i="60"/>
  <c r="U114" i="60"/>
  <c r="R114" i="60"/>
  <c r="U53" i="60"/>
  <c r="AH53" i="60"/>
  <c r="AC58" i="60"/>
  <c r="U62" i="60"/>
  <c r="AH62" i="60"/>
  <c r="AA63" i="60"/>
  <c r="AB66" i="60"/>
  <c r="AG80" i="60"/>
  <c r="AI82" i="60"/>
  <c r="U84" i="60"/>
  <c r="AI86" i="60"/>
  <c r="N105" i="60"/>
  <c r="S121" i="60"/>
  <c r="L153" i="60"/>
  <c r="H36" i="10"/>
  <c r="L12" i="62" s="1"/>
  <c r="C27" i="12"/>
  <c r="O37" i="12"/>
  <c r="O41" i="12"/>
  <c r="AD58" i="60"/>
  <c r="AI75" i="60"/>
  <c r="S75" i="60" s="1"/>
  <c r="U82" i="60"/>
  <c r="S86" i="60"/>
  <c r="V86" i="60" s="1"/>
  <c r="AB94" i="60"/>
  <c r="AA94" i="60"/>
  <c r="Z94" i="60"/>
  <c r="Y94" i="60"/>
  <c r="X94" i="60"/>
  <c r="AH94" i="60"/>
  <c r="U94" i="60"/>
  <c r="AG94" i="60"/>
  <c r="AF94" i="60"/>
  <c r="Y129" i="60"/>
  <c r="S108" i="60"/>
  <c r="S130" i="60" s="1"/>
  <c r="K151" i="60"/>
  <c r="H37" i="10"/>
  <c r="M12" i="62" s="1"/>
  <c r="N14" i="63"/>
  <c r="O27" i="12"/>
  <c r="K53" i="12"/>
  <c r="K59" i="12" s="1"/>
  <c r="D61" i="12"/>
  <c r="D62" i="12"/>
  <c r="X53" i="60"/>
  <c r="R58" i="60"/>
  <c r="AE58" i="60"/>
  <c r="R61" i="60"/>
  <c r="AC63" i="60"/>
  <c r="AD66" i="60"/>
  <c r="R75" i="60"/>
  <c r="U80" i="60"/>
  <c r="AI80" i="60"/>
  <c r="Y84" i="60"/>
  <c r="R85" i="60"/>
  <c r="V85" i="60" s="1"/>
  <c r="Y88" i="60"/>
  <c r="S88" i="60" s="1"/>
  <c r="V88" i="60" s="1"/>
  <c r="R94" i="60"/>
  <c r="Z119" i="60"/>
  <c r="Z129" i="60" s="1"/>
  <c r="S109" i="60"/>
  <c r="Q112" i="60"/>
  <c r="L151" i="60"/>
  <c r="N27" i="12"/>
  <c r="I27" i="12"/>
  <c r="O51" i="60"/>
  <c r="O162" i="60" s="1"/>
  <c r="Y53" i="60"/>
  <c r="AF58" i="60"/>
  <c r="AD63" i="60"/>
  <c r="R66" i="60"/>
  <c r="AE66" i="60"/>
  <c r="R77" i="60"/>
  <c r="X82" i="60"/>
  <c r="AE83" i="60"/>
  <c r="R83" i="60"/>
  <c r="Y83" i="60"/>
  <c r="AG83" i="60"/>
  <c r="Z84" i="60"/>
  <c r="Z88" i="60"/>
  <c r="AA119" i="60"/>
  <c r="AA129" i="60" s="1"/>
  <c r="U110" i="60"/>
  <c r="R110" i="60"/>
  <c r="V110" i="60" s="1"/>
  <c r="U118" i="60"/>
  <c r="U131" i="60" s="1"/>
  <c r="R118" i="60"/>
  <c r="R131" i="60" s="1"/>
  <c r="V120" i="60"/>
  <c r="R124" i="60"/>
  <c r="Q126" i="60"/>
  <c r="O151" i="60"/>
  <c r="D163" i="60"/>
  <c r="B23" i="10"/>
  <c r="E6" i="13"/>
  <c r="F61" i="12"/>
  <c r="F62" i="12"/>
  <c r="L53" i="12"/>
  <c r="L59" i="12" s="1"/>
  <c r="AC41" i="60"/>
  <c r="S41" i="60" s="1"/>
  <c r="V41" i="60" s="1"/>
  <c r="AC47" i="60"/>
  <c r="S47" i="60" s="1"/>
  <c r="V47" i="60" s="1"/>
  <c r="Z53" i="60"/>
  <c r="AC57" i="60"/>
  <c r="S57" i="60" s="1"/>
  <c r="V57" i="60" s="1"/>
  <c r="AG58" i="60"/>
  <c r="AC60" i="60"/>
  <c r="Z62" i="60"/>
  <c r="S62" i="60" s="1"/>
  <c r="V62" i="60" s="1"/>
  <c r="R63" i="60"/>
  <c r="AE63" i="60"/>
  <c r="AF66" i="60"/>
  <c r="AH75" i="60"/>
  <c r="AF77" i="60"/>
  <c r="S77" i="60" s="1"/>
  <c r="X80" i="60"/>
  <c r="AI81" i="60"/>
  <c r="AC81" i="60"/>
  <c r="AF81" i="60"/>
  <c r="Y82" i="60"/>
  <c r="AH83" i="60"/>
  <c r="AA84" i="60"/>
  <c r="AA88" i="60"/>
  <c r="AB129" i="60"/>
  <c r="S114" i="60"/>
  <c r="V114" i="60" s="1"/>
  <c r="S117" i="60"/>
  <c r="AH123" i="60"/>
  <c r="D27" i="12"/>
  <c r="L14" i="63"/>
  <c r="H35" i="10"/>
  <c r="K12" i="62" s="1"/>
  <c r="U58" i="60"/>
  <c r="U61" i="60"/>
  <c r="U75" i="60"/>
  <c r="Y80" i="60"/>
  <c r="R81" i="60"/>
  <c r="AG81" i="60"/>
  <c r="Z82" i="60"/>
  <c r="AI83" i="60"/>
  <c r="AB84" i="60"/>
  <c r="U85" i="60"/>
  <c r="AD88" i="60"/>
  <c r="S89" i="60"/>
  <c r="V89" i="60" s="1"/>
  <c r="AI90" i="60"/>
  <c r="S90" i="60" s="1"/>
  <c r="V90" i="60"/>
  <c r="Q92" i="60"/>
  <c r="AC94" i="60"/>
  <c r="S118" i="60"/>
  <c r="S131" i="60" s="1"/>
  <c r="S127" i="60"/>
  <c r="S128" i="60" s="1"/>
  <c r="E27" i="12"/>
  <c r="AD87" i="60"/>
  <c r="S87" i="60" s="1"/>
  <c r="V87" i="60" s="1"/>
  <c r="U115" i="60"/>
  <c r="V115" i="60" s="1"/>
  <c r="J154" i="60"/>
  <c r="L58" i="12"/>
  <c r="D60" i="12"/>
  <c r="M61" i="12"/>
  <c r="L62" i="12"/>
  <c r="M53" i="12"/>
  <c r="M59" i="12" s="1"/>
  <c r="O92" i="12"/>
  <c r="U107" i="60"/>
  <c r="U111" i="60"/>
  <c r="V111" i="60" s="1"/>
  <c r="I152" i="60"/>
  <c r="L154" i="60"/>
  <c r="M58" i="12"/>
  <c r="E60" i="12"/>
  <c r="N61" i="12"/>
  <c r="M62" i="12"/>
  <c r="R106" i="60"/>
  <c r="U121" i="60"/>
  <c r="V121" i="60" s="1"/>
  <c r="AA126" i="60"/>
  <c r="J152" i="60"/>
  <c r="J155" i="60" s="1"/>
  <c r="E7" i="13"/>
  <c r="C23" i="10"/>
  <c r="B58" i="12"/>
  <c r="B63" i="12" s="1"/>
  <c r="N58" i="12"/>
  <c r="F60" i="12"/>
  <c r="O43" i="12"/>
  <c r="L152" i="60"/>
  <c r="C58" i="12"/>
  <c r="O32" i="12"/>
  <c r="G60" i="12"/>
  <c r="B62" i="12"/>
  <c r="N62" i="12"/>
  <c r="R125" i="60"/>
  <c r="V125" i="60" s="1"/>
  <c r="C21" i="12"/>
  <c r="O21" i="12" s="1"/>
  <c r="H60" i="12"/>
  <c r="O49" i="12"/>
  <c r="O108" i="60"/>
  <c r="O112" i="60"/>
  <c r="O132" i="60" s="1"/>
  <c r="U120" i="60"/>
  <c r="E53" i="12"/>
  <c r="E59" i="12" s="1"/>
  <c r="E61" i="12"/>
  <c r="O122" i="60"/>
  <c r="O123" i="60" s="1"/>
  <c r="U127" i="60"/>
  <c r="U128" i="60" s="1"/>
  <c r="AH127" i="60"/>
  <c r="I153" i="60"/>
  <c r="F53" i="12"/>
  <c r="F59" i="12" s="1"/>
  <c r="E62" i="12"/>
  <c r="V127" i="60"/>
  <c r="V128" i="60" s="1"/>
  <c r="J153" i="60"/>
  <c r="B53" i="12"/>
  <c r="B59" i="12" s="1"/>
  <c r="H53" i="12"/>
  <c r="H58" i="12"/>
  <c r="H62" i="12"/>
  <c r="C53" i="12"/>
  <c r="C59" i="12" s="1"/>
  <c r="F105" i="12"/>
  <c r="F91" i="12"/>
  <c r="I53" i="12"/>
  <c r="I62" i="12" s="1"/>
  <c r="I58" i="12"/>
  <c r="F58" i="12"/>
  <c r="D89" i="12"/>
  <c r="D103" i="12"/>
  <c r="J53" i="12"/>
  <c r="J62" i="12" s="1"/>
  <c r="N60" i="12"/>
  <c r="G58" i="12"/>
  <c r="B93" i="12"/>
  <c r="B115" i="12" s="1"/>
  <c r="A1" i="14"/>
  <c r="A1" i="11"/>
  <c r="BA8" i="10"/>
  <c r="F10" i="13" s="1"/>
  <c r="M90" i="12"/>
  <c r="B116" i="12"/>
  <c r="N90" i="12"/>
  <c r="AX99" i="21" s="1"/>
  <c r="C90" i="12"/>
  <c r="C104" i="12" s="1"/>
  <c r="D105" i="12"/>
  <c r="D90" i="12"/>
  <c r="E105" i="12"/>
  <c r="B118" i="12"/>
  <c r="C47" i="12"/>
  <c r="E90" i="12"/>
  <c r="B119" i="12"/>
  <c r="N16" i="10"/>
  <c r="N17" i="10" s="1"/>
  <c r="N18" i="10" s="1"/>
  <c r="AO9" i="10"/>
  <c r="BA4" i="10"/>
  <c r="F90" i="12"/>
  <c r="AP9" i="10"/>
  <c r="G90" i="12"/>
  <c r="K41" i="11"/>
  <c r="K6" i="69"/>
  <c r="C17" i="11"/>
  <c r="C29" i="11"/>
  <c r="G8" i="63"/>
  <c r="H8" i="63" s="1"/>
  <c r="I8" i="63" s="1"/>
  <c r="J8" i="63" s="1"/>
  <c r="K8" i="63" s="1"/>
  <c r="L8" i="63" s="1"/>
  <c r="M8" i="63" s="1"/>
  <c r="N8" i="63" s="1"/>
  <c r="O8" i="63" s="1"/>
  <c r="C41" i="11"/>
  <c r="J8" i="70"/>
  <c r="K6" i="70"/>
  <c r="B10" i="18"/>
  <c r="P7" i="63"/>
  <c r="N10" i="18"/>
  <c r="M11" i="18" s="1"/>
  <c r="P7" i="70"/>
  <c r="F5" i="14"/>
  <c r="F8" i="14" s="1"/>
  <c r="D18" i="18"/>
  <c r="B9" i="18"/>
  <c r="B7" i="18"/>
  <c r="M205" i="32" l="1"/>
  <c r="V79" i="60"/>
  <c r="X67" i="60"/>
  <c r="AI67" i="60"/>
  <c r="AH67" i="60"/>
  <c r="U67" i="60"/>
  <c r="AG67" i="60"/>
  <c r="AF67" i="60"/>
  <c r="AE67" i="60"/>
  <c r="R67" i="60"/>
  <c r="AD67" i="60"/>
  <c r="AC67" i="60"/>
  <c r="AA67" i="60"/>
  <c r="Z67" i="60"/>
  <c r="Y67" i="60"/>
  <c r="AB67" i="60"/>
  <c r="V75" i="60"/>
  <c r="J133" i="60"/>
  <c r="L133" i="60"/>
  <c r="V72" i="60"/>
  <c r="AT205" i="21"/>
  <c r="H65" i="51"/>
  <c r="H13" i="61"/>
  <c r="H63" i="12"/>
  <c r="I7" i="13"/>
  <c r="H7" i="13"/>
  <c r="F11" i="48"/>
  <c r="G11" i="48" s="1"/>
  <c r="D117" i="48"/>
  <c r="F14" i="63"/>
  <c r="H29" i="10"/>
  <c r="E12" i="62" s="1"/>
  <c r="S80" i="60"/>
  <c r="V80" i="60" s="1"/>
  <c r="S82" i="60"/>
  <c r="V82" i="60" s="1"/>
  <c r="U112" i="60"/>
  <c r="U132" i="60" s="1"/>
  <c r="R112" i="60"/>
  <c r="R132" i="60" s="1"/>
  <c r="V112" i="60"/>
  <c r="S66" i="60"/>
  <c r="K14" i="63"/>
  <c r="L61" i="12"/>
  <c r="O154" i="60"/>
  <c r="AF133" i="60"/>
  <c r="Z133" i="60"/>
  <c r="S72" i="60"/>
  <c r="K206" i="32"/>
  <c r="K207" i="32" s="1"/>
  <c r="K208" i="32" s="1"/>
  <c r="K148" i="32"/>
  <c r="E30" i="32"/>
  <c r="F104" i="12"/>
  <c r="AO99" i="21"/>
  <c r="H59" i="12"/>
  <c r="H61" i="12"/>
  <c r="I60" i="12"/>
  <c r="V118" i="60"/>
  <c r="S132" i="60"/>
  <c r="S133" i="60" s="1"/>
  <c r="M14" i="63"/>
  <c r="S63" i="60"/>
  <c r="K61" i="12"/>
  <c r="K60" i="12"/>
  <c r="BN93" i="32"/>
  <c r="BM93" i="32"/>
  <c r="BL93" i="32"/>
  <c r="BK93" i="32"/>
  <c r="BV93" i="32"/>
  <c r="BU93" i="32"/>
  <c r="BT93" i="32"/>
  <c r="BS93" i="32"/>
  <c r="BQ93" i="32"/>
  <c r="BR93" i="32"/>
  <c r="BP93" i="32"/>
  <c r="BO93" i="32"/>
  <c r="BR54" i="32"/>
  <c r="BT90" i="32"/>
  <c r="BR90" i="32"/>
  <c r="H30" i="32"/>
  <c r="I65" i="51"/>
  <c r="I13" i="61"/>
  <c r="G27" i="62"/>
  <c r="I67" i="51"/>
  <c r="I15" i="61"/>
  <c r="H15" i="61"/>
  <c r="C62" i="12"/>
  <c r="O47" i="12"/>
  <c r="N104" i="12"/>
  <c r="M104" i="12"/>
  <c r="AW99" i="21"/>
  <c r="E89" i="12"/>
  <c r="E103" i="12"/>
  <c r="AN98" i="21"/>
  <c r="V77" i="60"/>
  <c r="V107" i="60"/>
  <c r="V61" i="60"/>
  <c r="Q122" i="60"/>
  <c r="L60" i="12"/>
  <c r="V109" i="60"/>
  <c r="V132" i="60" s="1"/>
  <c r="S65" i="60"/>
  <c r="V65" i="60" s="1"/>
  <c r="BM60" i="32"/>
  <c r="BM59" i="32" s="1"/>
  <c r="BL60" i="32"/>
  <c r="BL59" i="32" s="1"/>
  <c r="BK60" i="32"/>
  <c r="BK59" i="32" s="1"/>
  <c r="BV60" i="32"/>
  <c r="AY59" i="32"/>
  <c r="BU60" i="32"/>
  <c r="BU59" i="32" s="1"/>
  <c r="BT60" i="32"/>
  <c r="BS60" i="32"/>
  <c r="BR60" i="32"/>
  <c r="BR59" i="32" s="1"/>
  <c r="BP60" i="32"/>
  <c r="BP59" i="32" s="1"/>
  <c r="BO60" i="32"/>
  <c r="BO59" i="32" s="1"/>
  <c r="BQ60" i="32"/>
  <c r="BQ59" i="32" s="1"/>
  <c r="BN60" i="32"/>
  <c r="BN59" i="32" s="1"/>
  <c r="J30" i="32"/>
  <c r="M31" i="32"/>
  <c r="L6" i="69"/>
  <c r="L41" i="11"/>
  <c r="F63" i="12"/>
  <c r="S123" i="60"/>
  <c r="K62" i="12"/>
  <c r="S24" i="60"/>
  <c r="V24" i="60" s="1"/>
  <c r="V29" i="60"/>
  <c r="D42" i="61"/>
  <c r="C22" i="62"/>
  <c r="J149" i="32"/>
  <c r="N206" i="32"/>
  <c r="N207" i="32" s="1"/>
  <c r="N148" i="32"/>
  <c r="BU90" i="32"/>
  <c r="AY62" i="32"/>
  <c r="I6" i="32"/>
  <c r="BD153" i="32"/>
  <c r="BD152" i="32" s="1"/>
  <c r="AR20" i="21"/>
  <c r="O53" i="12"/>
  <c r="O59" i="12" s="1"/>
  <c r="AE92" i="60"/>
  <c r="R92" i="60"/>
  <c r="AD92" i="60"/>
  <c r="AF92" i="60"/>
  <c r="AC92" i="60"/>
  <c r="U92" i="60"/>
  <c r="AI92" i="60"/>
  <c r="AH92" i="60"/>
  <c r="AG92" i="60"/>
  <c r="I6" i="13"/>
  <c r="H6" i="13"/>
  <c r="V66" i="60"/>
  <c r="V58" i="60"/>
  <c r="I9" i="13"/>
  <c r="H9" i="13"/>
  <c r="F13" i="48"/>
  <c r="Q49" i="60"/>
  <c r="W104" i="60"/>
  <c r="W105" i="60" s="1"/>
  <c r="S52" i="60"/>
  <c r="V52" i="60" s="1"/>
  <c r="T104" i="60"/>
  <c r="H6" i="32"/>
  <c r="J67" i="51"/>
  <c r="J15" i="61"/>
  <c r="E104" i="12"/>
  <c r="AN99" i="21"/>
  <c r="A1" i="71"/>
  <c r="A1" i="18"/>
  <c r="A1" i="15"/>
  <c r="B1" i="16" s="1"/>
  <c r="O119" i="60"/>
  <c r="O129" i="60" s="1"/>
  <c r="O130" i="60"/>
  <c r="O133" i="60" s="1"/>
  <c r="V63" i="60"/>
  <c r="S53" i="60"/>
  <c r="V53" i="60" s="1"/>
  <c r="V19" i="60"/>
  <c r="S79" i="60"/>
  <c r="AE133" i="60"/>
  <c r="I129" i="60"/>
  <c r="I133" i="60"/>
  <c r="AI9" i="60"/>
  <c r="AH9" i="60"/>
  <c r="U9" i="60"/>
  <c r="AG9" i="60"/>
  <c r="R9" i="60"/>
  <c r="V43" i="60"/>
  <c r="BV96" i="32"/>
  <c r="BB62" i="32"/>
  <c r="P30" i="32"/>
  <c r="P6" i="32" s="1"/>
  <c r="D240" i="21" s="1"/>
  <c r="I30" i="32"/>
  <c r="AL335" i="21"/>
  <c r="AL336" i="21"/>
  <c r="K65" i="51"/>
  <c r="I27" i="62"/>
  <c r="D15" i="18"/>
  <c r="D9" i="18"/>
  <c r="D6" i="18"/>
  <c r="D13" i="18"/>
  <c r="D7" i="18"/>
  <c r="D14" i="18"/>
  <c r="D16" i="18"/>
  <c r="D11" i="18"/>
  <c r="D10" i="18"/>
  <c r="D17" i="18"/>
  <c r="D8" i="18"/>
  <c r="D12" i="18"/>
  <c r="H104" i="12"/>
  <c r="AQ99" i="21"/>
  <c r="I59" i="12"/>
  <c r="I63" i="12" s="1"/>
  <c r="I61" i="12"/>
  <c r="L155" i="60"/>
  <c r="H8" i="13"/>
  <c r="I8" i="13"/>
  <c r="F12" i="48"/>
  <c r="G12" i="48" s="1"/>
  <c r="O163" i="60"/>
  <c r="Q16" i="60"/>
  <c r="O100" i="60"/>
  <c r="O105" i="60" s="1"/>
  <c r="I104" i="60"/>
  <c r="I100" i="60"/>
  <c r="V74" i="60"/>
  <c r="O158" i="60"/>
  <c r="O164" i="60" s="1"/>
  <c r="Y133" i="60"/>
  <c r="AI17" i="60"/>
  <c r="AI103" i="60" s="1"/>
  <c r="U17" i="60"/>
  <c r="U103" i="60" s="1"/>
  <c r="AH17" i="60"/>
  <c r="AG17" i="60"/>
  <c r="AF17" i="60"/>
  <c r="AF103" i="60" s="1"/>
  <c r="R17" i="60"/>
  <c r="AE17" i="60"/>
  <c r="Q103" i="60"/>
  <c r="M62" i="32"/>
  <c r="G62" i="32"/>
  <c r="AL313" i="21"/>
  <c r="AL315" i="21" s="1"/>
  <c r="AL318" i="21"/>
  <c r="AR219" i="21"/>
  <c r="AQ218" i="21"/>
  <c r="P67" i="51"/>
  <c r="AY122" i="21"/>
  <c r="AZ122" i="21"/>
  <c r="I151" i="60"/>
  <c r="I155" i="60"/>
  <c r="D14" i="63"/>
  <c r="H27" i="10"/>
  <c r="G63" i="12"/>
  <c r="G91" i="12"/>
  <c r="B61" i="12"/>
  <c r="S84" i="60"/>
  <c r="V84" i="60" s="1"/>
  <c r="C61" i="12"/>
  <c r="S93" i="60"/>
  <c r="V93" i="60" s="1"/>
  <c r="O152" i="60"/>
  <c r="O155" i="60" s="1"/>
  <c r="AI133" i="60"/>
  <c r="P139" i="32"/>
  <c r="D140" i="32"/>
  <c r="D139" i="32" s="1"/>
  <c r="O97" i="32"/>
  <c r="N62" i="32"/>
  <c r="BA31" i="32"/>
  <c r="K205" i="32"/>
  <c r="W386" i="21"/>
  <c r="W334" i="21"/>
  <c r="W326" i="21"/>
  <c r="W332" i="21" s="1"/>
  <c r="D322" i="21"/>
  <c r="D324" i="21" s="1"/>
  <c r="AO102" i="21"/>
  <c r="F27" i="62" s="1"/>
  <c r="E10" i="18"/>
  <c r="G104" i="12"/>
  <c r="AP99" i="21"/>
  <c r="O90" i="12"/>
  <c r="D104" i="12"/>
  <c r="O104" i="12" s="1"/>
  <c r="AM99" i="21"/>
  <c r="L63" i="12"/>
  <c r="S119" i="60"/>
  <c r="I14" i="63"/>
  <c r="Q108" i="60"/>
  <c r="J104" i="60"/>
  <c r="J105" i="60" s="1"/>
  <c r="S33" i="60"/>
  <c r="V33" i="60" s="1"/>
  <c r="S50" i="60"/>
  <c r="V50" i="60" s="1"/>
  <c r="P206" i="32"/>
  <c r="P207" i="32" s="1"/>
  <c r="P208" i="32" s="1"/>
  <c r="P209" i="32" s="1"/>
  <c r="P210" i="32" s="1"/>
  <c r="P211" i="32" s="1"/>
  <c r="P148" i="32"/>
  <c r="P205" i="32"/>
  <c r="BK190" i="32"/>
  <c r="BU89" i="32"/>
  <c r="BP54" i="32"/>
  <c r="L39" i="32"/>
  <c r="L31" i="32" s="1"/>
  <c r="AI313" i="21"/>
  <c r="AI315" i="21" s="1"/>
  <c r="AI318" i="21"/>
  <c r="E65" i="51"/>
  <c r="C27" i="62"/>
  <c r="J59" i="12"/>
  <c r="J60" i="12"/>
  <c r="J61" i="12"/>
  <c r="Z76" i="60"/>
  <c r="Z103" i="60" s="1"/>
  <c r="AB76" i="60"/>
  <c r="AB103" i="60" s="1"/>
  <c r="AA76" i="60"/>
  <c r="AA103" i="60" s="1"/>
  <c r="Y76" i="60"/>
  <c r="Y103" i="60" s="1"/>
  <c r="X76" i="60"/>
  <c r="AI76" i="60"/>
  <c r="U76" i="60"/>
  <c r="AH76" i="60"/>
  <c r="AG76" i="60"/>
  <c r="AF76" i="60"/>
  <c r="R76" i="60"/>
  <c r="AE76" i="60"/>
  <c r="AD76" i="60"/>
  <c r="AD103" i="60" s="1"/>
  <c r="AC76" i="60"/>
  <c r="AC103" i="60" s="1"/>
  <c r="K8" i="70"/>
  <c r="L6" i="70"/>
  <c r="F6" i="13"/>
  <c r="F11" i="13" s="1"/>
  <c r="BA9" i="10"/>
  <c r="B60" i="12"/>
  <c r="E58" i="12"/>
  <c r="E63" i="12" s="1"/>
  <c r="AH128" i="60"/>
  <c r="AH129" i="60" s="1"/>
  <c r="AH132" i="60"/>
  <c r="AH133" i="60" s="1"/>
  <c r="F23" i="10"/>
  <c r="G23" i="10" s="1"/>
  <c r="E10" i="13"/>
  <c r="E11" i="13" s="1"/>
  <c r="N63" i="12"/>
  <c r="M63" i="12"/>
  <c r="E14" i="63"/>
  <c r="H28" i="10"/>
  <c r="D12" i="62" s="1"/>
  <c r="S81" i="60"/>
  <c r="V81" i="60" s="1"/>
  <c r="R126" i="60"/>
  <c r="V124" i="60"/>
  <c r="V126" i="60" s="1"/>
  <c r="S83" i="60"/>
  <c r="J14" i="63"/>
  <c r="H33" i="10"/>
  <c r="I12" i="62" s="1"/>
  <c r="K58" i="12"/>
  <c r="K63" i="12" s="1"/>
  <c r="S94" i="60"/>
  <c r="V94" i="60" s="1"/>
  <c r="O60" i="12"/>
  <c r="V45" i="60"/>
  <c r="Q51" i="60"/>
  <c r="S71" i="60"/>
  <c r="V71" i="60" s="1"/>
  <c r="Q132" i="60"/>
  <c r="AF20" i="60"/>
  <c r="AI20" i="60"/>
  <c r="U20" i="60"/>
  <c r="AH20" i="60"/>
  <c r="AG20" i="60"/>
  <c r="R20" i="60"/>
  <c r="AE20" i="60"/>
  <c r="T208" i="32"/>
  <c r="T213" i="32"/>
  <c r="T212" i="32"/>
  <c r="AC208" i="32"/>
  <c r="AC213" i="32"/>
  <c r="BB142" i="32"/>
  <c r="BA141" i="32"/>
  <c r="BA139" i="32" s="1"/>
  <c r="F35" i="61" s="1"/>
  <c r="BM142" i="32"/>
  <c r="BM141" i="32" s="1"/>
  <c r="BM139" i="32" s="1"/>
  <c r="G121" i="32"/>
  <c r="BT53" i="32"/>
  <c r="BN53" i="32"/>
  <c r="BS53" i="32"/>
  <c r="BR53" i="32"/>
  <c r="BU53" i="32"/>
  <c r="BQ53" i="32"/>
  <c r="BP53" i="32"/>
  <c r="BO53" i="32"/>
  <c r="BM53" i="32"/>
  <c r="BV53" i="32"/>
  <c r="BP86" i="32"/>
  <c r="BM86" i="32"/>
  <c r="BM85" i="32" s="1"/>
  <c r="BL86" i="32"/>
  <c r="BV86" i="32"/>
  <c r="BT86" i="32"/>
  <c r="BR86" i="32"/>
  <c r="BN86" i="32"/>
  <c r="BQ86" i="32"/>
  <c r="BO86" i="32"/>
  <c r="BU86" i="32"/>
  <c r="AZ109" i="21"/>
  <c r="AY109" i="21"/>
  <c r="F67" i="51"/>
  <c r="F15" i="61"/>
  <c r="N11" i="18"/>
  <c r="M12" i="18" s="1"/>
  <c r="AZ99" i="21"/>
  <c r="AY99" i="21"/>
  <c r="J58" i="12"/>
  <c r="V83" i="60"/>
  <c r="O14" i="63"/>
  <c r="H38" i="10"/>
  <c r="N12" i="62" s="1"/>
  <c r="C60" i="12"/>
  <c r="C63" i="12" s="1"/>
  <c r="S31" i="60"/>
  <c r="V31" i="60" s="1"/>
  <c r="AG48" i="60"/>
  <c r="AF48" i="60"/>
  <c r="AE48" i="60"/>
  <c r="R48" i="60"/>
  <c r="AD48" i="60"/>
  <c r="AB48" i="60"/>
  <c r="AI48" i="60"/>
  <c r="AH48" i="60"/>
  <c r="AC48" i="60"/>
  <c r="U48" i="60"/>
  <c r="S56" i="60"/>
  <c r="V56" i="60" s="1"/>
  <c r="K104" i="60"/>
  <c r="K105" i="60" s="1"/>
  <c r="AB133" i="60"/>
  <c r="BV134" i="32"/>
  <c r="BQ90" i="32"/>
  <c r="J65" i="51"/>
  <c r="H27" i="62"/>
  <c r="J13" i="61"/>
  <c r="O15" i="61"/>
  <c r="O67" i="51"/>
  <c r="AZ187" i="21"/>
  <c r="AY187" i="21"/>
  <c r="AZ185" i="21"/>
  <c r="AY185" i="21"/>
  <c r="AX184" i="21"/>
  <c r="AS269" i="21"/>
  <c r="AS44" i="21"/>
  <c r="D139" i="12"/>
  <c r="R40" i="21"/>
  <c r="K336" i="21"/>
  <c r="K335" i="21"/>
  <c r="I335" i="21"/>
  <c r="I336" i="21"/>
  <c r="AD256" i="21"/>
  <c r="T335" i="21"/>
  <c r="T336" i="21"/>
  <c r="AN180" i="21"/>
  <c r="AD345" i="21"/>
  <c r="C12" i="11"/>
  <c r="C24" i="9"/>
  <c r="K7" i="13"/>
  <c r="C21" i="10"/>
  <c r="B132" i="12"/>
  <c r="AW269" i="21"/>
  <c r="AW44" i="21"/>
  <c r="AB336" i="21"/>
  <c r="AB335" i="21"/>
  <c r="L41" i="51"/>
  <c r="L39" i="51" s="1"/>
  <c r="BC27" i="21"/>
  <c r="T243" i="21"/>
  <c r="N345" i="21"/>
  <c r="BF153" i="32"/>
  <c r="AT20" i="21"/>
  <c r="BC21" i="21"/>
  <c r="F41" i="51"/>
  <c r="F39" i="51" s="1"/>
  <c r="F47" i="51"/>
  <c r="F45" i="51" s="1"/>
  <c r="I46" i="51"/>
  <c r="U305" i="21"/>
  <c r="AQ305" i="21"/>
  <c r="G46" i="51"/>
  <c r="AO305" i="21"/>
  <c r="S305" i="21"/>
  <c r="S32" i="60"/>
  <c r="V32" i="60" s="1"/>
  <c r="S35" i="60"/>
  <c r="V35" i="60" s="1"/>
  <c r="BK168" i="32"/>
  <c r="BK167" i="32" s="1"/>
  <c r="BK164" i="32" s="1"/>
  <c r="BV168" i="32"/>
  <c r="BV167" i="32" s="1"/>
  <c r="BV164" i="32" s="1"/>
  <c r="AY167" i="32"/>
  <c r="AY164" i="32" s="1"/>
  <c r="BU168" i="32"/>
  <c r="BU167" i="32" s="1"/>
  <c r="BU164" i="32" s="1"/>
  <c r="BQ168" i="32"/>
  <c r="BQ167" i="32" s="1"/>
  <c r="BQ164" i="32" s="1"/>
  <c r="BP168" i="32"/>
  <c r="BP167" i="32" s="1"/>
  <c r="BP164" i="32" s="1"/>
  <c r="BO168" i="32"/>
  <c r="BO167" i="32" s="1"/>
  <c r="BO164" i="32" s="1"/>
  <c r="BN168" i="32"/>
  <c r="BN167" i="32" s="1"/>
  <c r="BN164" i="32" s="1"/>
  <c r="BM168" i="32"/>
  <c r="BM167" i="32" s="1"/>
  <c r="BM164" i="32" s="1"/>
  <c r="BL168" i="32"/>
  <c r="BL167" i="32" s="1"/>
  <c r="BL164" i="32" s="1"/>
  <c r="BT168" i="32"/>
  <c r="BT167" i="32" s="1"/>
  <c r="BT164" i="32" s="1"/>
  <c r="BS168" i="32"/>
  <c r="BS167" i="32" s="1"/>
  <c r="BS164" i="32" s="1"/>
  <c r="BR168" i="32"/>
  <c r="BR167" i="32" s="1"/>
  <c r="BR164" i="32" s="1"/>
  <c r="BA125" i="32"/>
  <c r="F149" i="32"/>
  <c r="BR92" i="32"/>
  <c r="BO88" i="32"/>
  <c r="BV89" i="32"/>
  <c r="BS89" i="32"/>
  <c r="BQ68" i="32"/>
  <c r="AZ67" i="32"/>
  <c r="BS68" i="32"/>
  <c r="BU68" i="32"/>
  <c r="BU67" i="32" s="1"/>
  <c r="BR68" i="32"/>
  <c r="BU115" i="32"/>
  <c r="BV114" i="32"/>
  <c r="BR79" i="32"/>
  <c r="BQ79" i="32"/>
  <c r="BP79" i="32"/>
  <c r="BO79" i="32"/>
  <c r="BN79" i="32"/>
  <c r="BM79" i="32"/>
  <c r="BL79" i="32"/>
  <c r="BK79" i="32"/>
  <c r="BV79" i="32"/>
  <c r="BU79" i="32"/>
  <c r="BT79" i="32"/>
  <c r="BS79" i="32"/>
  <c r="BJ67" i="32"/>
  <c r="BJ62" i="32" s="1"/>
  <c r="BO90" i="32"/>
  <c r="BV75" i="32"/>
  <c r="BU54" i="32"/>
  <c r="AD212" i="32"/>
  <c r="Q212" i="32"/>
  <c r="K39" i="32"/>
  <c r="K31" i="32" s="1"/>
  <c r="Q213" i="32"/>
  <c r="BS78" i="32"/>
  <c r="BA29" i="32"/>
  <c r="BR42" i="32"/>
  <c r="BN42" i="32"/>
  <c r="BT42" i="32"/>
  <c r="AY41" i="32"/>
  <c r="BS42" i="32"/>
  <c r="BQ42" i="32"/>
  <c r="BQ41" i="32" s="1"/>
  <c r="BP42" i="32"/>
  <c r="BO42" i="32"/>
  <c r="BM42" i="32"/>
  <c r="BL42" i="32"/>
  <c r="BK42" i="32"/>
  <c r="BV42" i="32"/>
  <c r="BU42" i="32"/>
  <c r="AK213" i="32"/>
  <c r="N205" i="32"/>
  <c r="N39" i="32"/>
  <c r="N31" i="32" s="1"/>
  <c r="BS61" i="32"/>
  <c r="BR55" i="32"/>
  <c r="BQ55" i="32"/>
  <c r="BP55" i="32"/>
  <c r="BO55" i="32"/>
  <c r="BN55" i="32"/>
  <c r="BM55" i="32"/>
  <c r="BL55" i="32"/>
  <c r="BK55" i="32"/>
  <c r="BU55" i="32"/>
  <c r="BT55" i="32"/>
  <c r="BV55" i="32"/>
  <c r="BS55" i="32"/>
  <c r="D23" i="51"/>
  <c r="P295" i="21"/>
  <c r="P297" i="21" s="1"/>
  <c r="P299" i="21" s="1"/>
  <c r="R296" i="21"/>
  <c r="AN296" i="21"/>
  <c r="BC168" i="21"/>
  <c r="AT167" i="21"/>
  <c r="AO121" i="21"/>
  <c r="AN120" i="21"/>
  <c r="AN112" i="21" s="1"/>
  <c r="AO215" i="21"/>
  <c r="AN214" i="21"/>
  <c r="AN213" i="21" s="1"/>
  <c r="K67" i="51"/>
  <c r="V256" i="21"/>
  <c r="AE256" i="21"/>
  <c r="J256" i="21"/>
  <c r="AH282" i="21"/>
  <c r="AP142" i="21"/>
  <c r="W286" i="21"/>
  <c r="AM8" i="21"/>
  <c r="AM7" i="21" s="1"/>
  <c r="H335" i="21"/>
  <c r="H336" i="21"/>
  <c r="O322" i="21"/>
  <c r="O324" i="21" s="1"/>
  <c r="G245" i="21"/>
  <c r="L243" i="21"/>
  <c r="P336" i="21"/>
  <c r="P335" i="21"/>
  <c r="D9" i="61"/>
  <c r="M336" i="21"/>
  <c r="M335" i="21"/>
  <c r="AZ107" i="21"/>
  <c r="AY107" i="21"/>
  <c r="AX27" i="21"/>
  <c r="AZ28" i="21"/>
  <c r="AY28" i="21"/>
  <c r="E41" i="51"/>
  <c r="E39" i="51" s="1"/>
  <c r="G40" i="51"/>
  <c r="S303" i="21"/>
  <c r="AO303" i="21"/>
  <c r="AC133" i="60"/>
  <c r="X133" i="60"/>
  <c r="N133" i="60"/>
  <c r="T105" i="60"/>
  <c r="S13" i="60"/>
  <c r="V13" i="60" s="1"/>
  <c r="BA182" i="32"/>
  <c r="BQ195" i="32"/>
  <c r="BQ192" i="32"/>
  <c r="BN185" i="32"/>
  <c r="R201" i="32"/>
  <c r="R202" i="32"/>
  <c r="R200" i="32"/>
  <c r="F241" i="21"/>
  <c r="F242" i="21" s="1"/>
  <c r="F243" i="21" s="1"/>
  <c r="O149" i="32"/>
  <c r="M206" i="32"/>
  <c r="M207" i="32" s="1"/>
  <c r="M208" i="32" s="1"/>
  <c r="M148" i="32"/>
  <c r="BV92" i="32"/>
  <c r="BA171" i="32"/>
  <c r="AZ170" i="32"/>
  <c r="BK133" i="32"/>
  <c r="BS90" i="32"/>
  <c r="BL143" i="32"/>
  <c r="BL141" i="32" s="1"/>
  <c r="BL139" i="32" s="1"/>
  <c r="BR115" i="32"/>
  <c r="BO100" i="32"/>
  <c r="BR114" i="32"/>
  <c r="BQ88" i="32"/>
  <c r="BK126" i="32"/>
  <c r="BT123" i="32"/>
  <c r="BA128" i="32"/>
  <c r="BM128" i="32" s="1"/>
  <c r="BL128" i="32"/>
  <c r="BM88" i="32"/>
  <c r="BP120" i="32"/>
  <c r="BV115" i="32"/>
  <c r="BK113" i="32"/>
  <c r="BD74" i="32"/>
  <c r="AZ180" i="32"/>
  <c r="AZ179" i="32" s="1"/>
  <c r="BL78" i="32"/>
  <c r="BL132" i="32"/>
  <c r="BP90" i="32"/>
  <c r="AM200" i="32"/>
  <c r="AM201" i="32"/>
  <c r="AM202" i="32"/>
  <c r="AA241" i="21"/>
  <c r="AA242" i="21" s="1"/>
  <c r="AA243" i="21" s="1"/>
  <c r="BN96" i="32"/>
  <c r="BU78" i="32"/>
  <c r="BL75" i="32"/>
  <c r="BV54" i="32"/>
  <c r="R212" i="32"/>
  <c r="BU106" i="32"/>
  <c r="BI31" i="32"/>
  <c r="BP68" i="32"/>
  <c r="AK214" i="32"/>
  <c r="BS105" i="32"/>
  <c r="BO103" i="32"/>
  <c r="BO45" i="32"/>
  <c r="BK45" i="32"/>
  <c r="BU45" i="32"/>
  <c r="BV45" i="32"/>
  <c r="BT45" i="32"/>
  <c r="BS45" i="32"/>
  <c r="BR45" i="32"/>
  <c r="BQ45" i="32"/>
  <c r="BP45" i="32"/>
  <c r="BN45" i="32"/>
  <c r="BM45" i="32"/>
  <c r="BL45" i="32"/>
  <c r="AG212" i="32"/>
  <c r="AF212" i="32"/>
  <c r="BT61" i="32"/>
  <c r="G318" i="21"/>
  <c r="AP220" i="21"/>
  <c r="AQ221" i="21"/>
  <c r="E7" i="51"/>
  <c r="D25" i="61"/>
  <c r="AX269" i="21"/>
  <c r="AX44" i="21"/>
  <c r="AZ70" i="21"/>
  <c r="AY70" i="21"/>
  <c r="AL256" i="21"/>
  <c r="AP186" i="21"/>
  <c r="P245" i="21"/>
  <c r="R243" i="21"/>
  <c r="AM135" i="21"/>
  <c r="AT105" i="21"/>
  <c r="BC105" i="21" s="1"/>
  <c r="R256" i="21"/>
  <c r="AC256" i="21"/>
  <c r="H139" i="12"/>
  <c r="V40" i="21"/>
  <c r="V364" i="21" s="1"/>
  <c r="AA256" i="21"/>
  <c r="AX21" i="21"/>
  <c r="AY22" i="21"/>
  <c r="AZ22" i="21"/>
  <c r="C9" i="62"/>
  <c r="BI153" i="32"/>
  <c r="BI152" i="32" s="1"/>
  <c r="AW20" i="21"/>
  <c r="AZ24" i="21"/>
  <c r="AY24" i="21"/>
  <c r="AZ36" i="21"/>
  <c r="AY36" i="21"/>
  <c r="AX35" i="21"/>
  <c r="BC153" i="32"/>
  <c r="BC152" i="32" s="1"/>
  <c r="AQ20" i="21"/>
  <c r="O41" i="51"/>
  <c r="O39" i="51" s="1"/>
  <c r="Y345" i="21"/>
  <c r="S14" i="60"/>
  <c r="V14" i="60" s="1"/>
  <c r="BA194" i="32"/>
  <c r="AZ193" i="32"/>
  <c r="BL194" i="32"/>
  <c r="BL193" i="32" s="1"/>
  <c r="BL190" i="32" s="1"/>
  <c r="J193" i="32"/>
  <c r="J190" i="32" s="1"/>
  <c r="J385" i="21" s="1"/>
  <c r="F31" i="48"/>
  <c r="D31" i="48" s="1"/>
  <c r="G167" i="32"/>
  <c r="G164" i="32" s="1"/>
  <c r="G156" i="32" s="1"/>
  <c r="G149" i="32" s="1"/>
  <c r="BC151" i="32"/>
  <c r="BB150" i="32"/>
  <c r="E206" i="32"/>
  <c r="E207" i="32" s="1"/>
  <c r="E208" i="32" s="1"/>
  <c r="E209" i="32" s="1"/>
  <c r="E210" i="32" s="1"/>
  <c r="E211" i="32" s="1"/>
  <c r="E148" i="32"/>
  <c r="BA134" i="32"/>
  <c r="BB134" i="32" s="1"/>
  <c r="BC134" i="32" s="1"/>
  <c r="BD134" i="32" s="1"/>
  <c r="BE134" i="32" s="1"/>
  <c r="BF134" i="32" s="1"/>
  <c r="BG134" i="32" s="1"/>
  <c r="BH134" i="32" s="1"/>
  <c r="BI134" i="32" s="1"/>
  <c r="BJ134" i="32" s="1"/>
  <c r="BS134" i="32"/>
  <c r="BH74" i="32"/>
  <c r="BR88" i="32"/>
  <c r="AZ126" i="32"/>
  <c r="BA126" i="32" s="1"/>
  <c r="BB126" i="32" s="1"/>
  <c r="BC126" i="32" s="1"/>
  <c r="BD126" i="32" s="1"/>
  <c r="BE126" i="32" s="1"/>
  <c r="BF126" i="32" s="1"/>
  <c r="BG126" i="32" s="1"/>
  <c r="BH126" i="32" s="1"/>
  <c r="BI126" i="32" s="1"/>
  <c r="BJ126" i="32" s="1"/>
  <c r="AY121" i="32"/>
  <c r="AZ121" i="32" s="1"/>
  <c r="BA121" i="32" s="1"/>
  <c r="BB121" i="32" s="1"/>
  <c r="BC121" i="32" s="1"/>
  <c r="BD121" i="32" s="1"/>
  <c r="BE121" i="32" s="1"/>
  <c r="BF121" i="32" s="1"/>
  <c r="BG121" i="32" s="1"/>
  <c r="BH121" i="32" s="1"/>
  <c r="BI121" i="32" s="1"/>
  <c r="BJ121" i="32" s="1"/>
  <c r="BG67" i="32"/>
  <c r="AM211" i="32"/>
  <c r="BO96" i="32"/>
  <c r="BD41" i="32"/>
  <c r="AD213" i="32"/>
  <c r="BU76" i="32"/>
  <c r="BT76" i="32"/>
  <c r="BS76" i="32"/>
  <c r="BR76" i="32"/>
  <c r="BQ76" i="32"/>
  <c r="BP76" i="32"/>
  <c r="BO76" i="32"/>
  <c r="BN76" i="32"/>
  <c r="BM76" i="32"/>
  <c r="BM74" i="32" s="1"/>
  <c r="BL76" i="32"/>
  <c r="BK76" i="32"/>
  <c r="BV76" i="32"/>
  <c r="BJ31" i="32"/>
  <c r="G39" i="32"/>
  <c r="G31" i="32" s="1"/>
  <c r="Y213" i="32"/>
  <c r="U212" i="32"/>
  <c r="BO10" i="32"/>
  <c r="AG213" i="32"/>
  <c r="BU61" i="32"/>
  <c r="AY168" i="21"/>
  <c r="AX167" i="21"/>
  <c r="AZ168" i="21"/>
  <c r="G15" i="51"/>
  <c r="G14" i="51" s="1"/>
  <c r="F26" i="61"/>
  <c r="AO180" i="21"/>
  <c r="AH230" i="21"/>
  <c r="AH238" i="21"/>
  <c r="AH229" i="21"/>
  <c r="E66" i="51"/>
  <c r="AZ113" i="21"/>
  <c r="AY113" i="21"/>
  <c r="C47" i="48"/>
  <c r="C32" i="11" s="1"/>
  <c r="S256" i="21"/>
  <c r="Z230" i="21"/>
  <c r="Z238" i="21"/>
  <c r="Z229" i="21"/>
  <c r="Q243" i="21"/>
  <c r="Z243" i="21"/>
  <c r="P36" i="51"/>
  <c r="AY148" i="21"/>
  <c r="AX147" i="21"/>
  <c r="AZ148" i="21"/>
  <c r="AN269" i="21"/>
  <c r="AN44" i="21"/>
  <c r="C18" i="11"/>
  <c r="C25" i="9"/>
  <c r="K8" i="13"/>
  <c r="D21" i="10"/>
  <c r="B133" i="12"/>
  <c r="C43" i="48"/>
  <c r="C8" i="11" s="1"/>
  <c r="Z322" i="21"/>
  <c r="Z324" i="21" s="1"/>
  <c r="AY153" i="32"/>
  <c r="AM20" i="21"/>
  <c r="AW35" i="21"/>
  <c r="O33" i="51" s="1"/>
  <c r="O153" i="60"/>
  <c r="S43" i="60"/>
  <c r="P16" i="64"/>
  <c r="S16" i="64" s="1"/>
  <c r="Q15" i="64"/>
  <c r="Q16" i="64" s="1"/>
  <c r="BB181" i="32"/>
  <c r="BN181" i="32" s="1"/>
  <c r="AG209" i="32"/>
  <c r="U358" i="21"/>
  <c r="AQ358" i="21"/>
  <c r="AE209" i="32"/>
  <c r="AO358" i="21"/>
  <c r="S358" i="21"/>
  <c r="BL134" i="32"/>
  <c r="BL133" i="32" s="1"/>
  <c r="BA163" i="32"/>
  <c r="BS88" i="32"/>
  <c r="BK122" i="32"/>
  <c r="BK121" i="32" s="1"/>
  <c r="BE74" i="32"/>
  <c r="BE62" i="32" s="1"/>
  <c r="BL114" i="32"/>
  <c r="AM141" i="21"/>
  <c r="BL131" i="32"/>
  <c r="BT68" i="32"/>
  <c r="BT67" i="32" s="1"/>
  <c r="AA200" i="32"/>
  <c r="AA201" i="32"/>
  <c r="AA202" i="32"/>
  <c r="O241" i="21"/>
  <c r="O242" i="21" s="1"/>
  <c r="O243" i="21" s="1"/>
  <c r="BP96" i="32"/>
  <c r="AZ74" i="32"/>
  <c r="BN75" i="32"/>
  <c r="BM54" i="32"/>
  <c r="AE213" i="32"/>
  <c r="AM212" i="32"/>
  <c r="AL212" i="32"/>
  <c r="BU51" i="32"/>
  <c r="BT51" i="32"/>
  <c r="BR51" i="32"/>
  <c r="BQ51" i="32"/>
  <c r="BO51" i="32"/>
  <c r="BV51" i="32"/>
  <c r="BS51" i="32"/>
  <c r="BP51" i="32"/>
  <c r="BN51" i="32"/>
  <c r="BM51" i="32"/>
  <c r="BL51" i="32"/>
  <c r="BK51" i="32"/>
  <c r="Y214" i="32"/>
  <c r="AI212" i="32"/>
  <c r="BK97" i="32"/>
  <c r="BV63" i="32"/>
  <c r="U214" i="32"/>
  <c r="BV61" i="32"/>
  <c r="AF213" i="32"/>
  <c r="F318" i="21"/>
  <c r="R235" i="21"/>
  <c r="AN235" i="21"/>
  <c r="O22" i="61"/>
  <c r="N33" i="62"/>
  <c r="AZ192" i="21"/>
  <c r="AY192" i="21"/>
  <c r="Q296" i="21"/>
  <c r="AM296" i="21"/>
  <c r="V230" i="21"/>
  <c r="V238" i="21"/>
  <c r="V229" i="21"/>
  <c r="K245" i="21"/>
  <c r="AZ175" i="21"/>
  <c r="AY175" i="21"/>
  <c r="I245" i="21"/>
  <c r="AU188" i="21"/>
  <c r="BC188" i="21"/>
  <c r="AJ229" i="21"/>
  <c r="AJ230" i="21"/>
  <c r="AJ238" i="21"/>
  <c r="AB256" i="21"/>
  <c r="D245" i="21"/>
  <c r="AN14" i="21"/>
  <c r="AG322" i="21"/>
  <c r="AG324" i="21" s="1"/>
  <c r="BC135" i="21"/>
  <c r="Z231" i="21"/>
  <c r="Q256" i="21"/>
  <c r="F322" i="21"/>
  <c r="F324" i="21" s="1"/>
  <c r="AT122" i="21"/>
  <c r="E345" i="21"/>
  <c r="AU117" i="21"/>
  <c r="AV119" i="21"/>
  <c r="E245" i="21"/>
  <c r="F139" i="12"/>
  <c r="T40" i="21"/>
  <c r="AZ153" i="32"/>
  <c r="AZ152" i="32" s="1"/>
  <c r="AN20" i="21"/>
  <c r="AP15" i="21"/>
  <c r="AP14" i="21" s="1"/>
  <c r="AN105" i="21"/>
  <c r="AN102" i="21" s="1"/>
  <c r="S38" i="60"/>
  <c r="V38" i="60" s="1"/>
  <c r="S78" i="60"/>
  <c r="V78" i="60" s="1"/>
  <c r="AH39" i="60"/>
  <c r="U39" i="60"/>
  <c r="AG39" i="60"/>
  <c r="AF39" i="60"/>
  <c r="AE39" i="60"/>
  <c r="R39" i="60"/>
  <c r="AC39" i="60"/>
  <c r="AD39" i="60"/>
  <c r="AB39" i="60"/>
  <c r="AA39" i="60"/>
  <c r="Z39" i="60"/>
  <c r="Y39" i="60"/>
  <c r="X39" i="60"/>
  <c r="AI39" i="60"/>
  <c r="BA191" i="32"/>
  <c r="U211" i="32"/>
  <c r="BN192" i="32"/>
  <c r="BQ185" i="32"/>
  <c r="BA129" i="32"/>
  <c r="BM94" i="32"/>
  <c r="BL94" i="32"/>
  <c r="BK94" i="32"/>
  <c r="BV94" i="32"/>
  <c r="BU94" i="32"/>
  <c r="BT94" i="32"/>
  <c r="BS94" i="32"/>
  <c r="BR94" i="32"/>
  <c r="BQ94" i="32"/>
  <c r="BP94" i="32"/>
  <c r="BO94" i="32"/>
  <c r="BN94" i="32"/>
  <c r="BA101" i="32"/>
  <c r="BM134" i="32"/>
  <c r="BI74" i="32"/>
  <c r="BO143" i="32"/>
  <c r="BU88" i="32"/>
  <c r="BM72" i="32"/>
  <c r="BL72" i="32"/>
  <c r="BK72" i="32"/>
  <c r="BV72" i="32"/>
  <c r="BU72" i="32"/>
  <c r="BT72" i="32"/>
  <c r="BS72" i="32"/>
  <c r="BR72" i="32"/>
  <c r="BQ72" i="32"/>
  <c r="BP72" i="32"/>
  <c r="BO72" i="32"/>
  <c r="BN72" i="32"/>
  <c r="BN89" i="32"/>
  <c r="H156" i="32"/>
  <c r="H149" i="32" s="1"/>
  <c r="K121" i="32"/>
  <c r="F85" i="32"/>
  <c r="F62" i="32" s="1"/>
  <c r="F30" i="32" s="1"/>
  <c r="BH59" i="32"/>
  <c r="BS120" i="32"/>
  <c r="BL115" i="32"/>
  <c r="BM114" i="32"/>
  <c r="BT87" i="32"/>
  <c r="BR87" i="32"/>
  <c r="BO87" i="32"/>
  <c r="BV87" i="32"/>
  <c r="BU87" i="32"/>
  <c r="BS87" i="32"/>
  <c r="BS85" i="32" s="1"/>
  <c r="BQ87" i="32"/>
  <c r="BP87" i="32"/>
  <c r="BN87" i="32"/>
  <c r="BM87" i="32"/>
  <c r="BL87" i="32"/>
  <c r="BK87" i="32"/>
  <c r="BK85" i="32" s="1"/>
  <c r="BC74" i="32"/>
  <c r="BT80" i="32"/>
  <c r="BT65" i="32"/>
  <c r="BT64" i="32" s="1"/>
  <c r="BS65" i="32"/>
  <c r="BS64" i="32" s="1"/>
  <c r="BR65" i="32"/>
  <c r="BR64" i="32" s="1"/>
  <c r="BQ65" i="32"/>
  <c r="BQ64" i="32" s="1"/>
  <c r="BP65" i="32"/>
  <c r="BP64" i="32" s="1"/>
  <c r="BO65" i="32"/>
  <c r="BO64" i="32" s="1"/>
  <c r="BN65" i="32"/>
  <c r="BN64" i="32" s="1"/>
  <c r="BM65" i="32"/>
  <c r="BM64" i="32" s="1"/>
  <c r="BK65" i="32"/>
  <c r="BK64" i="32" s="1"/>
  <c r="BV65" i="32"/>
  <c r="BV64" i="32" s="1"/>
  <c r="BU65" i="32"/>
  <c r="BU64" i="32" s="1"/>
  <c r="BL65" i="32"/>
  <c r="BL64" i="32" s="1"/>
  <c r="BQ96" i="32"/>
  <c r="BO75" i="32"/>
  <c r="BN54" i="32"/>
  <c r="S214" i="32"/>
  <c r="R213" i="32"/>
  <c r="BM32" i="32"/>
  <c r="BL32" i="32"/>
  <c r="BK32" i="32"/>
  <c r="BV32" i="32"/>
  <c r="AY31" i="32"/>
  <c r="BU32" i="32"/>
  <c r="BT32" i="32"/>
  <c r="BS32" i="32"/>
  <c r="BR32" i="32"/>
  <c r="BQ32" i="32"/>
  <c r="BP32" i="32"/>
  <c r="BO32" i="32"/>
  <c r="BN32" i="32"/>
  <c r="AA212" i="32"/>
  <c r="Z212" i="32"/>
  <c r="BS50" i="32"/>
  <c r="BV105" i="32"/>
  <c r="W212" i="32"/>
  <c r="BS103" i="32"/>
  <c r="BS38" i="32"/>
  <c r="BR38" i="32"/>
  <c r="BQ38" i="32"/>
  <c r="BP38" i="32"/>
  <c r="BO38" i="32"/>
  <c r="BN38" i="32"/>
  <c r="BM38" i="32"/>
  <c r="BL38" i="32"/>
  <c r="BK38" i="32"/>
  <c r="BV38" i="32"/>
  <c r="BU38" i="32"/>
  <c r="BT38" i="32"/>
  <c r="BO73" i="32"/>
  <c r="AH213" i="32"/>
  <c r="BU36" i="32"/>
  <c r="BT36" i="32"/>
  <c r="BS36" i="32"/>
  <c r="BR36" i="32"/>
  <c r="BQ36" i="32"/>
  <c r="BP36" i="32"/>
  <c r="BO36" i="32"/>
  <c r="BN36" i="32"/>
  <c r="BM36" i="32"/>
  <c r="BL36" i="32"/>
  <c r="BV36" i="32"/>
  <c r="BK36" i="32"/>
  <c r="U213" i="32"/>
  <c r="G15" i="14"/>
  <c r="AL230" i="21"/>
  <c r="AL238" i="21"/>
  <c r="AL229" i="21"/>
  <c r="J230" i="21"/>
  <c r="J238" i="21"/>
  <c r="J229" i="21"/>
  <c r="AD282" i="21"/>
  <c r="AI256" i="21"/>
  <c r="AB282" i="21"/>
  <c r="N256" i="21"/>
  <c r="X229" i="21"/>
  <c r="X230" i="21"/>
  <c r="X238" i="21"/>
  <c r="I243" i="21"/>
  <c r="AH335" i="21"/>
  <c r="AH336" i="21"/>
  <c r="D243" i="21"/>
  <c r="O345" i="21"/>
  <c r="N243" i="21"/>
  <c r="I256" i="21"/>
  <c r="AD336" i="21"/>
  <c r="AD335" i="21"/>
  <c r="K47" i="51"/>
  <c r="K45" i="51" s="1"/>
  <c r="K41" i="51"/>
  <c r="K39" i="51" s="1"/>
  <c r="J40" i="51"/>
  <c r="AR303" i="21"/>
  <c r="V303" i="21"/>
  <c r="E14" i="14"/>
  <c r="D30" i="48"/>
  <c r="AI345" i="21"/>
  <c r="E44" i="62"/>
  <c r="F47" i="61"/>
  <c r="G63" i="51"/>
  <c r="F8" i="62"/>
  <c r="G8" i="61"/>
  <c r="M345" i="21"/>
  <c r="AJ345" i="21"/>
  <c r="S68" i="60"/>
  <c r="V68" i="60" s="1"/>
  <c r="S22" i="60"/>
  <c r="V22" i="60" s="1"/>
  <c r="BA183" i="32"/>
  <c r="BL183" i="32"/>
  <c r="BS140" i="32"/>
  <c r="BR185" i="32"/>
  <c r="AD209" i="32"/>
  <c r="R358" i="21"/>
  <c r="AN358" i="21"/>
  <c r="BK141" i="32"/>
  <c r="BK139" i="32" s="1"/>
  <c r="BP134" i="32"/>
  <c r="J39" i="61"/>
  <c r="I19" i="62"/>
  <c r="BN134" i="32"/>
  <c r="BI62" i="32"/>
  <c r="BP143" i="32"/>
  <c r="BO89" i="32"/>
  <c r="BL122" i="32"/>
  <c r="BO78" i="32"/>
  <c r="BF62" i="32"/>
  <c r="I156" i="32"/>
  <c r="I149" i="32" s="1"/>
  <c r="BT120" i="32"/>
  <c r="BM115" i="32"/>
  <c r="BN114" i="32"/>
  <c r="BL129" i="32"/>
  <c r="BL126" i="32" s="1"/>
  <c r="BK117" i="32"/>
  <c r="BS132" i="32"/>
  <c r="BA62" i="32"/>
  <c r="BU134" i="32"/>
  <c r="BR96" i="32"/>
  <c r="AZ62" i="32"/>
  <c r="BP75" i="32"/>
  <c r="BO54" i="32"/>
  <c r="S213" i="32"/>
  <c r="AN212" i="32"/>
  <c r="AN214" i="32"/>
  <c r="AM214" i="32"/>
  <c r="AK212" i="32"/>
  <c r="BN63" i="32"/>
  <c r="AJ213" i="32"/>
  <c r="BA98" i="32"/>
  <c r="AZ97" i="32"/>
  <c r="AH212" i="32"/>
  <c r="BP73" i="32"/>
  <c r="BL63" i="32"/>
  <c r="V214" i="32"/>
  <c r="BC31" i="32"/>
  <c r="BQ43" i="32"/>
  <c r="BM43" i="32"/>
  <c r="BV43" i="32"/>
  <c r="BU43" i="32"/>
  <c r="BT43" i="32"/>
  <c r="BS43" i="32"/>
  <c r="BR43" i="32"/>
  <c r="BP43" i="32"/>
  <c r="BO43" i="32"/>
  <c r="BN43" i="32"/>
  <c r="BL43" i="32"/>
  <c r="BK43" i="32"/>
  <c r="AT189" i="21"/>
  <c r="BC190" i="21"/>
  <c r="AK256" i="21"/>
  <c r="L245" i="21"/>
  <c r="G7" i="14"/>
  <c r="M77" i="51"/>
  <c r="AV234" i="21"/>
  <c r="P282" i="21"/>
  <c r="H245" i="21"/>
  <c r="P256" i="21"/>
  <c r="V335" i="21"/>
  <c r="V336" i="21"/>
  <c r="AY108" i="21"/>
  <c r="AZ108" i="21"/>
  <c r="R336" i="21"/>
  <c r="R335" i="21"/>
  <c r="F345" i="21"/>
  <c r="AZ100" i="21"/>
  <c r="AY100" i="21"/>
  <c r="AC336" i="21"/>
  <c r="AC335" i="21"/>
  <c r="AH231" i="21"/>
  <c r="AB345" i="21"/>
  <c r="Z335" i="21"/>
  <c r="Z336" i="21"/>
  <c r="AO19" i="21"/>
  <c r="AO17" i="21" s="1"/>
  <c r="BE153" i="32"/>
  <c r="BE152" i="32" s="1"/>
  <c r="AS20" i="21"/>
  <c r="J47" i="51"/>
  <c r="J45" i="51" s="1"/>
  <c r="BQ154" i="32"/>
  <c r="BP154" i="32"/>
  <c r="BO154" i="32"/>
  <c r="BN154" i="32"/>
  <c r="BM154" i="32"/>
  <c r="BL154" i="32"/>
  <c r="BK154" i="32"/>
  <c r="H63" i="51"/>
  <c r="G47" i="61"/>
  <c r="G8" i="62"/>
  <c r="H8" i="61"/>
  <c r="F44" i="62"/>
  <c r="S54" i="60"/>
  <c r="V54" i="60" s="1"/>
  <c r="P133" i="60"/>
  <c r="W133" i="60"/>
  <c r="M133" i="60"/>
  <c r="S11" i="60"/>
  <c r="V11" i="60" s="1"/>
  <c r="D40" i="61"/>
  <c r="C20" i="62"/>
  <c r="AI209" i="32"/>
  <c r="AS358" i="21"/>
  <c r="W358" i="21"/>
  <c r="AH209" i="32"/>
  <c r="V358" i="21"/>
  <c r="AR358" i="21"/>
  <c r="BF195" i="32"/>
  <c r="BT192" i="32"/>
  <c r="BS185" i="32"/>
  <c r="BC144" i="32"/>
  <c r="M139" i="32"/>
  <c r="I174" i="32"/>
  <c r="BL102" i="32"/>
  <c r="BA109" i="32"/>
  <c r="BL109" i="32"/>
  <c r="BL108" i="32" s="1"/>
  <c r="BA110" i="32"/>
  <c r="L85" i="32"/>
  <c r="L62" i="32" s="1"/>
  <c r="BQ143" i="32"/>
  <c r="BP89" i="32"/>
  <c r="BN68" i="32"/>
  <c r="BN127" i="32"/>
  <c r="BM123" i="32"/>
  <c r="BU71" i="32"/>
  <c r="BU120" i="32"/>
  <c r="BN115" i="32"/>
  <c r="BO114" i="32"/>
  <c r="BA118" i="32"/>
  <c r="AZ117" i="32"/>
  <c r="AN145" i="21" s="1"/>
  <c r="BT132" i="32"/>
  <c r="BV78" i="32"/>
  <c r="BS96" i="32"/>
  <c r="BS56" i="32"/>
  <c r="BQ75" i="32"/>
  <c r="BQ74" i="32" s="1"/>
  <c r="BV44" i="32"/>
  <c r="BU44" i="32"/>
  <c r="BT44" i="32"/>
  <c r="BS44" i="32"/>
  <c r="BR44" i="32"/>
  <c r="AN213" i="32"/>
  <c r="AM213" i="32"/>
  <c r="BU124" i="32"/>
  <c r="BK49" i="32"/>
  <c r="BL48" i="32"/>
  <c r="BS49" i="32"/>
  <c r="BT48" i="32"/>
  <c r="BQ49" i="32"/>
  <c r="BR48" i="32"/>
  <c r="BP49" i="32"/>
  <c r="BV48" i="32"/>
  <c r="BO49" i="32"/>
  <c r="BU48" i="32"/>
  <c r="BN49" i="32"/>
  <c r="BS48" i="32"/>
  <c r="BM49" i="32"/>
  <c r="BQ48" i="32"/>
  <c r="BL49" i="32"/>
  <c r="BP48" i="32"/>
  <c r="BO48" i="32"/>
  <c r="BN48" i="32"/>
  <c r="BM48" i="32"/>
  <c r="BV49" i="32"/>
  <c r="BK48" i="32"/>
  <c r="BU49" i="32"/>
  <c r="BT49" i="32"/>
  <c r="BR49" i="32"/>
  <c r="Y212" i="32"/>
  <c r="BB41" i="32"/>
  <c r="BA27" i="32"/>
  <c r="AJ214" i="32"/>
  <c r="BU103" i="32"/>
  <c r="BL98" i="32"/>
  <c r="V212" i="32"/>
  <c r="BQ73" i="32"/>
  <c r="BM63" i="32"/>
  <c r="V213" i="32"/>
  <c r="BD31" i="32"/>
  <c r="BU33" i="32"/>
  <c r="BA26" i="32"/>
  <c r="BM47" i="32"/>
  <c r="BU47" i="32"/>
  <c r="BS47" i="32"/>
  <c r="BK47" i="32"/>
  <c r="BV47" i="32"/>
  <c r="BT47" i="32"/>
  <c r="BR47" i="32"/>
  <c r="BQ47" i="32"/>
  <c r="BP47" i="32"/>
  <c r="BO47" i="32"/>
  <c r="BN47" i="32"/>
  <c r="BL47" i="32"/>
  <c r="N21" i="32"/>
  <c r="N20" i="32" s="1"/>
  <c r="G14" i="14"/>
  <c r="M19" i="61"/>
  <c r="Y256" i="21"/>
  <c r="AJ256" i="21"/>
  <c r="R282" i="21"/>
  <c r="W255" i="21"/>
  <c r="AG230" i="21"/>
  <c r="AG238" i="21"/>
  <c r="AG229" i="21"/>
  <c r="AR199" i="21"/>
  <c r="AQ198" i="21"/>
  <c r="AQ197" i="21" s="1"/>
  <c r="J335" i="21"/>
  <c r="J336" i="21"/>
  <c r="L256" i="21"/>
  <c r="W376" i="21"/>
  <c r="W283" i="21"/>
  <c r="W282" i="21" s="1"/>
  <c r="G322" i="21"/>
  <c r="G324" i="21" s="1"/>
  <c r="F336" i="21"/>
  <c r="F335" i="21"/>
  <c r="Q336" i="21"/>
  <c r="Q335" i="21"/>
  <c r="E322" i="21"/>
  <c r="E324" i="21" s="1"/>
  <c r="O36" i="51"/>
  <c r="AW147" i="21"/>
  <c r="O245" i="21"/>
  <c r="N335" i="21"/>
  <c r="N336" i="21"/>
  <c r="AL383" i="21"/>
  <c r="AL382" i="21"/>
  <c r="S243" i="21"/>
  <c r="AQ15" i="21"/>
  <c r="AQ14" i="21" s="1"/>
  <c r="AV21" i="21"/>
  <c r="S70" i="60"/>
  <c r="V70" i="60" s="1"/>
  <c r="S23" i="60"/>
  <c r="V23" i="60" s="1"/>
  <c r="I39" i="61"/>
  <c r="H19" i="62"/>
  <c r="S21" i="60"/>
  <c r="V21" i="60" s="1"/>
  <c r="BA131" i="32"/>
  <c r="BA135" i="32"/>
  <c r="BU92" i="32"/>
  <c r="BT92" i="32"/>
  <c r="BS92" i="32"/>
  <c r="BQ92" i="32"/>
  <c r="BP92" i="32"/>
  <c r="BA102" i="32"/>
  <c r="BR143" i="32"/>
  <c r="BP57" i="32"/>
  <c r="BO57" i="32"/>
  <c r="BN57" i="32"/>
  <c r="BM57" i="32"/>
  <c r="BL57" i="32"/>
  <c r="BK57" i="32"/>
  <c r="BV57" i="32"/>
  <c r="BU57" i="32"/>
  <c r="BS57" i="32"/>
  <c r="BR57" i="32"/>
  <c r="BT57" i="32"/>
  <c r="BQ57" i="32"/>
  <c r="BO115" i="32"/>
  <c r="BP114" i="32"/>
  <c r="BD62" i="32"/>
  <c r="BO92" i="32"/>
  <c r="BT96" i="32"/>
  <c r="BR75" i="32"/>
  <c r="BQ54" i="32"/>
  <c r="BQ44" i="32"/>
  <c r="AB212" i="32"/>
  <c r="BP88" i="32"/>
  <c r="AB213" i="32"/>
  <c r="AL214" i="32"/>
  <c r="BT52" i="32"/>
  <c r="BS52" i="32"/>
  <c r="BQ52" i="32"/>
  <c r="BP52" i="32"/>
  <c r="BN52" i="32"/>
  <c r="BV52" i="32"/>
  <c r="BU52" i="32"/>
  <c r="BR52" i="32"/>
  <c r="BO52" i="32"/>
  <c r="BM52" i="32"/>
  <c r="BL52" i="32"/>
  <c r="BK52" i="32"/>
  <c r="X213" i="32"/>
  <c r="AI213" i="32"/>
  <c r="BO63" i="32"/>
  <c r="BE31" i="32"/>
  <c r="D30" i="61"/>
  <c r="C35" i="62"/>
  <c r="J205" i="32"/>
  <c r="J6" i="32"/>
  <c r="J7" i="32"/>
  <c r="D282" i="21"/>
  <c r="J245" i="21"/>
  <c r="AF256" i="21"/>
  <c r="U230" i="21"/>
  <c r="U238" i="21"/>
  <c r="U243" i="21" s="1"/>
  <c r="U229" i="21"/>
  <c r="AX37" i="21"/>
  <c r="AZ38" i="21"/>
  <c r="AY38" i="21"/>
  <c r="AM17" i="21"/>
  <c r="AZ129" i="21"/>
  <c r="AY129" i="21"/>
  <c r="BC104" i="21"/>
  <c r="AT102" i="21"/>
  <c r="AU104" i="21"/>
  <c r="AE336" i="21"/>
  <c r="AE335" i="21"/>
  <c r="BC115" i="21"/>
  <c r="AU115" i="21"/>
  <c r="AT113" i="21"/>
  <c r="AJ231" i="21"/>
  <c r="F245" i="21"/>
  <c r="E336" i="21"/>
  <c r="E335" i="21"/>
  <c r="N40" i="51"/>
  <c r="Z303" i="21"/>
  <c r="AV303" i="21"/>
  <c r="V231" i="21"/>
  <c r="W345" i="21"/>
  <c r="H47" i="51"/>
  <c r="H45" i="51" s="1"/>
  <c r="L345" i="21"/>
  <c r="S55" i="60"/>
  <c r="V55" i="60" s="1"/>
  <c r="BA198" i="32"/>
  <c r="AZ197" i="32"/>
  <c r="AZ190" i="32" s="1"/>
  <c r="BA187" i="32"/>
  <c r="BK99" i="32"/>
  <c r="BG62" i="32"/>
  <c r="BP81" i="32"/>
  <c r="BO81" i="32"/>
  <c r="BN81" i="32"/>
  <c r="BM81" i="32"/>
  <c r="BL81" i="32"/>
  <c r="BK81" i="32"/>
  <c r="BV81" i="32"/>
  <c r="BU81" i="32"/>
  <c r="BT81" i="32"/>
  <c r="BS81" i="32"/>
  <c r="BR81" i="32"/>
  <c r="BQ81" i="32"/>
  <c r="BG59" i="32"/>
  <c r="L121" i="32"/>
  <c r="BK84" i="32"/>
  <c r="BK82" i="32" s="1"/>
  <c r="BU84" i="32"/>
  <c r="BU82" i="32" s="1"/>
  <c r="BR84" i="32"/>
  <c r="BR82" i="32" s="1"/>
  <c r="BV84" i="32"/>
  <c r="BT84" i="32"/>
  <c r="BS84" i="32"/>
  <c r="BQ84" i="32"/>
  <c r="BQ82" i="32" s="1"/>
  <c r="BP84" i="32"/>
  <c r="BP82" i="32" s="1"/>
  <c r="BO84" i="32"/>
  <c r="BO82" i="32" s="1"/>
  <c r="BN84" i="32"/>
  <c r="BM84" i="32"/>
  <c r="BM82" i="32" s="1"/>
  <c r="BL84" i="32"/>
  <c r="BL82" i="32" s="1"/>
  <c r="BV90" i="32"/>
  <c r="BT77" i="32"/>
  <c r="BS77" i="32"/>
  <c r="BR77" i="32"/>
  <c r="BQ77" i="32"/>
  <c r="BP77" i="32"/>
  <c r="BO77" i="32"/>
  <c r="BN77" i="32"/>
  <c r="BM77" i="32"/>
  <c r="BL77" i="32"/>
  <c r="BK77" i="32"/>
  <c r="BV77" i="32"/>
  <c r="BU77" i="32"/>
  <c r="BU96" i="32"/>
  <c r="BS75" i="32"/>
  <c r="BV33" i="32"/>
  <c r="D212" i="32"/>
  <c r="AB214" i="32"/>
  <c r="BT82" i="32"/>
  <c r="BT50" i="32"/>
  <c r="AL213" i="32"/>
  <c r="X214" i="32"/>
  <c r="AI214" i="32"/>
  <c r="BP63" i="32"/>
  <c r="BD10" i="32"/>
  <c r="BP10" i="32" s="1"/>
  <c r="AE212" i="32"/>
  <c r="O31" i="32"/>
  <c r="E205" i="32"/>
  <c r="W387" i="21"/>
  <c r="J33" i="62"/>
  <c r="K22" i="61"/>
  <c r="BC192" i="21"/>
  <c r="AL292" i="21"/>
  <c r="AO234" i="21"/>
  <c r="G77" i="51" s="1"/>
  <c r="S234" i="21"/>
  <c r="AY144" i="21"/>
  <c r="AZ144" i="21"/>
  <c r="X256" i="21"/>
  <c r="F282" i="21"/>
  <c r="C8" i="14"/>
  <c r="D7" i="14" s="1"/>
  <c r="G5" i="14"/>
  <c r="D5" i="14"/>
  <c r="D255" i="21"/>
  <c r="AJ335" i="21"/>
  <c r="AJ336" i="21"/>
  <c r="C24" i="11"/>
  <c r="K9" i="13"/>
  <c r="E21" i="10"/>
  <c r="B134" i="12"/>
  <c r="C26" i="9"/>
  <c r="AY118" i="21"/>
  <c r="AZ118" i="21"/>
  <c r="V383" i="21"/>
  <c r="V382" i="21"/>
  <c r="V345" i="21"/>
  <c r="AM14" i="21"/>
  <c r="D46" i="51"/>
  <c r="P306" i="21" s="1"/>
  <c r="P305" i="21"/>
  <c r="C30" i="11"/>
  <c r="D10" i="13"/>
  <c r="C27" i="9"/>
  <c r="F21" i="10"/>
  <c r="B135" i="12"/>
  <c r="M40" i="51"/>
  <c r="Y303" i="21"/>
  <c r="AU303" i="21"/>
  <c r="AA345" i="21"/>
  <c r="S336" i="21"/>
  <c r="S335" i="21"/>
  <c r="C6" i="11"/>
  <c r="C23" i="9"/>
  <c r="B21" i="10"/>
  <c r="G21" i="10" s="1"/>
  <c r="K6" i="13"/>
  <c r="D6" i="13"/>
  <c r="C11" i="13"/>
  <c r="C20" i="9" s="1"/>
  <c r="B131" i="12"/>
  <c r="N47" i="51"/>
  <c r="N45" i="51" s="1"/>
  <c r="V243" i="21"/>
  <c r="AZ143" i="21"/>
  <c r="AY143" i="21"/>
  <c r="Z345" i="21"/>
  <c r="H40" i="51"/>
  <c r="AP303" i="21"/>
  <c r="T303" i="21"/>
  <c r="T133" i="60"/>
  <c r="AA133" i="60"/>
  <c r="S73" i="60"/>
  <c r="V73" i="60" s="1"/>
  <c r="S69" i="60"/>
  <c r="V69" i="60" s="1"/>
  <c r="S40" i="60"/>
  <c r="V40" i="60" s="1"/>
  <c r="S25" i="60"/>
  <c r="V25" i="60" s="1"/>
  <c r="BL198" i="32"/>
  <c r="BL197" i="32" s="1"/>
  <c r="BS184" i="32"/>
  <c r="BS192" i="32"/>
  <c r="BN151" i="32"/>
  <c r="BN150" i="32" s="1"/>
  <c r="BL187" i="32"/>
  <c r="BL180" i="32" s="1"/>
  <c r="BL179" i="32" s="1"/>
  <c r="BM119" i="32"/>
  <c r="BA119" i="32"/>
  <c r="BB116" i="32"/>
  <c r="BM129" i="32"/>
  <c r="L164" i="32"/>
  <c r="L156" i="32" s="1"/>
  <c r="L149" i="32" s="1"/>
  <c r="BQ134" i="32"/>
  <c r="BS82" i="32"/>
  <c r="BT143" i="32"/>
  <c r="BP91" i="32"/>
  <c r="BO91" i="32"/>
  <c r="BN91" i="32"/>
  <c r="BM91" i="32"/>
  <c r="BL91" i="32"/>
  <c r="BK91" i="32"/>
  <c r="BV91" i="32"/>
  <c r="BS91" i="32"/>
  <c r="BU91" i="32"/>
  <c r="BT91" i="32"/>
  <c r="BR91" i="32"/>
  <c r="BQ91" i="32"/>
  <c r="BH62" i="32"/>
  <c r="BT88" i="32"/>
  <c r="BJ59" i="32"/>
  <c r="BQ127" i="32"/>
  <c r="BP123" i="32"/>
  <c r="BQ56" i="32"/>
  <c r="BR56" i="32"/>
  <c r="BU56" i="32"/>
  <c r="BL119" i="32"/>
  <c r="BL117" i="32" s="1"/>
  <c r="BT114" i="32"/>
  <c r="BL90" i="32"/>
  <c r="BA74" i="32"/>
  <c r="BT56" i="32"/>
  <c r="BT75" i="32"/>
  <c r="BT74" i="32" s="1"/>
  <c r="BA19" i="32"/>
  <c r="AZ18" i="32"/>
  <c r="D214" i="32"/>
  <c r="Z214" i="32"/>
  <c r="W213" i="32"/>
  <c r="BT73" i="32"/>
  <c r="BQ63" i="32"/>
  <c r="BR50" i="32"/>
  <c r="BG31" i="32"/>
  <c r="BC67" i="32"/>
  <c r="BC62" i="32" s="1"/>
  <c r="S212" i="32"/>
  <c r="BT37" i="32"/>
  <c r="BS37" i="32"/>
  <c r="BR37" i="32"/>
  <c r="BQ37" i="32"/>
  <c r="BP37" i="32"/>
  <c r="BO37" i="32"/>
  <c r="BN37" i="32"/>
  <c r="BM37" i="32"/>
  <c r="BL37" i="32"/>
  <c r="BK37" i="32"/>
  <c r="BV37" i="32"/>
  <c r="BU37" i="32"/>
  <c r="BA28" i="32"/>
  <c r="I7" i="32"/>
  <c r="H7" i="32"/>
  <c r="AO207" i="21"/>
  <c r="AN206" i="21"/>
  <c r="AN204" i="21" s="1"/>
  <c r="AN196" i="21" s="1"/>
  <c r="E23" i="61" s="1"/>
  <c r="I19" i="61"/>
  <c r="BA169" i="21"/>
  <c r="P152" i="21"/>
  <c r="AD292" i="21"/>
  <c r="AR186" i="21"/>
  <c r="AQ186" i="21"/>
  <c r="AR269" i="21"/>
  <c r="AR44" i="21"/>
  <c r="T256" i="21"/>
  <c r="X335" i="21"/>
  <c r="X336" i="21"/>
  <c r="AI335" i="21"/>
  <c r="AI336" i="21"/>
  <c r="C139" i="12"/>
  <c r="Q40" i="21"/>
  <c r="AN9" i="21"/>
  <c r="AN8" i="21" s="1"/>
  <c r="AN7" i="21" s="1"/>
  <c r="AN6" i="21" s="1"/>
  <c r="AG336" i="21"/>
  <c r="AG335" i="21"/>
  <c r="K256" i="21"/>
  <c r="D40" i="51"/>
  <c r="P304" i="21" s="1"/>
  <c r="P303" i="21"/>
  <c r="H322" i="21"/>
  <c r="H324" i="21" s="1"/>
  <c r="B139" i="12"/>
  <c r="AL40" i="21"/>
  <c r="AL364" i="21" s="1"/>
  <c r="M47" i="51"/>
  <c r="M45" i="51" s="1"/>
  <c r="G336" i="21"/>
  <c r="G335" i="21"/>
  <c r="X231" i="21"/>
  <c r="BA5" i="21"/>
  <c r="AC345" i="21"/>
  <c r="BU155" i="32"/>
  <c r="D63" i="51"/>
  <c r="D61" i="51" s="1"/>
  <c r="D31" i="51"/>
  <c r="D28" i="51"/>
  <c r="P301" i="21"/>
  <c r="J231" i="21"/>
  <c r="C46" i="48"/>
  <c r="C26" i="11" s="1"/>
  <c r="AZ103" i="21"/>
  <c r="AY103" i="21"/>
  <c r="AU21" i="21"/>
  <c r="K345" i="21"/>
  <c r="AN135" i="21"/>
  <c r="S37" i="60"/>
  <c r="V37" i="60" s="1"/>
  <c r="L104" i="60"/>
  <c r="L105" i="60" s="1"/>
  <c r="S15" i="60"/>
  <c r="BM198" i="32"/>
  <c r="BM197" i="32" s="1"/>
  <c r="BA186" i="32"/>
  <c r="BA196" i="32"/>
  <c r="BM196" i="32"/>
  <c r="AF209" i="32"/>
  <c r="AP358" i="21"/>
  <c r="T358" i="21"/>
  <c r="BM187" i="32"/>
  <c r="D211" i="32"/>
  <c r="BA107" i="32"/>
  <c r="AZ141" i="32"/>
  <c r="AZ139" i="32" s="1"/>
  <c r="E35" i="61" s="1"/>
  <c r="BO134" i="32"/>
  <c r="BT134" i="32"/>
  <c r="BA111" i="32"/>
  <c r="BV82" i="32"/>
  <c r="BU143" i="32"/>
  <c r="BL100" i="32"/>
  <c r="BL99" i="32" s="1"/>
  <c r="BT127" i="32"/>
  <c r="BQ123" i="32"/>
  <c r="BQ80" i="32"/>
  <c r="BU80" i="32"/>
  <c r="BS80" i="32"/>
  <c r="BR80" i="32"/>
  <c r="BP69" i="32"/>
  <c r="BO69" i="32"/>
  <c r="BO67" i="32" s="1"/>
  <c r="BN69" i="32"/>
  <c r="BM69" i="32"/>
  <c r="BM67" i="32" s="1"/>
  <c r="BL69" i="32"/>
  <c r="BL67" i="32" s="1"/>
  <c r="BK69" i="32"/>
  <c r="BK67" i="32" s="1"/>
  <c r="BV69" i="32"/>
  <c r="BV67" i="32" s="1"/>
  <c r="BU69" i="32"/>
  <c r="BT69" i="32"/>
  <c r="BS69" i="32"/>
  <c r="BR69" i="32"/>
  <c r="BQ69" i="32"/>
  <c r="BS115" i="32"/>
  <c r="BU114" i="32"/>
  <c r="BV80" i="32"/>
  <c r="BT54" i="32"/>
  <c r="BS54" i="32"/>
  <c r="BM90" i="32"/>
  <c r="BT89" i="32"/>
  <c r="BU75" i="32"/>
  <c r="AZ31" i="32"/>
  <c r="BU50" i="32"/>
  <c r="BA41" i="32"/>
  <c r="D213" i="32"/>
  <c r="BN82" i="32"/>
  <c r="Z213" i="32"/>
  <c r="AJ212" i="32"/>
  <c r="W214" i="32"/>
  <c r="BR63" i="32"/>
  <c r="L205" i="32"/>
  <c r="BA17" i="32"/>
  <c r="AZ16" i="32"/>
  <c r="AC315" i="21"/>
  <c r="AC317" i="21"/>
  <c r="AC318" i="21"/>
  <c r="H318" i="21"/>
  <c r="K318" i="21"/>
  <c r="AP224" i="21"/>
  <c r="C16" i="14"/>
  <c r="D14" i="14" s="1"/>
  <c r="G13" i="14"/>
  <c r="E6" i="18"/>
  <c r="N19" i="61"/>
  <c r="AM196" i="21"/>
  <c r="D23" i="61" s="1"/>
  <c r="AZ111" i="21"/>
  <c r="AY111" i="21"/>
  <c r="E15" i="61"/>
  <c r="E67" i="51"/>
  <c r="G6" i="14"/>
  <c r="D6" i="14"/>
  <c r="AH256" i="21"/>
  <c r="U256" i="21"/>
  <c r="N15" i="61"/>
  <c r="N67" i="51"/>
  <c r="M15" i="61"/>
  <c r="M67" i="51"/>
  <c r="M256" i="21"/>
  <c r="L336" i="21"/>
  <c r="L335" i="21"/>
  <c r="W335" i="21"/>
  <c r="W336" i="21"/>
  <c r="AB243" i="21"/>
  <c r="U335" i="21"/>
  <c r="U336" i="21"/>
  <c r="AF335" i="21"/>
  <c r="AF336" i="21"/>
  <c r="X243" i="21"/>
  <c r="J243" i="21"/>
  <c r="G11" i="13"/>
  <c r="BF154" i="32"/>
  <c r="BV154" i="32" s="1"/>
  <c r="BC32" i="21"/>
  <c r="I40" i="51"/>
  <c r="AQ303" i="21"/>
  <c r="U303" i="21"/>
  <c r="AK345" i="21"/>
  <c r="AY136" i="21"/>
  <c r="AZ136" i="21"/>
  <c r="F7" i="32" l="1"/>
  <c r="F6" i="32"/>
  <c r="E42" i="61"/>
  <c r="D22" i="62"/>
  <c r="N212" i="32"/>
  <c r="N30" i="32"/>
  <c r="I206" i="32"/>
  <c r="I207" i="32" s="1"/>
  <c r="I148" i="32"/>
  <c r="I205" i="32"/>
  <c r="F66" i="51"/>
  <c r="E14" i="61"/>
  <c r="N6" i="32"/>
  <c r="AN141" i="21"/>
  <c r="S10" i="10"/>
  <c r="S9" i="10"/>
  <c r="S8" i="10"/>
  <c r="S7" i="10"/>
  <c r="S11" i="10"/>
  <c r="S12" i="10"/>
  <c r="S13" i="10"/>
  <c r="S5" i="10"/>
  <c r="S14" i="10"/>
  <c r="S15" i="10"/>
  <c r="S6" i="10"/>
  <c r="S4" i="10"/>
  <c r="F10" i="10"/>
  <c r="F9" i="10"/>
  <c r="F8" i="10"/>
  <c r="F7" i="10"/>
  <c r="F11" i="10"/>
  <c r="F12" i="10"/>
  <c r="F14" i="10"/>
  <c r="F5" i="10"/>
  <c r="F15" i="10"/>
  <c r="F6" i="10"/>
  <c r="F4" i="10"/>
  <c r="F13" i="10"/>
  <c r="M212" i="32"/>
  <c r="M30" i="32"/>
  <c r="R122" i="60"/>
  <c r="R123" i="60" s="1"/>
  <c r="V122" i="60"/>
  <c r="V123" i="60" s="1"/>
  <c r="U122" i="60"/>
  <c r="U123" i="60" s="1"/>
  <c r="Q123" i="60"/>
  <c r="P7" i="13"/>
  <c r="N7" i="13"/>
  <c r="G10" i="10"/>
  <c r="G9" i="10"/>
  <c r="G8" i="10"/>
  <c r="G7" i="10"/>
  <c r="G6" i="10"/>
  <c r="G5" i="10"/>
  <c r="G4" i="10"/>
  <c r="G11" i="10"/>
  <c r="G12" i="10"/>
  <c r="G13" i="10"/>
  <c r="G14" i="10"/>
  <c r="G15" i="10"/>
  <c r="F5" i="48"/>
  <c r="G5" i="48" s="1"/>
  <c r="L65" i="51"/>
  <c r="J27" i="62"/>
  <c r="BC102" i="21"/>
  <c r="J29" i="62"/>
  <c r="K21" i="61"/>
  <c r="BC189" i="21"/>
  <c r="K29" i="62"/>
  <c r="L21" i="61"/>
  <c r="BB171" i="32"/>
  <c r="BA170" i="32"/>
  <c r="BM171" i="32"/>
  <c r="BM170" i="32" s="1"/>
  <c r="O386" i="21"/>
  <c r="O326" i="21"/>
  <c r="O332" i="21" s="1"/>
  <c r="O334" i="21"/>
  <c r="L40" i="51"/>
  <c r="AT303" i="21"/>
  <c r="X303" i="21"/>
  <c r="G16" i="14"/>
  <c r="H13" i="14" s="1"/>
  <c r="H16" i="14" s="1"/>
  <c r="BM107" i="32"/>
  <c r="N46" i="51"/>
  <c r="Z305" i="21"/>
  <c r="AV305" i="21"/>
  <c r="Z304" i="21"/>
  <c r="AV304" i="21"/>
  <c r="BR74" i="32"/>
  <c r="AJ255" i="21"/>
  <c r="AJ322" i="21"/>
  <c r="AJ324" i="21" s="1"/>
  <c r="BB26" i="32"/>
  <c r="BM26" i="32"/>
  <c r="BB109" i="32"/>
  <c r="BR154" i="32"/>
  <c r="AA102" i="60"/>
  <c r="S235" i="21"/>
  <c r="AO235" i="21"/>
  <c r="D8" i="62"/>
  <c r="C44" i="62"/>
  <c r="D47" i="61"/>
  <c r="E8" i="61"/>
  <c r="S255" i="21"/>
  <c r="S322" i="21"/>
  <c r="S324" i="21" s="1"/>
  <c r="O40" i="51"/>
  <c r="AA303" i="21"/>
  <c r="AW303" i="21"/>
  <c r="N8" i="62"/>
  <c r="M44" i="62"/>
  <c r="N47" i="61"/>
  <c r="O8" i="61"/>
  <c r="E40" i="61"/>
  <c r="D20" i="62"/>
  <c r="P41" i="51"/>
  <c r="P39" i="51" s="1"/>
  <c r="AZ27" i="21"/>
  <c r="AY27" i="21"/>
  <c r="J255" i="21"/>
  <c r="J322" i="21"/>
  <c r="J324" i="21" s="1"/>
  <c r="BS41" i="32"/>
  <c r="BS39" i="32" s="1"/>
  <c r="BS67" i="32"/>
  <c r="BS62" i="32" s="1"/>
  <c r="F206" i="32"/>
  <c r="F207" i="32" s="1"/>
  <c r="F148" i="32"/>
  <c r="L47" i="51"/>
  <c r="L45" i="51" s="1"/>
  <c r="BP85" i="32"/>
  <c r="BC142" i="32"/>
  <c r="BB141" i="32"/>
  <c r="BB139" i="32" s="1"/>
  <c r="G35" i="61" s="1"/>
  <c r="H206" i="32"/>
  <c r="H207" i="32" s="1"/>
  <c r="H148" i="32"/>
  <c r="H205" i="32"/>
  <c r="BB101" i="32"/>
  <c r="BC101" i="32" s="1"/>
  <c r="BD101" i="32" s="1"/>
  <c r="BE101" i="32" s="1"/>
  <c r="BF101" i="32" s="1"/>
  <c r="BG101" i="32" s="1"/>
  <c r="BH101" i="32" s="1"/>
  <c r="BI101" i="32" s="1"/>
  <c r="BJ101" i="32" s="1"/>
  <c r="BM101" i="32"/>
  <c r="BO101" i="32"/>
  <c r="BN101" i="32"/>
  <c r="BP101" i="32"/>
  <c r="BC181" i="32"/>
  <c r="BO181" i="32"/>
  <c r="R255" i="21"/>
  <c r="R322" i="21"/>
  <c r="R324" i="21" s="1"/>
  <c r="AO306" i="21"/>
  <c r="S306" i="21"/>
  <c r="K255" i="21"/>
  <c r="K322" i="21"/>
  <c r="K324" i="21" s="1"/>
  <c r="L206" i="32"/>
  <c r="L207" i="32" s="1"/>
  <c r="L208" i="32" s="1"/>
  <c r="L148" i="32"/>
  <c r="D13" i="14"/>
  <c r="BB196" i="32"/>
  <c r="BN196" i="32"/>
  <c r="T255" i="21"/>
  <c r="T322" i="21"/>
  <c r="T324" i="21" s="1"/>
  <c r="AP207" i="21"/>
  <c r="AO206" i="21"/>
  <c r="AO204" i="21" s="1"/>
  <c r="AO196" i="21" s="1"/>
  <c r="F23" i="61" s="1"/>
  <c r="E31" i="61"/>
  <c r="BO62" i="32"/>
  <c r="L255" i="21"/>
  <c r="L322" i="21"/>
  <c r="L324" i="21" s="1"/>
  <c r="Y255" i="21"/>
  <c r="Y322" i="21"/>
  <c r="Y324" i="21" s="1"/>
  <c r="BB27" i="32"/>
  <c r="BN27" i="32"/>
  <c r="BM27" i="32"/>
  <c r="BG195" i="32"/>
  <c r="BS154" i="32"/>
  <c r="J46" i="51"/>
  <c r="V305" i="21"/>
  <c r="AR305" i="21"/>
  <c r="P255" i="21"/>
  <c r="P322" i="21"/>
  <c r="P324" i="21" s="1"/>
  <c r="BR101" i="32"/>
  <c r="BO74" i="32"/>
  <c r="BR195" i="32"/>
  <c r="AR15" i="21"/>
  <c r="L67" i="51"/>
  <c r="L15" i="61"/>
  <c r="BC122" i="21"/>
  <c r="AB255" i="21"/>
  <c r="AB322" i="21"/>
  <c r="AB324" i="21" s="1"/>
  <c r="BB163" i="32"/>
  <c r="BN163" i="32" s="1"/>
  <c r="BR153" i="32"/>
  <c r="BR152" i="32" s="1"/>
  <c r="BQ153" i="32"/>
  <c r="BQ152" i="32" s="1"/>
  <c r="BP153" i="32"/>
  <c r="BP152" i="32" s="1"/>
  <c r="BO153" i="32"/>
  <c r="BO152" i="32" s="1"/>
  <c r="BN153" i="32"/>
  <c r="BN152" i="32" s="1"/>
  <c r="BM153" i="32"/>
  <c r="BM152" i="32" s="1"/>
  <c r="BL153" i="32"/>
  <c r="BL152" i="32" s="1"/>
  <c r="BK153" i="32"/>
  <c r="BK152" i="32" s="1"/>
  <c r="AY152" i="32"/>
  <c r="AP180" i="21"/>
  <c r="AQ180" i="21" s="1"/>
  <c r="O19" i="61"/>
  <c r="AZ167" i="21"/>
  <c r="AY167" i="21"/>
  <c r="BK74" i="32"/>
  <c r="BR134" i="32"/>
  <c r="O47" i="51"/>
  <c r="O45" i="51" s="1"/>
  <c r="AZ44" i="21"/>
  <c r="AY44" i="21"/>
  <c r="K212" i="32"/>
  <c r="K30" i="32"/>
  <c r="BM109" i="32"/>
  <c r="S48" i="60"/>
  <c r="V48" i="60" s="1"/>
  <c r="U108" i="60"/>
  <c r="R108" i="60"/>
  <c r="V108" i="60"/>
  <c r="V119" i="60" s="1"/>
  <c r="V129" i="60" s="1"/>
  <c r="Q119" i="60"/>
  <c r="Q129" i="60" s="1"/>
  <c r="Q130" i="60"/>
  <c r="Q133" i="60" s="1"/>
  <c r="I213" i="32"/>
  <c r="S9" i="60"/>
  <c r="O58" i="12"/>
  <c r="BV59" i="32"/>
  <c r="V131" i="60"/>
  <c r="BQ39" i="32"/>
  <c r="BQ31" i="32" s="1"/>
  <c r="AF255" i="21"/>
  <c r="AF322" i="21"/>
  <c r="AF324" i="21" s="1"/>
  <c r="BB135" i="32"/>
  <c r="BC135" i="32" s="1"/>
  <c r="BD135" i="32" s="1"/>
  <c r="BE135" i="32" s="1"/>
  <c r="BF135" i="32" s="1"/>
  <c r="BG135" i="32" s="1"/>
  <c r="BH135" i="32" s="1"/>
  <c r="BI135" i="32" s="1"/>
  <c r="BJ135" i="32" s="1"/>
  <c r="BR135" i="32"/>
  <c r="BS135" i="32"/>
  <c r="BS133" i="32" s="1"/>
  <c r="BQ135" i="32"/>
  <c r="BT154" i="32"/>
  <c r="K63" i="51"/>
  <c r="K8" i="61"/>
  <c r="J8" i="62"/>
  <c r="I44" i="62"/>
  <c r="J47" i="61"/>
  <c r="BB183" i="32"/>
  <c r="BC183" i="32" s="1"/>
  <c r="BD183" i="32" s="1"/>
  <c r="BE183" i="32" s="1"/>
  <c r="BF183" i="32" s="1"/>
  <c r="BG183" i="32" s="1"/>
  <c r="BH183" i="32" s="1"/>
  <c r="BI183" i="32" s="1"/>
  <c r="BJ183" i="32" s="1"/>
  <c r="BO183" i="32"/>
  <c r="BM183" i="32"/>
  <c r="BU183" i="32"/>
  <c r="BS183" i="32"/>
  <c r="BR183" i="32"/>
  <c r="BS31" i="32"/>
  <c r="F65" i="51"/>
  <c r="F13" i="61"/>
  <c r="D27" i="62"/>
  <c r="F386" i="21"/>
  <c r="F334" i="21"/>
  <c r="F326" i="21"/>
  <c r="F332" i="21" s="1"/>
  <c r="BA180" i="32"/>
  <c r="BA179" i="32" s="1"/>
  <c r="Z386" i="21"/>
  <c r="Z326" i="21"/>
  <c r="Z332" i="21" s="1"/>
  <c r="Z334" i="21"/>
  <c r="AZ147" i="21"/>
  <c r="AY147" i="21"/>
  <c r="I8" i="61"/>
  <c r="I63" i="51"/>
  <c r="H8" i="62"/>
  <c r="G44" i="62"/>
  <c r="H47" i="61"/>
  <c r="AM134" i="21"/>
  <c r="AZ269" i="21"/>
  <c r="AY269" i="21"/>
  <c r="BL74" i="32"/>
  <c r="M209" i="32"/>
  <c r="M210" i="32" s="1"/>
  <c r="M211" i="32" s="1"/>
  <c r="AE255" i="21"/>
  <c r="AE322" i="21"/>
  <c r="AE324" i="21" s="1"/>
  <c r="BT41" i="32"/>
  <c r="BT39" i="32" s="1"/>
  <c r="BQ67" i="32"/>
  <c r="U306" i="21"/>
  <c r="AQ306" i="21"/>
  <c r="J63" i="12"/>
  <c r="AC209" i="32"/>
  <c r="Q358" i="21"/>
  <c r="AM358" i="21"/>
  <c r="AC214" i="32"/>
  <c r="F5" i="15"/>
  <c r="X49" i="60"/>
  <c r="AI49" i="60"/>
  <c r="AI102" i="60" s="1"/>
  <c r="AH49" i="60"/>
  <c r="U49" i="60"/>
  <c r="U102" i="60" s="1"/>
  <c r="AG49" i="60"/>
  <c r="AE49" i="60"/>
  <c r="R49" i="60"/>
  <c r="R102" i="60" s="1"/>
  <c r="AD49" i="60"/>
  <c r="AD102" i="60" s="1"/>
  <c r="AC49" i="60"/>
  <c r="AA49" i="60"/>
  <c r="Z49" i="60"/>
  <c r="Y49" i="60"/>
  <c r="AF49" i="60"/>
  <c r="AF102" i="60" s="1"/>
  <c r="AB49" i="60"/>
  <c r="AB102" i="60" s="1"/>
  <c r="Q102" i="60"/>
  <c r="J63" i="51"/>
  <c r="J8" i="61"/>
  <c r="I8" i="62"/>
  <c r="H44" i="62"/>
  <c r="I47" i="61"/>
  <c r="BB107" i="32"/>
  <c r="BC107" i="32" s="1"/>
  <c r="BD107" i="32" s="1"/>
  <c r="BE107" i="32" s="1"/>
  <c r="BF107" i="32" s="1"/>
  <c r="BG107" i="32" s="1"/>
  <c r="BH107" i="32" s="1"/>
  <c r="BI107" i="32" s="1"/>
  <c r="BJ107" i="32" s="1"/>
  <c r="BG153" i="32"/>
  <c r="BG152" i="32" s="1"/>
  <c r="AU20" i="21"/>
  <c r="K46" i="51"/>
  <c r="W305" i="21"/>
  <c r="AS305" i="21"/>
  <c r="BA18" i="32"/>
  <c r="BB19" i="32"/>
  <c r="BM19" i="32"/>
  <c r="BM18" i="32" s="1"/>
  <c r="X255" i="21"/>
  <c r="X322" i="21"/>
  <c r="X324" i="21" s="1"/>
  <c r="AZ30" i="32"/>
  <c r="BQ107" i="32"/>
  <c r="BB186" i="32"/>
  <c r="BM186" i="32"/>
  <c r="BP183" i="32"/>
  <c r="BB198" i="32"/>
  <c r="BA197" i="32"/>
  <c r="BN198" i="32"/>
  <c r="BN197" i="32" s="1"/>
  <c r="BB131" i="32"/>
  <c r="BN131" i="32"/>
  <c r="BM131" i="32"/>
  <c r="BM126" i="32" s="1"/>
  <c r="BU154" i="32"/>
  <c r="BT31" i="32"/>
  <c r="AC102" i="60"/>
  <c r="Q255" i="21"/>
  <c r="Q322" i="21"/>
  <c r="Q324" i="21" s="1"/>
  <c r="AR180" i="21"/>
  <c r="V255" i="21"/>
  <c r="V322" i="21"/>
  <c r="V324" i="21" s="1"/>
  <c r="L19" i="61"/>
  <c r="BN41" i="32"/>
  <c r="BN39" i="32" s="1"/>
  <c r="BT135" i="32"/>
  <c r="BB125" i="32"/>
  <c r="BM125" i="32"/>
  <c r="BM122" i="32" s="1"/>
  <c r="BN125" i="32"/>
  <c r="BN122" i="32" s="1"/>
  <c r="F46" i="51"/>
  <c r="AN305" i="21"/>
  <c r="R305" i="21"/>
  <c r="AD255" i="21"/>
  <c r="AD322" i="21"/>
  <c r="AD324" i="21" s="1"/>
  <c r="BU85" i="32"/>
  <c r="E13" i="61"/>
  <c r="S129" i="60"/>
  <c r="E8" i="18"/>
  <c r="P213" i="32"/>
  <c r="P214" i="32"/>
  <c r="P7" i="32"/>
  <c r="P200" i="32" s="1"/>
  <c r="M41" i="11"/>
  <c r="M6" i="69"/>
  <c r="AQ224" i="21"/>
  <c r="BU74" i="32"/>
  <c r="BU62" i="32" s="1"/>
  <c r="BB111" i="32"/>
  <c r="BN112" i="32"/>
  <c r="BM112" i="32"/>
  <c r="BN111" i="32"/>
  <c r="BR107" i="32"/>
  <c r="BN26" i="32"/>
  <c r="AP304" i="21"/>
  <c r="T304" i="21"/>
  <c r="B136" i="12"/>
  <c r="Y304" i="21"/>
  <c r="AU304" i="21"/>
  <c r="M9" i="13"/>
  <c r="F19" i="48" s="1"/>
  <c r="E24" i="10"/>
  <c r="E25" i="10" s="1"/>
  <c r="O30" i="32"/>
  <c r="BH153" i="32"/>
  <c r="BH152" i="32" s="1"/>
  <c r="AV20" i="21"/>
  <c r="E386" i="21"/>
  <c r="E326" i="21"/>
  <c r="E332" i="21" s="1"/>
  <c r="E334" i="21"/>
  <c r="BN67" i="32"/>
  <c r="AO9" i="21"/>
  <c r="N77" i="51"/>
  <c r="AW234" i="21"/>
  <c r="BU31" i="32"/>
  <c r="BB191" i="32"/>
  <c r="BM191" i="32"/>
  <c r="D44" i="62"/>
  <c r="E47" i="61"/>
  <c r="F63" i="51"/>
  <c r="F8" i="61"/>
  <c r="E8" i="62"/>
  <c r="BN74" i="32"/>
  <c r="BL113" i="32"/>
  <c r="BM194" i="32"/>
  <c r="BM193" i="32" s="1"/>
  <c r="BT183" i="32"/>
  <c r="AM6" i="21"/>
  <c r="K15" i="61"/>
  <c r="BU41" i="32"/>
  <c r="BU39" i="32" s="1"/>
  <c r="BR41" i="32"/>
  <c r="BR39" i="32" s="1"/>
  <c r="BR31" i="32" s="1"/>
  <c r="F40" i="51"/>
  <c r="AN303" i="21"/>
  <c r="R303" i="21"/>
  <c r="BO85" i="32"/>
  <c r="L8" i="70"/>
  <c r="M6" i="70"/>
  <c r="S76" i="60"/>
  <c r="V76" i="60" s="1"/>
  <c r="X103" i="60"/>
  <c r="D241" i="21"/>
  <c r="O61" i="12"/>
  <c r="G13" i="61"/>
  <c r="G65" i="51"/>
  <c r="E27" i="62"/>
  <c r="S17" i="60"/>
  <c r="S103" i="60" s="1"/>
  <c r="AE103" i="60"/>
  <c r="P212" i="32"/>
  <c r="V9" i="60"/>
  <c r="N208" i="32"/>
  <c r="N209" i="32" s="1"/>
  <c r="N210" i="32" s="1"/>
  <c r="N211" i="32" s="1"/>
  <c r="E9" i="18"/>
  <c r="B5" i="15"/>
  <c r="M255" i="21"/>
  <c r="M322" i="21"/>
  <c r="M324" i="21" s="1"/>
  <c r="D43" i="62"/>
  <c r="D45" i="62" s="1"/>
  <c r="F32" i="51"/>
  <c r="F30" i="51" s="1"/>
  <c r="E46" i="61"/>
  <c r="E7" i="62"/>
  <c r="F7" i="61"/>
  <c r="AN325" i="21"/>
  <c r="AN320" i="21"/>
  <c r="D9" i="13"/>
  <c r="BC113" i="21"/>
  <c r="BM62" i="32"/>
  <c r="AH210" i="32"/>
  <c r="AH211" i="32" s="1"/>
  <c r="V367" i="21"/>
  <c r="V366" i="21"/>
  <c r="AD210" i="32"/>
  <c r="AD211" i="32" s="1"/>
  <c r="R366" i="21"/>
  <c r="R367" i="21"/>
  <c r="D15" i="14"/>
  <c r="AY30" i="32"/>
  <c r="BM113" i="32"/>
  <c r="P33" i="51"/>
  <c r="AZ35" i="21"/>
  <c r="AY35" i="21"/>
  <c r="BP135" i="32"/>
  <c r="BP133" i="32" s="1"/>
  <c r="BV41" i="32"/>
  <c r="BV39" i="32" s="1"/>
  <c r="BV74" i="32"/>
  <c r="AZ184" i="21"/>
  <c r="AY184" i="21"/>
  <c r="BQ85" i="32"/>
  <c r="T209" i="32"/>
  <c r="T210" i="32" s="1"/>
  <c r="T211" i="32" s="1"/>
  <c r="T214" i="32"/>
  <c r="AE51" i="60"/>
  <c r="AE102" i="60" s="1"/>
  <c r="R51" i="60"/>
  <c r="AD51" i="60"/>
  <c r="AC51" i="60"/>
  <c r="AB51" i="60"/>
  <c r="AA51" i="60"/>
  <c r="Z51" i="60"/>
  <c r="Y51" i="60"/>
  <c r="X51" i="60"/>
  <c r="AH51" i="60"/>
  <c r="U51" i="60"/>
  <c r="AG51" i="60"/>
  <c r="AI51" i="60"/>
  <c r="AF51" i="60"/>
  <c r="D386" i="21"/>
  <c r="D326" i="21"/>
  <c r="D332" i="21" s="1"/>
  <c r="D334" i="21"/>
  <c r="R103" i="60"/>
  <c r="T10" i="10"/>
  <c r="T9" i="10"/>
  <c r="T8" i="10"/>
  <c r="T7" i="10"/>
  <c r="T6" i="10"/>
  <c r="T5" i="10"/>
  <c r="T4" i="10"/>
  <c r="T11" i="10"/>
  <c r="T12" i="10"/>
  <c r="T13" i="10"/>
  <c r="T14" i="10"/>
  <c r="T15" i="10"/>
  <c r="J206" i="32"/>
  <c r="J207" i="32" s="1"/>
  <c r="J213" i="32" s="1"/>
  <c r="J148" i="32"/>
  <c r="F89" i="12"/>
  <c r="F103" i="12"/>
  <c r="AO98" i="21"/>
  <c r="E213" i="32"/>
  <c r="E214" i="32"/>
  <c r="E7" i="32"/>
  <c r="E200" i="32" s="1"/>
  <c r="E6" i="32"/>
  <c r="BQ62" i="32"/>
  <c r="Z102" i="60"/>
  <c r="BT133" i="32"/>
  <c r="M46" i="51"/>
  <c r="Y305" i="21"/>
  <c r="AU305" i="21"/>
  <c r="Q364" i="21"/>
  <c r="Q345" i="21"/>
  <c r="BB28" i="32"/>
  <c r="BN28" i="32"/>
  <c r="BM28" i="32"/>
  <c r="BN19" i="32"/>
  <c r="BN18" i="32" s="1"/>
  <c r="T234" i="21"/>
  <c r="AP234" i="21"/>
  <c r="H77" i="51" s="1"/>
  <c r="BS74" i="32"/>
  <c r="H46" i="51"/>
  <c r="AP305" i="21"/>
  <c r="T305" i="21"/>
  <c r="AV115" i="21"/>
  <c r="AU113" i="21"/>
  <c r="BB102" i="32"/>
  <c r="AR198" i="21"/>
  <c r="AR197" i="21" s="1"/>
  <c r="AS199" i="21"/>
  <c r="BV101" i="32"/>
  <c r="F14" i="14"/>
  <c r="G18" i="18"/>
  <c r="E16" i="14"/>
  <c r="I255" i="21"/>
  <c r="I322" i="21"/>
  <c r="I324" i="21" s="1"/>
  <c r="H15" i="14"/>
  <c r="BV31" i="32"/>
  <c r="BK62" i="32"/>
  <c r="BO107" i="32"/>
  <c r="BB129" i="32"/>
  <c r="BN129" i="32"/>
  <c r="T364" i="21"/>
  <c r="T345" i="21"/>
  <c r="AV188" i="21"/>
  <c r="AU186" i="21"/>
  <c r="M8" i="13"/>
  <c r="F18" i="48" s="1"/>
  <c r="G18" i="48" s="1"/>
  <c r="D24" i="10"/>
  <c r="D25" i="10" s="1"/>
  <c r="BJ153" i="32"/>
  <c r="AZ21" i="21"/>
  <c r="AY21" i="21"/>
  <c r="AX20" i="21"/>
  <c r="AQ220" i="21"/>
  <c r="AR221" i="21"/>
  <c r="BB182" i="32"/>
  <c r="AO304" i="21"/>
  <c r="S304" i="21"/>
  <c r="BK41" i="32"/>
  <c r="BK39" i="32" s="1"/>
  <c r="K8" i="62"/>
  <c r="J44" i="62"/>
  <c r="K47" i="61"/>
  <c r="L8" i="61"/>
  <c r="BC20" i="21"/>
  <c r="B12" i="18"/>
  <c r="N12" i="18"/>
  <c r="M13" i="18" s="1"/>
  <c r="BN85" i="32"/>
  <c r="BN142" i="32"/>
  <c r="BN141" i="32" s="1"/>
  <c r="BN139" i="32" s="1"/>
  <c r="BV183" i="32"/>
  <c r="H105" i="12"/>
  <c r="H91" i="12"/>
  <c r="AS219" i="21"/>
  <c r="AR218" i="21"/>
  <c r="Q100" i="60"/>
  <c r="I10" i="10"/>
  <c r="I9" i="10"/>
  <c r="I8" i="10"/>
  <c r="I7" i="10"/>
  <c r="I6" i="10"/>
  <c r="I5" i="10"/>
  <c r="I4" i="10"/>
  <c r="I11" i="10"/>
  <c r="I12" i="10"/>
  <c r="I13" i="10"/>
  <c r="I14" i="10"/>
  <c r="I15" i="10"/>
  <c r="F7" i="48"/>
  <c r="S92" i="60"/>
  <c r="V92" i="60" s="1"/>
  <c r="H213" i="32"/>
  <c r="E212" i="32"/>
  <c r="BC205" i="21"/>
  <c r="AU205" i="21"/>
  <c r="S67" i="60"/>
  <c r="V67" i="60" s="1"/>
  <c r="P230" i="21"/>
  <c r="P229" i="21"/>
  <c r="BA187" i="21"/>
  <c r="BA185" i="21"/>
  <c r="BA183" i="21"/>
  <c r="BA200" i="21"/>
  <c r="BA194" i="21"/>
  <c r="P238" i="21"/>
  <c r="P243" i="21" s="1"/>
  <c r="BA198" i="21"/>
  <c r="BA190" i="21"/>
  <c r="BA210" i="21"/>
  <c r="BA208" i="21"/>
  <c r="BA196" i="21"/>
  <c r="BA188" i="21"/>
  <c r="BA204" i="21"/>
  <c r="BA174" i="21"/>
  <c r="BA161" i="21"/>
  <c r="BA177" i="21"/>
  <c r="BA202" i="21"/>
  <c r="BA186" i="21"/>
  <c r="BA192" i="21"/>
  <c r="BA160" i="21"/>
  <c r="BA170" i="21"/>
  <c r="BA197" i="21"/>
  <c r="BA167" i="21"/>
  <c r="BA206" i="21"/>
  <c r="BA180" i="21"/>
  <c r="BA209" i="21"/>
  <c r="BA199" i="21"/>
  <c r="BA156" i="21"/>
  <c r="BA153" i="21"/>
  <c r="BA152" i="21" s="1"/>
  <c r="P231" i="21"/>
  <c r="BA171" i="21"/>
  <c r="BA175" i="21"/>
  <c r="BA157" i="21"/>
  <c r="BA173" i="21"/>
  <c r="BA211" i="21"/>
  <c r="BA182" i="21"/>
  <c r="BA159" i="21"/>
  <c r="BA154" i="21"/>
  <c r="BA176" i="21"/>
  <c r="BA207" i="21"/>
  <c r="BA162" i="21"/>
  <c r="BA166" i="21"/>
  <c r="BA163" i="21"/>
  <c r="BA195" i="21"/>
  <c r="BA184" i="21"/>
  <c r="BA165" i="21"/>
  <c r="BA172" i="21"/>
  <c r="BA178" i="21"/>
  <c r="BA201" i="21"/>
  <c r="BA193" i="21"/>
  <c r="BA158" i="21"/>
  <c r="BA155" i="21"/>
  <c r="BA168" i="21"/>
  <c r="BA179" i="21"/>
  <c r="BA181" i="21"/>
  <c r="BA203" i="21"/>
  <c r="BA205" i="21"/>
  <c r="BA164" i="21"/>
  <c r="BA191" i="21"/>
  <c r="BA189" i="21"/>
  <c r="BC116" i="32"/>
  <c r="BN116" i="32"/>
  <c r="BN113" i="32" s="1"/>
  <c r="M6" i="13"/>
  <c r="B24" i="10"/>
  <c r="BB187" i="32"/>
  <c r="AL345" i="21"/>
  <c r="H14" i="14"/>
  <c r="BP74" i="32"/>
  <c r="N255" i="21"/>
  <c r="N322" i="21"/>
  <c r="N324" i="21" s="1"/>
  <c r="BK31" i="32"/>
  <c r="AM177" i="21"/>
  <c r="AN177" i="21" s="1"/>
  <c r="AO177" i="21" s="1"/>
  <c r="AP177" i="21" s="1"/>
  <c r="AQ177" i="21" s="1"/>
  <c r="AR177" i="21" s="1"/>
  <c r="AS177" i="21" s="1"/>
  <c r="AT177" i="21" s="1"/>
  <c r="AM173" i="21"/>
  <c r="AM174" i="21"/>
  <c r="AN174" i="21" s="1"/>
  <c r="AO174" i="21" s="1"/>
  <c r="AP174" i="21" s="1"/>
  <c r="AQ174" i="21" s="1"/>
  <c r="AR174" i="21" s="1"/>
  <c r="AS174" i="21" s="1"/>
  <c r="AT174" i="21" s="1"/>
  <c r="AM176" i="21"/>
  <c r="AN176" i="21" s="1"/>
  <c r="AO176" i="21" s="1"/>
  <c r="AP176" i="21" s="1"/>
  <c r="AQ176" i="21" s="1"/>
  <c r="AR176" i="21" s="1"/>
  <c r="AS176" i="21" s="1"/>
  <c r="AT176" i="21" s="1"/>
  <c r="AG386" i="21"/>
  <c r="AG387" i="21" s="1"/>
  <c r="AG334" i="21"/>
  <c r="AG326" i="21"/>
  <c r="AG332" i="21" s="1"/>
  <c r="AE210" i="32"/>
  <c r="AE211" i="32" s="1"/>
  <c r="S366" i="21"/>
  <c r="S367" i="21"/>
  <c r="AA255" i="21"/>
  <c r="AA322" i="21"/>
  <c r="AA324" i="21" s="1"/>
  <c r="H15" i="51"/>
  <c r="H14" i="51" s="1"/>
  <c r="G26" i="61"/>
  <c r="BM111" i="32"/>
  <c r="O206" i="32"/>
  <c r="O207" i="32" s="1"/>
  <c r="O208" i="32" s="1"/>
  <c r="O209" i="32" s="1"/>
  <c r="O210" i="32" s="1"/>
  <c r="O211" i="32" s="1"/>
  <c r="O148" i="32"/>
  <c r="BM182" i="32"/>
  <c r="BM180" i="32" s="1"/>
  <c r="BM179" i="32" s="1"/>
  <c r="E47" i="51"/>
  <c r="E45" i="51" s="1"/>
  <c r="F7" i="51"/>
  <c r="E25" i="61"/>
  <c r="P317" i="21"/>
  <c r="BL41" i="32"/>
  <c r="BL39" i="32" s="1"/>
  <c r="BF152" i="32"/>
  <c r="M7" i="13"/>
  <c r="F17" i="48" s="1"/>
  <c r="G17" i="48" s="1"/>
  <c r="C24" i="10"/>
  <c r="C25" i="10" s="1"/>
  <c r="B11" i="18"/>
  <c r="BR85" i="32"/>
  <c r="BO142" i="32"/>
  <c r="BO141" i="32" s="1"/>
  <c r="BO139" i="32" s="1"/>
  <c r="S20" i="60"/>
  <c r="V20" i="60" s="1"/>
  <c r="V15" i="60"/>
  <c r="G105" i="12"/>
  <c r="AG103" i="60"/>
  <c r="AF16" i="60"/>
  <c r="AG16" i="60"/>
  <c r="AG100" i="60" s="1"/>
  <c r="R16" i="60"/>
  <c r="R101" i="60" s="1"/>
  <c r="R104" i="60" s="1"/>
  <c r="AE16" i="60"/>
  <c r="AD16" i="60"/>
  <c r="AC16" i="60"/>
  <c r="AB16" i="60"/>
  <c r="AA16" i="60"/>
  <c r="Z16" i="60"/>
  <c r="Y16" i="60"/>
  <c r="X16" i="60"/>
  <c r="AI16" i="60"/>
  <c r="AI100" i="60" s="1"/>
  <c r="U16" i="60"/>
  <c r="U100" i="60" s="1"/>
  <c r="AH16" i="60"/>
  <c r="AH100" i="60" s="1"/>
  <c r="K13" i="61"/>
  <c r="Q101" i="60"/>
  <c r="V130" i="60"/>
  <c r="V133" i="60" s="1"/>
  <c r="BQ133" i="32"/>
  <c r="K19" i="61"/>
  <c r="BC167" i="21"/>
  <c r="AN134" i="21"/>
  <c r="D14" i="62" s="1"/>
  <c r="BE10" i="32"/>
  <c r="BL97" i="32"/>
  <c r="BA117" i="32"/>
  <c r="AO145" i="21" s="1"/>
  <c r="BB118" i="32"/>
  <c r="BM118" i="32"/>
  <c r="BM117" i="32" s="1"/>
  <c r="BN109" i="32"/>
  <c r="BD144" i="32"/>
  <c r="BO144" i="32"/>
  <c r="AI210" i="32"/>
  <c r="AI211" i="32" s="1"/>
  <c r="W366" i="21"/>
  <c r="W367" i="21"/>
  <c r="BB98" i="32"/>
  <c r="BA97" i="32"/>
  <c r="BA30" i="32" s="1"/>
  <c r="BN98" i="32"/>
  <c r="BM98" i="32"/>
  <c r="BL31" i="32"/>
  <c r="BM133" i="32"/>
  <c r="BU135" i="32"/>
  <c r="BV62" i="32"/>
  <c r="D8" i="13"/>
  <c r="BD151" i="32"/>
  <c r="BC150" i="32"/>
  <c r="BO151" i="32"/>
  <c r="BO150" i="32" s="1"/>
  <c r="BB194" i="32"/>
  <c r="BA193" i="32"/>
  <c r="BA190" i="32" s="1"/>
  <c r="BP67" i="32"/>
  <c r="BB128" i="32"/>
  <c r="BC128" i="32" s="1"/>
  <c r="BD128" i="32" s="1"/>
  <c r="BE128" i="32" s="1"/>
  <c r="BF128" i="32" s="1"/>
  <c r="BG128" i="32" s="1"/>
  <c r="BH128" i="32" s="1"/>
  <c r="BI128" i="32" s="1"/>
  <c r="BJ128" i="32" s="1"/>
  <c r="E40" i="51"/>
  <c r="AM303" i="21"/>
  <c r="Q303" i="21"/>
  <c r="AQ142" i="21"/>
  <c r="AP215" i="21"/>
  <c r="AO214" i="21"/>
  <c r="AO213" i="21" s="1"/>
  <c r="D26" i="51"/>
  <c r="D83" i="51" s="1"/>
  <c r="D80" i="51"/>
  <c r="D84" i="51"/>
  <c r="BM41" i="32"/>
  <c r="BM39" i="32" s="1"/>
  <c r="BT85" i="32"/>
  <c r="BT62" i="32" s="1"/>
  <c r="I10" i="13"/>
  <c r="H10" i="13"/>
  <c r="F14" i="48"/>
  <c r="AH103" i="60"/>
  <c r="AP19" i="21"/>
  <c r="BM163" i="32"/>
  <c r="D118" i="48"/>
  <c r="D116" i="48"/>
  <c r="D114" i="48" s="1"/>
  <c r="D119" i="48"/>
  <c r="BB17" i="32"/>
  <c r="BA16" i="32"/>
  <c r="BM17" i="32"/>
  <c r="BM16" i="32" s="1"/>
  <c r="AQ304" i="21"/>
  <c r="U304" i="21"/>
  <c r="U255" i="21"/>
  <c r="U322" i="21"/>
  <c r="U324" i="21" s="1"/>
  <c r="P302" i="21"/>
  <c r="H386" i="21"/>
  <c r="H334" i="21"/>
  <c r="H326" i="21"/>
  <c r="H332" i="21" s="1"/>
  <c r="BM135" i="32"/>
  <c r="C28" i="9"/>
  <c r="BP62" i="32"/>
  <c r="AK255" i="21"/>
  <c r="AK322" i="21"/>
  <c r="AK324" i="21" s="1"/>
  <c r="BT140" i="32"/>
  <c r="AR304" i="21"/>
  <c r="V304" i="21"/>
  <c r="AI255" i="21"/>
  <c r="AI322" i="21"/>
  <c r="AI324" i="21" s="1"/>
  <c r="BN31" i="32"/>
  <c r="BM31" i="32"/>
  <c r="BS101" i="32"/>
  <c r="S39" i="60"/>
  <c r="V39" i="60" s="1"/>
  <c r="X102" i="60"/>
  <c r="AW119" i="21"/>
  <c r="AV117" i="21"/>
  <c r="S296" i="21"/>
  <c r="AO296" i="21"/>
  <c r="G206" i="32"/>
  <c r="G207" i="32" s="1"/>
  <c r="G208" i="32" s="1"/>
  <c r="G148" i="32"/>
  <c r="G205" i="32"/>
  <c r="AL255" i="21"/>
  <c r="AL322" i="21"/>
  <c r="AL324" i="21" s="1"/>
  <c r="BO41" i="32"/>
  <c r="BO39" i="32" s="1"/>
  <c r="R364" i="21"/>
  <c r="R345" i="21"/>
  <c r="BV85" i="32"/>
  <c r="AG102" i="60"/>
  <c r="H39" i="10"/>
  <c r="C12" i="62"/>
  <c r="F10" i="48"/>
  <c r="F205" i="32"/>
  <c r="BS59" i="32"/>
  <c r="O62" i="12"/>
  <c r="BV135" i="32"/>
  <c r="BV133" i="32" s="1"/>
  <c r="G8" i="14"/>
  <c r="H7" i="14" s="1"/>
  <c r="BV107" i="32"/>
  <c r="AH255" i="21"/>
  <c r="AH322" i="21"/>
  <c r="AH324" i="21" s="1"/>
  <c r="E30" i="61"/>
  <c r="D35" i="62"/>
  <c r="AF210" i="32"/>
  <c r="AF211" i="32" s="1"/>
  <c r="T366" i="21"/>
  <c r="T367" i="21"/>
  <c r="D62" i="51"/>
  <c r="P310" i="21" s="1"/>
  <c r="P309" i="21"/>
  <c r="P311" i="21" s="1"/>
  <c r="BB119" i="32"/>
  <c r="C40" i="11"/>
  <c r="C36" i="11"/>
  <c r="D8" i="14"/>
  <c r="AU102" i="21"/>
  <c r="L13" i="61" s="1"/>
  <c r="AV104" i="21"/>
  <c r="BJ155" i="32"/>
  <c r="BV155" i="32" s="1"/>
  <c r="AZ37" i="21"/>
  <c r="AY37" i="21"/>
  <c r="G386" i="21"/>
  <c r="G334" i="21"/>
  <c r="G326" i="21"/>
  <c r="G332" i="21" s="1"/>
  <c r="BB110" i="32"/>
  <c r="BM110" i="32"/>
  <c r="BN186" i="32"/>
  <c r="BN62" i="32"/>
  <c r="BU133" i="32"/>
  <c r="BL121" i="32"/>
  <c r="BM102" i="32"/>
  <c r="K40" i="51"/>
  <c r="AS303" i="21"/>
  <c r="W303" i="21"/>
  <c r="BO31" i="32"/>
  <c r="BT101" i="32"/>
  <c r="Y102" i="60"/>
  <c r="AG210" i="32"/>
  <c r="AG211" i="32" s="1"/>
  <c r="U366" i="21"/>
  <c r="U367" i="21"/>
  <c r="G212" i="32"/>
  <c r="G30" i="32"/>
  <c r="AC255" i="21"/>
  <c r="AC322" i="21"/>
  <c r="AC324" i="21" s="1"/>
  <c r="BN17" i="32"/>
  <c r="BN16" i="32" s="1"/>
  <c r="AP121" i="21"/>
  <c r="AO120" i="21"/>
  <c r="AO112" i="21" s="1"/>
  <c r="F14" i="61" s="1"/>
  <c r="BP41" i="32"/>
  <c r="BP39" i="32" s="1"/>
  <c r="BP31" i="32" s="1"/>
  <c r="BB29" i="32"/>
  <c r="BM29" i="32"/>
  <c r="BR67" i="32"/>
  <c r="BR62" i="32" s="1"/>
  <c r="D7" i="13"/>
  <c r="D11" i="13" s="1"/>
  <c r="O205" i="32"/>
  <c r="BL85" i="32"/>
  <c r="BL62" i="32" s="1"/>
  <c r="AH102" i="60"/>
  <c r="L212" i="32"/>
  <c r="L30" i="32"/>
  <c r="P14" i="63"/>
  <c r="V17" i="60"/>
  <c r="P8" i="13"/>
  <c r="N8" i="13"/>
  <c r="H10" i="10"/>
  <c r="H9" i="10"/>
  <c r="H8" i="10"/>
  <c r="H7" i="10"/>
  <c r="H6" i="10"/>
  <c r="H5" i="10"/>
  <c r="H4" i="10"/>
  <c r="H11" i="10"/>
  <c r="H12" i="10"/>
  <c r="H13" i="10"/>
  <c r="H14" i="10"/>
  <c r="H15" i="10"/>
  <c r="F6" i="48"/>
  <c r="G6" i="48" s="1"/>
  <c r="Q10" i="10"/>
  <c r="Q15" i="10"/>
  <c r="Q6" i="10"/>
  <c r="Q4" i="10"/>
  <c r="Q11" i="10"/>
  <c r="Q12" i="10"/>
  <c r="Q9" i="10"/>
  <c r="Q8" i="10"/>
  <c r="Q13" i="10"/>
  <c r="Q5" i="10"/>
  <c r="Q7" i="10"/>
  <c r="Q14" i="10"/>
  <c r="BT59" i="32"/>
  <c r="E7" i="18"/>
  <c r="R10" i="10"/>
  <c r="R9" i="10"/>
  <c r="R8" i="10"/>
  <c r="R11" i="10"/>
  <c r="R6" i="10"/>
  <c r="R4" i="10"/>
  <c r="R12" i="10"/>
  <c r="R13" i="10"/>
  <c r="R5" i="10"/>
  <c r="R7" i="10"/>
  <c r="R15" i="10"/>
  <c r="R14" i="10"/>
  <c r="X359" i="21" l="1"/>
  <c r="AO141" i="21"/>
  <c r="AO134" i="21" s="1"/>
  <c r="F42" i="61"/>
  <c r="E22" i="62"/>
  <c r="F33" i="61"/>
  <c r="E36" i="62"/>
  <c r="BM121" i="32"/>
  <c r="C5" i="15"/>
  <c r="F8" i="9"/>
  <c r="D29" i="10"/>
  <c r="F16" i="9" s="1"/>
  <c r="AW104" i="21"/>
  <c r="AV102" i="21"/>
  <c r="AX119" i="21"/>
  <c r="AW117" i="21"/>
  <c r="BU140" i="32"/>
  <c r="U10" i="10"/>
  <c r="U9" i="10"/>
  <c r="U8" i="10"/>
  <c r="U7" i="10"/>
  <c r="U6" i="10"/>
  <c r="V6" i="10" s="1"/>
  <c r="U5" i="10"/>
  <c r="U4" i="10"/>
  <c r="U11" i="10"/>
  <c r="U12" i="10"/>
  <c r="U13" i="10"/>
  <c r="U14" i="10"/>
  <c r="U15" i="10"/>
  <c r="AR142" i="21"/>
  <c r="BU128" i="32"/>
  <c r="Z101" i="60"/>
  <c r="Z104" i="60" s="1"/>
  <c r="Z100" i="60"/>
  <c r="Z105" i="60" s="1"/>
  <c r="AU174" i="21"/>
  <c r="AV174" i="21" s="1"/>
  <c r="AW174" i="21" s="1"/>
  <c r="AX174" i="21" s="1"/>
  <c r="BC174" i="21"/>
  <c r="H9" i="9"/>
  <c r="E31" i="10"/>
  <c r="H17" i="9" s="1"/>
  <c r="K5" i="60"/>
  <c r="K6" i="60" s="1"/>
  <c r="AB359" i="21"/>
  <c r="AA14" i="10"/>
  <c r="AA15" i="10"/>
  <c r="T16" i="10"/>
  <c r="AA12" i="10"/>
  <c r="AA11" i="10"/>
  <c r="AA5" i="10"/>
  <c r="AA9" i="10"/>
  <c r="AA8" i="10"/>
  <c r="AA7" i="10"/>
  <c r="AA13" i="10"/>
  <c r="AA6" i="10"/>
  <c r="AA4" i="10"/>
  <c r="AA10" i="10"/>
  <c r="BB18" i="32"/>
  <c r="BC19" i="32"/>
  <c r="AF386" i="21"/>
  <c r="AF387" i="21" s="1"/>
  <c r="AF334" i="21"/>
  <c r="AF326" i="21"/>
  <c r="AF332" i="21" s="1"/>
  <c r="K214" i="32"/>
  <c r="K213" i="32"/>
  <c r="K7" i="32"/>
  <c r="K6" i="32"/>
  <c r="AB386" i="21"/>
  <c r="AB326" i="21"/>
  <c r="AB332" i="21" s="1"/>
  <c r="AB334" i="21"/>
  <c r="AQ207" i="21"/>
  <c r="AP206" i="21"/>
  <c r="AP204" i="21" s="1"/>
  <c r="AP196" i="21" s="1"/>
  <c r="G23" i="61" s="1"/>
  <c r="K386" i="21"/>
  <c r="K334" i="21"/>
  <c r="K326" i="21"/>
  <c r="K332" i="21" s="1"/>
  <c r="H208" i="32"/>
  <c r="H212" i="32"/>
  <c r="C27" i="10"/>
  <c r="D7" i="9"/>
  <c r="G16" i="10"/>
  <c r="O4" i="10"/>
  <c r="L4" i="10"/>
  <c r="B35" i="10"/>
  <c r="K12" i="10"/>
  <c r="L6" i="9"/>
  <c r="N213" i="32"/>
  <c r="N214" i="32"/>
  <c r="N7" i="32"/>
  <c r="I9" i="9"/>
  <c r="E32" i="10"/>
  <c r="I17" i="9" s="1"/>
  <c r="AR220" i="21"/>
  <c r="AS221" i="21"/>
  <c r="S102" i="60"/>
  <c r="M8" i="70"/>
  <c r="N6" i="70"/>
  <c r="D7" i="62"/>
  <c r="D9" i="62" s="1"/>
  <c r="D47" i="62" s="1"/>
  <c r="C43" i="62"/>
  <c r="C45" i="62" s="1"/>
  <c r="E32" i="51"/>
  <c r="E30" i="51" s="1"/>
  <c r="D46" i="61"/>
  <c r="D48" i="61" s="1"/>
  <c r="E7" i="61"/>
  <c r="E9" i="61" s="1"/>
  <c r="AM325" i="21"/>
  <c r="AM320" i="21"/>
  <c r="BC191" i="32"/>
  <c r="Q386" i="21"/>
  <c r="Q387" i="21" s="1"/>
  <c r="Q334" i="21"/>
  <c r="Q326" i="21"/>
  <c r="Q332" i="21" s="1"/>
  <c r="F31" i="61"/>
  <c r="L386" i="21"/>
  <c r="L326" i="21"/>
  <c r="L332" i="21" s="1"/>
  <c r="L334" i="21"/>
  <c r="T386" i="21"/>
  <c r="T387" i="21" s="1"/>
  <c r="T334" i="21"/>
  <c r="T326" i="21"/>
  <c r="T332" i="21" s="1"/>
  <c r="BB180" i="32"/>
  <c r="BB179" i="32" s="1"/>
  <c r="P47" i="51"/>
  <c r="P45" i="51" s="1"/>
  <c r="AA304" i="21"/>
  <c r="AW304" i="21"/>
  <c r="BS107" i="32"/>
  <c r="X304" i="21"/>
  <c r="AT304" i="21"/>
  <c r="E7" i="9"/>
  <c r="O5" i="10"/>
  <c r="L5" i="10"/>
  <c r="C28" i="10"/>
  <c r="E15" i="9" s="1"/>
  <c r="B34" i="10"/>
  <c r="K6" i="9"/>
  <c r="V15" i="10"/>
  <c r="AK386" i="21"/>
  <c r="AK387" i="21" s="1"/>
  <c r="AK326" i="21"/>
  <c r="AK332" i="21" s="1"/>
  <c r="AK334" i="21"/>
  <c r="J11" i="10"/>
  <c r="J12" i="10"/>
  <c r="J13" i="10"/>
  <c r="J14" i="10"/>
  <c r="J15" i="10"/>
  <c r="J5" i="10"/>
  <c r="J7" i="10"/>
  <c r="J10" i="10"/>
  <c r="J6" i="10"/>
  <c r="J4" i="10"/>
  <c r="J9" i="10"/>
  <c r="J8" i="10"/>
  <c r="F8" i="48"/>
  <c r="D4" i="48" s="1"/>
  <c r="K10" i="13"/>
  <c r="BV128" i="32"/>
  <c r="BE151" i="32"/>
  <c r="BD150" i="32"/>
  <c r="BP144" i="32"/>
  <c r="BB117" i="32"/>
  <c r="AP145" i="21" s="1"/>
  <c r="BC118" i="32"/>
  <c r="AA101" i="60"/>
  <c r="AA104" i="60" s="1"/>
  <c r="AA100" i="60"/>
  <c r="AM172" i="21"/>
  <c r="AN173" i="21"/>
  <c r="BC187" i="32"/>
  <c r="H11" i="13"/>
  <c r="D31" i="10"/>
  <c r="H16" i="9" s="1"/>
  <c r="H8" i="9"/>
  <c r="H5" i="14"/>
  <c r="P312" i="21"/>
  <c r="BQ128" i="32"/>
  <c r="AB100" i="60"/>
  <c r="AB101" i="60"/>
  <c r="AB104" i="60" s="1"/>
  <c r="BC177" i="21"/>
  <c r="AU177" i="21"/>
  <c r="AV177" i="21" s="1"/>
  <c r="AW177" i="21" s="1"/>
  <c r="AX177" i="21" s="1"/>
  <c r="J9" i="9"/>
  <c r="E33" i="10"/>
  <c r="J17" i="9" s="1"/>
  <c r="N13" i="18"/>
  <c r="M14" i="18" s="1"/>
  <c r="B13" i="18"/>
  <c r="I15" i="51"/>
  <c r="I14" i="51" s="1"/>
  <c r="H26" i="61"/>
  <c r="AW188" i="21"/>
  <c r="AV186" i="21"/>
  <c r="I386" i="21"/>
  <c r="I334" i="21"/>
  <c r="I326" i="21"/>
  <c r="I332" i="21" s="1"/>
  <c r="BC102" i="32"/>
  <c r="D33" i="61"/>
  <c r="C36" i="62"/>
  <c r="E14" i="62"/>
  <c r="AR224" i="21"/>
  <c r="R306" i="21"/>
  <c r="AN306" i="21"/>
  <c r="BC131" i="32"/>
  <c r="Y359" i="21"/>
  <c r="BD181" i="32"/>
  <c r="P40" i="51"/>
  <c r="AB303" i="21"/>
  <c r="AX303" i="21"/>
  <c r="S386" i="21"/>
  <c r="S387" i="21" s="1"/>
  <c r="S334" i="21"/>
  <c r="S326" i="21"/>
  <c r="S332" i="21" s="1"/>
  <c r="C29" i="10"/>
  <c r="F15" i="9" s="1"/>
  <c r="F7" i="9"/>
  <c r="O6" i="10"/>
  <c r="L6" i="10"/>
  <c r="M214" i="32"/>
  <c r="M213" i="32"/>
  <c r="M6" i="32"/>
  <c r="M7" i="32"/>
  <c r="B30" i="10"/>
  <c r="G6" i="9"/>
  <c r="K7" i="10"/>
  <c r="BO116" i="32"/>
  <c r="BO113" i="32" s="1"/>
  <c r="E11" i="18"/>
  <c r="E12" i="18"/>
  <c r="N63" i="51"/>
  <c r="L44" i="62"/>
  <c r="M8" i="62"/>
  <c r="M47" i="61"/>
  <c r="N8" i="61"/>
  <c r="D5" i="15"/>
  <c r="BC186" i="32"/>
  <c r="BD186" i="32" s="1"/>
  <c r="BE186" i="32" s="1"/>
  <c r="BF186" i="32" s="1"/>
  <c r="BG186" i="32" s="1"/>
  <c r="BH186" i="32" s="1"/>
  <c r="BI186" i="32" s="1"/>
  <c r="BJ186" i="32" s="1"/>
  <c r="BO186" i="32"/>
  <c r="BP186" i="32"/>
  <c r="BU186" i="32"/>
  <c r="AC210" i="32"/>
  <c r="AC211" i="32" s="1"/>
  <c r="Q366" i="21"/>
  <c r="Q367" i="21"/>
  <c r="P386" i="21"/>
  <c r="P334" i="21"/>
  <c r="P326" i="21"/>
  <c r="P332" i="21" s="1"/>
  <c r="H6" i="14"/>
  <c r="L46" i="51"/>
  <c r="X305" i="21"/>
  <c r="AT305" i="21"/>
  <c r="G7" i="9"/>
  <c r="L7" i="10"/>
  <c r="C30" i="10"/>
  <c r="O7" i="10"/>
  <c r="B31" i="10"/>
  <c r="H6" i="9"/>
  <c r="K8" i="10"/>
  <c r="AC386" i="21"/>
  <c r="AC387" i="21" s="1"/>
  <c r="AC326" i="21"/>
  <c r="AC332" i="21" s="1"/>
  <c r="AC334" i="21"/>
  <c r="D71" i="51"/>
  <c r="BE144" i="32"/>
  <c r="BF144" i="32" s="1"/>
  <c r="BQ144" i="32"/>
  <c r="V7" i="10"/>
  <c r="J8" i="9"/>
  <c r="D33" i="10"/>
  <c r="J16" i="9" s="1"/>
  <c r="G213" i="32"/>
  <c r="G214" i="32"/>
  <c r="G7" i="32"/>
  <c r="G6" i="32"/>
  <c r="AS304" i="21"/>
  <c r="W304" i="21"/>
  <c r="BC110" i="32"/>
  <c r="BN110" i="32"/>
  <c r="BN108" i="32" s="1"/>
  <c r="AM304" i="21"/>
  <c r="Q304" i="21"/>
  <c r="BC98" i="32"/>
  <c r="BB97" i="32"/>
  <c r="BB30" i="32" s="1"/>
  <c r="BO98" i="32"/>
  <c r="Q104" i="60"/>
  <c r="AD101" i="60"/>
  <c r="AD104" i="60" s="1"/>
  <c r="AD100" i="60"/>
  <c r="E46" i="51"/>
  <c r="AM305" i="21"/>
  <c r="Q305" i="21"/>
  <c r="N386" i="21"/>
  <c r="N326" i="21"/>
  <c r="N332" i="21" s="1"/>
  <c r="N334" i="21"/>
  <c r="B25" i="10"/>
  <c r="E37" i="10"/>
  <c r="N17" i="9" s="1"/>
  <c r="N9" i="9"/>
  <c r="F15" i="14"/>
  <c r="F13" i="14"/>
  <c r="F16" i="14" s="1"/>
  <c r="AW115" i="21"/>
  <c r="AW113" i="21" s="1"/>
  <c r="AV113" i="21"/>
  <c r="G89" i="12"/>
  <c r="G103" i="12" s="1"/>
  <c r="AP98" i="21"/>
  <c r="AA359" i="21"/>
  <c r="W306" i="21"/>
  <c r="AS306" i="21"/>
  <c r="E68" i="51"/>
  <c r="E16" i="61"/>
  <c r="D16" i="61"/>
  <c r="C28" i="62"/>
  <c r="C14" i="62"/>
  <c r="F201" i="32"/>
  <c r="F202" i="32"/>
  <c r="F200" i="32"/>
  <c r="E63" i="51"/>
  <c r="BB170" i="32"/>
  <c r="BC171" i="32"/>
  <c r="C31" i="10"/>
  <c r="H15" i="9" s="1"/>
  <c r="H7" i="9"/>
  <c r="O8" i="10"/>
  <c r="L8" i="10"/>
  <c r="B32" i="10"/>
  <c r="K9" i="10"/>
  <c r="I6" i="9"/>
  <c r="K27" i="62"/>
  <c r="M65" i="51"/>
  <c r="M13" i="61"/>
  <c r="V14" i="10"/>
  <c r="N44" i="62"/>
  <c r="O47" i="61"/>
  <c r="P63" i="51"/>
  <c r="AY20" i="21"/>
  <c r="AZ20" i="21"/>
  <c r="BC17" i="32"/>
  <c r="BB16" i="32"/>
  <c r="V5" i="10"/>
  <c r="D38" i="10"/>
  <c r="O16" i="9" s="1"/>
  <c r="O8" i="9"/>
  <c r="BP151" i="32"/>
  <c r="BP150" i="32" s="1"/>
  <c r="U386" i="21"/>
  <c r="U387" i="21" s="1"/>
  <c r="U334" i="21"/>
  <c r="U326" i="21"/>
  <c r="U332" i="21" s="1"/>
  <c r="BF10" i="32"/>
  <c r="BR10" i="32" s="1"/>
  <c r="BQ10" i="32"/>
  <c r="AE101" i="60"/>
  <c r="AE104" i="60" s="1"/>
  <c r="AE100" i="60"/>
  <c r="AE105" i="60" s="1"/>
  <c r="F16" i="48"/>
  <c r="E36" i="10"/>
  <c r="M17" i="9" s="1"/>
  <c r="M9" i="9"/>
  <c r="AT219" i="21"/>
  <c r="AS218" i="21"/>
  <c r="G16" i="18"/>
  <c r="G10" i="18"/>
  <c r="H11" i="18" s="1"/>
  <c r="G6" i="15" s="1"/>
  <c r="G6" i="18"/>
  <c r="H12" i="18" s="1"/>
  <c r="H6" i="15" s="1"/>
  <c r="G14" i="18"/>
  <c r="G8" i="18"/>
  <c r="G9" i="18"/>
  <c r="G11" i="18"/>
  <c r="G13" i="18"/>
  <c r="G17" i="18"/>
  <c r="G12" i="18"/>
  <c r="G7" i="18"/>
  <c r="G15" i="18"/>
  <c r="G20" i="18"/>
  <c r="J202" i="32"/>
  <c r="J200" i="32"/>
  <c r="J201" i="32"/>
  <c r="E202" i="32"/>
  <c r="N41" i="11"/>
  <c r="N6" i="69"/>
  <c r="Z359" i="21"/>
  <c r="BB197" i="32"/>
  <c r="BC198" i="32"/>
  <c r="E33" i="61"/>
  <c r="D36" i="62"/>
  <c r="M63" i="51"/>
  <c r="M8" i="61"/>
  <c r="L8" i="62"/>
  <c r="K44" i="62"/>
  <c r="L47" i="61"/>
  <c r="AR14" i="21"/>
  <c r="AV15" i="21"/>
  <c r="AV14" i="21" s="1"/>
  <c r="AS15" i="21"/>
  <c r="AU15" i="21"/>
  <c r="AU14" i="21" s="1"/>
  <c r="AT15" i="21"/>
  <c r="R100" i="60"/>
  <c r="R105" i="60" s="1"/>
  <c r="F208" i="32"/>
  <c r="F212" i="32"/>
  <c r="Z306" i="21"/>
  <c r="AV306" i="21"/>
  <c r="C32" i="10"/>
  <c r="I15" i="9" s="1"/>
  <c r="I7" i="9"/>
  <c r="O9" i="10"/>
  <c r="L9" i="10"/>
  <c r="M6" i="9"/>
  <c r="B36" i="10"/>
  <c r="K13" i="10"/>
  <c r="B33" i="10"/>
  <c r="K10" i="10"/>
  <c r="J6" i="9"/>
  <c r="Y12" i="10"/>
  <c r="Y13" i="10"/>
  <c r="Y14" i="10"/>
  <c r="Y15" i="10"/>
  <c r="Y10" i="10"/>
  <c r="Y9" i="10"/>
  <c r="Y8" i="10"/>
  <c r="Y11" i="10"/>
  <c r="Y5" i="10"/>
  <c r="Y7" i="10"/>
  <c r="R16" i="10"/>
  <c r="Y4" i="10"/>
  <c r="Y6" i="10"/>
  <c r="Q105" i="60"/>
  <c r="M386" i="21"/>
  <c r="M326" i="21"/>
  <c r="M332" i="21" s="1"/>
  <c r="M334" i="21"/>
  <c r="D37" i="10"/>
  <c r="N16" i="9" s="1"/>
  <c r="N8" i="9"/>
  <c r="G202" i="32"/>
  <c r="G200" i="32"/>
  <c r="G201" i="32"/>
  <c r="J208" i="32"/>
  <c r="J212" i="32"/>
  <c r="E6" i="16"/>
  <c r="AM155" i="21"/>
  <c r="AM157" i="21"/>
  <c r="AM159" i="21"/>
  <c r="AM156" i="21"/>
  <c r="AM158" i="21"/>
  <c r="E201" i="32"/>
  <c r="BM190" i="32"/>
  <c r="BC125" i="32"/>
  <c r="BD125" i="32" s="1"/>
  <c r="BE125" i="32" s="1"/>
  <c r="BF125" i="32" s="1"/>
  <c r="BG125" i="32" s="1"/>
  <c r="BH125" i="32" s="1"/>
  <c r="BI125" i="32" s="1"/>
  <c r="BJ125" i="32" s="1"/>
  <c r="BU125" i="32"/>
  <c r="BU122" i="32" s="1"/>
  <c r="BQ125" i="32"/>
  <c r="BQ122" i="32" s="1"/>
  <c r="BP125" i="32"/>
  <c r="BP122" i="32" s="1"/>
  <c r="BR125" i="32"/>
  <c r="BR122" i="32" s="1"/>
  <c r="BT125" i="32"/>
  <c r="BT122" i="32" s="1"/>
  <c r="BV125" i="32"/>
  <c r="BV122" i="32" s="1"/>
  <c r="S49" i="60"/>
  <c r="V49" i="60" s="1"/>
  <c r="F40" i="61"/>
  <c r="E20" i="62"/>
  <c r="BC196" i="32"/>
  <c r="R334" i="21"/>
  <c r="R326" i="21"/>
  <c r="R332" i="21" s="1"/>
  <c r="R386" i="21"/>
  <c r="R387" i="21" s="1"/>
  <c r="BU101" i="32"/>
  <c r="BC26" i="32"/>
  <c r="BN119" i="32"/>
  <c r="BN171" i="32"/>
  <c r="BN170" i="32" s="1"/>
  <c r="J7" i="9"/>
  <c r="C33" i="10"/>
  <c r="J15" i="9" s="1"/>
  <c r="O10" i="10"/>
  <c r="L10" i="10"/>
  <c r="B27" i="10"/>
  <c r="D6" i="9"/>
  <c r="F16" i="10"/>
  <c r="B22" i="10" s="1"/>
  <c r="Z13" i="10"/>
  <c r="Z14" i="10"/>
  <c r="Z15" i="10"/>
  <c r="Z11" i="10"/>
  <c r="Z5" i="10"/>
  <c r="Z12" i="10"/>
  <c r="Z9" i="10"/>
  <c r="Z8" i="10"/>
  <c r="Z7" i="10"/>
  <c r="Z6" i="10"/>
  <c r="Z4" i="10"/>
  <c r="S16" i="10"/>
  <c r="Z10" i="10"/>
  <c r="BP107" i="32"/>
  <c r="AC101" i="60"/>
  <c r="AC104" i="60" s="1"/>
  <c r="AC100" i="60"/>
  <c r="C42" i="11"/>
  <c r="C44" i="11"/>
  <c r="C45" i="11" s="1"/>
  <c r="C53" i="11"/>
  <c r="BR128" i="32"/>
  <c r="AV205" i="21"/>
  <c r="L9" i="9"/>
  <c r="E35" i="10"/>
  <c r="L17" i="9" s="1"/>
  <c r="V8" i="10"/>
  <c r="D36" i="10"/>
  <c r="M16" i="9" s="1"/>
  <c r="M8" i="9"/>
  <c r="V103" i="60"/>
  <c r="BC29" i="32"/>
  <c r="BN29" i="32"/>
  <c r="G209" i="32"/>
  <c r="G210" i="32" s="1"/>
  <c r="G211" i="32" s="1"/>
  <c r="AI386" i="21"/>
  <c r="AI387" i="21" s="1"/>
  <c r="AI334" i="21"/>
  <c r="AI326" i="21"/>
  <c r="AI332" i="21" s="1"/>
  <c r="BN128" i="32"/>
  <c r="BN126" i="32" s="1"/>
  <c r="BL30" i="32"/>
  <c r="BV116" i="32"/>
  <c r="BV113" i="32" s="1"/>
  <c r="K9" i="9"/>
  <c r="E34" i="10"/>
  <c r="K17" i="9" s="1"/>
  <c r="I105" i="12"/>
  <c r="I91" i="12"/>
  <c r="BJ152" i="32"/>
  <c r="T306" i="21"/>
  <c r="AP306" i="21"/>
  <c r="E5" i="15"/>
  <c r="BN191" i="32"/>
  <c r="BT107" i="32"/>
  <c r="U101" i="60"/>
  <c r="U104" i="60" s="1"/>
  <c r="U105" i="60" s="1"/>
  <c r="BN183" i="32"/>
  <c r="O63" i="12"/>
  <c r="R130" i="60"/>
  <c r="R133" i="60" s="1"/>
  <c r="R119" i="60"/>
  <c r="R129" i="60" s="1"/>
  <c r="BS153" i="32"/>
  <c r="BS152" i="32" s="1"/>
  <c r="V306" i="21"/>
  <c r="AR306" i="21"/>
  <c r="BN107" i="32"/>
  <c r="BM99" i="32"/>
  <c r="BM97" i="32" s="1"/>
  <c r="BM30" i="32" s="1"/>
  <c r="O63" i="51"/>
  <c r="AJ386" i="21"/>
  <c r="AJ387" i="21" s="1"/>
  <c r="AJ326" i="21"/>
  <c r="AJ332" i="21" s="1"/>
  <c r="AJ334" i="21"/>
  <c r="BO171" i="32"/>
  <c r="BO170" i="32" s="1"/>
  <c r="C38" i="10"/>
  <c r="O15" i="9" s="1"/>
  <c r="L15" i="10"/>
  <c r="O7" i="9"/>
  <c r="O15" i="10"/>
  <c r="N11" i="13"/>
  <c r="B29" i="10"/>
  <c r="F6" i="9"/>
  <c r="K6" i="10"/>
  <c r="I202" i="32"/>
  <c r="I200" i="32"/>
  <c r="I201" i="32"/>
  <c r="I8" i="9"/>
  <c r="D32" i="10"/>
  <c r="I16" i="9" s="1"/>
  <c r="AL386" i="21"/>
  <c r="AL387" i="21" s="1"/>
  <c r="AL326" i="21"/>
  <c r="AL332" i="21" s="1"/>
  <c r="AL334" i="21"/>
  <c r="E35" i="62"/>
  <c r="F30" i="61"/>
  <c r="BK30" i="32"/>
  <c r="O9" i="9"/>
  <c r="E38" i="10"/>
  <c r="O17" i="9" s="1"/>
  <c r="O200" i="32"/>
  <c r="V9" i="10"/>
  <c r="D35" i="10"/>
  <c r="L16" i="9" s="1"/>
  <c r="L8" i="9"/>
  <c r="D10" i="48"/>
  <c r="BO128" i="32"/>
  <c r="BC194" i="32"/>
  <c r="BB193" i="32"/>
  <c r="BB190" i="32" s="1"/>
  <c r="BN118" i="32"/>
  <c r="BN117" i="32" s="1"/>
  <c r="F68" i="51"/>
  <c r="F16" i="61"/>
  <c r="AF101" i="60"/>
  <c r="AF104" i="60" s="1"/>
  <c r="AF100" i="60"/>
  <c r="E27" i="10"/>
  <c r="I16" i="10"/>
  <c r="E22" i="10" s="1"/>
  <c r="D9" i="9"/>
  <c r="BN182" i="32"/>
  <c r="BN194" i="32"/>
  <c r="BN193" i="32" s="1"/>
  <c r="AI101" i="60"/>
  <c r="AI104" i="60" s="1"/>
  <c r="AI105" i="60" s="1"/>
  <c r="S51" i="60"/>
  <c r="V51" i="60" s="1"/>
  <c r="V101" i="60" s="1"/>
  <c r="V104" i="60" s="1"/>
  <c r="F9" i="61"/>
  <c r="P202" i="32"/>
  <c r="AN304" i="21"/>
  <c r="R304" i="21"/>
  <c r="AS180" i="21"/>
  <c r="AT180" i="21" s="1"/>
  <c r="BO191" i="32"/>
  <c r="O77" i="51"/>
  <c r="AX234" i="21"/>
  <c r="O213" i="32"/>
  <c r="O214" i="32"/>
  <c r="O6" i="32"/>
  <c r="O7" i="32"/>
  <c r="O201" i="32" s="1"/>
  <c r="X386" i="21"/>
  <c r="X326" i="21"/>
  <c r="X332" i="21" s="1"/>
  <c r="X334" i="21"/>
  <c r="U119" i="60"/>
  <c r="U129" i="60" s="1"/>
  <c r="U130" i="60"/>
  <c r="U133" i="60" s="1"/>
  <c r="BT153" i="32"/>
  <c r="BT152" i="32" s="1"/>
  <c r="BP181" i="32"/>
  <c r="BU107" i="32"/>
  <c r="BQ101" i="32"/>
  <c r="J386" i="21"/>
  <c r="J334" i="21"/>
  <c r="J326" i="21"/>
  <c r="J332" i="21" s="1"/>
  <c r="L14" i="10"/>
  <c r="O14" i="10"/>
  <c r="N7" i="9"/>
  <c r="C37" i="10"/>
  <c r="N15" i="9" s="1"/>
  <c r="P11" i="13"/>
  <c r="O6" i="9"/>
  <c r="B38" i="10"/>
  <c r="K15" i="10"/>
  <c r="D28" i="62"/>
  <c r="I208" i="32"/>
  <c r="I212" i="32"/>
  <c r="Y306" i="21"/>
  <c r="AU306" i="21"/>
  <c r="V13" i="10"/>
  <c r="V12" i="10"/>
  <c r="K8" i="9"/>
  <c r="D34" i="10"/>
  <c r="K16" i="9" s="1"/>
  <c r="L214" i="32"/>
  <c r="L213" i="32"/>
  <c r="L6" i="32"/>
  <c r="L7" i="32"/>
  <c r="L202" i="32" s="1"/>
  <c r="G66" i="51"/>
  <c r="E28" i="62"/>
  <c r="AP17" i="21"/>
  <c r="AR19" i="21"/>
  <c r="AR17" i="21" s="1"/>
  <c r="AQ19" i="21"/>
  <c r="AQ17" i="21" s="1"/>
  <c r="BP128" i="32"/>
  <c r="BD116" i="32"/>
  <c r="BE116" i="32" s="1"/>
  <c r="BF116" i="32" s="1"/>
  <c r="BG116" i="32" s="1"/>
  <c r="BH116" i="32" s="1"/>
  <c r="BI116" i="32" s="1"/>
  <c r="BJ116" i="32" s="1"/>
  <c r="BU116" i="32"/>
  <c r="BU113" i="32" s="1"/>
  <c r="BT116" i="32"/>
  <c r="BT113" i="32" s="1"/>
  <c r="BQ116" i="32"/>
  <c r="BQ113" i="32" s="1"/>
  <c r="E28" i="10"/>
  <c r="E17" i="9" s="1"/>
  <c r="E9" i="9"/>
  <c r="L63" i="51"/>
  <c r="BC129" i="32"/>
  <c r="BN102" i="32"/>
  <c r="BN99" i="32" s="1"/>
  <c r="BN97" i="32" s="1"/>
  <c r="BN30" i="32" s="1"/>
  <c r="E9" i="62"/>
  <c r="P201" i="32"/>
  <c r="O212" i="32"/>
  <c r="BP116" i="32"/>
  <c r="BP113" i="32" s="1"/>
  <c r="BQ183" i="32"/>
  <c r="AG101" i="60"/>
  <c r="AG104" i="60" s="1"/>
  <c r="AG105" i="60" s="1"/>
  <c r="O46" i="51"/>
  <c r="AA305" i="21"/>
  <c r="AW305" i="21"/>
  <c r="BU153" i="32"/>
  <c r="BU152" i="32" s="1"/>
  <c r="BC27" i="32"/>
  <c r="D16" i="14"/>
  <c r="BN135" i="32"/>
  <c r="BN133" i="32" s="1"/>
  <c r="BN121" i="32" s="1"/>
  <c r="M7" i="9"/>
  <c r="C36" i="10"/>
  <c r="M15" i="9" s="1"/>
  <c r="L13" i="10"/>
  <c r="O13" i="10"/>
  <c r="K209" i="32"/>
  <c r="K210" i="32" s="1"/>
  <c r="K211" i="32" s="1"/>
  <c r="B28" i="10"/>
  <c r="K5" i="10"/>
  <c r="E6" i="9"/>
  <c r="BV144" i="32"/>
  <c r="V10" i="10"/>
  <c r="V11" i="10"/>
  <c r="D8" i="9"/>
  <c r="D27" i="10"/>
  <c r="H16" i="10"/>
  <c r="AQ121" i="21"/>
  <c r="AP120" i="21"/>
  <c r="AP112" i="21" s="1"/>
  <c r="BC119" i="32"/>
  <c r="BD119" i="32" s="1"/>
  <c r="BE119" i="32" s="1"/>
  <c r="BF119" i="32" s="1"/>
  <c r="BG119" i="32" s="1"/>
  <c r="BH119" i="32" s="1"/>
  <c r="BI119" i="32" s="1"/>
  <c r="BJ119" i="32" s="1"/>
  <c r="AH386" i="21"/>
  <c r="AH387" i="21" s="1"/>
  <c r="AH334" i="21"/>
  <c r="AH326" i="21"/>
  <c r="AH332" i="21" s="1"/>
  <c r="G7" i="51"/>
  <c r="F25" i="61"/>
  <c r="BS128" i="32"/>
  <c r="BS144" i="32"/>
  <c r="S16" i="60"/>
  <c r="V16" i="60" s="1"/>
  <c r="X100" i="60"/>
  <c r="X105" i="60" s="1"/>
  <c r="X101" i="60"/>
  <c r="X104" i="60" s="1"/>
  <c r="T296" i="21"/>
  <c r="AP296" i="21"/>
  <c r="F9" i="9"/>
  <c r="E29" i="10"/>
  <c r="F17" i="9" s="1"/>
  <c r="BC182" i="32"/>
  <c r="AT199" i="21"/>
  <c r="AS198" i="21"/>
  <c r="AS197" i="21" s="1"/>
  <c r="U234" i="21"/>
  <c r="AR234" i="21" s="1"/>
  <c r="J77" i="51" s="1"/>
  <c r="AQ234" i="21"/>
  <c r="I77" i="51" s="1"/>
  <c r="BC28" i="32"/>
  <c r="E48" i="61"/>
  <c r="AO8" i="21"/>
  <c r="AO7" i="21" s="1"/>
  <c r="AO6" i="21" s="1"/>
  <c r="AP9" i="21"/>
  <c r="AH101" i="60"/>
  <c r="AH104" i="60" s="1"/>
  <c r="AH105" i="60" s="1"/>
  <c r="AD334" i="21"/>
  <c r="AD386" i="21"/>
  <c r="AD387" i="21" s="1"/>
  <c r="AD326" i="21"/>
  <c r="AD332" i="21" s="1"/>
  <c r="V386" i="21"/>
  <c r="V387" i="21" s="1"/>
  <c r="V334" i="21"/>
  <c r="V326" i="21"/>
  <c r="V332" i="21" s="1"/>
  <c r="BT186" i="32"/>
  <c r="I6" i="16"/>
  <c r="AQ155" i="21"/>
  <c r="AQ156" i="21"/>
  <c r="AQ157" i="21"/>
  <c r="AQ159" i="21"/>
  <c r="AQ158" i="21"/>
  <c r="AE386" i="21"/>
  <c r="AE387" i="21" s="1"/>
  <c r="AE334" i="21"/>
  <c r="AE326" i="21"/>
  <c r="AE332" i="21" s="1"/>
  <c r="BR133" i="32"/>
  <c r="L201" i="32"/>
  <c r="L200" i="32"/>
  <c r="BD142" i="32"/>
  <c r="BC141" i="32"/>
  <c r="BC139" i="32" s="1"/>
  <c r="H35" i="61" s="1"/>
  <c r="BP142" i="32"/>
  <c r="BP141" i="32" s="1"/>
  <c r="BP139" i="32" s="1"/>
  <c r="T235" i="21"/>
  <c r="AP235" i="21"/>
  <c r="L7" i="9"/>
  <c r="C35" i="10"/>
  <c r="L15" i="9" s="1"/>
  <c r="O12" i="10"/>
  <c r="L12" i="10"/>
  <c r="N6" i="9"/>
  <c r="K14" i="10"/>
  <c r="B37" i="10"/>
  <c r="BO135" i="32"/>
  <c r="BO133" i="32" s="1"/>
  <c r="F213" i="32"/>
  <c r="D30" i="10"/>
  <c r="G16" i="9" s="1"/>
  <c r="G8" i="9"/>
  <c r="X11" i="10"/>
  <c r="V4" i="10"/>
  <c r="X12" i="10"/>
  <c r="X13" i="10"/>
  <c r="X14" i="10"/>
  <c r="X15" i="10"/>
  <c r="Q16" i="10"/>
  <c r="X9" i="10"/>
  <c r="X8" i="10"/>
  <c r="X5" i="10"/>
  <c r="X7" i="10"/>
  <c r="X6" i="10"/>
  <c r="X4" i="10"/>
  <c r="X10" i="10"/>
  <c r="D28" i="10"/>
  <c r="E16" i="9" s="1"/>
  <c r="E8" i="9"/>
  <c r="BO17" i="32"/>
  <c r="BO16" i="32" s="1"/>
  <c r="AQ215" i="21"/>
  <c r="AP214" i="21"/>
  <c r="AP213" i="21" s="1"/>
  <c r="BT128" i="32"/>
  <c r="BT144" i="32"/>
  <c r="BO118" i="32"/>
  <c r="Y100" i="60"/>
  <c r="Y101" i="60"/>
  <c r="Y104" i="60" s="1"/>
  <c r="V102" i="60"/>
  <c r="AA386" i="21"/>
  <c r="AA326" i="21"/>
  <c r="AA332" i="21" s="1"/>
  <c r="AA334" i="21"/>
  <c r="AU176" i="21"/>
  <c r="AV176" i="21" s="1"/>
  <c r="AW176" i="21" s="1"/>
  <c r="AX176" i="21" s="1"/>
  <c r="BC176" i="21"/>
  <c r="BN187" i="32"/>
  <c r="G9" i="9"/>
  <c r="E30" i="10"/>
  <c r="G17" i="9" s="1"/>
  <c r="BU144" i="32"/>
  <c r="F31" i="51"/>
  <c r="R301" i="21"/>
  <c r="AN301" i="21"/>
  <c r="BC111" i="32"/>
  <c r="BR186" i="32"/>
  <c r="BM108" i="32"/>
  <c r="BV153" i="32"/>
  <c r="BV152" i="32" s="1"/>
  <c r="BC163" i="32"/>
  <c r="BH195" i="32"/>
  <c r="BS195" i="32"/>
  <c r="Y386" i="21"/>
  <c r="Y326" i="21"/>
  <c r="Y332" i="21" s="1"/>
  <c r="Y334" i="21"/>
  <c r="L209" i="32"/>
  <c r="L210" i="32" s="1"/>
  <c r="L211" i="32" s="1"/>
  <c r="H202" i="32"/>
  <c r="H200" i="32"/>
  <c r="H201" i="32"/>
  <c r="BC109" i="32"/>
  <c r="BO109" i="32" s="1"/>
  <c r="K7" i="9"/>
  <c r="C34" i="10"/>
  <c r="K15" i="9" s="1"/>
  <c r="L11" i="10"/>
  <c r="O11" i="10"/>
  <c r="I11" i="13"/>
  <c r="AP141" i="21" l="1"/>
  <c r="AP134" i="21" s="1"/>
  <c r="V100" i="60"/>
  <c r="V105" i="60" s="1"/>
  <c r="G42" i="61"/>
  <c r="F22" i="62"/>
  <c r="K7" i="16"/>
  <c r="BE13" i="32" s="1"/>
  <c r="BE12" i="32" s="1"/>
  <c r="AS164" i="21"/>
  <c r="AS162" i="21"/>
  <c r="AS161" i="21"/>
  <c r="AS163" i="21"/>
  <c r="AS165" i="21"/>
  <c r="BP19" i="32"/>
  <c r="BP18" i="32" s="1"/>
  <c r="J7" i="16"/>
  <c r="BD13" i="32" s="1"/>
  <c r="BD12" i="32" s="1"/>
  <c r="AR162" i="21"/>
  <c r="AR164" i="21"/>
  <c r="AR161" i="21"/>
  <c r="AR165" i="21"/>
  <c r="AR163" i="21"/>
  <c r="BD163" i="32"/>
  <c r="Y105" i="60"/>
  <c r="E50" i="61"/>
  <c r="BD129" i="32"/>
  <c r="BO129" i="32"/>
  <c r="I209" i="32"/>
  <c r="I210" i="32" s="1"/>
  <c r="I211" i="32" s="1"/>
  <c r="I214" i="32"/>
  <c r="S101" i="60"/>
  <c r="S104" i="60" s="1"/>
  <c r="BC180" i="21"/>
  <c r="AU180" i="21"/>
  <c r="BD194" i="32"/>
  <c r="BC193" i="32"/>
  <c r="BO194" i="32"/>
  <c r="P6" i="9"/>
  <c r="M11" i="9"/>
  <c r="AT14" i="21"/>
  <c r="BC15" i="21"/>
  <c r="I12" i="63"/>
  <c r="I13" i="63" s="1"/>
  <c r="I32" i="10"/>
  <c r="G12" i="63"/>
  <c r="G13" i="63" s="1"/>
  <c r="I30" i="10"/>
  <c r="AS224" i="21"/>
  <c r="AZ177" i="21"/>
  <c r="AY177" i="21"/>
  <c r="BD187" i="32"/>
  <c r="F28" i="10"/>
  <c r="E18" i="9" s="1"/>
  <c r="E10" i="9"/>
  <c r="E11" i="9" s="1"/>
  <c r="K11" i="9"/>
  <c r="P46" i="51"/>
  <c r="AX305" i="21"/>
  <c r="AB305" i="21"/>
  <c r="G31" i="61"/>
  <c r="AN302" i="21"/>
  <c r="R302" i="21"/>
  <c r="L10" i="63"/>
  <c r="L11" i="63" s="1"/>
  <c r="M12" i="10"/>
  <c r="D39" i="10"/>
  <c r="D16" i="9"/>
  <c r="P77" i="51"/>
  <c r="AY234" i="21"/>
  <c r="F209" i="32"/>
  <c r="F210" i="32" s="1"/>
  <c r="F211" i="32" s="1"/>
  <c r="F214" i="32"/>
  <c r="BD109" i="32"/>
  <c r="BI195" i="32"/>
  <c r="BT195" i="32"/>
  <c r="E39" i="10"/>
  <c r="D17" i="9"/>
  <c r="BD29" i="32"/>
  <c r="D14" i="9"/>
  <c r="B39" i="10"/>
  <c r="AM154" i="21"/>
  <c r="I10" i="63"/>
  <c r="I11" i="63" s="1"/>
  <c r="M9" i="10"/>
  <c r="AU219" i="21"/>
  <c r="AT218" i="21"/>
  <c r="BC218" i="21" s="1"/>
  <c r="BC219" i="21"/>
  <c r="I14" i="9"/>
  <c r="X306" i="21"/>
  <c r="AT306" i="21"/>
  <c r="AO173" i="21"/>
  <c r="AN172" i="21"/>
  <c r="O10" i="9"/>
  <c r="F38" i="10"/>
  <c r="O18" i="9" s="1"/>
  <c r="K14" i="9"/>
  <c r="G34" i="10"/>
  <c r="G40" i="61"/>
  <c r="F20" i="62"/>
  <c r="N200" i="32"/>
  <c r="N201" i="32"/>
  <c r="N202" i="32"/>
  <c r="BS186" i="32"/>
  <c r="AZ119" i="21"/>
  <c r="AY119" i="21"/>
  <c r="AX117" i="21"/>
  <c r="H6" i="16"/>
  <c r="AP156" i="21"/>
  <c r="AP158" i="21"/>
  <c r="AP159" i="21"/>
  <c r="AP155" i="21"/>
  <c r="AP157" i="21"/>
  <c r="BD28" i="32"/>
  <c r="BO28" i="32"/>
  <c r="BR119" i="32"/>
  <c r="AF105" i="60"/>
  <c r="J10" i="63"/>
  <c r="J11" i="63" s="1"/>
  <c r="L17" i="10"/>
  <c r="M10" i="10"/>
  <c r="AY11" i="32"/>
  <c r="AS14" i="21"/>
  <c r="AW15" i="21"/>
  <c r="G14" i="9"/>
  <c r="AZ303" i="21"/>
  <c r="AY303" i="21"/>
  <c r="BF151" i="32"/>
  <c r="BE150" i="32"/>
  <c r="F37" i="10"/>
  <c r="N18" i="9" s="1"/>
  <c r="N10" i="9"/>
  <c r="D50" i="61"/>
  <c r="H209" i="32"/>
  <c r="H210" i="32" s="1"/>
  <c r="H211" i="32" s="1"/>
  <c r="H214" i="32"/>
  <c r="AY174" i="21"/>
  <c r="AZ174" i="21"/>
  <c r="L27" i="62"/>
  <c r="N65" i="51"/>
  <c r="G68" i="51"/>
  <c r="G16" i="61"/>
  <c r="U235" i="21"/>
  <c r="AR235" i="21" s="1"/>
  <c r="AQ235" i="21"/>
  <c r="BS119" i="32"/>
  <c r="I29" i="10"/>
  <c r="F12" i="63"/>
  <c r="F13" i="63" s="1"/>
  <c r="O41" i="11"/>
  <c r="O6" i="69"/>
  <c r="P41" i="11" s="1"/>
  <c r="H10" i="63"/>
  <c r="H11" i="63" s="1"/>
  <c r="M8" i="10"/>
  <c r="G33" i="61"/>
  <c r="F36" i="62"/>
  <c r="BV186" i="32"/>
  <c r="H5" i="15"/>
  <c r="M200" i="32"/>
  <c r="M202" i="32"/>
  <c r="M201" i="32"/>
  <c r="AB105" i="60"/>
  <c r="AA105" i="60"/>
  <c r="F36" i="10"/>
  <c r="M18" i="9" s="1"/>
  <c r="M10" i="9"/>
  <c r="E10" i="63"/>
  <c r="E11" i="63" s="1"/>
  <c r="M5" i="10"/>
  <c r="E31" i="51"/>
  <c r="Q301" i="21"/>
  <c r="AM301" i="21"/>
  <c r="K200" i="32"/>
  <c r="K201" i="32"/>
  <c r="K202" i="32"/>
  <c r="AB15" i="10"/>
  <c r="U16" i="10"/>
  <c r="AB13" i="10"/>
  <c r="AB5" i="10"/>
  <c r="AC5" i="10" s="1"/>
  <c r="AD5" i="10" s="1"/>
  <c r="AB9" i="10"/>
  <c r="AB8" i="10"/>
  <c r="AB12" i="10"/>
  <c r="AC12" i="10" s="1"/>
  <c r="AD12" i="10" s="1"/>
  <c r="AB7" i="10"/>
  <c r="AC7" i="10" s="1"/>
  <c r="AD7" i="10" s="1"/>
  <c r="AB14" i="10"/>
  <c r="AC14" i="10" s="1"/>
  <c r="AD14" i="10" s="1"/>
  <c r="AB6" i="10"/>
  <c r="AC6" i="10" s="1"/>
  <c r="AD6" i="10" s="1"/>
  <c r="AB4" i="10"/>
  <c r="AB10" i="10"/>
  <c r="AB11" i="10"/>
  <c r="AX104" i="21"/>
  <c r="BR144" i="32"/>
  <c r="AC9" i="10"/>
  <c r="AD9" i="10" s="1"/>
  <c r="BP119" i="32"/>
  <c r="E14" i="9"/>
  <c r="E19" i="9" s="1"/>
  <c r="G28" i="10"/>
  <c r="BD27" i="32"/>
  <c r="BP27" i="32"/>
  <c r="O12" i="63"/>
  <c r="O13" i="63" s="1"/>
  <c r="I38" i="10"/>
  <c r="BQ119" i="32"/>
  <c r="J91" i="12"/>
  <c r="J105" i="12"/>
  <c r="AC105" i="60"/>
  <c r="BD98" i="32"/>
  <c r="BC97" i="32"/>
  <c r="H12" i="63"/>
  <c r="H13" i="63" s="1"/>
  <c r="I31" i="10"/>
  <c r="AX304" i="21"/>
  <c r="AB304" i="21"/>
  <c r="AX188" i="21"/>
  <c r="AW186" i="21"/>
  <c r="F24" i="10"/>
  <c r="M10" i="13"/>
  <c r="K11" i="13"/>
  <c r="L10" i="9"/>
  <c r="L11" i="9" s="1"/>
  <c r="F35" i="10"/>
  <c r="L18" i="9" s="1"/>
  <c r="C47" i="62"/>
  <c r="BQ186" i="32"/>
  <c r="AS19" i="21"/>
  <c r="BV119" i="32"/>
  <c r="BT119" i="32"/>
  <c r="H89" i="12"/>
  <c r="H103" i="12"/>
  <c r="AQ98" i="21"/>
  <c r="H11" i="9"/>
  <c r="P313" i="21"/>
  <c r="P315" i="21" s="1"/>
  <c r="P318" i="21"/>
  <c r="F34" i="10"/>
  <c r="K18" i="9" s="1"/>
  <c r="K10" i="9"/>
  <c r="L12" i="63"/>
  <c r="L13" i="63" s="1"/>
  <c r="I35" i="10"/>
  <c r="AA16" i="10"/>
  <c r="BT182" i="32"/>
  <c r="E12" i="63"/>
  <c r="E13" i="63" s="1"/>
  <c r="I28" i="10"/>
  <c r="O14" i="9"/>
  <c r="O19" i="9" s="1"/>
  <c r="G38" i="10"/>
  <c r="G29" i="10"/>
  <c r="F14" i="9"/>
  <c r="F19" i="9" s="1"/>
  <c r="BU119" i="32"/>
  <c r="AY176" i="21"/>
  <c r="AZ176" i="21"/>
  <c r="AR215" i="21"/>
  <c r="AQ214" i="21"/>
  <c r="AQ213" i="21" s="1"/>
  <c r="AC15" i="10"/>
  <c r="AD15" i="10" s="1"/>
  <c r="BC199" i="21"/>
  <c r="AT198" i="21"/>
  <c r="AU199" i="21"/>
  <c r="BP29" i="32"/>
  <c r="BD196" i="32"/>
  <c r="BO196" i="32"/>
  <c r="Y16" i="10"/>
  <c r="BO198" i="32"/>
  <c r="BO197" i="32" s="1"/>
  <c r="BP28" i="32"/>
  <c r="H14" i="9"/>
  <c r="H19" i="9" s="1"/>
  <c r="G31" i="10"/>
  <c r="U296" i="21"/>
  <c r="AQ296" i="21"/>
  <c r="H8" i="14"/>
  <c r="BD118" i="32"/>
  <c r="BC117" i="32"/>
  <c r="AQ145" i="21" s="1"/>
  <c r="H10" i="9"/>
  <c r="F31" i="10"/>
  <c r="H18" i="9" s="1"/>
  <c r="BD191" i="32"/>
  <c r="BP191" i="32"/>
  <c r="N8" i="70"/>
  <c r="O6" i="70"/>
  <c r="O8" i="70" s="1"/>
  <c r="L14" i="9"/>
  <c r="L19" i="9" s="1"/>
  <c r="AC8" i="10"/>
  <c r="AD8" i="10" s="1"/>
  <c r="K10" i="63"/>
  <c r="K11" i="63" s="1"/>
  <c r="M11" i="10"/>
  <c r="BD111" i="32"/>
  <c r="BO112" i="32"/>
  <c r="BP111" i="32"/>
  <c r="BO111" i="32"/>
  <c r="H7" i="51"/>
  <c r="G25" i="61"/>
  <c r="J209" i="32"/>
  <c r="J210" i="32" s="1"/>
  <c r="J211" i="32" s="1"/>
  <c r="J214" i="32"/>
  <c r="G37" i="10"/>
  <c r="N14" i="9"/>
  <c r="N19" i="9" s="1"/>
  <c r="H66" i="51"/>
  <c r="F28" i="62"/>
  <c r="H14" i="61"/>
  <c r="F14" i="62"/>
  <c r="O11" i="9"/>
  <c r="BP163" i="32"/>
  <c r="N12" i="63"/>
  <c r="N13" i="63" s="1"/>
  <c r="I37" i="10"/>
  <c r="BE142" i="32"/>
  <c r="BD141" i="32"/>
  <c r="BD139" i="32" s="1"/>
  <c r="I35" i="61" s="1"/>
  <c r="BO182" i="32"/>
  <c r="BO180" i="32" s="1"/>
  <c r="BO179" i="32" s="1"/>
  <c r="AR121" i="21"/>
  <c r="AQ120" i="21"/>
  <c r="AQ112" i="21" s="1"/>
  <c r="M10" i="63"/>
  <c r="M11" i="63" s="1"/>
  <c r="M13" i="10"/>
  <c r="O202" i="32"/>
  <c r="BO119" i="32"/>
  <c r="BO117" i="32" s="1"/>
  <c r="BS116" i="32"/>
  <c r="BS113" i="32" s="1"/>
  <c r="BO29" i="32"/>
  <c r="BC170" i="32"/>
  <c r="BD171" i="32"/>
  <c r="G6" i="16"/>
  <c r="AO158" i="21"/>
  <c r="AO156" i="21"/>
  <c r="AO155" i="21"/>
  <c r="AO157" i="21"/>
  <c r="AO159" i="21"/>
  <c r="F10" i="63"/>
  <c r="F11" i="63" s="1"/>
  <c r="M6" i="10"/>
  <c r="BE181" i="32"/>
  <c r="BD180" i="32"/>
  <c r="BD179" i="32" s="1"/>
  <c r="BQ181" i="32"/>
  <c r="F32" i="10"/>
  <c r="I18" i="9" s="1"/>
  <c r="I10" i="9"/>
  <c r="D10" i="63"/>
  <c r="D11" i="63" s="1"/>
  <c r="L16" i="10"/>
  <c r="M4" i="10"/>
  <c r="BU195" i="32"/>
  <c r="AC13" i="10"/>
  <c r="AD13" i="10" s="1"/>
  <c r="N11" i="9"/>
  <c r="BD182" i="32"/>
  <c r="BE182" i="32" s="1"/>
  <c r="BF182" i="32" s="1"/>
  <c r="BG182" i="32" s="1"/>
  <c r="BH182" i="32" s="1"/>
  <c r="BI182" i="32" s="1"/>
  <c r="BJ182" i="32" s="1"/>
  <c r="BS182" i="32"/>
  <c r="BV182" i="32"/>
  <c r="D22" i="10"/>
  <c r="H17" i="10"/>
  <c r="H18" i="10" s="1"/>
  <c r="AW306" i="21"/>
  <c r="AA306" i="21"/>
  <c r="BN190" i="32"/>
  <c r="AW205" i="21"/>
  <c r="J12" i="63"/>
  <c r="J13" i="63" s="1"/>
  <c r="I33" i="10"/>
  <c r="H8" i="18"/>
  <c r="H6" i="18"/>
  <c r="H9" i="18"/>
  <c r="H10" i="18"/>
  <c r="H7" i="18"/>
  <c r="G15" i="9"/>
  <c r="F12" i="62"/>
  <c r="G5" i="15"/>
  <c r="BC180" i="32"/>
  <c r="BC179" i="32" s="1"/>
  <c r="BD131" i="32"/>
  <c r="BP131" i="32" s="1"/>
  <c r="BO131" i="32"/>
  <c r="BO126" i="32" s="1"/>
  <c r="H13" i="18"/>
  <c r="I6" i="15" s="1"/>
  <c r="E13" i="18"/>
  <c r="F27" i="10"/>
  <c r="J16" i="10"/>
  <c r="F22" i="10" s="1"/>
  <c r="D10" i="9"/>
  <c r="O16" i="10"/>
  <c r="O17" i="10" s="1"/>
  <c r="O18" i="10" s="1"/>
  <c r="AR207" i="21"/>
  <c r="AQ206" i="21"/>
  <c r="AQ204" i="21" s="1"/>
  <c r="AQ196" i="21" s="1"/>
  <c r="H23" i="61" s="1"/>
  <c r="AS142" i="21"/>
  <c r="BS125" i="32"/>
  <c r="BS122" i="32" s="1"/>
  <c r="N14" i="18"/>
  <c r="M15" i="18" s="1"/>
  <c r="F10" i="9"/>
  <c r="F11" i="9" s="1"/>
  <c r="F29" i="10"/>
  <c r="F18" i="9" s="1"/>
  <c r="AS220" i="21"/>
  <c r="AT221" i="21"/>
  <c r="C22" i="10"/>
  <c r="G22" i="10" s="1"/>
  <c r="G17" i="10"/>
  <c r="G18" i="10" s="1"/>
  <c r="E117" i="48"/>
  <c r="I6" i="60"/>
  <c r="L6" i="60"/>
  <c r="F6" i="16"/>
  <c r="AN156" i="21"/>
  <c r="AN158" i="21"/>
  <c r="AN159" i="21"/>
  <c r="AN157" i="21"/>
  <c r="AN155" i="21"/>
  <c r="BO187" i="32"/>
  <c r="G33" i="10"/>
  <c r="J14" i="9"/>
  <c r="J19" i="9" s="1"/>
  <c r="BC197" i="32"/>
  <c r="BC190" i="32" s="1"/>
  <c r="BD198" i="32"/>
  <c r="AM306" i="21"/>
  <c r="Q306" i="21"/>
  <c r="G10" i="63"/>
  <c r="G11" i="63" s="1"/>
  <c r="M7" i="10"/>
  <c r="BO163" i="32"/>
  <c r="AC10" i="10"/>
  <c r="AD10" i="10" s="1"/>
  <c r="V16" i="10"/>
  <c r="AQ154" i="21"/>
  <c r="AP8" i="21"/>
  <c r="AP7" i="21" s="1"/>
  <c r="AP6" i="21" s="1"/>
  <c r="P8" i="9"/>
  <c r="G14" i="61"/>
  <c r="BN180" i="32"/>
  <c r="BN179" i="32" s="1"/>
  <c r="K4" i="10"/>
  <c r="BD26" i="32"/>
  <c r="BO26" i="32"/>
  <c r="M12" i="63"/>
  <c r="M13" i="63" s="1"/>
  <c r="I36" i="10"/>
  <c r="BG10" i="32"/>
  <c r="F35" i="62"/>
  <c r="G30" i="61"/>
  <c r="BO125" i="32"/>
  <c r="BO122" i="32" s="1"/>
  <c r="AD105" i="60"/>
  <c r="BO110" i="32"/>
  <c r="BO108" i="32" s="1"/>
  <c r="BO27" i="32"/>
  <c r="BQ151" i="32"/>
  <c r="BQ150" i="32" s="1"/>
  <c r="F33" i="10"/>
  <c r="J18" i="9" s="1"/>
  <c r="J10" i="9"/>
  <c r="J11" i="9" s="1"/>
  <c r="J15" i="51"/>
  <c r="J14" i="51" s="1"/>
  <c r="I26" i="61"/>
  <c r="P7" i="9"/>
  <c r="O10" i="63"/>
  <c r="O11" i="63" s="1"/>
  <c r="M15" i="10"/>
  <c r="X16" i="10"/>
  <c r="AC4" i="10"/>
  <c r="AC11" i="10"/>
  <c r="AD11" i="10" s="1"/>
  <c r="BC11" i="32"/>
  <c r="G32" i="51"/>
  <c r="G30" i="51" s="1"/>
  <c r="F46" i="61"/>
  <c r="F48" i="61" s="1"/>
  <c r="F7" i="62"/>
  <c r="F9" i="62" s="1"/>
  <c r="E43" i="62"/>
  <c r="E45" i="62" s="1"/>
  <c r="G7" i="61"/>
  <c r="G9" i="61" s="1"/>
  <c r="AO325" i="21"/>
  <c r="AO320" i="21"/>
  <c r="N10" i="63"/>
  <c r="N11" i="63" s="1"/>
  <c r="M14" i="10"/>
  <c r="S100" i="60"/>
  <c r="S105" i="60" s="1"/>
  <c r="P9" i="9"/>
  <c r="Z16" i="10"/>
  <c r="M14" i="9"/>
  <c r="BQ182" i="32"/>
  <c r="BC16" i="32"/>
  <c r="BD17" i="32"/>
  <c r="I11" i="9"/>
  <c r="BU182" i="32"/>
  <c r="BD110" i="32"/>
  <c r="BP110" i="32"/>
  <c r="D73" i="51"/>
  <c r="D74" i="51" s="1"/>
  <c r="D82" i="51"/>
  <c r="BD102" i="32"/>
  <c r="BO102" i="32"/>
  <c r="BO99" i="32" s="1"/>
  <c r="BR151" i="32"/>
  <c r="BR150" i="32" s="1"/>
  <c r="G10" i="9"/>
  <c r="G11" i="9" s="1"/>
  <c r="F30" i="10"/>
  <c r="G18" i="9" s="1"/>
  <c r="K11" i="10"/>
  <c r="D15" i="9"/>
  <c r="C39" i="10"/>
  <c r="BD19" i="32"/>
  <c r="BC18" i="32"/>
  <c r="BO19" i="32"/>
  <c r="BO18" i="32" s="1"/>
  <c r="BV140" i="32"/>
  <c r="AQ9" i="21"/>
  <c r="BR116" i="32"/>
  <c r="BR113" i="32" s="1"/>
  <c r="BP17" i="32"/>
  <c r="BP16" i="32" s="1"/>
  <c r="G22" i="62" l="1"/>
  <c r="H42" i="61"/>
  <c r="AQ141" i="21"/>
  <c r="AQ134" i="21" s="1"/>
  <c r="BQ187" i="32"/>
  <c r="BQ180" i="32" s="1"/>
  <c r="BQ179" i="32" s="1"/>
  <c r="BO97" i="32"/>
  <c r="BF142" i="32"/>
  <c r="BE141" i="32"/>
  <c r="BE139" i="32" s="1"/>
  <c r="J35" i="61" s="1"/>
  <c r="K6" i="16"/>
  <c r="AS158" i="21"/>
  <c r="AS156" i="21"/>
  <c r="AS157" i="21"/>
  <c r="AS159" i="21"/>
  <c r="AS155" i="21"/>
  <c r="D24" i="9"/>
  <c r="P15" i="9"/>
  <c r="AR296" i="21"/>
  <c r="V296" i="21"/>
  <c r="D12" i="63"/>
  <c r="K16" i="10"/>
  <c r="I27" i="10"/>
  <c r="AQ289" i="21"/>
  <c r="J6" i="16"/>
  <c r="AR158" i="21"/>
  <c r="AR155" i="21"/>
  <c r="AR154" i="21" s="1"/>
  <c r="AR159" i="21"/>
  <c r="AR157" i="21"/>
  <c r="AR156" i="21"/>
  <c r="AX205" i="21"/>
  <c r="I40" i="61"/>
  <c r="H20" i="62"/>
  <c r="BD170" i="32"/>
  <c r="BE171" i="32"/>
  <c r="BQ171" i="32" s="1"/>
  <c r="BQ170" i="32" s="1"/>
  <c r="BP171" i="32"/>
  <c r="BP170" i="32" s="1"/>
  <c r="I89" i="12"/>
  <c r="I103" i="12" s="1"/>
  <c r="AR98" i="21"/>
  <c r="BK11" i="32"/>
  <c r="BE28" i="32"/>
  <c r="BQ28" i="32" s="1"/>
  <c r="AZ117" i="21"/>
  <c r="AY117" i="21"/>
  <c r="K19" i="9"/>
  <c r="BE29" i="32"/>
  <c r="BP182" i="32"/>
  <c r="BF181" i="32"/>
  <c r="L9" i="13"/>
  <c r="L8" i="13"/>
  <c r="L7" i="13"/>
  <c r="L6" i="13"/>
  <c r="BC30" i="32"/>
  <c r="AV219" i="21"/>
  <c r="AU218" i="21"/>
  <c r="BJ195" i="32"/>
  <c r="F33" i="48" s="1"/>
  <c r="D33" i="48" s="1"/>
  <c r="BV195" i="32"/>
  <c r="BO193" i="32"/>
  <c r="BO190" i="32" s="1"/>
  <c r="K12" i="63"/>
  <c r="K13" i="63" s="1"/>
  <c r="I34" i="10"/>
  <c r="G36" i="10"/>
  <c r="F50" i="61"/>
  <c r="BH10" i="32"/>
  <c r="BS10" i="32"/>
  <c r="I5" i="15"/>
  <c r="AQ8" i="21"/>
  <c r="AQ7" i="21" s="1"/>
  <c r="AQ6" i="21" s="1"/>
  <c r="AR9" i="21"/>
  <c r="BE110" i="32"/>
  <c r="M19" i="9"/>
  <c r="G31" i="51"/>
  <c r="AO301" i="21"/>
  <c r="S301" i="21"/>
  <c r="E118" i="48"/>
  <c r="E116" i="48"/>
  <c r="E114" i="48" s="1"/>
  <c r="E119" i="48"/>
  <c r="BP109" i="32"/>
  <c r="BP108" i="32" s="1"/>
  <c r="L7" i="16"/>
  <c r="BF13" i="32" s="1"/>
  <c r="BF12" i="32" s="1"/>
  <c r="AT162" i="21"/>
  <c r="BC162" i="21" s="1"/>
  <c r="AT163" i="21"/>
  <c r="BC163" i="21" s="1"/>
  <c r="AT165" i="21"/>
  <c r="BC165" i="21" s="1"/>
  <c r="AT161" i="21"/>
  <c r="AT164" i="21"/>
  <c r="BC164" i="21" s="1"/>
  <c r="BP198" i="32"/>
  <c r="BP197" i="32" s="1"/>
  <c r="I66" i="51"/>
  <c r="G28" i="62"/>
  <c r="I14" i="61"/>
  <c r="G14" i="62"/>
  <c r="L10" i="13"/>
  <c r="BE98" i="32"/>
  <c r="BD97" i="32"/>
  <c r="BQ98" i="32"/>
  <c r="BR182" i="32"/>
  <c r="BG151" i="32"/>
  <c r="BF150" i="32"/>
  <c r="BS151" i="32"/>
  <c r="BS150" i="32" s="1"/>
  <c r="BE129" i="32"/>
  <c r="BP129" i="32"/>
  <c r="BP126" i="32" s="1"/>
  <c r="BP121" i="32" s="1"/>
  <c r="D18" i="9"/>
  <c r="F39" i="10"/>
  <c r="AT142" i="21"/>
  <c r="AS121" i="21"/>
  <c r="AR120" i="21"/>
  <c r="AR112" i="21" s="1"/>
  <c r="F20" i="48"/>
  <c r="D16" i="48" s="1"/>
  <c r="M11" i="13"/>
  <c r="AP154" i="21"/>
  <c r="BE187" i="32"/>
  <c r="BE180" i="32" s="1"/>
  <c r="BE179" i="32" s="1"/>
  <c r="BP187" i="32"/>
  <c r="BC14" i="21"/>
  <c r="BD193" i="32"/>
  <c r="BD190" i="32" s="1"/>
  <c r="BE194" i="32"/>
  <c r="BP194" i="32"/>
  <c r="AS160" i="21"/>
  <c r="E47" i="62"/>
  <c r="BE26" i="32"/>
  <c r="BF26" i="32" s="1"/>
  <c r="BG26" i="32" s="1"/>
  <c r="BH26" i="32" s="1"/>
  <c r="BI26" i="32" s="1"/>
  <c r="BJ26" i="32" s="1"/>
  <c r="BV26" i="32" s="1"/>
  <c r="BT26" i="32"/>
  <c r="M17" i="10"/>
  <c r="D26" i="9"/>
  <c r="P17" i="9"/>
  <c r="BE109" i="32"/>
  <c r="BQ109" i="32"/>
  <c r="AW180" i="21"/>
  <c r="AP173" i="21"/>
  <c r="AO172" i="21"/>
  <c r="AV180" i="21"/>
  <c r="AN154" i="21"/>
  <c r="BE196" i="32"/>
  <c r="BQ196" i="32" s="1"/>
  <c r="AZ104" i="21"/>
  <c r="AY104" i="21"/>
  <c r="AT220" i="21"/>
  <c r="AU221" i="21"/>
  <c r="BC221" i="21"/>
  <c r="C6" i="15"/>
  <c r="AD4" i="10"/>
  <c r="AC16" i="10"/>
  <c r="AD16" i="10" s="1"/>
  <c r="K15" i="51"/>
  <c r="K14" i="51" s="1"/>
  <c r="J26" i="61"/>
  <c r="AS207" i="21"/>
  <c r="AR206" i="21"/>
  <c r="AR204" i="21" s="1"/>
  <c r="AR196" i="21" s="1"/>
  <c r="I23" i="61" s="1"/>
  <c r="F6" i="15"/>
  <c r="AO154" i="21"/>
  <c r="BQ142" i="32"/>
  <c r="BQ141" i="32" s="1"/>
  <c r="BQ139" i="32" s="1"/>
  <c r="BE111" i="32"/>
  <c r="BP112" i="32"/>
  <c r="BE191" i="32"/>
  <c r="BQ191" i="32"/>
  <c r="AU198" i="21"/>
  <c r="AU197" i="21" s="1"/>
  <c r="AV199" i="21"/>
  <c r="AS17" i="21"/>
  <c r="AV19" i="21"/>
  <c r="C15" i="62"/>
  <c r="C30" i="62"/>
  <c r="AM289" i="21"/>
  <c r="AU19" i="21"/>
  <c r="AU17" i="21" s="1"/>
  <c r="AS215" i="21"/>
  <c r="AR214" i="21"/>
  <c r="AR213" i="21" s="1"/>
  <c r="F25" i="10"/>
  <c r="G25" i="10" s="1"/>
  <c r="G24" i="10"/>
  <c r="BP26" i="32"/>
  <c r="E6" i="15"/>
  <c r="AT197" i="21"/>
  <c r="BC198" i="21"/>
  <c r="AZ188" i="21"/>
  <c r="AY188" i="21"/>
  <c r="AX186" i="21"/>
  <c r="BE27" i="32"/>
  <c r="AB16" i="10"/>
  <c r="G19" i="9"/>
  <c r="AR160" i="21"/>
  <c r="H68" i="51"/>
  <c r="H16" i="61"/>
  <c r="G46" i="61"/>
  <c r="G48" i="61" s="1"/>
  <c r="G7" i="62"/>
  <c r="G9" i="62" s="1"/>
  <c r="F43" i="62"/>
  <c r="F45" i="62" s="1"/>
  <c r="H32" i="51"/>
  <c r="H30" i="51" s="1"/>
  <c r="H7" i="61"/>
  <c r="H9" i="61" s="1"/>
  <c r="AP325" i="21"/>
  <c r="AP320" i="21"/>
  <c r="Q302" i="21"/>
  <c r="AM302" i="21"/>
  <c r="BE102" i="32"/>
  <c r="BD16" i="32"/>
  <c r="BE17" i="32"/>
  <c r="BQ17" i="32"/>
  <c r="BQ16" i="32" s="1"/>
  <c r="BO121" i="32"/>
  <c r="B6" i="15"/>
  <c r="BR142" i="32"/>
  <c r="BR141" i="32" s="1"/>
  <c r="BR139" i="32" s="1"/>
  <c r="G30" i="10"/>
  <c r="BB11" i="32"/>
  <c r="G27" i="10"/>
  <c r="AT224" i="21"/>
  <c r="BE163" i="32"/>
  <c r="G35" i="62"/>
  <c r="H30" i="61"/>
  <c r="B15" i="18"/>
  <c r="N15" i="18"/>
  <c r="M16" i="18" s="1"/>
  <c r="P10" i="9"/>
  <c r="P11" i="9" s="1"/>
  <c r="BE131" i="32"/>
  <c r="D6" i="15"/>
  <c r="BA11" i="32"/>
  <c r="AY304" i="21"/>
  <c r="AZ304" i="21"/>
  <c r="AT19" i="21"/>
  <c r="I19" i="9"/>
  <c r="D25" i="9"/>
  <c r="P16" i="9"/>
  <c r="AY305" i="21"/>
  <c r="AZ305" i="21"/>
  <c r="D11" i="9"/>
  <c r="BP102" i="32"/>
  <c r="BP99" i="32" s="1"/>
  <c r="BP98" i="32"/>
  <c r="H31" i="61"/>
  <c r="BE19" i="32"/>
  <c r="BD18" i="32"/>
  <c r="BE198" i="32"/>
  <c r="BD197" i="32"/>
  <c r="AZ11" i="32"/>
  <c r="B14" i="18"/>
  <c r="H40" i="61"/>
  <c r="G20" i="62"/>
  <c r="G35" i="10"/>
  <c r="BE118" i="32"/>
  <c r="BD117" i="32"/>
  <c r="AR145" i="21" s="1"/>
  <c r="BP118" i="32"/>
  <c r="BP117" i="32" s="1"/>
  <c r="BP196" i="32"/>
  <c r="I7" i="51"/>
  <c r="H25" i="61"/>
  <c r="K91" i="12"/>
  <c r="K105" i="12" s="1"/>
  <c r="AW14" i="21"/>
  <c r="AX15" i="21"/>
  <c r="G32" i="10"/>
  <c r="P14" i="9"/>
  <c r="D19" i="9"/>
  <c r="D20" i="9" s="1"/>
  <c r="E20" i="9" s="1"/>
  <c r="F20" i="9" s="1"/>
  <c r="G20" i="9" s="1"/>
  <c r="H20" i="9" s="1"/>
  <c r="D23" i="9"/>
  <c r="AX306" i="21"/>
  <c r="AB306" i="21"/>
  <c r="H22" i="62" l="1"/>
  <c r="I42" i="61"/>
  <c r="J40" i="61"/>
  <c r="I20" i="62"/>
  <c r="AR141" i="21"/>
  <c r="AR134" i="21" s="1"/>
  <c r="BF19" i="32"/>
  <c r="BR19" i="32" s="1"/>
  <c r="BR18" i="32" s="1"/>
  <c r="BE18" i="32"/>
  <c r="H30" i="62"/>
  <c r="H15" i="62"/>
  <c r="AR289" i="21"/>
  <c r="D13" i="63"/>
  <c r="P12" i="63"/>
  <c r="K8" i="16"/>
  <c r="BE11" i="32"/>
  <c r="BE9" i="32" s="1"/>
  <c r="BE8" i="32" s="1"/>
  <c r="BU26" i="32"/>
  <c r="AT17" i="21"/>
  <c r="BC17" i="21" s="1"/>
  <c r="BC19" i="21"/>
  <c r="BF131" i="32"/>
  <c r="BF163" i="32"/>
  <c r="BQ163" i="32"/>
  <c r="E7" i="16"/>
  <c r="AM164" i="21"/>
  <c r="AM161" i="21"/>
  <c r="AM163" i="21"/>
  <c r="AM165" i="21"/>
  <c r="AM162" i="21"/>
  <c r="I25" i="61"/>
  <c r="J7" i="51"/>
  <c r="BQ131" i="32"/>
  <c r="BR26" i="32"/>
  <c r="I7" i="61"/>
  <c r="I9" i="61" s="1"/>
  <c r="H7" i="62"/>
  <c r="H9" i="62" s="1"/>
  <c r="G43" i="62"/>
  <c r="G45" i="62" s="1"/>
  <c r="I32" i="51"/>
  <c r="I30" i="51" s="1"/>
  <c r="H46" i="61"/>
  <c r="H48" i="61" s="1"/>
  <c r="AQ320" i="21"/>
  <c r="AQ325" i="21"/>
  <c r="H33" i="61"/>
  <c r="G36" i="62"/>
  <c r="BQ11" i="32"/>
  <c r="AR8" i="21"/>
  <c r="AR7" i="21" s="1"/>
  <c r="AR6" i="21" s="1"/>
  <c r="AS9" i="21"/>
  <c r="AW199" i="21"/>
  <c r="AV198" i="21"/>
  <c r="AV197" i="21" s="1"/>
  <c r="L11" i="13"/>
  <c r="BG181" i="32"/>
  <c r="BR181" i="32"/>
  <c r="N16" i="18"/>
  <c r="M17" i="18" s="1"/>
  <c r="BS26" i="32"/>
  <c r="BC197" i="21"/>
  <c r="D15" i="62"/>
  <c r="D30" i="62"/>
  <c r="AN289" i="21"/>
  <c r="BH151" i="32"/>
  <c r="BG150" i="32"/>
  <c r="L6" i="16"/>
  <c r="AT156" i="21"/>
  <c r="BC156" i="21" s="1"/>
  <c r="AT157" i="21"/>
  <c r="BC157" i="21" s="1"/>
  <c r="AT159" i="21"/>
  <c r="BC159" i="21" s="1"/>
  <c r="AT155" i="21"/>
  <c r="AT158" i="21"/>
  <c r="BC158" i="21" s="1"/>
  <c r="BF171" i="32"/>
  <c r="BR171" i="32" s="1"/>
  <c r="BR170" i="32" s="1"/>
  <c r="BE170" i="32"/>
  <c r="J8" i="16"/>
  <c r="BD11" i="32"/>
  <c r="I68" i="51"/>
  <c r="I16" i="61"/>
  <c r="AZ15" i="21"/>
  <c r="AY15" i="21"/>
  <c r="AX14" i="21"/>
  <c r="E30" i="62"/>
  <c r="E15" i="62"/>
  <c r="AO289" i="21"/>
  <c r="BP97" i="32"/>
  <c r="BP30" i="32" s="1"/>
  <c r="AU224" i="21"/>
  <c r="BC224" i="21"/>
  <c r="AR290" i="21"/>
  <c r="BQ108" i="32"/>
  <c r="BF187" i="32"/>
  <c r="BP180" i="32"/>
  <c r="BP179" i="32" s="1"/>
  <c r="BF28" i="32"/>
  <c r="BG142" i="32"/>
  <c r="BF141" i="32"/>
  <c r="BF139" i="32" s="1"/>
  <c r="K35" i="61" s="1"/>
  <c r="BR131" i="32"/>
  <c r="J15" i="63"/>
  <c r="I31" i="62"/>
  <c r="I16" i="62"/>
  <c r="AS290" i="21"/>
  <c r="F30" i="62"/>
  <c r="F15" i="62"/>
  <c r="AP289" i="21"/>
  <c r="D27" i="9"/>
  <c r="P18" i="9"/>
  <c r="P19" i="9" s="1"/>
  <c r="E12" i="11"/>
  <c r="C132" i="12"/>
  <c r="C141" i="12" s="1"/>
  <c r="C84" i="12" s="1"/>
  <c r="E24" i="9"/>
  <c r="BQ19" i="32"/>
  <c r="BQ18" i="32" s="1"/>
  <c r="G50" i="61"/>
  <c r="L91" i="12"/>
  <c r="BF198" i="32"/>
  <c r="BE197" i="32"/>
  <c r="G39" i="10"/>
  <c r="J27" i="10"/>
  <c r="J28" i="10" s="1"/>
  <c r="J29" i="10" s="1"/>
  <c r="J30" i="10" s="1"/>
  <c r="J31" i="10" s="1"/>
  <c r="J32" i="10" s="1"/>
  <c r="H7" i="16"/>
  <c r="AP162" i="21"/>
  <c r="AP164" i="21"/>
  <c r="AP161" i="21"/>
  <c r="AP163" i="21"/>
  <c r="AP165" i="21"/>
  <c r="AV221" i="21"/>
  <c r="AU220" i="21"/>
  <c r="AX180" i="21"/>
  <c r="BF109" i="32"/>
  <c r="BG109" i="32" s="1"/>
  <c r="BH109" i="32" s="1"/>
  <c r="BS109" i="32"/>
  <c r="BR198" i="32"/>
  <c r="BR197" i="32" s="1"/>
  <c r="BQ198" i="32"/>
  <c r="BQ197" i="32" s="1"/>
  <c r="AV17" i="21"/>
  <c r="AW19" i="21"/>
  <c r="H14" i="18"/>
  <c r="J6" i="15" s="1"/>
  <c r="E14" i="18"/>
  <c r="H15" i="18"/>
  <c r="K6" i="15" s="1"/>
  <c r="E15" i="18"/>
  <c r="I7" i="16"/>
  <c r="AQ162" i="21"/>
  <c r="AQ165" i="21"/>
  <c r="AQ163" i="21"/>
  <c r="AQ161" i="21"/>
  <c r="AQ380" i="21" s="1"/>
  <c r="AQ164" i="21"/>
  <c r="F7" i="16"/>
  <c r="AN162" i="21"/>
  <c r="AN164" i="21"/>
  <c r="AN165" i="21"/>
  <c r="AN163" i="21"/>
  <c r="AN161" i="21"/>
  <c r="AN380" i="21" s="1"/>
  <c r="BF17" i="32"/>
  <c r="BE16" i="32"/>
  <c r="AT207" i="21"/>
  <c r="AS206" i="21"/>
  <c r="AS204" i="21" s="1"/>
  <c r="AS196" i="21" s="1"/>
  <c r="J23" i="61" s="1"/>
  <c r="K26" i="61"/>
  <c r="L15" i="51"/>
  <c r="L14" i="51" s="1"/>
  <c r="BC220" i="21"/>
  <c r="BP193" i="32"/>
  <c r="BP190" i="32" s="1"/>
  <c r="BC161" i="21"/>
  <c r="AT160" i="21"/>
  <c r="AO302" i="21"/>
  <c r="S302" i="21"/>
  <c r="AZ205" i="21"/>
  <c r="AY205" i="21"/>
  <c r="AS154" i="21"/>
  <c r="BO30" i="32"/>
  <c r="AS214" i="21"/>
  <c r="AS213" i="21" s="1"/>
  <c r="AT215" i="21"/>
  <c r="BF196" i="32"/>
  <c r="BR196" i="32"/>
  <c r="H35" i="62"/>
  <c r="I30" i="61"/>
  <c r="BF191" i="32"/>
  <c r="BE190" i="32"/>
  <c r="E24" i="11"/>
  <c r="E26" i="9"/>
  <c r="C134" i="12"/>
  <c r="BF129" i="32"/>
  <c r="BQ129" i="32"/>
  <c r="BQ126" i="32" s="1"/>
  <c r="BQ121" i="32" s="1"/>
  <c r="BD30" i="32"/>
  <c r="BL11" i="32"/>
  <c r="J89" i="12"/>
  <c r="J103" i="12"/>
  <c r="AS98" i="21"/>
  <c r="G15" i="62"/>
  <c r="BF118" i="32"/>
  <c r="BR118" i="32" s="1"/>
  <c r="BR117" i="32" s="1"/>
  <c r="BE117" i="32"/>
  <c r="AS145" i="21" s="1"/>
  <c r="BQ118" i="32"/>
  <c r="BQ117" i="32" s="1"/>
  <c r="AZ306" i="21"/>
  <c r="AY306" i="21"/>
  <c r="BR163" i="32"/>
  <c r="H31" i="51"/>
  <c r="AP301" i="21"/>
  <c r="T301" i="21"/>
  <c r="BF27" i="32"/>
  <c r="BQ27" i="32"/>
  <c r="AS296" i="21"/>
  <c r="W296" i="21"/>
  <c r="AQ173" i="21"/>
  <c r="AP172" i="21"/>
  <c r="BE193" i="32"/>
  <c r="BF194" i="32"/>
  <c r="BR194" i="32" s="1"/>
  <c r="BR193" i="32" s="1"/>
  <c r="BQ194" i="32"/>
  <c r="BQ193" i="32" s="1"/>
  <c r="BQ190" i="32" s="1"/>
  <c r="J66" i="51"/>
  <c r="H28" i="62"/>
  <c r="J14" i="61"/>
  <c r="H14" i="62"/>
  <c r="BF98" i="32"/>
  <c r="BE97" i="32"/>
  <c r="BI10" i="32"/>
  <c r="BT10" i="32"/>
  <c r="BF29" i="32"/>
  <c r="BQ29" i="32"/>
  <c r="BM11" i="32"/>
  <c r="G30" i="62"/>
  <c r="E6" i="11"/>
  <c r="D28" i="9"/>
  <c r="D34" i="9" s="1"/>
  <c r="E23" i="9"/>
  <c r="C131" i="12"/>
  <c r="AS120" i="21"/>
  <c r="AS112" i="21" s="1"/>
  <c r="AT121" i="21"/>
  <c r="BN11" i="32"/>
  <c r="I39" i="10"/>
  <c r="I41" i="10" s="1"/>
  <c r="BF102" i="32"/>
  <c r="BG102" i="32" s="1"/>
  <c r="BH102" i="32" s="1"/>
  <c r="BQ102" i="32"/>
  <c r="BQ99" i="32" s="1"/>
  <c r="BQ97" i="32" s="1"/>
  <c r="BQ30" i="32" s="1"/>
  <c r="BS102" i="32"/>
  <c r="BS99" i="32" s="1"/>
  <c r="F47" i="62"/>
  <c r="AZ186" i="21"/>
  <c r="AY186" i="21"/>
  <c r="I20" i="9"/>
  <c r="J20" i="9" s="1"/>
  <c r="K20" i="9" s="1"/>
  <c r="L20" i="9" s="1"/>
  <c r="M20" i="9" s="1"/>
  <c r="N20" i="9" s="1"/>
  <c r="O20" i="9" s="1"/>
  <c r="I31" i="61"/>
  <c r="E18" i="11"/>
  <c r="E25" i="9"/>
  <c r="C133" i="12"/>
  <c r="C142" i="12" s="1"/>
  <c r="C86" i="12" s="1"/>
  <c r="G7" i="16"/>
  <c r="AO164" i="21"/>
  <c r="AO162" i="21"/>
  <c r="AO165" i="21"/>
  <c r="AO161" i="21"/>
  <c r="AO380" i="21" s="1"/>
  <c r="AO163" i="21"/>
  <c r="BF111" i="32"/>
  <c r="BG111" i="32" s="1"/>
  <c r="BR112" i="32"/>
  <c r="BQ111" i="32"/>
  <c r="BQ112" i="32"/>
  <c r="BQ26" i="32"/>
  <c r="AU142" i="21"/>
  <c r="BC142" i="21"/>
  <c r="BF110" i="32"/>
  <c r="BQ110" i="32"/>
  <c r="AW219" i="21"/>
  <c r="AV218" i="21"/>
  <c r="BO11" i="32"/>
  <c r="AS141" i="21" l="1"/>
  <c r="AS134" i="21" s="1"/>
  <c r="C140" i="12"/>
  <c r="C83" i="12" s="1"/>
  <c r="BJ10" i="32"/>
  <c r="BU10" i="32"/>
  <c r="K5" i="15"/>
  <c r="M91" i="12"/>
  <c r="M105" i="12" s="1"/>
  <c r="BG187" i="32"/>
  <c r="BR187" i="32"/>
  <c r="AY13" i="32"/>
  <c r="E8" i="16"/>
  <c r="P13" i="63"/>
  <c r="BA13" i="32"/>
  <c r="BA12" i="32" s="1"/>
  <c r="BA9" i="32" s="1"/>
  <c r="BA8" i="32" s="1"/>
  <c r="G8" i="16"/>
  <c r="E28" i="9"/>
  <c r="E31" i="9"/>
  <c r="F6" i="11"/>
  <c r="F23" i="9"/>
  <c r="D131" i="12"/>
  <c r="AR173" i="21"/>
  <c r="AQ172" i="21"/>
  <c r="BG191" i="32"/>
  <c r="BS191" i="32" s="1"/>
  <c r="BR191" i="32"/>
  <c r="BR190" i="32" s="1"/>
  <c r="X385" i="21" s="1"/>
  <c r="X387" i="21" s="1"/>
  <c r="N7" i="16"/>
  <c r="BH13" i="32" s="1"/>
  <c r="BH12" i="32" s="1"/>
  <c r="AV164" i="21"/>
  <c r="AV162" i="21"/>
  <c r="AV163" i="21"/>
  <c r="AV165" i="21"/>
  <c r="AV161" i="21"/>
  <c r="E30" i="11"/>
  <c r="E40" i="11" s="1"/>
  <c r="E27" i="9"/>
  <c r="D35" i="9"/>
  <c r="C135" i="12"/>
  <c r="L8" i="16"/>
  <c r="BF11" i="32"/>
  <c r="AW198" i="21"/>
  <c r="AW197" i="21" s="1"/>
  <c r="AX199" i="21"/>
  <c r="AP160" i="21"/>
  <c r="AP380" i="21"/>
  <c r="BG110" i="32"/>
  <c r="BR110" i="32"/>
  <c r="BS112" i="32"/>
  <c r="AM95" i="21"/>
  <c r="C100" i="12"/>
  <c r="D31" i="9"/>
  <c r="BE30" i="32"/>
  <c r="I33" i="61"/>
  <c r="H36" i="62"/>
  <c r="X296" i="21"/>
  <c r="AT296" i="21"/>
  <c r="BD9" i="32"/>
  <c r="BD8" i="32" s="1"/>
  <c r="BP11" i="32"/>
  <c r="AS8" i="21"/>
  <c r="AS7" i="21" s="1"/>
  <c r="AS6" i="21" s="1"/>
  <c r="AT9" i="21"/>
  <c r="BH150" i="32"/>
  <c r="BI151" i="32"/>
  <c r="BT151" i="32"/>
  <c r="BT150" i="32" s="1"/>
  <c r="BU151" i="32"/>
  <c r="BU150" i="32" s="1"/>
  <c r="N17" i="18"/>
  <c r="B17" i="18" s="1"/>
  <c r="J7" i="61"/>
  <c r="J9" i="61" s="1"/>
  <c r="I7" i="62"/>
  <c r="I9" i="62" s="1"/>
  <c r="H43" i="62"/>
  <c r="H45" i="62" s="1"/>
  <c r="J32" i="51"/>
  <c r="J30" i="51" s="1"/>
  <c r="I46" i="61"/>
  <c r="I48" i="61" s="1"/>
  <c r="AR380" i="21"/>
  <c r="AR320" i="21"/>
  <c r="AR325" i="21"/>
  <c r="BG163" i="32"/>
  <c r="BS163" i="32" s="1"/>
  <c r="BH142" i="32"/>
  <c r="BG141" i="32"/>
  <c r="BG139" i="32" s="1"/>
  <c r="L35" i="61" s="1"/>
  <c r="D33" i="9"/>
  <c r="E7" i="11"/>
  <c r="E46" i="11"/>
  <c r="E36" i="11"/>
  <c r="AM54" i="21"/>
  <c r="AZ13" i="32"/>
  <c r="AZ12" i="32" s="1"/>
  <c r="AZ9" i="32" s="1"/>
  <c r="AZ8" i="32" s="1"/>
  <c r="F8" i="16"/>
  <c r="BI109" i="32"/>
  <c r="BT109" i="32"/>
  <c r="J33" i="10"/>
  <c r="J34" i="10" s="1"/>
  <c r="J35" i="10" s="1"/>
  <c r="J36" i="10" s="1"/>
  <c r="J37" i="10" s="1"/>
  <c r="J38" i="10" s="1"/>
  <c r="J40" i="10" s="1"/>
  <c r="K32" i="10"/>
  <c r="F12" i="11"/>
  <c r="E32" i="9"/>
  <c r="F24" i="9"/>
  <c r="D132" i="12"/>
  <c r="D141" i="12" s="1"/>
  <c r="B16" i="18"/>
  <c r="H50" i="61"/>
  <c r="I22" i="62"/>
  <c r="J42" i="61"/>
  <c r="BC207" i="21"/>
  <c r="AT206" i="21"/>
  <c r="AU207" i="21"/>
  <c r="J5" i="15"/>
  <c r="AY180" i="21"/>
  <c r="AZ180" i="21"/>
  <c r="D84" i="12"/>
  <c r="AM93" i="21"/>
  <c r="C99" i="12"/>
  <c r="BG171" i="32"/>
  <c r="BF170" i="32"/>
  <c r="I31" i="51"/>
  <c r="AQ301" i="21"/>
  <c r="U301" i="21"/>
  <c r="BG131" i="32"/>
  <c r="BH131" i="32" s="1"/>
  <c r="BI131" i="32" s="1"/>
  <c r="BJ131" i="32" s="1"/>
  <c r="BV131" i="32" s="1"/>
  <c r="BS142" i="32"/>
  <c r="BS141" i="32" s="1"/>
  <c r="BS139" i="32" s="1"/>
  <c r="BB13" i="32"/>
  <c r="BB12" i="32" s="1"/>
  <c r="BB9" i="32" s="1"/>
  <c r="BB8" i="32" s="1"/>
  <c r="H8" i="16"/>
  <c r="BG118" i="32"/>
  <c r="BS118" i="32" s="1"/>
  <c r="BS117" i="32" s="1"/>
  <c r="BF117" i="32"/>
  <c r="AT145" i="21" s="1"/>
  <c r="M7" i="16"/>
  <c r="BG13" i="32" s="1"/>
  <c r="BG12" i="32" s="1"/>
  <c r="AU165" i="21"/>
  <c r="AU163" i="21"/>
  <c r="AU161" i="21"/>
  <c r="AU162" i="21"/>
  <c r="AU164" i="21"/>
  <c r="M15" i="51"/>
  <c r="M14" i="51" s="1"/>
  <c r="L26" i="61"/>
  <c r="D32" i="9"/>
  <c r="G47" i="62"/>
  <c r="BR109" i="32"/>
  <c r="I42" i="10"/>
  <c r="AQ160" i="21"/>
  <c r="E13" i="11"/>
  <c r="E47" i="11"/>
  <c r="AM55" i="21"/>
  <c r="BR180" i="32"/>
  <c r="BR179" i="32" s="1"/>
  <c r="BR102" i="32"/>
  <c r="BR99" i="32" s="1"/>
  <c r="AV142" i="21"/>
  <c r="BG27" i="32"/>
  <c r="BH27" i="32" s="1"/>
  <c r="BR27" i="32"/>
  <c r="BS27" i="32"/>
  <c r="I35" i="62"/>
  <c r="J30" i="61"/>
  <c r="AW221" i="21"/>
  <c r="AV220" i="21"/>
  <c r="F24" i="11"/>
  <c r="F26" i="9"/>
  <c r="E34" i="9"/>
  <c r="D134" i="12"/>
  <c r="BG196" i="32"/>
  <c r="BG17" i="32"/>
  <c r="BF16" i="32"/>
  <c r="BR17" i="32"/>
  <c r="BR16" i="32" s="1"/>
  <c r="AW17" i="21"/>
  <c r="AX19" i="21"/>
  <c r="BG28" i="32"/>
  <c r="BR28" i="32"/>
  <c r="AY14" i="21"/>
  <c r="AZ14" i="21"/>
  <c r="BC155" i="21"/>
  <c r="AT154" i="21"/>
  <c r="BF180" i="32"/>
  <c r="BF179" i="32" s="1"/>
  <c r="BR11" i="32"/>
  <c r="BG129" i="32"/>
  <c r="BH129" i="32" s="1"/>
  <c r="BI129" i="32" s="1"/>
  <c r="BJ129" i="32" s="1"/>
  <c r="BV129" i="32" s="1"/>
  <c r="BR129" i="32"/>
  <c r="BR126" i="32" s="1"/>
  <c r="BR121" i="32" s="1"/>
  <c r="BS129" i="32"/>
  <c r="BU129" i="32"/>
  <c r="C148" i="12"/>
  <c r="C146" i="12"/>
  <c r="C144" i="12"/>
  <c r="C87" i="12" s="1"/>
  <c r="BR111" i="32"/>
  <c r="AO160" i="21"/>
  <c r="BG29" i="32"/>
  <c r="BR29" i="32"/>
  <c r="T302" i="21"/>
  <c r="AP302" i="21"/>
  <c r="E25" i="11"/>
  <c r="E49" i="11" s="1"/>
  <c r="AM65" i="21"/>
  <c r="AM261" i="21" s="1"/>
  <c r="AM73" i="21"/>
  <c r="AM272" i="21" s="1"/>
  <c r="AM58" i="21"/>
  <c r="AM72" i="21"/>
  <c r="AM271" i="21" s="1"/>
  <c r="AM81" i="21"/>
  <c r="AM80" i="21" s="1"/>
  <c r="AM275" i="21" s="1"/>
  <c r="AM280" i="21" s="1"/>
  <c r="AM79" i="21"/>
  <c r="AM78" i="21" s="1"/>
  <c r="AM57" i="21"/>
  <c r="AM64" i="21"/>
  <c r="AM260" i="21" s="1"/>
  <c r="AM77" i="21"/>
  <c r="AM76" i="21" s="1"/>
  <c r="BC215" i="21"/>
  <c r="AT214" i="21"/>
  <c r="AU215" i="21"/>
  <c r="K15" i="63"/>
  <c r="J31" i="62"/>
  <c r="J16" i="62"/>
  <c r="AT290" i="21"/>
  <c r="BC160" i="21"/>
  <c r="BG198" i="32"/>
  <c r="BS198" i="32" s="1"/>
  <c r="BS197" i="32" s="1"/>
  <c r="BF197" i="32"/>
  <c r="BH181" i="32"/>
  <c r="BG180" i="32"/>
  <c r="BG179" i="32" s="1"/>
  <c r="BS181" i="32"/>
  <c r="BT181" i="32"/>
  <c r="I34" i="62"/>
  <c r="J29" i="61"/>
  <c r="J31" i="61"/>
  <c r="E33" i="9"/>
  <c r="F25" i="9"/>
  <c r="F18" i="11"/>
  <c r="D133" i="12"/>
  <c r="D142" i="12" s="1"/>
  <c r="D86" i="12" s="1"/>
  <c r="BG98" i="32"/>
  <c r="BF97" i="32"/>
  <c r="BF30" i="32" s="1"/>
  <c r="BR98" i="32"/>
  <c r="BC121" i="21"/>
  <c r="AT120" i="21"/>
  <c r="AU121" i="21"/>
  <c r="BF193" i="32"/>
  <c r="BF190" i="32" s="1"/>
  <c r="BS194" i="32"/>
  <c r="BV194" i="32"/>
  <c r="BT194" i="32"/>
  <c r="BU194" i="32"/>
  <c r="J25" i="61"/>
  <c r="K7" i="51"/>
  <c r="AM160" i="21"/>
  <c r="AM380" i="21"/>
  <c r="BG19" i="32"/>
  <c r="BF18" i="32"/>
  <c r="BS19" i="32"/>
  <c r="BS18" i="32" s="1"/>
  <c r="I30" i="62"/>
  <c r="I15" i="62"/>
  <c r="AS289" i="21"/>
  <c r="BH111" i="32"/>
  <c r="BT111" i="32" s="1"/>
  <c r="BS111" i="32"/>
  <c r="E19" i="11"/>
  <c r="E48" i="11"/>
  <c r="AM56" i="21"/>
  <c r="BI102" i="32"/>
  <c r="BT102" i="32"/>
  <c r="BT99" i="32" s="1"/>
  <c r="AW218" i="21"/>
  <c r="AX219" i="21"/>
  <c r="K66" i="51"/>
  <c r="I28" i="62"/>
  <c r="I14" i="62"/>
  <c r="K89" i="12"/>
  <c r="K103" i="12"/>
  <c r="AT98" i="21"/>
  <c r="BC98" i="21" s="1"/>
  <c r="AN160" i="21"/>
  <c r="BC13" i="32"/>
  <c r="BC12" i="32" s="1"/>
  <c r="BC9" i="32" s="1"/>
  <c r="BC8" i="32" s="1"/>
  <c r="I8" i="16"/>
  <c r="L105" i="12"/>
  <c r="J16" i="63"/>
  <c r="J17" i="63" s="1"/>
  <c r="AV224" i="21"/>
  <c r="J68" i="51"/>
  <c r="J16" i="61"/>
  <c r="J22" i="62" l="1"/>
  <c r="K42" i="61"/>
  <c r="H17" i="18"/>
  <c r="M6" i="15" s="1"/>
  <c r="E17" i="18"/>
  <c r="B18" i="18"/>
  <c r="BC145" i="21"/>
  <c r="AT141" i="21"/>
  <c r="E42" i="11"/>
  <c r="E86" i="12"/>
  <c r="AN95" i="21"/>
  <c r="D100" i="12"/>
  <c r="AZ24" i="32" s="1"/>
  <c r="AM92" i="21"/>
  <c r="C98" i="12"/>
  <c r="E15" i="63"/>
  <c r="D16" i="62"/>
  <c r="D31" i="62"/>
  <c r="AN290" i="21"/>
  <c r="AX218" i="21"/>
  <c r="AY218" i="21" s="1"/>
  <c r="AY219" i="21"/>
  <c r="AM250" i="21"/>
  <c r="AM46" i="21"/>
  <c r="F15" i="63"/>
  <c r="E31" i="62"/>
  <c r="E16" i="62"/>
  <c r="AO290" i="21"/>
  <c r="K40" i="61"/>
  <c r="J20" i="62"/>
  <c r="J35" i="62"/>
  <c r="K30" i="61"/>
  <c r="AX221" i="21"/>
  <c r="AW220" i="21"/>
  <c r="G29" i="61"/>
  <c r="F34" i="62"/>
  <c r="BH171" i="32"/>
  <c r="BG170" i="32"/>
  <c r="M6" i="16"/>
  <c r="AU159" i="21"/>
  <c r="AU157" i="21"/>
  <c r="AU155" i="21"/>
  <c r="AU158" i="21"/>
  <c r="AU156" i="21"/>
  <c r="C149" i="12"/>
  <c r="C147" i="12"/>
  <c r="C145" i="12"/>
  <c r="C88" i="12" s="1"/>
  <c r="C93" i="12" s="1"/>
  <c r="AX165" i="21"/>
  <c r="AU296" i="21"/>
  <c r="Y296" i="21"/>
  <c r="K33" i="61"/>
  <c r="J36" i="62"/>
  <c r="J30" i="62"/>
  <c r="J15" i="62"/>
  <c r="AT289" i="21"/>
  <c r="BC154" i="21"/>
  <c r="BH17" i="32"/>
  <c r="BG16" i="32"/>
  <c r="BS17" i="32"/>
  <c r="BS16" i="32" s="1"/>
  <c r="AU206" i="21"/>
  <c r="AU204" i="21" s="1"/>
  <c r="AU196" i="21" s="1"/>
  <c r="AV207" i="21"/>
  <c r="F47" i="11"/>
  <c r="F13" i="11"/>
  <c r="AN55" i="21" s="1"/>
  <c r="C109" i="12"/>
  <c r="AM68" i="21"/>
  <c r="AM267" i="21" s="1"/>
  <c r="AM61" i="21"/>
  <c r="E8" i="11"/>
  <c r="BI150" i="32"/>
  <c r="BJ151" i="32"/>
  <c r="BH187" i="32"/>
  <c r="BS187" i="32"/>
  <c r="K68" i="51"/>
  <c r="G12" i="11"/>
  <c r="G24" i="9"/>
  <c r="E132" i="12"/>
  <c r="E141" i="12" s="1"/>
  <c r="BH98" i="32"/>
  <c r="BG97" i="32"/>
  <c r="BG30" i="32" s="1"/>
  <c r="BS98" i="32"/>
  <c r="K16" i="63"/>
  <c r="K17" i="63"/>
  <c r="AM96" i="21"/>
  <c r="AM353" i="21" s="1"/>
  <c r="C101" i="12"/>
  <c r="BR108" i="32"/>
  <c r="BR97" i="32" s="1"/>
  <c r="BR30" i="32" s="1"/>
  <c r="AU160" i="21"/>
  <c r="BU131" i="32"/>
  <c r="BU126" i="32" s="1"/>
  <c r="BU121" i="32" s="1"/>
  <c r="AY23" i="32"/>
  <c r="BC206" i="21"/>
  <c r="AT204" i="21"/>
  <c r="F27" i="9"/>
  <c r="F30" i="11"/>
  <c r="F40" i="11" s="1"/>
  <c r="E35" i="9"/>
  <c r="E36" i="9" s="1"/>
  <c r="D135" i="12"/>
  <c r="F29" i="61"/>
  <c r="E34" i="62"/>
  <c r="AU214" i="21"/>
  <c r="AU213" i="21" s="1"/>
  <c r="AV215" i="21"/>
  <c r="BH196" i="32"/>
  <c r="BG193" i="32"/>
  <c r="BG190" i="32" s="1"/>
  <c r="BS196" i="32"/>
  <c r="BT131" i="32"/>
  <c r="E31" i="11"/>
  <c r="AM86" i="21"/>
  <c r="AM85" i="21" s="1"/>
  <c r="AM265" i="21" s="1"/>
  <c r="AM89" i="21"/>
  <c r="AM87" i="21"/>
  <c r="AM66" i="21"/>
  <c r="AM262" i="21" s="1"/>
  <c r="AM67" i="21"/>
  <c r="AM263" i="21" s="1"/>
  <c r="AM284" i="21" s="1"/>
  <c r="AM90" i="21"/>
  <c r="AM59" i="21"/>
  <c r="AM75" i="21"/>
  <c r="AM274" i="21" s="1"/>
  <c r="AM74" i="21"/>
  <c r="AM273" i="21" s="1"/>
  <c r="AM83" i="21"/>
  <c r="AM82" i="21" s="1"/>
  <c r="AM60" i="21"/>
  <c r="AM84" i="21"/>
  <c r="N91" i="12"/>
  <c r="O91" i="12" s="1"/>
  <c r="G34" i="62"/>
  <c r="H29" i="61"/>
  <c r="BC214" i="21"/>
  <c r="AT213" i="21"/>
  <c r="D148" i="12"/>
  <c r="D146" i="12"/>
  <c r="D144" i="12"/>
  <c r="D87" i="12" s="1"/>
  <c r="I50" i="61"/>
  <c r="AT8" i="21"/>
  <c r="BC9" i="21"/>
  <c r="AU9" i="21"/>
  <c r="K31" i="61"/>
  <c r="BS180" i="32"/>
  <c r="BS179" i="32" s="1"/>
  <c r="C112" i="12"/>
  <c r="C119" i="12" s="1"/>
  <c r="E26" i="11"/>
  <c r="AM247" i="21"/>
  <c r="E84" i="12"/>
  <c r="AN93" i="21"/>
  <c r="BJ109" i="32"/>
  <c r="BV109" i="32" s="1"/>
  <c r="BU109" i="32"/>
  <c r="J31" i="51"/>
  <c r="V301" i="21"/>
  <c r="AR301" i="21"/>
  <c r="K7" i="61"/>
  <c r="K9" i="61" s="1"/>
  <c r="J7" i="62"/>
  <c r="J9" i="62" s="1"/>
  <c r="I43" i="62"/>
  <c r="I45" i="62" s="1"/>
  <c r="K32" i="51"/>
  <c r="K30" i="51" s="1"/>
  <c r="J46" i="61"/>
  <c r="J48" i="61" s="1"/>
  <c r="AS380" i="21"/>
  <c r="AS320" i="21"/>
  <c r="AS325" i="21"/>
  <c r="J33" i="61"/>
  <c r="I36" i="62"/>
  <c r="BH110" i="32"/>
  <c r="BS110" i="32"/>
  <c r="BS108" i="32" s="1"/>
  <c r="BH191" i="32"/>
  <c r="N6" i="16"/>
  <c r="AV158" i="21"/>
  <c r="AV156" i="21"/>
  <c r="AV157" i="21"/>
  <c r="AV159" i="21"/>
  <c r="AV155" i="21"/>
  <c r="AM248" i="21"/>
  <c r="AM43" i="21"/>
  <c r="F19" i="11"/>
  <c r="AN56" i="21" s="1"/>
  <c r="F48" i="11"/>
  <c r="BS193" i="32"/>
  <c r="BS190" i="32" s="1"/>
  <c r="Y385" i="21" s="1"/>
  <c r="Y387" i="21" s="1"/>
  <c r="AW224" i="21"/>
  <c r="C111" i="12"/>
  <c r="C118" i="12" s="1"/>
  <c r="AM63" i="21"/>
  <c r="AM71" i="21"/>
  <c r="AM270" i="21" s="1"/>
  <c r="E20" i="11"/>
  <c r="K20" i="62"/>
  <c r="L40" i="61"/>
  <c r="AM253" i="21"/>
  <c r="AM278" i="21" s="1"/>
  <c r="AM49" i="21"/>
  <c r="G26" i="9"/>
  <c r="G24" i="11"/>
  <c r="E134" i="12"/>
  <c r="D99" i="12"/>
  <c r="AZ23" i="32" s="1"/>
  <c r="BH141" i="32"/>
  <c r="BH139" i="32" s="1"/>
  <c r="M35" i="61" s="1"/>
  <c r="BI142" i="32"/>
  <c r="BT142" i="32"/>
  <c r="BT141" i="32" s="1"/>
  <c r="BT139" i="32" s="1"/>
  <c r="H47" i="62"/>
  <c r="D36" i="9"/>
  <c r="AV160" i="21"/>
  <c r="AX163" i="21"/>
  <c r="BH29" i="32"/>
  <c r="BS29" i="32"/>
  <c r="G18" i="11"/>
  <c r="G25" i="9"/>
  <c r="E133" i="12"/>
  <c r="E142" i="12" s="1"/>
  <c r="BH19" i="32"/>
  <c r="BG18" i="32"/>
  <c r="L103" i="12"/>
  <c r="L89" i="12"/>
  <c r="AU98" i="21"/>
  <c r="BI181" i="32"/>
  <c r="BH180" i="32"/>
  <c r="BH179" i="32" s="1"/>
  <c r="F25" i="11"/>
  <c r="AN73" i="21"/>
  <c r="AN272" i="21" s="1"/>
  <c r="AN81" i="21"/>
  <c r="AN80" i="21" s="1"/>
  <c r="AN275" i="21" s="1"/>
  <c r="AN280" i="21" s="1"/>
  <c r="AN79" i="21"/>
  <c r="AN78" i="21" s="1"/>
  <c r="AN72" i="21"/>
  <c r="AN271" i="21" s="1"/>
  <c r="AN57" i="21"/>
  <c r="AN64" i="21"/>
  <c r="AN260" i="21" s="1"/>
  <c r="AN65" i="21"/>
  <c r="AN261" i="21" s="1"/>
  <c r="AN77" i="21"/>
  <c r="AN76" i="21" s="1"/>
  <c r="AN58" i="21"/>
  <c r="BI27" i="32"/>
  <c r="BT27" i="32"/>
  <c r="U302" i="21"/>
  <c r="AQ302" i="21"/>
  <c r="E29" i="61"/>
  <c r="D34" i="62"/>
  <c r="BP9" i="32"/>
  <c r="BP8" i="32" s="1"/>
  <c r="G15" i="63"/>
  <c r="F31" i="62"/>
  <c r="F16" i="62"/>
  <c r="AP290" i="21"/>
  <c r="AS173" i="21"/>
  <c r="AR172" i="21"/>
  <c r="BS13" i="32"/>
  <c r="BS12" i="32" s="1"/>
  <c r="BR13" i="32"/>
  <c r="BR12" i="32" s="1"/>
  <c r="BQ13" i="32"/>
  <c r="BQ12" i="32" s="1"/>
  <c r="BQ9" i="32" s="1"/>
  <c r="BQ8" i="32" s="1"/>
  <c r="BP13" i="32"/>
  <c r="BP12" i="32" s="1"/>
  <c r="BO13" i="32"/>
  <c r="BO12" i="32" s="1"/>
  <c r="BO9" i="32" s="1"/>
  <c r="BO8" i="32" s="1"/>
  <c r="BN13" i="32"/>
  <c r="BN12" i="32" s="1"/>
  <c r="BN9" i="32" s="1"/>
  <c r="BN8" i="32" s="1"/>
  <c r="BM13" i="32"/>
  <c r="BM12" i="32" s="1"/>
  <c r="BM9" i="32" s="1"/>
  <c r="BM8" i="32" s="1"/>
  <c r="BL13" i="32"/>
  <c r="BL12" i="32" s="1"/>
  <c r="BL9" i="32" s="1"/>
  <c r="BL8" i="32" s="1"/>
  <c r="BK13" i="32"/>
  <c r="BK12" i="32" s="1"/>
  <c r="BK9" i="32" s="1"/>
  <c r="BK8" i="32" s="1"/>
  <c r="AY12" i="32"/>
  <c r="AY9" i="32" s="1"/>
  <c r="AY8" i="32" s="1"/>
  <c r="BT13" i="32"/>
  <c r="BT12" i="32" s="1"/>
  <c r="AU120" i="21"/>
  <c r="AU112" i="21" s="1"/>
  <c r="AV121" i="21"/>
  <c r="AM249" i="21"/>
  <c r="AM45" i="21"/>
  <c r="BV126" i="32"/>
  <c r="BV121" i="32" s="1"/>
  <c r="BH28" i="32"/>
  <c r="BS28" i="32"/>
  <c r="C110" i="12"/>
  <c r="C117" i="12" s="1"/>
  <c r="AM69" i="21"/>
  <c r="AM268" i="21" s="1"/>
  <c r="AM62" i="21"/>
  <c r="AM348" i="21" s="1"/>
  <c r="E14" i="11"/>
  <c r="H34" i="62"/>
  <c r="I29" i="61"/>
  <c r="AZ199" i="21"/>
  <c r="AY199" i="21"/>
  <c r="AX198" i="21"/>
  <c r="D140" i="12"/>
  <c r="D83" i="12" s="1"/>
  <c r="D136" i="12"/>
  <c r="BS131" i="32"/>
  <c r="BS126" i="32" s="1"/>
  <c r="BS121" i="32" s="1"/>
  <c r="BJ102" i="32"/>
  <c r="BV102" i="32" s="1"/>
  <c r="BV99" i="32" s="1"/>
  <c r="BU102" i="32"/>
  <c r="BU99" i="32" s="1"/>
  <c r="BI111" i="32"/>
  <c r="BT112" i="32"/>
  <c r="D15" i="63"/>
  <c r="C16" i="62"/>
  <c r="C31" i="62"/>
  <c r="AM290" i="21"/>
  <c r="BC120" i="21"/>
  <c r="AT112" i="21"/>
  <c r="BG197" i="32"/>
  <c r="BH198" i="32"/>
  <c r="AM264" i="21"/>
  <c r="AM279" i="21" s="1"/>
  <c r="AM281" i="21" s="1"/>
  <c r="BR9" i="32"/>
  <c r="BR8" i="32" s="1"/>
  <c r="AZ19" i="21"/>
  <c r="AY19" i="21"/>
  <c r="AX17" i="21"/>
  <c r="H15" i="63"/>
  <c r="G31" i="62"/>
  <c r="G16" i="62"/>
  <c r="AQ290" i="21"/>
  <c r="I15" i="63"/>
  <c r="H31" i="62"/>
  <c r="H16" i="62"/>
  <c r="E16" i="18"/>
  <c r="J16" i="18"/>
  <c r="H16" i="18"/>
  <c r="L6" i="15" s="1"/>
  <c r="AW162" i="21" s="1"/>
  <c r="AM246" i="21"/>
  <c r="BH163" i="32"/>
  <c r="AY24" i="32"/>
  <c r="F28" i="9"/>
  <c r="F32" i="9" s="1"/>
  <c r="F31" i="9"/>
  <c r="E131" i="12"/>
  <c r="G6" i="11"/>
  <c r="G23" i="9"/>
  <c r="BV10" i="32"/>
  <c r="BT129" i="32"/>
  <c r="BT126" i="32" s="1"/>
  <c r="BT121" i="32" s="1"/>
  <c r="N15" i="51"/>
  <c r="N14" i="51" s="1"/>
  <c r="M26" i="61"/>
  <c r="AW142" i="21"/>
  <c r="BH118" i="32"/>
  <c r="BG117" i="32"/>
  <c r="AU145" i="21" s="1"/>
  <c r="BS171" i="32"/>
  <c r="BS170" i="32" s="1"/>
  <c r="AX164" i="21"/>
  <c r="AM350" i="21"/>
  <c r="BF9" i="32"/>
  <c r="BF8" i="32" s="1"/>
  <c r="F7" i="11"/>
  <c r="AN54" i="21" s="1"/>
  <c r="F46" i="11"/>
  <c r="C136" i="12"/>
  <c r="AN248" i="21" l="1"/>
  <c r="AN247" i="21"/>
  <c r="X357" i="21"/>
  <c r="C150" i="12"/>
  <c r="K22" i="62"/>
  <c r="L42" i="61"/>
  <c r="AN96" i="21"/>
  <c r="AN353" i="21" s="1"/>
  <c r="D101" i="12"/>
  <c r="AU141" i="21"/>
  <c r="AU134" i="21" s="1"/>
  <c r="F42" i="11"/>
  <c r="AN246" i="21"/>
  <c r="AN92" i="21"/>
  <c r="D98" i="12"/>
  <c r="G7" i="11"/>
  <c r="AO54" i="21"/>
  <c r="AW165" i="21"/>
  <c r="AZ17" i="21"/>
  <c r="AY17" i="21"/>
  <c r="M66" i="51"/>
  <c r="K25" i="61"/>
  <c r="L7" i="51"/>
  <c r="BC213" i="21"/>
  <c r="AM252" i="21"/>
  <c r="AM48" i="21"/>
  <c r="C113" i="12"/>
  <c r="E32" i="11"/>
  <c r="BS97" i="32"/>
  <c r="BS30" i="32" s="1"/>
  <c r="BC141" i="21"/>
  <c r="AT134" i="21"/>
  <c r="J34" i="62"/>
  <c r="K29" i="61"/>
  <c r="AN250" i="21"/>
  <c r="AN46" i="21"/>
  <c r="BI110" i="32"/>
  <c r="BT110" i="32"/>
  <c r="BT108" i="32" s="1"/>
  <c r="D112" i="12"/>
  <c r="D119" i="12" s="1"/>
  <c r="F26" i="11"/>
  <c r="H25" i="9"/>
  <c r="H18" i="11"/>
  <c r="F133" i="12"/>
  <c r="F142" i="12" s="1"/>
  <c r="BH190" i="32"/>
  <c r="BI191" i="32"/>
  <c r="BT191" i="32"/>
  <c r="AM254" i="21"/>
  <c r="L15" i="63"/>
  <c r="K31" i="62"/>
  <c r="K16" i="62"/>
  <c r="AU290" i="21"/>
  <c r="K36" i="62"/>
  <c r="L33" i="61"/>
  <c r="BI187" i="32"/>
  <c r="BT187" i="32"/>
  <c r="BT180" i="32" s="1"/>
  <c r="BT179" i="32" s="1"/>
  <c r="AV206" i="21"/>
  <c r="AV204" i="21" s="1"/>
  <c r="AV196" i="21" s="1"/>
  <c r="M23" i="61" s="1"/>
  <c r="AW207" i="21"/>
  <c r="L5" i="15"/>
  <c r="BL24" i="32"/>
  <c r="BK24" i="32"/>
  <c r="AZ198" i="21"/>
  <c r="AY198" i="21"/>
  <c r="AX197" i="21"/>
  <c r="AY158" i="32"/>
  <c r="F49" i="11"/>
  <c r="F33" i="9"/>
  <c r="AM277" i="21"/>
  <c r="D111" i="12"/>
  <c r="D118" i="12" s="1"/>
  <c r="AN71" i="21"/>
  <c r="AN270" i="21" s="1"/>
  <c r="AN63" i="21"/>
  <c r="F20" i="11"/>
  <c r="J50" i="61"/>
  <c r="AO93" i="21"/>
  <c r="AU8" i="21"/>
  <c r="AU7" i="21" s="1"/>
  <c r="AU6" i="21" s="1"/>
  <c r="AV9" i="21"/>
  <c r="BI98" i="32"/>
  <c r="BH97" i="32"/>
  <c r="BH30" i="32" s="1"/>
  <c r="BT98" i="32"/>
  <c r="BT97" i="32" s="1"/>
  <c r="BT30" i="32" s="1"/>
  <c r="BJ150" i="32"/>
  <c r="BV151" i="32"/>
  <c r="BV150" i="32" s="1"/>
  <c r="I16" i="63"/>
  <c r="I17" i="63" s="1"/>
  <c r="AS172" i="21"/>
  <c r="AT173" i="21"/>
  <c r="BC8" i="21"/>
  <c r="AT7" i="21"/>
  <c r="AM258" i="21"/>
  <c r="BJ27" i="32"/>
  <c r="BV27" i="32" s="1"/>
  <c r="BU27" i="32"/>
  <c r="G19" i="11"/>
  <c r="AO56" i="21" s="1"/>
  <c r="BI141" i="32"/>
  <c r="BI139" i="32" s="1"/>
  <c r="N35" i="61" s="1"/>
  <c r="BJ142" i="32"/>
  <c r="BU142" i="32"/>
  <c r="BU141" i="32" s="1"/>
  <c r="BU139" i="32" s="1"/>
  <c r="K31" i="51"/>
  <c r="W301" i="21"/>
  <c r="AS301" i="21"/>
  <c r="E99" i="12"/>
  <c r="BA23" i="32" s="1"/>
  <c r="D147" i="12"/>
  <c r="D145" i="12"/>
  <c r="D149" i="12"/>
  <c r="AU154" i="21"/>
  <c r="AM251" i="21"/>
  <c r="AM47" i="21"/>
  <c r="E51" i="11"/>
  <c r="E35" i="11"/>
  <c r="AY157" i="32"/>
  <c r="K35" i="62"/>
  <c r="L30" i="61"/>
  <c r="O15" i="51"/>
  <c r="O14" i="51" s="1"/>
  <c r="N26" i="61"/>
  <c r="F16" i="63"/>
  <c r="F17" i="63"/>
  <c r="E16" i="63"/>
  <c r="E17" i="63"/>
  <c r="J8" i="18"/>
  <c r="J6" i="18"/>
  <c r="J7" i="18"/>
  <c r="J9" i="18"/>
  <c r="J10" i="18"/>
  <c r="J11" i="18"/>
  <c r="J12" i="18"/>
  <c r="J13" i="18"/>
  <c r="J14" i="18"/>
  <c r="J15" i="18"/>
  <c r="F100" i="12"/>
  <c r="BB24" i="32" s="1"/>
  <c r="F86" i="12"/>
  <c r="AO95" i="21"/>
  <c r="AY160" i="32"/>
  <c r="F31" i="11"/>
  <c r="AN66" i="21"/>
  <c r="AN262" i="21" s="1"/>
  <c r="AN60" i="21"/>
  <c r="AN84" i="21"/>
  <c r="AN59" i="21"/>
  <c r="AN67" i="21"/>
  <c r="AN263" i="21" s="1"/>
  <c r="AN89" i="21"/>
  <c r="AN88" i="21" s="1"/>
  <c r="AN276" i="21" s="1"/>
  <c r="AN87" i="21"/>
  <c r="AN83" i="21"/>
  <c r="AN82" i="21" s="1"/>
  <c r="AN74" i="21"/>
  <c r="AN273" i="21" s="1"/>
  <c r="AN90" i="21"/>
  <c r="AN75" i="21"/>
  <c r="AN274" i="21" s="1"/>
  <c r="AN285" i="21" s="1"/>
  <c r="AN86" i="21"/>
  <c r="AN85" i="21" s="1"/>
  <c r="AN265" i="21" s="1"/>
  <c r="BJ181" i="32"/>
  <c r="BI180" i="32"/>
  <c r="BI179" i="32" s="1"/>
  <c r="BU181" i="32"/>
  <c r="AV154" i="21"/>
  <c r="AM42" i="21"/>
  <c r="AM339" i="21" s="1"/>
  <c r="BI196" i="32"/>
  <c r="BH193" i="32"/>
  <c r="BT196" i="32"/>
  <c r="BT193" i="32" s="1"/>
  <c r="G27" i="9"/>
  <c r="F35" i="9"/>
  <c r="G30" i="11"/>
  <c r="E135" i="12"/>
  <c r="AM347" i="21"/>
  <c r="AM91" i="21"/>
  <c r="M5" i="15"/>
  <c r="AV296" i="21"/>
  <c r="Z296" i="21"/>
  <c r="I47" i="62"/>
  <c r="D16" i="63"/>
  <c r="D17" i="63"/>
  <c r="AN253" i="21"/>
  <c r="AN278" i="21" s="1"/>
  <c r="AN49" i="21"/>
  <c r="L20" i="62"/>
  <c r="M40" i="61"/>
  <c r="AM338" i="21"/>
  <c r="AM257" i="21"/>
  <c r="BI17" i="32"/>
  <c r="BH16" i="32"/>
  <c r="BT17" i="32"/>
  <c r="BT16" i="32" s="1"/>
  <c r="AZ221" i="21"/>
  <c r="AY221" i="21"/>
  <c r="AX220" i="21"/>
  <c r="C151" i="12"/>
  <c r="AY164" i="21"/>
  <c r="AZ164" i="21"/>
  <c r="BH197" i="32"/>
  <c r="BI198" i="32"/>
  <c r="BT198" i="32"/>
  <c r="BT197" i="32" s="1"/>
  <c r="BJ111" i="32"/>
  <c r="BU112" i="32"/>
  <c r="BU111" i="32"/>
  <c r="BI29" i="32"/>
  <c r="BT29" i="32"/>
  <c r="E146" i="12"/>
  <c r="E144" i="12"/>
  <c r="E87" i="12" s="1"/>
  <c r="E148" i="12"/>
  <c r="AM341" i="21"/>
  <c r="AM259" i="21"/>
  <c r="AV214" i="21"/>
  <c r="AV213" i="21" s="1"/>
  <c r="AW215" i="21"/>
  <c r="H12" i="11"/>
  <c r="G32" i="9"/>
  <c r="H24" i="9"/>
  <c r="F132" i="12"/>
  <c r="F141" i="12" s="1"/>
  <c r="F84" i="12" s="1"/>
  <c r="C108" i="12"/>
  <c r="C152" i="12" s="1"/>
  <c r="M8" i="16"/>
  <c r="BG11" i="32"/>
  <c r="E100" i="12"/>
  <c r="P7" i="16"/>
  <c r="BJ13" i="32" s="1"/>
  <c r="BJ12" i="32" s="1"/>
  <c r="AX162" i="21"/>
  <c r="AX161" i="21"/>
  <c r="AY22" i="32"/>
  <c r="BI163" i="32"/>
  <c r="BT163" i="32"/>
  <c r="AM52" i="21"/>
  <c r="AM327" i="21" s="1"/>
  <c r="BI28" i="32"/>
  <c r="BT28" i="32"/>
  <c r="G28" i="9"/>
  <c r="G33" i="9" s="1"/>
  <c r="G31" i="9"/>
  <c r="H23" i="9"/>
  <c r="H6" i="11"/>
  <c r="F131" i="12"/>
  <c r="AM41" i="21"/>
  <c r="AN249" i="21"/>
  <c r="AN45" i="21"/>
  <c r="M89" i="12"/>
  <c r="M103" i="12"/>
  <c r="AV98" i="21"/>
  <c r="AZ163" i="21"/>
  <c r="AY163" i="21"/>
  <c r="F34" i="9"/>
  <c r="M7" i="51"/>
  <c r="L25" i="61"/>
  <c r="BC204" i="21"/>
  <c r="AT196" i="21"/>
  <c r="E43" i="11"/>
  <c r="AZ165" i="21"/>
  <c r="AY165" i="21"/>
  <c r="J17" i="18"/>
  <c r="G25" i="11"/>
  <c r="G49" i="11"/>
  <c r="AO81" i="21"/>
  <c r="AO80" i="21" s="1"/>
  <c r="AO275" i="21" s="1"/>
  <c r="AO280" i="21" s="1"/>
  <c r="AO79" i="21"/>
  <c r="AO78" i="21" s="1"/>
  <c r="AO58" i="21"/>
  <c r="AO65" i="21"/>
  <c r="AO261" i="21" s="1"/>
  <c r="AO57" i="21"/>
  <c r="AO64" i="21"/>
  <c r="AO260" i="21" s="1"/>
  <c r="AO72" i="21"/>
  <c r="AO271" i="21" s="1"/>
  <c r="AO77" i="21"/>
  <c r="AO76" i="21" s="1"/>
  <c r="AO73" i="21"/>
  <c r="AO272" i="21" s="1"/>
  <c r="V302" i="21"/>
  <c r="AR302" i="21"/>
  <c r="AY161" i="32"/>
  <c r="N105" i="12"/>
  <c r="O105" i="12" s="1"/>
  <c r="AM88" i="21"/>
  <c r="AM50" i="21" s="1"/>
  <c r="G47" i="11"/>
  <c r="G13" i="11"/>
  <c r="AO55" i="21"/>
  <c r="C120" i="12"/>
  <c r="D88" i="12"/>
  <c r="D102" i="12" s="1"/>
  <c r="C102" i="12"/>
  <c r="AM97" i="21"/>
  <c r="BH170" i="32"/>
  <c r="BI171" i="32"/>
  <c r="BT171" i="32"/>
  <c r="BT170" i="32" s="1"/>
  <c r="D29" i="61"/>
  <c r="C34" i="62"/>
  <c r="F43" i="11"/>
  <c r="F53" i="11" s="1"/>
  <c r="D109" i="12"/>
  <c r="AN68" i="21"/>
  <c r="AN267" i="21" s="1"/>
  <c r="AN61" i="21"/>
  <c r="F8" i="11"/>
  <c r="O7" i="16"/>
  <c r="AW163" i="21"/>
  <c r="AW164" i="21"/>
  <c r="AM283" i="21"/>
  <c r="AN264" i="21"/>
  <c r="AN279" i="21" s="1"/>
  <c r="AN281" i="21" s="1"/>
  <c r="L31" i="61"/>
  <c r="M15" i="63"/>
  <c r="L31" i="62"/>
  <c r="L16" i="62"/>
  <c r="AV290" i="21"/>
  <c r="H24" i="11"/>
  <c r="H26" i="9"/>
  <c r="G34" i="9"/>
  <c r="F134" i="12"/>
  <c r="AX224" i="21"/>
  <c r="BM23" i="32"/>
  <c r="BL23" i="32"/>
  <c r="BK23" i="32"/>
  <c r="D110" i="12"/>
  <c r="D117" i="12" s="1"/>
  <c r="AN69" i="21"/>
  <c r="AN268" i="21" s="1"/>
  <c r="AN62" i="21"/>
  <c r="AN348" i="21" s="1"/>
  <c r="F14" i="11"/>
  <c r="C116" i="12"/>
  <c r="AW161" i="21"/>
  <c r="AW160" i="21" s="1"/>
  <c r="BI118" i="32"/>
  <c r="BH117" i="32"/>
  <c r="AV145" i="21" s="1"/>
  <c r="BT118" i="32"/>
  <c r="BT117" i="32" s="1"/>
  <c r="AM245" i="21"/>
  <c r="L66" i="51"/>
  <c r="J28" i="62"/>
  <c r="L14" i="61"/>
  <c r="BC112" i="21"/>
  <c r="J14" i="62"/>
  <c r="K14" i="61"/>
  <c r="E140" i="12"/>
  <c r="E83" i="12" s="1"/>
  <c r="E136" i="12"/>
  <c r="F36" i="11"/>
  <c r="AX142" i="21"/>
  <c r="F36" i="9"/>
  <c r="H16" i="63"/>
  <c r="H17" i="63"/>
  <c r="AV120" i="21"/>
  <c r="AV112" i="21" s="1"/>
  <c r="AW121" i="21"/>
  <c r="G16" i="63"/>
  <c r="G17" i="63"/>
  <c r="BI19" i="32"/>
  <c r="BH18" i="32"/>
  <c r="BT19" i="32"/>
  <c r="BT18" i="32" s="1"/>
  <c r="N8" i="16"/>
  <c r="BH11" i="32"/>
  <c r="BH9" i="32" s="1"/>
  <c r="BH8" i="32" s="1"/>
  <c r="E50" i="11"/>
  <c r="AP93" i="21" l="1"/>
  <c r="F99" i="12"/>
  <c r="AV141" i="21"/>
  <c r="AV134" i="21" s="1"/>
  <c r="AO92" i="21"/>
  <c r="E98" i="12"/>
  <c r="AO96" i="21"/>
  <c r="AO353" i="21" s="1"/>
  <c r="E101" i="12"/>
  <c r="AO248" i="21"/>
  <c r="M31" i="61"/>
  <c r="H25" i="11"/>
  <c r="AP72" i="21"/>
  <c r="AP271" i="21" s="1"/>
  <c r="AP58" i="21"/>
  <c r="AP57" i="21"/>
  <c r="AP64" i="21"/>
  <c r="AP260" i="21" s="1"/>
  <c r="AP81" i="21"/>
  <c r="AP80" i="21" s="1"/>
  <c r="AP275" i="21" s="1"/>
  <c r="AP280" i="21" s="1"/>
  <c r="AP77" i="21"/>
  <c r="AP76" i="21" s="1"/>
  <c r="AP65" i="21"/>
  <c r="AP261" i="21" s="1"/>
  <c r="AP73" i="21"/>
  <c r="AP272" i="21" s="1"/>
  <c r="AP79" i="21"/>
  <c r="AP78" i="21" s="1"/>
  <c r="AW214" i="21"/>
  <c r="AW213" i="21" s="1"/>
  <c r="AX215" i="21"/>
  <c r="I6" i="11"/>
  <c r="I23" i="9"/>
  <c r="G131" i="12"/>
  <c r="AW120" i="21"/>
  <c r="AW112" i="21" s="1"/>
  <c r="AX121" i="21"/>
  <c r="AO247" i="21"/>
  <c r="N89" i="12"/>
  <c r="AW98" i="21"/>
  <c r="G36" i="9"/>
  <c r="AM323" i="21"/>
  <c r="AM51" i="21"/>
  <c r="C26" i="62"/>
  <c r="AW296" i="21"/>
  <c r="AA296" i="21"/>
  <c r="BC173" i="21"/>
  <c r="AT172" i="21"/>
  <c r="AU173" i="21"/>
  <c r="AO348" i="21"/>
  <c r="AZ161" i="32"/>
  <c r="D106" i="12"/>
  <c r="AZ22" i="32"/>
  <c r="AZ21" i="32" s="1"/>
  <c r="AZ20" i="32" s="1"/>
  <c r="M16" i="61"/>
  <c r="M68" i="51"/>
  <c r="C115" i="12"/>
  <c r="AY21" i="32"/>
  <c r="AY20" i="32" s="1"/>
  <c r="BK22" i="32"/>
  <c r="BK21" i="32" s="1"/>
  <c r="BK20" i="32" s="1"/>
  <c r="AN97" i="21"/>
  <c r="AN354" i="21" s="1"/>
  <c r="C106" i="12"/>
  <c r="H7" i="11"/>
  <c r="H46" i="11"/>
  <c r="AP54" i="21"/>
  <c r="E112" i="12"/>
  <c r="E119" i="12" s="1"/>
  <c r="G26" i="11"/>
  <c r="K23" i="61"/>
  <c r="BC196" i="21"/>
  <c r="AY162" i="21"/>
  <c r="AZ162" i="21"/>
  <c r="N66" i="51"/>
  <c r="L14" i="62"/>
  <c r="AZ158" i="32"/>
  <c r="E110" i="12"/>
  <c r="E117" i="12" s="1"/>
  <c r="AO62" i="21"/>
  <c r="AO69" i="21"/>
  <c r="AO268" i="21" s="1"/>
  <c r="G14" i="11"/>
  <c r="AO253" i="21"/>
  <c r="AO278" i="21" s="1"/>
  <c r="AO49" i="21"/>
  <c r="BA24" i="32"/>
  <c r="BV111" i="32"/>
  <c r="BV112" i="32"/>
  <c r="L30" i="62"/>
  <c r="L15" i="62"/>
  <c r="AV289" i="21"/>
  <c r="AN254" i="21"/>
  <c r="AN50" i="21"/>
  <c r="BK160" i="32"/>
  <c r="BL158" i="32"/>
  <c r="BK158" i="32"/>
  <c r="L16" i="63"/>
  <c r="L17" i="63" s="1"/>
  <c r="AX160" i="21"/>
  <c r="AZ161" i="21"/>
  <c r="AY161" i="21"/>
  <c r="BI13" i="32"/>
  <c r="Q7" i="16"/>
  <c r="AN277" i="21"/>
  <c r="AW206" i="21"/>
  <c r="AW204" i="21" s="1"/>
  <c r="AW196" i="21" s="1"/>
  <c r="N23" i="61" s="1"/>
  <c r="AX207" i="21"/>
  <c r="AN347" i="21"/>
  <c r="AN91" i="21"/>
  <c r="AN252" i="21"/>
  <c r="AN48" i="21"/>
  <c r="BJ19" i="32"/>
  <c r="BI18" i="32"/>
  <c r="BU19" i="32"/>
  <c r="BU18" i="32" s="1"/>
  <c r="E53" i="11"/>
  <c r="E44" i="11"/>
  <c r="E45" i="11" s="1"/>
  <c r="N15" i="63"/>
  <c r="M31" i="62"/>
  <c r="M16" i="62"/>
  <c r="AW290" i="21"/>
  <c r="F51" i="11"/>
  <c r="AZ157" i="32"/>
  <c r="BJ28" i="32"/>
  <c r="BV28" i="32" s="1"/>
  <c r="BU28" i="32"/>
  <c r="BG9" i="32"/>
  <c r="BG8" i="32" s="1"/>
  <c r="BS11" i="32"/>
  <c r="BS9" i="32" s="1"/>
  <c r="BS8" i="32" s="1"/>
  <c r="BT11" i="32"/>
  <c r="BT9" i="32" s="1"/>
  <c r="BT8" i="32" s="1"/>
  <c r="BJ198" i="32"/>
  <c r="BI197" i="32"/>
  <c r="BU198" i="32"/>
  <c r="BU197" i="32" s="1"/>
  <c r="L35" i="62"/>
  <c r="M30" i="61"/>
  <c r="E145" i="12"/>
  <c r="E88" i="12" s="1"/>
  <c r="E149" i="12"/>
  <c r="E147" i="12"/>
  <c r="M20" i="62"/>
  <c r="N40" i="61"/>
  <c r="BL157" i="32"/>
  <c r="BK157" i="32"/>
  <c r="E111" i="12"/>
  <c r="E118" i="12" s="1"/>
  <c r="AO63" i="21"/>
  <c r="AO71" i="21"/>
  <c r="AO270" i="21" s="1"/>
  <c r="G20" i="11"/>
  <c r="L16" i="61"/>
  <c r="L68" i="51"/>
  <c r="BC134" i="21"/>
  <c r="K16" i="61"/>
  <c r="AN341" i="21"/>
  <c r="AN259" i="21"/>
  <c r="AM40" i="21"/>
  <c r="BJ196" i="32"/>
  <c r="BI193" i="32"/>
  <c r="BU196" i="32"/>
  <c r="BU193" i="32" s="1"/>
  <c r="M16" i="63"/>
  <c r="M17" i="63" s="1"/>
  <c r="L34" i="62"/>
  <c r="M29" i="61"/>
  <c r="AN257" i="21"/>
  <c r="AN256" i="21" s="1"/>
  <c r="AN53" i="21"/>
  <c r="BI170" i="32"/>
  <c r="BJ171" i="32"/>
  <c r="BU171" i="32"/>
  <c r="BU170" i="32" s="1"/>
  <c r="AM276" i="21"/>
  <c r="AM39" i="21"/>
  <c r="AO249" i="21"/>
  <c r="AO45" i="21"/>
  <c r="BJ17" i="32"/>
  <c r="BI16" i="32"/>
  <c r="BU17" i="32"/>
  <c r="BU16" i="32" s="1"/>
  <c r="G31" i="11"/>
  <c r="AO75" i="21"/>
  <c r="AO274" i="21" s="1"/>
  <c r="AO84" i="21"/>
  <c r="AO87" i="21"/>
  <c r="AO67" i="21"/>
  <c r="AO263" i="21" s="1"/>
  <c r="AO83" i="21"/>
  <c r="AO60" i="21"/>
  <c r="AO66" i="21"/>
  <c r="AO262" i="21" s="1"/>
  <c r="AO59" i="21"/>
  <c r="AO89" i="21"/>
  <c r="AO86" i="21"/>
  <c r="AO85" i="21" s="1"/>
  <c r="AO265" i="21" s="1"/>
  <c r="AO90" i="21"/>
  <c r="AO74" i="21"/>
  <c r="AO273" i="21" s="1"/>
  <c r="BV181" i="32"/>
  <c r="BV180" i="32" s="1"/>
  <c r="BV179" i="32" s="1"/>
  <c r="AN284" i="21"/>
  <c r="AN286" i="21" s="1"/>
  <c r="K8" i="18"/>
  <c r="K6" i="18"/>
  <c r="K9" i="18"/>
  <c r="K10" i="18"/>
  <c r="K7" i="18"/>
  <c r="K11" i="18"/>
  <c r="K12" i="18"/>
  <c r="K13" i="18"/>
  <c r="K15" i="18"/>
  <c r="K14" i="18"/>
  <c r="K17" i="18"/>
  <c r="K16" i="18"/>
  <c r="G48" i="11"/>
  <c r="L23" i="61"/>
  <c r="AZ197" i="21"/>
  <c r="AY197" i="21"/>
  <c r="D93" i="12"/>
  <c r="BJ118" i="32"/>
  <c r="BI117" i="32"/>
  <c r="AW145" i="21" s="1"/>
  <c r="BU118" i="32"/>
  <c r="BU117" i="32" s="1"/>
  <c r="AO264" i="21"/>
  <c r="AO279" i="21" s="1"/>
  <c r="AO281" i="21" s="1"/>
  <c r="BJ29" i="32"/>
  <c r="BV29" i="32" s="1"/>
  <c r="BU29" i="32"/>
  <c r="Z357" i="21"/>
  <c r="F140" i="12"/>
  <c r="F83" i="12" s="1"/>
  <c r="AN339" i="21"/>
  <c r="AN258" i="21"/>
  <c r="AN266" i="21"/>
  <c r="AM53" i="21"/>
  <c r="AM355" i="21" s="1"/>
  <c r="AN251" i="21"/>
  <c r="AN283" i="21" s="1"/>
  <c r="AN282" i="21" s="1"/>
  <c r="AN47" i="21"/>
  <c r="AP95" i="21"/>
  <c r="F52" i="11"/>
  <c r="F59" i="11" s="1"/>
  <c r="AN378" i="21" s="1"/>
  <c r="E52" i="11"/>
  <c r="E59" i="11" s="1"/>
  <c r="AM378" i="21" s="1"/>
  <c r="BJ187" i="32"/>
  <c r="BV187" i="32" s="1"/>
  <c r="BU187" i="32"/>
  <c r="BU180" i="32" s="1"/>
  <c r="BU179" i="32" s="1"/>
  <c r="BT190" i="32"/>
  <c r="Z385" i="21" s="1"/>
  <c r="Z387" i="21" s="1"/>
  <c r="Y357" i="21"/>
  <c r="AO246" i="21"/>
  <c r="I12" i="11"/>
  <c r="I24" i="9"/>
  <c r="G132" i="12"/>
  <c r="G141" i="12" s="1"/>
  <c r="G84" i="12" s="1"/>
  <c r="D113" i="12"/>
  <c r="D120" i="12" s="1"/>
  <c r="F32" i="11"/>
  <c r="AN39" i="21"/>
  <c r="AY142" i="21"/>
  <c r="AZ142" i="21"/>
  <c r="AZ224" i="21"/>
  <c r="AY224" i="21"/>
  <c r="D108" i="12"/>
  <c r="D152" i="12" s="1"/>
  <c r="D151" i="12" s="1"/>
  <c r="AM354" i="21"/>
  <c r="BL161" i="32"/>
  <c r="BK161" i="32"/>
  <c r="AO250" i="21"/>
  <c r="AO46" i="21"/>
  <c r="BJ163" i="32"/>
  <c r="BU163" i="32"/>
  <c r="AM256" i="21"/>
  <c r="H30" i="11"/>
  <c r="H36" i="11" s="1"/>
  <c r="H27" i="9"/>
  <c r="H28" i="9" s="1"/>
  <c r="G35" i="9"/>
  <c r="F135" i="12"/>
  <c r="AN350" i="21"/>
  <c r="AZ160" i="32"/>
  <c r="BI190" i="32"/>
  <c r="BJ191" i="32"/>
  <c r="BU191" i="32"/>
  <c r="BU190" i="32" s="1"/>
  <c r="AA385" i="21" s="1"/>
  <c r="AA387" i="21" s="1"/>
  <c r="BJ110" i="32"/>
  <c r="BV110" i="32" s="1"/>
  <c r="BV108" i="32" s="1"/>
  <c r="BU110" i="32"/>
  <c r="BU108" i="32" s="1"/>
  <c r="AY162" i="32"/>
  <c r="G36" i="11"/>
  <c r="D116" i="12"/>
  <c r="L22" i="62"/>
  <c r="M42" i="61"/>
  <c r="AN52" i="21"/>
  <c r="AN327" i="21" s="1"/>
  <c r="L36" i="62"/>
  <c r="M33" i="61"/>
  <c r="K14" i="62"/>
  <c r="G43" i="11"/>
  <c r="E109" i="12"/>
  <c r="E116" i="12" s="1"/>
  <c r="AO68" i="21"/>
  <c r="AO267" i="21" s="1"/>
  <c r="AO61" i="21"/>
  <c r="G8" i="11"/>
  <c r="AN41" i="21"/>
  <c r="AN40" i="21" s="1"/>
  <c r="AN42" i="21"/>
  <c r="AS302" i="21"/>
  <c r="W302" i="21"/>
  <c r="BI97" i="32"/>
  <c r="BI30" i="32" s="1"/>
  <c r="BJ98" i="32"/>
  <c r="BU98" i="32"/>
  <c r="BU97" i="32" s="1"/>
  <c r="BU30" i="32" s="1"/>
  <c r="H19" i="11"/>
  <c r="H48" i="11"/>
  <c r="AP56" i="21"/>
  <c r="M14" i="61"/>
  <c r="G46" i="11"/>
  <c r="AN245" i="21"/>
  <c r="AT6" i="21"/>
  <c r="BC7" i="21"/>
  <c r="AV8" i="21"/>
  <c r="AV7" i="21" s="1"/>
  <c r="AV6" i="21" s="1"/>
  <c r="AW9" i="21"/>
  <c r="O6" i="16"/>
  <c r="AW156" i="21"/>
  <c r="AW159" i="21"/>
  <c r="AW158" i="21"/>
  <c r="AW155" i="21"/>
  <c r="AW157" i="21"/>
  <c r="I18" i="11"/>
  <c r="I25" i="9"/>
  <c r="G133" i="12"/>
  <c r="G142" i="12" s="1"/>
  <c r="G86" i="12" s="1"/>
  <c r="K28" i="62"/>
  <c r="G40" i="11"/>
  <c r="AN43" i="21"/>
  <c r="F144" i="12"/>
  <c r="F87" i="12" s="1"/>
  <c r="F148" i="12"/>
  <c r="F146" i="12"/>
  <c r="I26" i="9"/>
  <c r="I24" i="11"/>
  <c r="G134" i="12"/>
  <c r="H13" i="11"/>
  <c r="AP55" i="21"/>
  <c r="M25" i="61"/>
  <c r="N7" i="51"/>
  <c r="O26" i="61"/>
  <c r="P15" i="51"/>
  <c r="P14" i="51" s="1"/>
  <c r="AZ220" i="21"/>
  <c r="AY220" i="21"/>
  <c r="P6" i="16"/>
  <c r="AX159" i="21"/>
  <c r="AX155" i="21"/>
  <c r="AX156" i="21"/>
  <c r="AX158" i="21"/>
  <c r="AX157" i="21"/>
  <c r="F50" i="11"/>
  <c r="K30" i="62"/>
  <c r="K15" i="62"/>
  <c r="AU289" i="21"/>
  <c r="BJ141" i="32"/>
  <c r="BJ139" i="32" s="1"/>
  <c r="O35" i="61" s="1"/>
  <c r="BV142" i="32"/>
  <c r="BV141" i="32" s="1"/>
  <c r="BV139" i="32" s="1"/>
  <c r="M32" i="51"/>
  <c r="M30" i="51" s="1"/>
  <c r="M7" i="61"/>
  <c r="M9" i="61" s="1"/>
  <c r="L7" i="62"/>
  <c r="L9" i="62" s="1"/>
  <c r="K43" i="62"/>
  <c r="K45" i="62" s="1"/>
  <c r="L46" i="61"/>
  <c r="L48" i="61" s="1"/>
  <c r="AU380" i="21"/>
  <c r="AU320" i="21"/>
  <c r="AU325" i="21"/>
  <c r="F44" i="11"/>
  <c r="F45" i="11" s="1"/>
  <c r="AP96" i="21" l="1"/>
  <c r="AP353" i="21" s="1"/>
  <c r="F101" i="12"/>
  <c r="AQ95" i="21"/>
  <c r="G100" i="12"/>
  <c r="AP92" i="21"/>
  <c r="F98" i="12"/>
  <c r="H34" i="9"/>
  <c r="H32" i="9"/>
  <c r="H31" i="9"/>
  <c r="H33" i="9"/>
  <c r="AO97" i="21"/>
  <c r="E102" i="12"/>
  <c r="E93" i="12"/>
  <c r="AW141" i="21"/>
  <c r="AQ93" i="21"/>
  <c r="G99" i="12"/>
  <c r="BC23" i="32" s="1"/>
  <c r="AX154" i="21"/>
  <c r="AZ155" i="21"/>
  <c r="AY155" i="21"/>
  <c r="G44" i="11"/>
  <c r="G45" i="11" s="1"/>
  <c r="G42" i="11"/>
  <c r="AA357" i="21"/>
  <c r="G53" i="11"/>
  <c r="BK162" i="32"/>
  <c r="BV163" i="32"/>
  <c r="I7" i="15"/>
  <c r="L13" i="18"/>
  <c r="E113" i="12"/>
  <c r="E120" i="12" s="1"/>
  <c r="G32" i="11"/>
  <c r="AM285" i="21"/>
  <c r="AM266" i="21"/>
  <c r="AM255" i="21" s="1"/>
  <c r="H40" i="11"/>
  <c r="O66" i="51"/>
  <c r="AO43" i="21"/>
  <c r="AY158" i="21"/>
  <c r="AZ158" i="21"/>
  <c r="AM322" i="21"/>
  <c r="AM324" i="21" s="1"/>
  <c r="J7" i="15"/>
  <c r="L14" i="18"/>
  <c r="AP247" i="21"/>
  <c r="AZ159" i="21"/>
  <c r="AY159" i="21"/>
  <c r="AW8" i="21"/>
  <c r="AW7" i="21" s="1"/>
  <c r="AW6" i="21" s="1"/>
  <c r="AX9" i="21"/>
  <c r="BJ97" i="32"/>
  <c r="BV98" i="32"/>
  <c r="BV97" i="32" s="1"/>
  <c r="F64" i="51"/>
  <c r="F61" i="51" s="1"/>
  <c r="AN5" i="21"/>
  <c r="H7" i="15"/>
  <c r="L12" i="18"/>
  <c r="G50" i="11"/>
  <c r="AO277" i="21"/>
  <c r="G140" i="12"/>
  <c r="G83" i="12" s="1"/>
  <c r="P8" i="16"/>
  <c r="BJ11" i="32"/>
  <c r="BJ9" i="32" s="1"/>
  <c r="BJ8" i="32" s="1"/>
  <c r="Q6" i="16"/>
  <c r="Q8" i="16" s="1"/>
  <c r="F110" i="12"/>
  <c r="F117" i="12" s="1"/>
  <c r="AP62" i="21"/>
  <c r="AP69" i="21"/>
  <c r="AP268" i="21" s="1"/>
  <c r="H14" i="11"/>
  <c r="L43" i="62"/>
  <c r="L45" i="62" s="1"/>
  <c r="N32" i="51"/>
  <c r="N30" i="51" s="1"/>
  <c r="M7" i="62"/>
  <c r="M9" i="62" s="1"/>
  <c r="M46" i="61"/>
  <c r="M48" i="61" s="1"/>
  <c r="N7" i="61"/>
  <c r="N9" i="61" s="1"/>
  <c r="AV380" i="21"/>
  <c r="AV320" i="21"/>
  <c r="AV325" i="21"/>
  <c r="M36" i="62"/>
  <c r="N33" i="61"/>
  <c r="AZ162" i="32"/>
  <c r="G7" i="15"/>
  <c r="L11" i="18"/>
  <c r="BJ170" i="32"/>
  <c r="Q378" i="21" s="1"/>
  <c r="BV171" i="32"/>
  <c r="BV170" i="32" s="1"/>
  <c r="N31" i="61"/>
  <c r="BA158" i="32"/>
  <c r="E32" i="61"/>
  <c r="AZ217" i="32"/>
  <c r="AZ7" i="32"/>
  <c r="J23" i="9"/>
  <c r="J6" i="11"/>
  <c r="I28" i="9"/>
  <c r="I31" i="9" s="1"/>
  <c r="H131" i="12"/>
  <c r="AP249" i="21"/>
  <c r="AP45" i="21"/>
  <c r="F147" i="12"/>
  <c r="F145" i="12"/>
  <c r="F88" i="12" s="1"/>
  <c r="F149" i="12"/>
  <c r="H47" i="11"/>
  <c r="J18" i="11"/>
  <c r="J25" i="9"/>
  <c r="H133" i="12"/>
  <c r="H142" i="12" s="1"/>
  <c r="H86" i="12" s="1"/>
  <c r="C7" i="15"/>
  <c r="L7" i="18"/>
  <c r="AO88" i="21"/>
  <c r="AO276" i="21" s="1"/>
  <c r="AO266" i="21" s="1"/>
  <c r="AY156" i="32"/>
  <c r="AY149" i="32" s="1"/>
  <c r="AZ156" i="32"/>
  <c r="AZ149" i="32" s="1"/>
  <c r="BJ18" i="32"/>
  <c r="BV19" i="32"/>
  <c r="BV18" i="32" s="1"/>
  <c r="BI12" i="32"/>
  <c r="BU13" i="32"/>
  <c r="BU12" i="32" s="1"/>
  <c r="BV13" i="32"/>
  <c r="BV12" i="32" s="1"/>
  <c r="AP250" i="21"/>
  <c r="AP46" i="21"/>
  <c r="N68" i="51"/>
  <c r="G144" i="12"/>
  <c r="G87" i="12" s="1"/>
  <c r="G146" i="12"/>
  <c r="G148" i="12"/>
  <c r="L32" i="51"/>
  <c r="L30" i="51" s="1"/>
  <c r="K7" i="62"/>
  <c r="K9" i="62" s="1"/>
  <c r="J43" i="62"/>
  <c r="J45" i="62" s="1"/>
  <c r="K46" i="61"/>
  <c r="K48" i="61" s="1"/>
  <c r="L7" i="61"/>
  <c r="L9" i="61" s="1"/>
  <c r="AT380" i="21"/>
  <c r="AT320" i="21"/>
  <c r="AT325" i="21"/>
  <c r="BC6" i="21"/>
  <c r="I30" i="11"/>
  <c r="I40" i="11" s="1"/>
  <c r="H35" i="9"/>
  <c r="I27" i="9"/>
  <c r="G135" i="12"/>
  <c r="AM345" i="21"/>
  <c r="F7" i="15"/>
  <c r="L10" i="18"/>
  <c r="AO251" i="21"/>
  <c r="AO47" i="21"/>
  <c r="AN345" i="21"/>
  <c r="BA160" i="32"/>
  <c r="BK156" i="32"/>
  <c r="BK149" i="32" s="1"/>
  <c r="AO339" i="21"/>
  <c r="AO258" i="21"/>
  <c r="I36" i="11"/>
  <c r="I46" i="11"/>
  <c r="I7" i="11"/>
  <c r="AQ54" i="21"/>
  <c r="H31" i="11"/>
  <c r="H50" i="11" s="1"/>
  <c r="AP60" i="21"/>
  <c r="AP75" i="21"/>
  <c r="AP274" i="21" s="1"/>
  <c r="AP59" i="21"/>
  <c r="AP67" i="21"/>
  <c r="AP263" i="21" s="1"/>
  <c r="AP90" i="21"/>
  <c r="AP87" i="21"/>
  <c r="AP83" i="21"/>
  <c r="AP74" i="21"/>
  <c r="AP273" i="21" s="1"/>
  <c r="AP86" i="21"/>
  <c r="AP85" i="21" s="1"/>
  <c r="AP265" i="21" s="1"/>
  <c r="AP89" i="21"/>
  <c r="AP66" i="21"/>
  <c r="AP262" i="21" s="1"/>
  <c r="AP84" i="21"/>
  <c r="J12" i="11"/>
  <c r="J24" i="9"/>
  <c r="H132" i="12"/>
  <c r="H141" i="12" s="1"/>
  <c r="H84" i="12" s="1"/>
  <c r="E7" i="15"/>
  <c r="L9" i="18"/>
  <c r="M35" i="62"/>
  <c r="N30" i="61"/>
  <c r="AN255" i="21"/>
  <c r="AN322" i="21"/>
  <c r="BA161" i="32"/>
  <c r="BM161" i="32" s="1"/>
  <c r="F112" i="12"/>
  <c r="F119" i="12" s="1"/>
  <c r="H26" i="11"/>
  <c r="I25" i="11"/>
  <c r="I49" i="11"/>
  <c r="AQ72" i="21"/>
  <c r="AQ271" i="21" s="1"/>
  <c r="AQ65" i="21"/>
  <c r="AQ261" i="21" s="1"/>
  <c r="AQ81" i="21"/>
  <c r="AQ80" i="21" s="1"/>
  <c r="AQ275" i="21" s="1"/>
  <c r="AQ280" i="21" s="1"/>
  <c r="AQ58" i="21"/>
  <c r="AQ77" i="21"/>
  <c r="AQ76" i="21" s="1"/>
  <c r="AQ57" i="21"/>
  <c r="AQ64" i="21"/>
  <c r="AQ260" i="21" s="1"/>
  <c r="AQ79" i="21"/>
  <c r="AQ78" i="21" s="1"/>
  <c r="AQ73" i="21"/>
  <c r="AQ272" i="21" s="1"/>
  <c r="BV191" i="32"/>
  <c r="B7" i="15"/>
  <c r="L6" i="18"/>
  <c r="AO252" i="21"/>
  <c r="AO48" i="21"/>
  <c r="AO341" i="21" s="1"/>
  <c r="BJ16" i="32"/>
  <c r="BV17" i="32"/>
  <c r="BV16" i="32" s="1"/>
  <c r="AN338" i="21"/>
  <c r="BV196" i="32"/>
  <c r="BV193" i="32" s="1"/>
  <c r="BJ193" i="32"/>
  <c r="BJ190" i="32" s="1"/>
  <c r="AO259" i="21"/>
  <c r="BJ197" i="32"/>
  <c r="BV198" i="32"/>
  <c r="BV197" i="32" s="1"/>
  <c r="F35" i="11"/>
  <c r="AN355" i="21"/>
  <c r="AN323" i="21"/>
  <c r="AN51" i="21"/>
  <c r="D26" i="62"/>
  <c r="AX214" i="21"/>
  <c r="AZ215" i="21"/>
  <c r="AY215" i="21"/>
  <c r="H49" i="11"/>
  <c r="J24" i="11"/>
  <c r="J26" i="9"/>
  <c r="H134" i="12"/>
  <c r="AZ189" i="32"/>
  <c r="AZ188" i="32" s="1"/>
  <c r="AN364" i="21"/>
  <c r="AN335" i="21"/>
  <c r="I13" i="11"/>
  <c r="I47" i="11" s="1"/>
  <c r="D7" i="15"/>
  <c r="L8" i="18"/>
  <c r="AO82" i="21"/>
  <c r="O15" i="63"/>
  <c r="N16" i="62"/>
  <c r="N31" i="62"/>
  <c r="AX290" i="21"/>
  <c r="AY160" i="21"/>
  <c r="AZ160" i="21"/>
  <c r="AX98" i="21"/>
  <c r="O89" i="12"/>
  <c r="O7" i="51"/>
  <c r="N25" i="61"/>
  <c r="BB23" i="32"/>
  <c r="I19" i="11"/>
  <c r="I48" i="11"/>
  <c r="AQ56" i="21"/>
  <c r="AX296" i="21"/>
  <c r="AB296" i="21"/>
  <c r="AW154" i="21"/>
  <c r="N42" i="61"/>
  <c r="M22" i="62"/>
  <c r="K47" i="62"/>
  <c r="AP248" i="21"/>
  <c r="G51" i="11"/>
  <c r="G35" i="11"/>
  <c r="BA157" i="32"/>
  <c r="L7" i="15"/>
  <c r="L16" i="18"/>
  <c r="AO350" i="21"/>
  <c r="AO284" i="21"/>
  <c r="AY189" i="32"/>
  <c r="AM364" i="21"/>
  <c r="AX206" i="21"/>
  <c r="AZ207" i="21"/>
  <c r="AY207" i="21"/>
  <c r="BL160" i="32"/>
  <c r="AP246" i="21"/>
  <c r="AU172" i="21"/>
  <c r="AV173" i="21"/>
  <c r="N103" i="12"/>
  <c r="O103" i="12" s="1"/>
  <c r="AP264" i="21"/>
  <c r="AP279" i="21" s="1"/>
  <c r="AP281" i="21" s="1"/>
  <c r="AP348" i="21"/>
  <c r="L50" i="61"/>
  <c r="AZ157" i="21"/>
  <c r="AY157" i="21"/>
  <c r="AO257" i="21"/>
  <c r="AO256" i="21" s="1"/>
  <c r="AO53" i="21"/>
  <c r="AO41" i="21"/>
  <c r="AO338" i="21" s="1"/>
  <c r="G52" i="11"/>
  <c r="G59" i="11" s="1"/>
  <c r="AO378" i="21" s="1"/>
  <c r="F136" i="12"/>
  <c r="M7" i="15"/>
  <c r="L17" i="18"/>
  <c r="N14" i="61"/>
  <c r="D32" i="61"/>
  <c r="AY217" i="32"/>
  <c r="AY7" i="32"/>
  <c r="BC172" i="21"/>
  <c r="AO42" i="21"/>
  <c r="E106" i="12"/>
  <c r="BA22" i="32"/>
  <c r="BK7" i="32"/>
  <c r="AO347" i="21"/>
  <c r="AO91" i="21"/>
  <c r="AP350" i="21"/>
  <c r="BJ117" i="32"/>
  <c r="AX145" i="21" s="1"/>
  <c r="BV118" i="32"/>
  <c r="BV117" i="32" s="1"/>
  <c r="N16" i="63"/>
  <c r="M31" i="51"/>
  <c r="Y301" i="21"/>
  <c r="AU301" i="21"/>
  <c r="AY156" i="21"/>
  <c r="AZ156" i="21"/>
  <c r="O8" i="16"/>
  <c r="BI11" i="32"/>
  <c r="F111" i="12"/>
  <c r="F118" i="12" s="1"/>
  <c r="AP63" i="21"/>
  <c r="AP71" i="21"/>
  <c r="AP270" i="21" s="1"/>
  <c r="H20" i="11"/>
  <c r="E108" i="12"/>
  <c r="E152" i="12" s="1"/>
  <c r="E151" i="12" s="1"/>
  <c r="D115" i="12"/>
  <c r="D150" i="12"/>
  <c r="K7" i="15"/>
  <c r="L15" i="18"/>
  <c r="BJ180" i="32"/>
  <c r="BJ179" i="32" s="1"/>
  <c r="AO285" i="21"/>
  <c r="E64" i="51"/>
  <c r="E61" i="51" s="1"/>
  <c r="E12" i="61"/>
  <c r="D12" i="61"/>
  <c r="AM5" i="21"/>
  <c r="K34" i="62"/>
  <c r="L29" i="61"/>
  <c r="BN24" i="32"/>
  <c r="BM24" i="32"/>
  <c r="L28" i="62"/>
  <c r="H43" i="11"/>
  <c r="H53" i="11" s="1"/>
  <c r="F109" i="12"/>
  <c r="AP68" i="21"/>
  <c r="AP267" i="21" s="1"/>
  <c r="AP61" i="21"/>
  <c r="H8" i="11"/>
  <c r="BL22" i="32"/>
  <c r="BL21" i="32" s="1"/>
  <c r="BL20" i="32" s="1"/>
  <c r="AX120" i="21"/>
  <c r="AZ121" i="21"/>
  <c r="AY121" i="21"/>
  <c r="AP253" i="21"/>
  <c r="AP278" i="21" s="1"/>
  <c r="AP49" i="21"/>
  <c r="AR95" i="21" l="1"/>
  <c r="H100" i="12"/>
  <c r="BD24" i="32" s="1"/>
  <c r="I42" i="11"/>
  <c r="AR93" i="21"/>
  <c r="H99" i="12"/>
  <c r="AQ92" i="21"/>
  <c r="G98" i="12"/>
  <c r="AQ96" i="21"/>
  <c r="AQ353" i="21" s="1"/>
  <c r="G101" i="12"/>
  <c r="AP97" i="21"/>
  <c r="F102" i="12"/>
  <c r="F93" i="12"/>
  <c r="AZ145" i="21"/>
  <c r="AY145" i="21"/>
  <c r="AX141" i="21"/>
  <c r="O42" i="61"/>
  <c r="N22" i="62"/>
  <c r="E62" i="51"/>
  <c r="Q309" i="21"/>
  <c r="Q311" i="21" s="1"/>
  <c r="AM309" i="21"/>
  <c r="AM311" i="21" s="1"/>
  <c r="E28" i="51"/>
  <c r="BI9" i="32"/>
  <c r="BI8" i="32" s="1"/>
  <c r="BU11" i="32"/>
  <c r="BU9" i="32" s="1"/>
  <c r="BU8" i="32" s="1"/>
  <c r="BV11" i="32"/>
  <c r="BV9" i="32" s="1"/>
  <c r="BV8" i="32" s="1"/>
  <c r="BA21" i="32"/>
  <c r="BA20" i="32" s="1"/>
  <c r="BM22" i="32"/>
  <c r="BM21" i="32" s="1"/>
  <c r="BM20" i="32" s="1"/>
  <c r="AP41" i="21"/>
  <c r="BL189" i="32"/>
  <c r="BL188" i="32" s="1"/>
  <c r="BK189" i="32"/>
  <c r="BK188" i="32" s="1"/>
  <c r="BK148" i="32" s="1"/>
  <c r="AY188" i="32"/>
  <c r="E41" i="61"/>
  <c r="D21" i="62"/>
  <c r="BB161" i="32"/>
  <c r="AP166" i="21"/>
  <c r="E8" i="15"/>
  <c r="K25" i="9"/>
  <c r="K18" i="11"/>
  <c r="I133" i="12"/>
  <c r="AP258" i="21"/>
  <c r="AT166" i="21"/>
  <c r="I8" i="15"/>
  <c r="BC24" i="32"/>
  <c r="BO23" i="32"/>
  <c r="BN23" i="32"/>
  <c r="O16" i="63"/>
  <c r="P16" i="63" s="1"/>
  <c r="O17" i="63"/>
  <c r="P17" i="63" s="1"/>
  <c r="H146" i="12"/>
  <c r="H148" i="12"/>
  <c r="H144" i="12"/>
  <c r="H87" i="12" s="1"/>
  <c r="AQ264" i="21"/>
  <c r="AQ279" i="21" s="1"/>
  <c r="AQ281" i="21" s="1"/>
  <c r="AP284" i="21"/>
  <c r="I33" i="9"/>
  <c r="I36" i="9" s="1"/>
  <c r="J46" i="11"/>
  <c r="J7" i="11"/>
  <c r="AR54" i="21"/>
  <c r="AC378" i="21"/>
  <c r="AX166" i="21"/>
  <c r="M8" i="15"/>
  <c r="AO286" i="21"/>
  <c r="N20" i="62"/>
  <c r="O40" i="61"/>
  <c r="AO254" i="21"/>
  <c r="AO283" i="21" s="1"/>
  <c r="AO282" i="21" s="1"/>
  <c r="AO50" i="21"/>
  <c r="AO52" i="21"/>
  <c r="AO327" i="21" s="1"/>
  <c r="AO39" i="21"/>
  <c r="I34" i="9"/>
  <c r="K12" i="11"/>
  <c r="K24" i="9"/>
  <c r="I132" i="12"/>
  <c r="AP251" i="21"/>
  <c r="AP47" i="21"/>
  <c r="O31" i="61"/>
  <c r="J19" i="11"/>
  <c r="J48" i="11" s="1"/>
  <c r="AR56" i="21"/>
  <c r="K6" i="11"/>
  <c r="K23" i="9"/>
  <c r="I131" i="12"/>
  <c r="AS166" i="21"/>
  <c r="H8" i="15"/>
  <c r="H36" i="9"/>
  <c r="K24" i="11"/>
  <c r="K26" i="9"/>
  <c r="I134" i="12"/>
  <c r="O30" i="61"/>
  <c r="N35" i="62"/>
  <c r="AQ249" i="21"/>
  <c r="AQ45" i="21"/>
  <c r="I32" i="9"/>
  <c r="D18" i="62"/>
  <c r="E38" i="61"/>
  <c r="AZ218" i="32"/>
  <c r="AZ219" i="32" s="1"/>
  <c r="AZ206" i="32"/>
  <c r="AZ207" i="32" s="1"/>
  <c r="AZ148" i="32"/>
  <c r="AZ205" i="32"/>
  <c r="O29" i="61"/>
  <c r="N34" i="62"/>
  <c r="AP42" i="21"/>
  <c r="AP339" i="21" s="1"/>
  <c r="N15" i="62"/>
  <c r="N30" i="62"/>
  <c r="AX328" i="21"/>
  <c r="AX289" i="21"/>
  <c r="AX321" i="21"/>
  <c r="AY154" i="21"/>
  <c r="AX153" i="21"/>
  <c r="AZ154" i="21"/>
  <c r="AP277" i="21"/>
  <c r="AV166" i="21"/>
  <c r="K8" i="15"/>
  <c r="AW166" i="21"/>
  <c r="AW291" i="21" s="1"/>
  <c r="L8" i="15"/>
  <c r="AO166" i="21"/>
  <c r="D8" i="15"/>
  <c r="J25" i="11"/>
  <c r="AR77" i="21"/>
  <c r="AR76" i="21" s="1"/>
  <c r="AR72" i="21"/>
  <c r="AR271" i="21" s="1"/>
  <c r="AR79" i="21"/>
  <c r="AR78" i="21" s="1"/>
  <c r="AR57" i="21"/>
  <c r="AR64" i="21"/>
  <c r="AR260" i="21" s="1"/>
  <c r="AR81" i="21"/>
  <c r="AR80" i="21" s="1"/>
  <c r="AR275" i="21" s="1"/>
  <c r="AR280" i="21" s="1"/>
  <c r="AR65" i="21"/>
  <c r="AR261" i="21" s="1"/>
  <c r="AR58" i="21"/>
  <c r="AR73" i="21"/>
  <c r="AR272" i="21" s="1"/>
  <c r="AQ253" i="21"/>
  <c r="AQ278" i="21" s="1"/>
  <c r="AQ277" i="21" s="1"/>
  <c r="AQ49" i="21"/>
  <c r="J13" i="11"/>
  <c r="J47" i="11"/>
  <c r="AP252" i="21"/>
  <c r="AP48" i="21"/>
  <c r="AQ166" i="21"/>
  <c r="F8" i="15"/>
  <c r="C18" i="62"/>
  <c r="D38" i="61"/>
  <c r="AY218" i="32"/>
  <c r="AY219" i="32" s="1"/>
  <c r="AY206" i="32"/>
  <c r="AY207" i="32" s="1"/>
  <c r="AY148" i="32"/>
  <c r="AY205" i="32"/>
  <c r="AR166" i="21"/>
  <c r="G8" i="15"/>
  <c r="F76" i="51"/>
  <c r="F79" i="51" s="1"/>
  <c r="AN237" i="21"/>
  <c r="E115" i="12"/>
  <c r="E150" i="12"/>
  <c r="M30" i="62"/>
  <c r="M15" i="62"/>
  <c r="AW328" i="21"/>
  <c r="AW321" i="21"/>
  <c r="AW289" i="21"/>
  <c r="AQ55" i="21"/>
  <c r="AQ250" i="21"/>
  <c r="AQ46" i="21"/>
  <c r="BK206" i="32"/>
  <c r="BK207" i="32" s="1"/>
  <c r="BK205" i="32"/>
  <c r="H44" i="11"/>
  <c r="H45" i="11" s="1"/>
  <c r="H42" i="11"/>
  <c r="F106" i="12"/>
  <c r="BB22" i="32"/>
  <c r="BB21" i="32" s="1"/>
  <c r="BB20" i="32" s="1"/>
  <c r="M50" i="61"/>
  <c r="F62" i="51"/>
  <c r="R309" i="21"/>
  <c r="R311" i="21" s="1"/>
  <c r="AN309" i="21"/>
  <c r="AN311" i="21" s="1"/>
  <c r="F28" i="51"/>
  <c r="AU166" i="21"/>
  <c r="J8" i="15"/>
  <c r="P15" i="63"/>
  <c r="AO255" i="21"/>
  <c r="AO322" i="21"/>
  <c r="AV172" i="21"/>
  <c r="AW173" i="21"/>
  <c r="AY206" i="21"/>
  <c r="AZ206" i="21"/>
  <c r="AX204" i="21"/>
  <c r="AZ296" i="21"/>
  <c r="AY296" i="21"/>
  <c r="AM166" i="21"/>
  <c r="B8" i="15"/>
  <c r="AN324" i="21"/>
  <c r="AP88" i="21"/>
  <c r="AP276" i="21" s="1"/>
  <c r="AP266" i="21" s="1"/>
  <c r="F113" i="12"/>
  <c r="F108" i="12" s="1"/>
  <c r="F152" i="12" s="1"/>
  <c r="F151" i="12" s="1"/>
  <c r="H32" i="11"/>
  <c r="AN166" i="21"/>
  <c r="C8" i="15"/>
  <c r="AM386" i="21"/>
  <c r="AM326" i="21"/>
  <c r="AM334" i="21"/>
  <c r="AO354" i="21"/>
  <c r="AP347" i="21"/>
  <c r="AO345" i="21"/>
  <c r="AY120" i="21"/>
  <c r="AZ120" i="21"/>
  <c r="AX112" i="21"/>
  <c r="BB160" i="32"/>
  <c r="AQ248" i="21"/>
  <c r="BM157" i="32"/>
  <c r="AQ246" i="21"/>
  <c r="G149" i="12"/>
  <c r="G147" i="12"/>
  <c r="G145" i="12"/>
  <c r="G88" i="12" s="1"/>
  <c r="K50" i="61"/>
  <c r="BN158" i="32"/>
  <c r="BM158" i="32"/>
  <c r="N31" i="51"/>
  <c r="AV301" i="21"/>
  <c r="Z301" i="21"/>
  <c r="G136" i="12"/>
  <c r="BV30" i="32"/>
  <c r="AM286" i="21"/>
  <c r="AM282" i="21"/>
  <c r="AZ98" i="21"/>
  <c r="AY98" i="21"/>
  <c r="AU302" i="21"/>
  <c r="Y302" i="21"/>
  <c r="BL7" i="32"/>
  <c r="E76" i="51"/>
  <c r="E79" i="51" s="1"/>
  <c r="AM237" i="21"/>
  <c r="AN357" i="21"/>
  <c r="AN359" i="21"/>
  <c r="AM357" i="21"/>
  <c r="AM359" i="21"/>
  <c r="AX139" i="21"/>
  <c r="AW139" i="21"/>
  <c r="AN367" i="21"/>
  <c r="AM367" i="21"/>
  <c r="AM335" i="21"/>
  <c r="N17" i="63"/>
  <c r="AY214" i="21"/>
  <c r="AZ214" i="21"/>
  <c r="AX213" i="21"/>
  <c r="G109" i="12"/>
  <c r="G116" i="12" s="1"/>
  <c r="AQ68" i="21"/>
  <c r="AQ267" i="21" s="1"/>
  <c r="AQ61" i="21"/>
  <c r="AQ41" i="21" s="1"/>
  <c r="I8" i="11"/>
  <c r="I35" i="9"/>
  <c r="J30" i="11"/>
  <c r="J36" i="11" s="1"/>
  <c r="J27" i="9"/>
  <c r="J28" i="9" s="1"/>
  <c r="H135" i="12"/>
  <c r="J47" i="62"/>
  <c r="L47" i="62"/>
  <c r="BJ30" i="32"/>
  <c r="BA162" i="32"/>
  <c r="AO40" i="21"/>
  <c r="AO355" i="21"/>
  <c r="AO323" i="21"/>
  <c r="AO51" i="21"/>
  <c r="E26" i="62"/>
  <c r="AP259" i="21"/>
  <c r="AY290" i="21"/>
  <c r="AZ290" i="21"/>
  <c r="BV190" i="32"/>
  <c r="AB385" i="21" s="1"/>
  <c r="AB387" i="21" s="1"/>
  <c r="G112" i="12"/>
  <c r="G119" i="12" s="1"/>
  <c r="I26" i="11"/>
  <c r="AP82" i="21"/>
  <c r="H136" i="12"/>
  <c r="H140" i="12"/>
  <c r="H83" i="12" s="1"/>
  <c r="BB158" i="32"/>
  <c r="AZ9" i="21"/>
  <c r="AY9" i="21"/>
  <c r="AX8" i="21"/>
  <c r="BL162" i="32"/>
  <c r="BL156" i="32" s="1"/>
  <c r="BL149" i="32" s="1"/>
  <c r="G110" i="12"/>
  <c r="G117" i="12" s="1"/>
  <c r="AQ62" i="21"/>
  <c r="AQ69" i="21"/>
  <c r="AQ268" i="21" s="1"/>
  <c r="I14" i="11"/>
  <c r="BB157" i="32"/>
  <c r="AP338" i="21"/>
  <c r="AP257" i="21"/>
  <c r="AP256" i="21" s="1"/>
  <c r="AP53" i="21"/>
  <c r="BM160" i="32"/>
  <c r="AP43" i="21"/>
  <c r="AP341" i="21" s="1"/>
  <c r="G111" i="12"/>
  <c r="G118" i="12" s="1"/>
  <c r="AQ71" i="21"/>
  <c r="AQ270" i="21" s="1"/>
  <c r="AQ63" i="21"/>
  <c r="AQ350" i="21" s="1"/>
  <c r="I20" i="11"/>
  <c r="I31" i="11"/>
  <c r="I43" i="11" s="1"/>
  <c r="AQ67" i="21"/>
  <c r="AQ263" i="21" s="1"/>
  <c r="AQ284" i="21" s="1"/>
  <c r="AQ60" i="21"/>
  <c r="AQ90" i="21"/>
  <c r="AQ66" i="21"/>
  <c r="AQ262" i="21" s="1"/>
  <c r="AQ59" i="21"/>
  <c r="AQ89" i="21"/>
  <c r="AQ87" i="21"/>
  <c r="AQ86" i="21"/>
  <c r="AQ85" i="21" s="1"/>
  <c r="AQ265" i="21" s="1"/>
  <c r="AQ83" i="21"/>
  <c r="AQ74" i="21"/>
  <c r="AQ273" i="21" s="1"/>
  <c r="AQ75" i="21"/>
  <c r="AQ274" i="21" s="1"/>
  <c r="AQ84" i="21"/>
  <c r="L31" i="51"/>
  <c r="X301" i="21"/>
  <c r="AT301" i="21"/>
  <c r="O32" i="51"/>
  <c r="O30" i="51" s="1"/>
  <c r="N7" i="62"/>
  <c r="N9" i="62" s="1"/>
  <c r="M43" i="62"/>
  <c r="M45" i="62" s="1"/>
  <c r="N46" i="61"/>
  <c r="N48" i="61" s="1"/>
  <c r="O7" i="61"/>
  <c r="O9" i="61" s="1"/>
  <c r="AW325" i="21"/>
  <c r="AW320" i="21"/>
  <c r="AW380" i="21"/>
  <c r="F116" i="12"/>
  <c r="BL206" i="32" l="1"/>
  <c r="BL207" i="32" s="1"/>
  <c r="BL148" i="32"/>
  <c r="BL205" i="32"/>
  <c r="J33" i="9"/>
  <c r="J34" i="9"/>
  <c r="J32" i="9"/>
  <c r="J31" i="9"/>
  <c r="AQ97" i="21"/>
  <c r="G93" i="12"/>
  <c r="G102" i="12"/>
  <c r="BK200" i="32"/>
  <c r="BK146" i="32" s="1"/>
  <c r="BK201" i="32"/>
  <c r="BK147" i="32" s="1"/>
  <c r="AM182" i="21" s="1"/>
  <c r="AM181" i="21" s="1"/>
  <c r="AC241" i="21"/>
  <c r="AM241" i="21"/>
  <c r="I53" i="11"/>
  <c r="I44" i="11"/>
  <c r="I45" i="11" s="1"/>
  <c r="I98" i="12"/>
  <c r="I83" i="12"/>
  <c r="AR92" i="21"/>
  <c r="H98" i="12"/>
  <c r="AR96" i="21"/>
  <c r="AR353" i="21" s="1"/>
  <c r="H101" i="12"/>
  <c r="I140" i="12"/>
  <c r="J40" i="11"/>
  <c r="AP354" i="21"/>
  <c r="G106" i="12"/>
  <c r="BC22" i="32"/>
  <c r="P66" i="51"/>
  <c r="AY112" i="21"/>
  <c r="AZ112" i="21"/>
  <c r="O14" i="61"/>
  <c r="AY200" i="32"/>
  <c r="AY146" i="32" s="1"/>
  <c r="AY201" i="32" s="1"/>
  <c r="AY147" i="32" s="1"/>
  <c r="AY202" i="32" s="1"/>
  <c r="AR250" i="21"/>
  <c r="AR46" i="21"/>
  <c r="AO291" i="21"/>
  <c r="AO292" i="21" s="1"/>
  <c r="AO328" i="21"/>
  <c r="AO153" i="21"/>
  <c r="AO321" i="21"/>
  <c r="AZ321" i="21"/>
  <c r="AY321" i="21"/>
  <c r="I141" i="12"/>
  <c r="I84" i="12" s="1"/>
  <c r="BP24" i="32"/>
  <c r="BO24" i="32"/>
  <c r="F120" i="12"/>
  <c r="AQ347" i="21"/>
  <c r="AQ91" i="21"/>
  <c r="J31" i="11"/>
  <c r="J50" i="11" s="1"/>
  <c r="AR83" i="21"/>
  <c r="AR82" i="21" s="1"/>
  <c r="AR75" i="21"/>
  <c r="AR274" i="21" s="1"/>
  <c r="AR89" i="21"/>
  <c r="AR88" i="21" s="1"/>
  <c r="AR276" i="21" s="1"/>
  <c r="AR87" i="21"/>
  <c r="AR66" i="21"/>
  <c r="AR262" i="21" s="1"/>
  <c r="AR74" i="21"/>
  <c r="AR273" i="21" s="1"/>
  <c r="AR60" i="21"/>
  <c r="AR59" i="21"/>
  <c r="AR84" i="21"/>
  <c r="AR90" i="21"/>
  <c r="AR67" i="21"/>
  <c r="AR263" i="21" s="1"/>
  <c r="AR86" i="21"/>
  <c r="AQ258" i="21"/>
  <c r="AQ348" i="21"/>
  <c r="AY208" i="32"/>
  <c r="AY212" i="32"/>
  <c r="AY213" i="32"/>
  <c r="H110" i="12"/>
  <c r="H117" i="12" s="1"/>
  <c r="AR62" i="21"/>
  <c r="AR69" i="21"/>
  <c r="AR268" i="21" s="1"/>
  <c r="J14" i="11"/>
  <c r="AZ289" i="21"/>
  <c r="AY289" i="21"/>
  <c r="F32" i="61"/>
  <c r="BA217" i="32"/>
  <c r="BA7" i="32"/>
  <c r="AQ251" i="21"/>
  <c r="AQ47" i="21"/>
  <c r="AQ252" i="21"/>
  <c r="AQ48" i="21"/>
  <c r="O33" i="61"/>
  <c r="N36" i="62"/>
  <c r="R310" i="21"/>
  <c r="R312" i="21" s="1"/>
  <c r="R313" i="21" s="1"/>
  <c r="AN310" i="21"/>
  <c r="AN312" i="21" s="1"/>
  <c r="AN313" i="21" s="1"/>
  <c r="F71" i="51"/>
  <c r="F73" i="51" s="1"/>
  <c r="BN161" i="32"/>
  <c r="AZ328" i="21"/>
  <c r="AY328" i="21"/>
  <c r="L23" i="9"/>
  <c r="L6" i="11"/>
  <c r="J131" i="12"/>
  <c r="L12" i="11"/>
  <c r="L24" i="9"/>
  <c r="J132" i="12"/>
  <c r="J141" i="12" s="1"/>
  <c r="AT291" i="21"/>
  <c r="AT292" i="21" s="1"/>
  <c r="BC166" i="21"/>
  <c r="AT328" i="21"/>
  <c r="AT321" i="21"/>
  <c r="AT153" i="21"/>
  <c r="AZ141" i="21"/>
  <c r="AY141" i="21"/>
  <c r="BC157" i="32"/>
  <c r="AQ52" i="21"/>
  <c r="AQ327" i="21" s="1"/>
  <c r="AW172" i="21"/>
  <c r="AX173" i="21"/>
  <c r="BK208" i="32"/>
  <c r="BK212" i="32"/>
  <c r="BK213" i="32"/>
  <c r="AZ200" i="32"/>
  <c r="AZ146" i="32" s="1"/>
  <c r="AZ201" i="32" s="1"/>
  <c r="AZ147" i="32" s="1"/>
  <c r="AZ202" i="32" s="1"/>
  <c r="I148" i="12"/>
  <c r="I144" i="12"/>
  <c r="I87" i="12" s="1"/>
  <c r="I146" i="12"/>
  <c r="K7" i="11"/>
  <c r="K46" i="11" s="1"/>
  <c r="AS54" i="21"/>
  <c r="K13" i="11"/>
  <c r="AS55" i="21" s="1"/>
  <c r="AP245" i="21"/>
  <c r="AY204" i="21"/>
  <c r="AZ204" i="21"/>
  <c r="AX196" i="21"/>
  <c r="AN291" i="21"/>
  <c r="AN292" i="21" s="1"/>
  <c r="AN328" i="21"/>
  <c r="AN336" i="21" s="1"/>
  <c r="AN153" i="21"/>
  <c r="AN321" i="21"/>
  <c r="AR249" i="21"/>
  <c r="AR45" i="21"/>
  <c r="AZ208" i="32"/>
  <c r="AZ212" i="32"/>
  <c r="AZ213" i="32"/>
  <c r="M34" i="62"/>
  <c r="N29" i="61"/>
  <c r="BC158" i="32"/>
  <c r="BO158" i="32" s="1"/>
  <c r="L24" i="11"/>
  <c r="L26" i="9"/>
  <c r="J134" i="12"/>
  <c r="AR248" i="21"/>
  <c r="I50" i="11"/>
  <c r="AY8" i="21"/>
  <c r="AX7" i="21"/>
  <c r="AZ8" i="21"/>
  <c r="AQ266" i="21"/>
  <c r="AB357" i="21"/>
  <c r="BN157" i="32"/>
  <c r="AO324" i="21"/>
  <c r="AR264" i="21"/>
  <c r="AR279" i="21" s="1"/>
  <c r="AR281" i="21" s="1"/>
  <c r="AV291" i="21"/>
  <c r="AV292" i="21" s="1"/>
  <c r="AV328" i="21"/>
  <c r="AV321" i="21"/>
  <c r="AV153" i="21"/>
  <c r="K25" i="11"/>
  <c r="K49" i="11"/>
  <c r="AS72" i="21"/>
  <c r="AS271" i="21" s="1"/>
  <c r="AS79" i="21"/>
  <c r="AS78" i="21" s="1"/>
  <c r="AS81" i="21"/>
  <c r="AS80" i="21" s="1"/>
  <c r="AS275" i="21" s="1"/>
  <c r="AS280" i="21" s="1"/>
  <c r="AS65" i="21"/>
  <c r="AS261" i="21" s="1"/>
  <c r="AS57" i="21"/>
  <c r="AS64" i="21"/>
  <c r="AS260" i="21" s="1"/>
  <c r="AS73" i="21"/>
  <c r="AS272" i="21" s="1"/>
  <c r="AS58" i="21"/>
  <c r="AS77" i="21"/>
  <c r="AS76" i="21" s="1"/>
  <c r="AX291" i="21"/>
  <c r="AX292" i="21" s="1"/>
  <c r="AY166" i="21"/>
  <c r="AZ166" i="21"/>
  <c r="I142" i="12"/>
  <c r="I86" i="12" s="1"/>
  <c r="BM7" i="32"/>
  <c r="AZ139" i="21"/>
  <c r="AY139" i="21"/>
  <c r="AX105" i="21"/>
  <c r="AX135" i="21"/>
  <c r="AM291" i="21"/>
  <c r="AM292" i="21" s="1"/>
  <c r="AM153" i="21"/>
  <c r="AM328" i="21"/>
  <c r="AM336" i="21" s="1"/>
  <c r="AM321" i="21"/>
  <c r="AP255" i="21"/>
  <c r="AP322" i="21"/>
  <c r="AP254" i="21"/>
  <c r="AP283" i="21" s="1"/>
  <c r="AP282" i="21" s="1"/>
  <c r="AP50" i="21"/>
  <c r="AP40" i="21" s="1"/>
  <c r="AP52" i="21"/>
  <c r="AP327" i="21" s="1"/>
  <c r="AQ43" i="21"/>
  <c r="BB162" i="32"/>
  <c r="G32" i="61"/>
  <c r="BB7" i="32"/>
  <c r="BB217" i="32"/>
  <c r="AQ291" i="21"/>
  <c r="AQ292" i="21" s="1"/>
  <c r="AQ153" i="21"/>
  <c r="AQ321" i="21"/>
  <c r="AQ328" i="21"/>
  <c r="H111" i="12"/>
  <c r="H118" i="12" s="1"/>
  <c r="AR71" i="21"/>
  <c r="AR270" i="21" s="1"/>
  <c r="AR63" i="21"/>
  <c r="J20" i="11"/>
  <c r="G64" i="51"/>
  <c r="G61" i="51" s="1"/>
  <c r="AO5" i="21"/>
  <c r="F12" i="61"/>
  <c r="K21" i="11"/>
  <c r="K19" i="11"/>
  <c r="AS56" i="21" s="1"/>
  <c r="BN22" i="32"/>
  <c r="BN21" i="32" s="1"/>
  <c r="BN20" i="32" s="1"/>
  <c r="K30" i="11"/>
  <c r="J35" i="9"/>
  <c r="K27" i="9"/>
  <c r="K28" i="9" s="1"/>
  <c r="I135" i="12"/>
  <c r="I136" i="12" s="1"/>
  <c r="AQ338" i="21"/>
  <c r="AQ257" i="21"/>
  <c r="Q316" i="21"/>
  <c r="AM316" i="21"/>
  <c r="G108" i="12"/>
  <c r="G152" i="12" s="1"/>
  <c r="G151" i="12" s="1"/>
  <c r="N50" i="61"/>
  <c r="AQ82" i="21"/>
  <c r="BC161" i="32"/>
  <c r="AP91" i="21"/>
  <c r="BO157" i="32"/>
  <c r="AR253" i="21"/>
  <c r="AR278" i="21" s="1"/>
  <c r="AR49" i="21"/>
  <c r="AO336" i="21"/>
  <c r="AO335" i="21"/>
  <c r="L18" i="11"/>
  <c r="L25" i="9"/>
  <c r="J133" i="12"/>
  <c r="J142" i="12" s="1"/>
  <c r="BO22" i="32"/>
  <c r="BO21" i="32" s="1"/>
  <c r="BO20" i="32" s="1"/>
  <c r="AO245" i="21"/>
  <c r="AT302" i="21"/>
  <c r="X302" i="21"/>
  <c r="G113" i="12"/>
  <c r="G120" i="12" s="1"/>
  <c r="I32" i="11"/>
  <c r="I51" i="11" s="1"/>
  <c r="M47" i="62"/>
  <c r="M48" i="62" s="1"/>
  <c r="BC160" i="32"/>
  <c r="BA189" i="32"/>
  <c r="AO364" i="21"/>
  <c r="L48" i="62"/>
  <c r="K48" i="62"/>
  <c r="J48" i="62"/>
  <c r="D48" i="62"/>
  <c r="G48" i="62"/>
  <c r="I48" i="62"/>
  <c r="F48" i="62"/>
  <c r="E48" i="62"/>
  <c r="C48" i="62"/>
  <c r="H48" i="62"/>
  <c r="AQ247" i="21"/>
  <c r="AQ42" i="21"/>
  <c r="AN316" i="21"/>
  <c r="R316" i="21"/>
  <c r="H112" i="12"/>
  <c r="H119" i="12" s="1"/>
  <c r="J26" i="11"/>
  <c r="AP285" i="21"/>
  <c r="AP286" i="21" s="1"/>
  <c r="Q310" i="21"/>
  <c r="Q312" i="21" s="1"/>
  <c r="Q313" i="21" s="1"/>
  <c r="AM310" i="21"/>
  <c r="AM312" i="21" s="1"/>
  <c r="AM313" i="21" s="1"/>
  <c r="E71" i="51"/>
  <c r="E73" i="51" s="1"/>
  <c r="AQ341" i="21"/>
  <c r="AQ259" i="21"/>
  <c r="H51" i="11"/>
  <c r="P7" i="51"/>
  <c r="O25" i="61"/>
  <c r="AZ213" i="21"/>
  <c r="AY213" i="21"/>
  <c r="AN386" i="21"/>
  <c r="AN326" i="21"/>
  <c r="AN334" i="21"/>
  <c r="AW153" i="21"/>
  <c r="O18" i="61" s="1"/>
  <c r="AR246" i="21"/>
  <c r="AR52" i="21"/>
  <c r="AR327" i="21" s="1"/>
  <c r="AR41" i="21"/>
  <c r="D41" i="61"/>
  <c r="C21" i="62"/>
  <c r="F115" i="12"/>
  <c r="F150" i="12"/>
  <c r="BD23" i="32"/>
  <c r="N51" i="61"/>
  <c r="M51" i="61"/>
  <c r="L51" i="61"/>
  <c r="K51" i="61"/>
  <c r="E51" i="61"/>
  <c r="G51" i="61"/>
  <c r="I51" i="61"/>
  <c r="F51" i="61"/>
  <c r="D51" i="61"/>
  <c r="H51" i="61"/>
  <c r="J51" i="61"/>
  <c r="O31" i="51"/>
  <c r="AA301" i="21"/>
  <c r="AW301" i="21"/>
  <c r="AQ88" i="21"/>
  <c r="AQ276" i="21" s="1"/>
  <c r="AQ285" i="21" s="1"/>
  <c r="AQ286" i="21" s="1"/>
  <c r="H35" i="11"/>
  <c r="H149" i="12"/>
  <c r="H145" i="12"/>
  <c r="H88" i="12" s="1"/>
  <c r="H147" i="12"/>
  <c r="AW135" i="21"/>
  <c r="AW134" i="21" s="1"/>
  <c r="AW105" i="21"/>
  <c r="AW102" i="21" s="1"/>
  <c r="Z302" i="21"/>
  <c r="AV302" i="21"/>
  <c r="BN160" i="32"/>
  <c r="BA156" i="32"/>
  <c r="BA149" i="32" s="1"/>
  <c r="AU291" i="21"/>
  <c r="AU292" i="21" s="1"/>
  <c r="AU328" i="21"/>
  <c r="AU321" i="21"/>
  <c r="AU153" i="21"/>
  <c r="AW292" i="21"/>
  <c r="AR291" i="21"/>
  <c r="AR292" i="21" s="1"/>
  <c r="AR321" i="21"/>
  <c r="AR328" i="21"/>
  <c r="AR153" i="21"/>
  <c r="AR55" i="21"/>
  <c r="J49" i="11"/>
  <c r="AZ153" i="21"/>
  <c r="AY153" i="21"/>
  <c r="AS291" i="21"/>
  <c r="AS292" i="21" s="1"/>
  <c r="AS153" i="21"/>
  <c r="AS328" i="21"/>
  <c r="AS321" i="21"/>
  <c r="J43" i="11"/>
  <c r="J53" i="11" s="1"/>
  <c r="H109" i="12"/>
  <c r="H116" i="12" s="1"/>
  <c r="AR61" i="21"/>
  <c r="AR68" i="21"/>
  <c r="AR267" i="21" s="1"/>
  <c r="AR266" i="21" s="1"/>
  <c r="J8" i="11"/>
  <c r="AP291" i="21"/>
  <c r="AP292" i="21" s="1"/>
  <c r="AP153" i="21"/>
  <c r="AP328" i="21"/>
  <c r="AP321" i="21"/>
  <c r="AR348" i="21"/>
  <c r="BM162" i="32"/>
  <c r="BM156" i="32" s="1"/>
  <c r="BM149" i="32" s="1"/>
  <c r="AS96" i="21" l="1"/>
  <c r="AS353" i="21" s="1"/>
  <c r="I101" i="12"/>
  <c r="I88" i="12"/>
  <c r="I93" i="12" s="1"/>
  <c r="AR97" i="21"/>
  <c r="H102" i="12"/>
  <c r="H93" i="12"/>
  <c r="BB189" i="32"/>
  <c r="BB188" i="32" s="1"/>
  <c r="AP364" i="21"/>
  <c r="AP345" i="21"/>
  <c r="BM206" i="32"/>
  <c r="BM207" i="32" s="1"/>
  <c r="BM148" i="32"/>
  <c r="BM205" i="32"/>
  <c r="K31" i="9"/>
  <c r="K32" i="9"/>
  <c r="K33" i="9"/>
  <c r="K34" i="9"/>
  <c r="AS247" i="21"/>
  <c r="AS248" i="21"/>
  <c r="AZ292" i="21"/>
  <c r="AY292" i="21"/>
  <c r="AR252" i="21"/>
  <c r="AR48" i="21"/>
  <c r="AR347" i="21"/>
  <c r="AR91" i="21"/>
  <c r="J36" i="9"/>
  <c r="BA188" i="32"/>
  <c r="BN189" i="32"/>
  <c r="BN188" i="32" s="1"/>
  <c r="BM189" i="32"/>
  <c r="BM188" i="32" s="1"/>
  <c r="AP323" i="21"/>
  <c r="AP355" i="21"/>
  <c r="AP51" i="21"/>
  <c r="F26" i="62"/>
  <c r="BN7" i="32"/>
  <c r="M24" i="11"/>
  <c r="K134" i="12"/>
  <c r="M26" i="9"/>
  <c r="AQ336" i="21"/>
  <c r="K18" i="61"/>
  <c r="BC153" i="21"/>
  <c r="L40" i="11"/>
  <c r="L7" i="11"/>
  <c r="AT54" i="21"/>
  <c r="AY209" i="32"/>
  <c r="AY210" i="32" s="1"/>
  <c r="AY211" i="32" s="1"/>
  <c r="AY214" i="32"/>
  <c r="AS92" i="21"/>
  <c r="J148" i="12"/>
  <c r="J146" i="12"/>
  <c r="J144" i="12"/>
  <c r="J87" i="12" s="1"/>
  <c r="L18" i="61"/>
  <c r="O68" i="51"/>
  <c r="M28" i="62"/>
  <c r="N16" i="61"/>
  <c r="AA302" i="21"/>
  <c r="AW302" i="21"/>
  <c r="BO160" i="32"/>
  <c r="M18" i="11"/>
  <c r="M25" i="9"/>
  <c r="K133" i="12"/>
  <c r="K142" i="12" s="1"/>
  <c r="I110" i="12"/>
  <c r="AS62" i="21"/>
  <c r="AS42" i="21" s="1"/>
  <c r="AS69" i="21"/>
  <c r="AS268" i="21" s="1"/>
  <c r="K14" i="11"/>
  <c r="M23" i="9"/>
  <c r="M6" i="11"/>
  <c r="K131" i="12"/>
  <c r="J44" i="11"/>
  <c r="J45" i="11" s="1"/>
  <c r="J42" i="11"/>
  <c r="BK202" i="32"/>
  <c r="AM228" i="21" s="1"/>
  <c r="I111" i="12"/>
  <c r="I118" i="12" s="1"/>
  <c r="AS71" i="21"/>
  <c r="AS270" i="21" s="1"/>
  <c r="AS63" i="21"/>
  <c r="AS43" i="21" s="1"/>
  <c r="K20" i="11"/>
  <c r="D18" i="61"/>
  <c r="AM170" i="21"/>
  <c r="J86" i="12"/>
  <c r="AS95" i="21"/>
  <c r="AS350" i="21" s="1"/>
  <c r="I100" i="12"/>
  <c r="AS264" i="21"/>
  <c r="AS279" i="21" s="1"/>
  <c r="AS281" i="21" s="1"/>
  <c r="L25" i="11"/>
  <c r="L49" i="11"/>
  <c r="AT57" i="21"/>
  <c r="AT64" i="21"/>
  <c r="AT65" i="21"/>
  <c r="AT77" i="21"/>
  <c r="AT73" i="21"/>
  <c r="AT79" i="21"/>
  <c r="AT81" i="21"/>
  <c r="AT58" i="21"/>
  <c r="AT72" i="21"/>
  <c r="BE22" i="32"/>
  <c r="L19" i="11"/>
  <c r="AT56" i="21"/>
  <c r="O23" i="61"/>
  <c r="AZ196" i="21"/>
  <c r="AY196" i="21"/>
  <c r="K47" i="11"/>
  <c r="I35" i="11"/>
  <c r="F18" i="61"/>
  <c r="BK145" i="32"/>
  <c r="BK6" i="32" s="1"/>
  <c r="AM178" i="21"/>
  <c r="AM171" i="21" s="1"/>
  <c r="K31" i="11"/>
  <c r="K43" i="11" s="1"/>
  <c r="K53" i="11" s="1"/>
  <c r="AS60" i="21"/>
  <c r="AS67" i="21"/>
  <c r="AS263" i="21" s="1"/>
  <c r="AS66" i="21"/>
  <c r="AS262" i="21" s="1"/>
  <c r="AS59" i="21"/>
  <c r="AS89" i="21"/>
  <c r="AS84" i="21"/>
  <c r="AS87" i="21"/>
  <c r="AS83" i="21"/>
  <c r="AS86" i="21"/>
  <c r="AS90" i="21"/>
  <c r="AS75" i="21"/>
  <c r="AS274" i="21" s="1"/>
  <c r="AS74" i="21"/>
  <c r="AS273" i="21" s="1"/>
  <c r="G18" i="61"/>
  <c r="AR336" i="21"/>
  <c r="H52" i="11"/>
  <c r="H59" i="11" s="1"/>
  <c r="AP378" i="21" s="1"/>
  <c r="I52" i="11"/>
  <c r="I59" i="11" s="1"/>
  <c r="AQ378" i="21" s="1"/>
  <c r="BD161" i="32"/>
  <c r="AQ53" i="21"/>
  <c r="K48" i="11"/>
  <c r="AX134" i="21"/>
  <c r="AZ135" i="21"/>
  <c r="AY135" i="21"/>
  <c r="AS246" i="21"/>
  <c r="AZ145" i="32"/>
  <c r="AQ339" i="21"/>
  <c r="AR285" i="21"/>
  <c r="BL200" i="32"/>
  <c r="BL146" i="32" s="1"/>
  <c r="BL201" i="32"/>
  <c r="BL147" i="32" s="1"/>
  <c r="AN182" i="21" s="1"/>
  <c r="AN181" i="21" s="1"/>
  <c r="AD241" i="21"/>
  <c r="AN241" i="21"/>
  <c r="BO7" i="32"/>
  <c r="E18" i="61"/>
  <c r="M27" i="62"/>
  <c r="M14" i="62"/>
  <c r="O65" i="51"/>
  <c r="N13" i="61"/>
  <c r="BC162" i="32"/>
  <c r="BO162" i="32" s="1"/>
  <c r="AQ256" i="21"/>
  <c r="H18" i="61"/>
  <c r="AP39" i="21"/>
  <c r="AY105" i="21"/>
  <c r="AX102" i="21"/>
  <c r="AO386" i="21"/>
  <c r="AO326" i="21"/>
  <c r="AO334" i="21"/>
  <c r="AZ7" i="21"/>
  <c r="AY7" i="21"/>
  <c r="AX6" i="21"/>
  <c r="AR254" i="21"/>
  <c r="AR50" i="21"/>
  <c r="G115" i="12"/>
  <c r="G150" i="12"/>
  <c r="BL208" i="32"/>
  <c r="BL212" i="32"/>
  <c r="BL213" i="32"/>
  <c r="BB156" i="32"/>
  <c r="BB149" i="32" s="1"/>
  <c r="AP336" i="21"/>
  <c r="AY291" i="21"/>
  <c r="AZ291" i="21"/>
  <c r="I112" i="12"/>
  <c r="I119" i="12" s="1"/>
  <c r="K26" i="11"/>
  <c r="K36" i="11"/>
  <c r="BO161" i="32"/>
  <c r="BO156" i="32" s="1"/>
  <c r="BO149" i="32" s="1"/>
  <c r="BD158" i="32"/>
  <c r="AR85" i="21"/>
  <c r="AS249" i="21"/>
  <c r="AS45" i="21"/>
  <c r="N18" i="61"/>
  <c r="H108" i="12"/>
  <c r="H152" i="12" s="1"/>
  <c r="H151" i="12" s="1"/>
  <c r="AR247" i="21"/>
  <c r="AR245" i="21" s="1"/>
  <c r="AR42" i="21"/>
  <c r="AQ254" i="21"/>
  <c r="AQ50" i="21"/>
  <c r="AQ40" i="21" s="1"/>
  <c r="AQ39" i="21"/>
  <c r="G76" i="51"/>
  <c r="G79" i="51" s="1"/>
  <c r="AO237" i="21"/>
  <c r="AO367" i="21"/>
  <c r="AO359" i="21"/>
  <c r="AO357" i="21"/>
  <c r="AS253" i="21"/>
  <c r="AS278" i="21" s="1"/>
  <c r="AS277" i="21" s="1"/>
  <c r="AS49" i="21"/>
  <c r="AZ209" i="32"/>
  <c r="AZ210" i="32" s="1"/>
  <c r="AZ211" i="32" s="1"/>
  <c r="AZ214" i="32"/>
  <c r="K40" i="11"/>
  <c r="M12" i="11"/>
  <c r="M24" i="9"/>
  <c r="K132" i="12"/>
  <c r="K141" i="12" s="1"/>
  <c r="BN162" i="32"/>
  <c r="BN156" i="32" s="1"/>
  <c r="BN149" i="32" s="1"/>
  <c r="AQ354" i="21"/>
  <c r="AR338" i="21"/>
  <c r="AR257" i="21"/>
  <c r="I18" i="61"/>
  <c r="AR277" i="21"/>
  <c r="I149" i="12"/>
  <c r="I147" i="12"/>
  <c r="I139" i="12" s="1"/>
  <c r="I145" i="12"/>
  <c r="AS250" i="21"/>
  <c r="AS46" i="21"/>
  <c r="L13" i="11"/>
  <c r="AR258" i="21"/>
  <c r="H113" i="12"/>
  <c r="H120" i="12" s="1"/>
  <c r="J32" i="11"/>
  <c r="AR341" i="21"/>
  <c r="AR259" i="21"/>
  <c r="J35" i="11"/>
  <c r="BD157" i="32"/>
  <c r="BA218" i="32"/>
  <c r="BA219" i="32" s="1"/>
  <c r="F38" i="61"/>
  <c r="BA206" i="32"/>
  <c r="BA207" i="32" s="1"/>
  <c r="E18" i="62"/>
  <c r="BA148" i="32"/>
  <c r="BA205" i="32"/>
  <c r="BP23" i="32"/>
  <c r="K35" i="9"/>
  <c r="L30" i="11"/>
  <c r="L27" i="9"/>
  <c r="L28" i="9" s="1"/>
  <c r="J135" i="12"/>
  <c r="G62" i="51"/>
  <c r="S309" i="21"/>
  <c r="S311" i="21" s="1"/>
  <c r="AO309" i="21"/>
  <c r="AO311" i="21" s="1"/>
  <c r="G28" i="51"/>
  <c r="AP324" i="21"/>
  <c r="AR350" i="21"/>
  <c r="M18" i="61"/>
  <c r="AR43" i="21"/>
  <c r="I109" i="12"/>
  <c r="AS61" i="21"/>
  <c r="AS68" i="21"/>
  <c r="AS267" i="21" s="1"/>
  <c r="K8" i="11"/>
  <c r="BK209" i="32"/>
  <c r="BK210" i="32" s="1"/>
  <c r="BK211" i="32" s="1"/>
  <c r="BK214" i="32"/>
  <c r="J140" i="12"/>
  <c r="J83" i="12" s="1"/>
  <c r="J136" i="12"/>
  <c r="AQ355" i="21"/>
  <c r="AQ323" i="21"/>
  <c r="AQ51" i="21"/>
  <c r="G26" i="62"/>
  <c r="J84" i="12"/>
  <c r="J99" i="12"/>
  <c r="BF23" i="32" s="1"/>
  <c r="I117" i="12"/>
  <c r="AS93" i="21"/>
  <c r="AS348" i="21" s="1"/>
  <c r="I99" i="12"/>
  <c r="J18" i="61"/>
  <c r="BD160" i="32"/>
  <c r="BP160" i="32" s="1"/>
  <c r="AX172" i="21"/>
  <c r="AZ173" i="21"/>
  <c r="AY173" i="21"/>
  <c r="AR251" i="21"/>
  <c r="AR283" i="21" s="1"/>
  <c r="AR47" i="21"/>
  <c r="AR339" i="21" s="1"/>
  <c r="AY145" i="32"/>
  <c r="BC21" i="32"/>
  <c r="BC20" i="32" s="1"/>
  <c r="H106" i="12"/>
  <c r="BD22" i="32"/>
  <c r="BP157" i="32"/>
  <c r="BN206" i="32" l="1"/>
  <c r="BN207" i="32" s="1"/>
  <c r="BN148" i="32"/>
  <c r="BN205" i="32"/>
  <c r="BO206" i="32"/>
  <c r="BO207" i="32" s="1"/>
  <c r="BO205" i="32"/>
  <c r="BC189" i="32"/>
  <c r="AQ364" i="21"/>
  <c r="AT92" i="21"/>
  <c r="J98" i="12"/>
  <c r="AT96" i="21"/>
  <c r="J101" i="12"/>
  <c r="I150" i="12"/>
  <c r="L34" i="9"/>
  <c r="L31" i="9"/>
  <c r="L33" i="9"/>
  <c r="L32" i="9"/>
  <c r="K140" i="12"/>
  <c r="M13" i="11"/>
  <c r="AU55" i="21"/>
  <c r="AO316" i="21"/>
  <c r="S316" i="21"/>
  <c r="P68" i="51"/>
  <c r="AY134" i="21"/>
  <c r="AZ134" i="21"/>
  <c r="N28" i="62"/>
  <c r="K50" i="11"/>
  <c r="N18" i="11"/>
  <c r="N25" i="9"/>
  <c r="L133" i="12"/>
  <c r="L142" i="12" s="1"/>
  <c r="BM208" i="32"/>
  <c r="BM212" i="32"/>
  <c r="BM213" i="32"/>
  <c r="I102" i="12"/>
  <c r="I106" i="12" s="1"/>
  <c r="L42" i="11"/>
  <c r="K84" i="12"/>
  <c r="K99" i="12" s="1"/>
  <c r="BG23" i="32" s="1"/>
  <c r="AT93" i="21"/>
  <c r="J145" i="12"/>
  <c r="J88" i="12" s="1"/>
  <c r="J149" i="12"/>
  <c r="J147" i="12"/>
  <c r="AR40" i="21"/>
  <c r="I64" i="51"/>
  <c r="I61" i="51" s="1"/>
  <c r="AQ5" i="21"/>
  <c r="AR265" i="21"/>
  <c r="AR284" i="21" s="1"/>
  <c r="AR286" i="21" s="1"/>
  <c r="AR39" i="21"/>
  <c r="M7" i="11"/>
  <c r="AU54" i="21" s="1"/>
  <c r="M19" i="11"/>
  <c r="AU56" i="21" s="1"/>
  <c r="AS97" i="21"/>
  <c r="S310" i="21"/>
  <c r="S312" i="21" s="1"/>
  <c r="S313" i="21" s="1"/>
  <c r="AO310" i="21"/>
  <c r="AO312" i="21" s="1"/>
  <c r="AO313" i="21" s="1"/>
  <c r="G71" i="51"/>
  <c r="G73" i="51" s="1"/>
  <c r="H32" i="61"/>
  <c r="BC217" i="32"/>
  <c r="BC7" i="32"/>
  <c r="L35" i="9"/>
  <c r="M30" i="11"/>
  <c r="M27" i="9"/>
  <c r="K135" i="12"/>
  <c r="K136" i="12" s="1"/>
  <c r="BA200" i="32"/>
  <c r="BA146" i="32" s="1"/>
  <c r="BA201" i="32"/>
  <c r="BA147" i="32" s="1"/>
  <c r="BA202" i="32" s="1"/>
  <c r="K44" i="11"/>
  <c r="K45" i="11" s="1"/>
  <c r="K42" i="11"/>
  <c r="N43" i="62"/>
  <c r="N45" i="62" s="1"/>
  <c r="O46" i="61"/>
  <c r="O48" i="61" s="1"/>
  <c r="P32" i="51"/>
  <c r="P30" i="51" s="1"/>
  <c r="AX325" i="21"/>
  <c r="AX380" i="21"/>
  <c r="AX320" i="21"/>
  <c r="AZ6" i="21"/>
  <c r="AY6" i="21"/>
  <c r="AQ255" i="21"/>
  <c r="AQ322" i="21"/>
  <c r="AQ324" i="21" s="1"/>
  <c r="AQ345" i="21"/>
  <c r="AS85" i="21"/>
  <c r="AS265" i="21" s="1"/>
  <c r="BP161" i="32"/>
  <c r="BC156" i="32"/>
  <c r="BC149" i="32" s="1"/>
  <c r="J112" i="12"/>
  <c r="J119" i="12" s="1"/>
  <c r="L26" i="11"/>
  <c r="BE160" i="32"/>
  <c r="N23" i="9"/>
  <c r="N6" i="11"/>
  <c r="M28" i="9"/>
  <c r="M31" i="9" s="1"/>
  <c r="L131" i="12"/>
  <c r="O16" i="61"/>
  <c r="F41" i="61"/>
  <c r="E21" i="62"/>
  <c r="AS252" i="21"/>
  <c r="AS48" i="21"/>
  <c r="N12" i="11"/>
  <c r="N24" i="9"/>
  <c r="L132" i="12"/>
  <c r="L141" i="12" s="1"/>
  <c r="I113" i="12"/>
  <c r="I108" i="12" s="1"/>
  <c r="K32" i="11"/>
  <c r="AT249" i="21"/>
  <c r="BC57" i="21"/>
  <c r="AT45" i="21"/>
  <c r="BC45" i="21" s="1"/>
  <c r="AS347" i="21"/>
  <c r="AS91" i="21"/>
  <c r="BM200" i="32"/>
  <c r="BM146" i="32" s="1"/>
  <c r="BM201" i="32" s="1"/>
  <c r="BM147" i="32" s="1"/>
  <c r="AO182" i="21" s="1"/>
  <c r="AO181" i="21" s="1"/>
  <c r="AE241" i="21"/>
  <c r="AO241" i="21"/>
  <c r="D36" i="61"/>
  <c r="AY6" i="32"/>
  <c r="AY199" i="32" s="1"/>
  <c r="AY220" i="32" s="1"/>
  <c r="C37" i="62"/>
  <c r="L31" i="11"/>
  <c r="L50" i="11" s="1"/>
  <c r="AT60" i="21"/>
  <c r="AT75" i="21"/>
  <c r="AT86" i="21"/>
  <c r="AT83" i="21"/>
  <c r="AT67" i="21"/>
  <c r="AT87" i="21"/>
  <c r="BC87" i="21" s="1"/>
  <c r="AT90" i="21"/>
  <c r="BC90" i="21" s="1"/>
  <c r="AT84" i="21"/>
  <c r="BC84" i="21" s="1"/>
  <c r="AT89" i="21"/>
  <c r="AT66" i="21"/>
  <c r="AT74" i="21"/>
  <c r="AT59" i="21"/>
  <c r="BD162" i="32"/>
  <c r="BD156" i="32" s="1"/>
  <c r="BD149" i="32" s="1"/>
  <c r="AR53" i="21"/>
  <c r="AQ245" i="21"/>
  <c r="AQ283" i="21"/>
  <c r="AQ282" i="21" s="1"/>
  <c r="BP158" i="32"/>
  <c r="G38" i="61"/>
  <c r="F18" i="62"/>
  <c r="BB206" i="32"/>
  <c r="BB207" i="32" s="1"/>
  <c r="BB218" i="32"/>
  <c r="BB219" i="32" s="1"/>
  <c r="BB148" i="32"/>
  <c r="BB205" i="32"/>
  <c r="E36" i="61"/>
  <c r="D37" i="62"/>
  <c r="AZ6" i="32"/>
  <c r="AZ199" i="32" s="1"/>
  <c r="AZ220" i="32" s="1"/>
  <c r="I57" i="11"/>
  <c r="AQ376" i="21" s="1"/>
  <c r="AS82" i="21"/>
  <c r="AC240" i="21"/>
  <c r="AC242" i="21" s="1"/>
  <c r="AC239" i="21" s="1"/>
  <c r="AC243" i="21" s="1"/>
  <c r="AM240" i="21"/>
  <c r="AM242" i="21" s="1"/>
  <c r="BQ161" i="32"/>
  <c r="AT271" i="21"/>
  <c r="BC72" i="21"/>
  <c r="AS341" i="21"/>
  <c r="AS259" i="21"/>
  <c r="BQ160" i="32"/>
  <c r="I116" i="12"/>
  <c r="G41" i="61"/>
  <c r="F21" i="62"/>
  <c r="AY172" i="21"/>
  <c r="AZ172" i="21"/>
  <c r="AS257" i="21"/>
  <c r="BA208" i="32"/>
  <c r="BA212" i="32"/>
  <c r="BA213" i="32"/>
  <c r="AR256" i="21"/>
  <c r="AS41" i="21"/>
  <c r="AS338" i="21" s="1"/>
  <c r="AT250" i="21"/>
  <c r="AT46" i="21"/>
  <c r="BC46" i="21" s="1"/>
  <c r="BC58" i="21"/>
  <c r="H64" i="51"/>
  <c r="H61" i="51" s="1"/>
  <c r="H12" i="61"/>
  <c r="AP5" i="21"/>
  <c r="G12" i="61"/>
  <c r="AS52" i="21"/>
  <c r="AS327" i="21" s="1"/>
  <c r="AT248" i="21"/>
  <c r="BC56" i="21"/>
  <c r="AT43" i="21"/>
  <c r="BC43" i="21" s="1"/>
  <c r="BC81" i="21"/>
  <c r="AT80" i="21"/>
  <c r="BE24" i="32"/>
  <c r="BE158" i="32"/>
  <c r="G55" i="11"/>
  <c r="AO370" i="21" s="1"/>
  <c r="N24" i="11"/>
  <c r="N26" i="9"/>
  <c r="L134" i="12"/>
  <c r="J110" i="12"/>
  <c r="J117" i="12" s="1"/>
  <c r="AT62" i="21"/>
  <c r="AT69" i="21"/>
  <c r="L14" i="11"/>
  <c r="F55" i="11" s="1"/>
  <c r="AN370" i="21" s="1"/>
  <c r="AS88" i="21"/>
  <c r="AS276" i="21" s="1"/>
  <c r="AS285" i="21" s="1"/>
  <c r="J111" i="12"/>
  <c r="AT63" i="21"/>
  <c r="AT71" i="21"/>
  <c r="L20" i="11"/>
  <c r="AT78" i="21"/>
  <c r="BC79" i="21"/>
  <c r="AT246" i="21"/>
  <c r="BC54" i="21"/>
  <c r="AT41" i="21"/>
  <c r="K148" i="12"/>
  <c r="K146" i="12"/>
  <c r="K144" i="12"/>
  <c r="K87" i="12" s="1"/>
  <c r="AR355" i="21"/>
  <c r="AR323" i="21"/>
  <c r="AR51" i="21"/>
  <c r="H26" i="62"/>
  <c r="H115" i="12"/>
  <c r="H150" i="12"/>
  <c r="AS266" i="21"/>
  <c r="J139" i="12"/>
  <c r="AT55" i="21"/>
  <c r="BL202" i="32"/>
  <c r="AN228" i="21" s="1"/>
  <c r="AS251" i="21"/>
  <c r="AS47" i="21"/>
  <c r="L48" i="11"/>
  <c r="AT272" i="21"/>
  <c r="BC73" i="21"/>
  <c r="J118" i="12"/>
  <c r="K86" i="12"/>
  <c r="AT95" i="21"/>
  <c r="E11" i="51"/>
  <c r="AM362" i="21"/>
  <c r="AM225" i="21"/>
  <c r="AS339" i="21"/>
  <c r="AS258" i="21"/>
  <c r="BO189" i="32"/>
  <c r="BO188" i="32" s="1"/>
  <c r="BO148" i="32" s="1"/>
  <c r="BE23" i="32"/>
  <c r="K57" i="11"/>
  <c r="AS376" i="21" s="1"/>
  <c r="BE161" i="32"/>
  <c r="F57" i="11"/>
  <c r="AN376" i="21" s="1"/>
  <c r="E57" i="11"/>
  <c r="AM376" i="21" s="1"/>
  <c r="BL209" i="32"/>
  <c r="BL210" i="32" s="1"/>
  <c r="BL211" i="32" s="1"/>
  <c r="BL214" i="32"/>
  <c r="J57" i="11"/>
  <c r="AR376" i="21" s="1"/>
  <c r="AT76" i="21"/>
  <c r="BC77" i="21"/>
  <c r="J109" i="12"/>
  <c r="AT61" i="21"/>
  <c r="AT68" i="21"/>
  <c r="L8" i="11"/>
  <c r="M25" i="11"/>
  <c r="M49" i="11" s="1"/>
  <c r="AU73" i="21"/>
  <c r="AU272" i="21" s="1"/>
  <c r="AU72" i="21"/>
  <c r="AU271" i="21" s="1"/>
  <c r="AU77" i="21"/>
  <c r="AU76" i="21" s="1"/>
  <c r="AU79" i="21"/>
  <c r="AU78" i="21" s="1"/>
  <c r="AU57" i="21"/>
  <c r="AU81" i="21"/>
  <c r="AU80" i="21" s="1"/>
  <c r="AU275" i="21" s="1"/>
  <c r="AU280" i="21" s="1"/>
  <c r="AU64" i="21"/>
  <c r="AU260" i="21" s="1"/>
  <c r="AU58" i="21"/>
  <c r="AU65" i="21"/>
  <c r="AU261" i="21" s="1"/>
  <c r="K35" i="11"/>
  <c r="K54" i="11"/>
  <c r="AS369" i="21" s="1"/>
  <c r="K51" i="11"/>
  <c r="BE157" i="32"/>
  <c r="AP334" i="21"/>
  <c r="AP386" i="21"/>
  <c r="AP326" i="21"/>
  <c r="L47" i="11"/>
  <c r="BD21" i="32"/>
  <c r="BD20" i="32" s="1"/>
  <c r="BQ22" i="32"/>
  <c r="BP22" i="32"/>
  <c r="BP21" i="32" s="1"/>
  <c r="BP20" i="32" s="1"/>
  <c r="J51" i="11"/>
  <c r="N14" i="62"/>
  <c r="P65" i="51"/>
  <c r="N27" i="62"/>
  <c r="AZ102" i="21"/>
  <c r="AY102" i="21"/>
  <c r="O13" i="61"/>
  <c r="BL145" i="32"/>
  <c r="BL6" i="32" s="1"/>
  <c r="AN178" i="21"/>
  <c r="AN171" i="21" s="1"/>
  <c r="AS284" i="21"/>
  <c r="BE21" i="32"/>
  <c r="BE20" i="32" s="1"/>
  <c r="AT261" i="21"/>
  <c r="BC65" i="21"/>
  <c r="J100" i="12"/>
  <c r="BF24" i="32" s="1"/>
  <c r="L46" i="11"/>
  <c r="K36" i="9"/>
  <c r="AR354" i="21"/>
  <c r="AT260" i="21"/>
  <c r="BC64" i="21"/>
  <c r="AM169" i="21"/>
  <c r="AN170" i="21"/>
  <c r="G56" i="11"/>
  <c r="AO372" i="21" s="1"/>
  <c r="L36" i="11"/>
  <c r="AU248" i="21" l="1"/>
  <c r="I38" i="61"/>
  <c r="H18" i="62"/>
  <c r="BD206" i="32"/>
  <c r="BD207" i="32" s="1"/>
  <c r="BD205" i="32"/>
  <c r="AU246" i="21"/>
  <c r="AU96" i="21"/>
  <c r="AU353" i="21" s="1"/>
  <c r="K101" i="12"/>
  <c r="I152" i="12"/>
  <c r="I151" i="12" s="1"/>
  <c r="I115" i="12"/>
  <c r="BO200" i="32"/>
  <c r="BO146" i="32" s="1"/>
  <c r="BO201" i="32" s="1"/>
  <c r="BO147" i="32" s="1"/>
  <c r="AQ241" i="21"/>
  <c r="AG241" i="21"/>
  <c r="AT97" i="21"/>
  <c r="J102" i="12"/>
  <c r="J93" i="12"/>
  <c r="AZ325" i="21"/>
  <c r="AY325" i="21"/>
  <c r="M31" i="11"/>
  <c r="AU86" i="21"/>
  <c r="AU85" i="21" s="1"/>
  <c r="AU265" i="21" s="1"/>
  <c r="AU67" i="21"/>
  <c r="AU263" i="21" s="1"/>
  <c r="AU284" i="21" s="1"/>
  <c r="AU66" i="21"/>
  <c r="AU262" i="21" s="1"/>
  <c r="AU74" i="21"/>
  <c r="AU273" i="21" s="1"/>
  <c r="AU75" i="21"/>
  <c r="AU274" i="21" s="1"/>
  <c r="AU59" i="21"/>
  <c r="AU87" i="21"/>
  <c r="AU89" i="21"/>
  <c r="AU88" i="21" s="1"/>
  <c r="AU276" i="21" s="1"/>
  <c r="AU90" i="21"/>
  <c r="AU83" i="21"/>
  <c r="AU60" i="21"/>
  <c r="AU84" i="21"/>
  <c r="I120" i="12"/>
  <c r="M36" i="11"/>
  <c r="D20" i="61"/>
  <c r="C17" i="62"/>
  <c r="C32" i="62"/>
  <c r="AM152" i="21"/>
  <c r="AS286" i="21"/>
  <c r="BP7" i="32"/>
  <c r="BP162" i="32"/>
  <c r="BP156" i="32" s="1"/>
  <c r="BP149" i="32" s="1"/>
  <c r="H76" i="51"/>
  <c r="H79" i="51" s="1"/>
  <c r="AP237" i="21"/>
  <c r="AQ357" i="21"/>
  <c r="AP357" i="21"/>
  <c r="AP359" i="21"/>
  <c r="AP367" i="21"/>
  <c r="AQ367" i="21"/>
  <c r="AQ359" i="21"/>
  <c r="AP335" i="21"/>
  <c r="N46" i="11"/>
  <c r="N7" i="11"/>
  <c r="AV54" i="21" s="1"/>
  <c r="P31" i="51"/>
  <c r="AB301" i="21"/>
  <c r="AX301" i="21"/>
  <c r="M46" i="11"/>
  <c r="BQ157" i="32"/>
  <c r="BC41" i="21"/>
  <c r="J32" i="61"/>
  <c r="BE7" i="32"/>
  <c r="BE217" i="32"/>
  <c r="F11" i="51"/>
  <c r="AN362" i="21"/>
  <c r="AN225" i="21"/>
  <c r="AT264" i="21"/>
  <c r="AT279" i="21" s="1"/>
  <c r="AT281" i="21" s="1"/>
  <c r="BC78" i="21"/>
  <c r="L55" i="11"/>
  <c r="AT370" i="21" s="1"/>
  <c r="BF158" i="32"/>
  <c r="I55" i="11"/>
  <c r="AQ370" i="21" s="1"/>
  <c r="H55" i="11"/>
  <c r="AP370" i="21" s="1"/>
  <c r="J55" i="11"/>
  <c r="AR370" i="21" s="1"/>
  <c r="BQ158" i="32"/>
  <c r="BA209" i="32"/>
  <c r="BA210" i="32" s="1"/>
  <c r="BA211" i="32" s="1"/>
  <c r="BA214" i="32"/>
  <c r="AT263" i="21"/>
  <c r="BC67" i="21"/>
  <c r="O12" i="11"/>
  <c r="O24" i="9"/>
  <c r="M132" i="12"/>
  <c r="O6" i="11"/>
  <c r="O23" i="9"/>
  <c r="M131" i="12"/>
  <c r="O50" i="61"/>
  <c r="O51" i="61" s="1"/>
  <c r="BM209" i="32"/>
  <c r="BM210" i="32" s="1"/>
  <c r="BM211" i="32" s="1"/>
  <c r="BM214" i="32"/>
  <c r="L54" i="11"/>
  <c r="AT369" i="21" s="1"/>
  <c r="BF157" i="32"/>
  <c r="F54" i="11"/>
  <c r="AN369" i="21" s="1"/>
  <c r="E54" i="11"/>
  <c r="AM369" i="21" s="1"/>
  <c r="G54" i="11"/>
  <c r="AO369" i="21" s="1"/>
  <c r="AD240" i="21"/>
  <c r="AD242" i="21" s="1"/>
  <c r="AD239" i="21" s="1"/>
  <c r="AD243" i="21" s="1"/>
  <c r="AN240" i="21"/>
  <c r="AN242" i="21" s="1"/>
  <c r="AU250" i="21"/>
  <c r="AU46" i="21"/>
  <c r="AT267" i="21"/>
  <c r="BC68" i="21"/>
  <c r="AT350" i="21"/>
  <c r="BC95" i="21"/>
  <c r="AT247" i="21"/>
  <c r="BC55" i="21"/>
  <c r="AT42" i="21"/>
  <c r="BC42" i="21" s="1"/>
  <c r="L56" i="11"/>
  <c r="AT372" i="21" s="1"/>
  <c r="BF160" i="32"/>
  <c r="BR160" i="32" s="1"/>
  <c r="X372" i="21" s="1"/>
  <c r="E56" i="11"/>
  <c r="AM372" i="21" s="1"/>
  <c r="F56" i="11"/>
  <c r="AN372" i="21" s="1"/>
  <c r="H56" i="11"/>
  <c r="AP372" i="21" s="1"/>
  <c r="J56" i="11"/>
  <c r="AR372" i="21" s="1"/>
  <c r="AT268" i="21"/>
  <c r="BC69" i="21"/>
  <c r="K55" i="11"/>
  <c r="AS370" i="21" s="1"/>
  <c r="H62" i="51"/>
  <c r="T309" i="21"/>
  <c r="T311" i="21" s="1"/>
  <c r="AP309" i="21"/>
  <c r="AP311" i="21" s="1"/>
  <c r="H28" i="51"/>
  <c r="BC83" i="21"/>
  <c r="AT82" i="21"/>
  <c r="BM202" i="32"/>
  <c r="AO228" i="21" s="1"/>
  <c r="N47" i="11"/>
  <c r="N13" i="11"/>
  <c r="AV55" i="21"/>
  <c r="I56" i="11"/>
  <c r="AQ372" i="21" s="1"/>
  <c r="AQ386" i="21"/>
  <c r="AQ334" i="21"/>
  <c r="AQ326" i="21"/>
  <c r="N47" i="62"/>
  <c r="N48" i="62" s="1"/>
  <c r="H54" i="11"/>
  <c r="AP369" i="21" s="1"/>
  <c r="AT353" i="21"/>
  <c r="BC96" i="21"/>
  <c r="BC188" i="32"/>
  <c r="I32" i="61"/>
  <c r="BD217" i="32"/>
  <c r="BD7" i="32"/>
  <c r="AT338" i="21"/>
  <c r="AT257" i="21"/>
  <c r="BC61" i="21"/>
  <c r="L100" i="12"/>
  <c r="BH24" i="32" s="1"/>
  <c r="L86" i="12"/>
  <c r="AU95" i="21"/>
  <c r="AU350" i="21" s="1"/>
  <c r="AT270" i="21"/>
  <c r="BC71" i="21"/>
  <c r="AT258" i="21"/>
  <c r="BC62" i="21"/>
  <c r="AS53" i="21"/>
  <c r="AR345" i="21"/>
  <c r="BC86" i="21"/>
  <c r="AT85" i="21"/>
  <c r="AT39" i="21" s="1"/>
  <c r="M32" i="9"/>
  <c r="M36" i="9" s="1"/>
  <c r="I54" i="11"/>
  <c r="AQ369" i="21" s="1"/>
  <c r="AT348" i="21"/>
  <c r="BC93" i="21"/>
  <c r="AT341" i="21"/>
  <c r="AT259" i="21"/>
  <c r="BC63" i="21"/>
  <c r="BT24" i="32"/>
  <c r="BQ24" i="32"/>
  <c r="BR24" i="32"/>
  <c r="AS256" i="21"/>
  <c r="AT274" i="21"/>
  <c r="BC75" i="21"/>
  <c r="BM145" i="32"/>
  <c r="BM6" i="32" s="1"/>
  <c r="AO178" i="21"/>
  <c r="AO171" i="21" s="1"/>
  <c r="K56" i="11"/>
  <c r="AS372" i="21" s="1"/>
  <c r="K111" i="12"/>
  <c r="K118" i="12" s="1"/>
  <c r="AU71" i="21"/>
  <c r="AU270" i="21" s="1"/>
  <c r="AU63" i="21"/>
  <c r="AU43" i="21" s="1"/>
  <c r="M20" i="11"/>
  <c r="BG160" i="32" s="1"/>
  <c r="BS160" i="32" s="1"/>
  <c r="Y372" i="21" s="1"/>
  <c r="J64" i="51"/>
  <c r="J61" i="51" s="1"/>
  <c r="AR5" i="21"/>
  <c r="O18" i="11"/>
  <c r="M133" i="12"/>
  <c r="O25" i="9"/>
  <c r="L36" i="9"/>
  <c r="AT253" i="21"/>
  <c r="AT278" i="21" s="1"/>
  <c r="AT277" i="21" s="1"/>
  <c r="AT49" i="21"/>
  <c r="BC49" i="21" s="1"/>
  <c r="BC76" i="21"/>
  <c r="J54" i="11"/>
  <c r="AR369" i="21" s="1"/>
  <c r="AU249" i="21"/>
  <c r="AU45" i="21"/>
  <c r="L43" i="11"/>
  <c r="BR23" i="32"/>
  <c r="BQ23" i="32"/>
  <c r="BQ21" i="32" s="1"/>
  <c r="BQ20" i="32" s="1"/>
  <c r="BS23" i="32"/>
  <c r="K100" i="12"/>
  <c r="BG24" i="32" s="1"/>
  <c r="BS24" i="32" s="1"/>
  <c r="L144" i="12"/>
  <c r="L87" i="12" s="1"/>
  <c r="L148" i="12"/>
  <c r="L146" i="12"/>
  <c r="AT275" i="21"/>
  <c r="AT280" i="21" s="1"/>
  <c r="BC80" i="21"/>
  <c r="BB201" i="32"/>
  <c r="BB147" i="32" s="1"/>
  <c r="BB202" i="32"/>
  <c r="BB200" i="32"/>
  <c r="BB146" i="32" s="1"/>
  <c r="AT252" i="21"/>
  <c r="BC60" i="21"/>
  <c r="AT48" i="21"/>
  <c r="BC48" i="21" s="1"/>
  <c r="AS323" i="21"/>
  <c r="AS51" i="21"/>
  <c r="I26" i="62"/>
  <c r="L57" i="11"/>
  <c r="AT376" i="21" s="1"/>
  <c r="BF161" i="32"/>
  <c r="H57" i="11"/>
  <c r="AP376" i="21" s="1"/>
  <c r="G57" i="11"/>
  <c r="AO376" i="21" s="1"/>
  <c r="M33" i="9"/>
  <c r="BO208" i="32"/>
  <c r="BO212" i="32"/>
  <c r="BO213" i="32"/>
  <c r="AU264" i="21"/>
  <c r="AU279" i="21" s="1"/>
  <c r="AU281" i="21" s="1"/>
  <c r="M34" i="9"/>
  <c r="AT251" i="21"/>
  <c r="BC59" i="21"/>
  <c r="AT47" i="21"/>
  <c r="BC47" i="21" s="1"/>
  <c r="M48" i="11"/>
  <c r="I76" i="51"/>
  <c r="I79" i="51" s="1"/>
  <c r="AQ237" i="21"/>
  <c r="AQ335" i="21"/>
  <c r="L84" i="12"/>
  <c r="L99" i="12"/>
  <c r="BH23" i="32" s="1"/>
  <c r="K117" i="12"/>
  <c r="AU93" i="21"/>
  <c r="AU348" i="21" s="1"/>
  <c r="N19" i="11"/>
  <c r="AR282" i="21"/>
  <c r="J106" i="12"/>
  <c r="BF22" i="32"/>
  <c r="AU253" i="21"/>
  <c r="AU278" i="21" s="1"/>
  <c r="AU49" i="21"/>
  <c r="BB208" i="32"/>
  <c r="BB212" i="32"/>
  <c r="BB213" i="32"/>
  <c r="AT273" i="21"/>
  <c r="BC74" i="21"/>
  <c r="J113" i="12"/>
  <c r="J108" i="12" s="1"/>
  <c r="J152" i="12" s="1"/>
  <c r="J151" i="12" s="1"/>
  <c r="L32" i="11"/>
  <c r="L51" i="11" s="1"/>
  <c r="H38" i="61"/>
  <c r="G18" i="62"/>
  <c r="BC218" i="32"/>
  <c r="BC219" i="32" s="1"/>
  <c r="BC206" i="32"/>
  <c r="BC207" i="32" s="1"/>
  <c r="BC148" i="32"/>
  <c r="BC205" i="32"/>
  <c r="I12" i="61"/>
  <c r="AU247" i="21"/>
  <c r="AU42" i="21"/>
  <c r="AT347" i="21"/>
  <c r="BC92" i="21"/>
  <c r="AT91" i="21"/>
  <c r="BN201" i="32"/>
  <c r="BN147" i="32" s="1"/>
  <c r="AP182" i="21" s="1"/>
  <c r="AP181" i="21" s="1"/>
  <c r="BN202" i="32"/>
  <c r="AP228" i="21" s="1"/>
  <c r="BN200" i="32"/>
  <c r="BN146" i="32" s="1"/>
  <c r="AF241" i="21"/>
  <c r="AP241" i="21"/>
  <c r="N49" i="11"/>
  <c r="N25" i="11"/>
  <c r="AV73" i="21"/>
  <c r="AV272" i="21" s="1"/>
  <c r="AV79" i="21"/>
  <c r="AV78" i="21" s="1"/>
  <c r="AV57" i="21"/>
  <c r="AV64" i="21"/>
  <c r="AV260" i="21" s="1"/>
  <c r="AV72" i="21"/>
  <c r="AV271" i="21" s="1"/>
  <c r="AV77" i="21"/>
  <c r="AV76" i="21" s="1"/>
  <c r="AV81" i="21"/>
  <c r="AV80" i="21" s="1"/>
  <c r="AV275" i="21" s="1"/>
  <c r="AV280" i="21" s="1"/>
  <c r="AV58" i="21"/>
  <c r="AV65" i="21"/>
  <c r="AV261" i="21" s="1"/>
  <c r="AT262" i="21"/>
  <c r="BC66" i="21"/>
  <c r="BA145" i="32"/>
  <c r="M40" i="11"/>
  <c r="I62" i="51"/>
  <c r="U309" i="21"/>
  <c r="U311" i="21" s="1"/>
  <c r="AQ309" i="21"/>
  <c r="AQ311" i="21" s="1"/>
  <c r="I28" i="51"/>
  <c r="K110" i="12"/>
  <c r="AU69" i="21"/>
  <c r="AU268" i="21" s="1"/>
  <c r="AU62" i="21"/>
  <c r="M14" i="11"/>
  <c r="BG158" i="32" s="1"/>
  <c r="BN208" i="32"/>
  <c r="BN212" i="32"/>
  <c r="BN213" i="32"/>
  <c r="O24" i="11"/>
  <c r="O26" i="9"/>
  <c r="M134" i="12"/>
  <c r="BC89" i="21"/>
  <c r="AT88" i="21"/>
  <c r="AT53" i="21" s="1"/>
  <c r="L140" i="12"/>
  <c r="AZ320" i="21"/>
  <c r="AY320" i="21"/>
  <c r="K149" i="12"/>
  <c r="K147" i="12"/>
  <c r="K145" i="12"/>
  <c r="K139" i="12" s="1"/>
  <c r="M43" i="11"/>
  <c r="K109" i="12"/>
  <c r="AU61" i="21"/>
  <c r="AU68" i="21"/>
  <c r="AU267" i="21" s="1"/>
  <c r="AU266" i="21" s="1"/>
  <c r="M8" i="11"/>
  <c r="J116" i="12"/>
  <c r="AT52" i="21"/>
  <c r="AN169" i="21"/>
  <c r="AO170" i="21"/>
  <c r="K52" i="11"/>
  <c r="K59" i="11" s="1"/>
  <c r="AS378" i="21" s="1"/>
  <c r="J52" i="11"/>
  <c r="J59" i="11" s="1"/>
  <c r="AR378" i="21" s="1"/>
  <c r="K112" i="12"/>
  <c r="K119" i="12" s="1"/>
  <c r="M26" i="11"/>
  <c r="BG161" i="32" s="1"/>
  <c r="E10" i="51"/>
  <c r="E6" i="51" s="1"/>
  <c r="AM223" i="21"/>
  <c r="E55" i="11"/>
  <c r="AM370" i="21" s="1"/>
  <c r="AS336" i="21"/>
  <c r="AR255" i="21"/>
  <c r="AR322" i="21"/>
  <c r="AR324" i="21" s="1"/>
  <c r="AS254" i="21"/>
  <c r="AS245" i="21" s="1"/>
  <c r="AS50" i="21"/>
  <c r="AS40" i="21" s="1"/>
  <c r="AS39" i="21"/>
  <c r="BS158" i="32"/>
  <c r="Y370" i="21" s="1"/>
  <c r="BE162" i="32"/>
  <c r="BE156" i="32" s="1"/>
  <c r="BE149" i="32" s="1"/>
  <c r="AZ380" i="21"/>
  <c r="AY380" i="21"/>
  <c r="M35" i="9"/>
  <c r="N27" i="9"/>
  <c r="N30" i="11"/>
  <c r="N40" i="11" s="1"/>
  <c r="L135" i="12"/>
  <c r="L136" i="12" s="1"/>
  <c r="AS354" i="21"/>
  <c r="BD189" i="32"/>
  <c r="BP189" i="32" s="1"/>
  <c r="BP188" i="32" s="1"/>
  <c r="AR364" i="21"/>
  <c r="M47" i="11"/>
  <c r="K83" i="12"/>
  <c r="BE189" i="32" l="1"/>
  <c r="BE188" i="32" s="1"/>
  <c r="AS364" i="21"/>
  <c r="BQ7" i="32"/>
  <c r="AQ182" i="21"/>
  <c r="AQ181" i="21" s="1"/>
  <c r="BO202" i="32"/>
  <c r="AQ228" i="21" s="1"/>
  <c r="AV96" i="21"/>
  <c r="AV353" i="21" s="1"/>
  <c r="L101" i="12"/>
  <c r="AV246" i="21"/>
  <c r="AT357" i="21"/>
  <c r="BC53" i="21"/>
  <c r="L52" i="11"/>
  <c r="BE218" i="32"/>
  <c r="BE219" i="32" s="1"/>
  <c r="J38" i="61"/>
  <c r="I18" i="62"/>
  <c r="BE206" i="32"/>
  <c r="BE207" i="32" s="1"/>
  <c r="BE148" i="32"/>
  <c r="BE205" i="32"/>
  <c r="N42" i="11"/>
  <c r="L64" i="51"/>
  <c r="L61" i="51" s="1"/>
  <c r="BC39" i="21"/>
  <c r="AT5" i="21"/>
  <c r="M44" i="11"/>
  <c r="M45" i="11" s="1"/>
  <c r="M42" i="11"/>
  <c r="L35" i="11"/>
  <c r="O7" i="11"/>
  <c r="O36" i="11"/>
  <c r="AW54" i="21"/>
  <c r="AT354" i="21"/>
  <c r="BC97" i="21"/>
  <c r="O25" i="11"/>
  <c r="O49" i="11" s="1"/>
  <c r="AW57" i="21"/>
  <c r="AW64" i="21"/>
  <c r="AW260" i="21" s="1"/>
  <c r="AW81" i="21"/>
  <c r="AW80" i="21" s="1"/>
  <c r="AW275" i="21" s="1"/>
  <c r="AW280" i="21" s="1"/>
  <c r="AW73" i="21"/>
  <c r="AW272" i="21" s="1"/>
  <c r="AW79" i="21"/>
  <c r="AW78" i="21" s="1"/>
  <c r="AW77" i="21"/>
  <c r="AW76" i="21" s="1"/>
  <c r="AW58" i="21"/>
  <c r="AW72" i="21"/>
  <c r="AW271" i="21" s="1"/>
  <c r="AW65" i="21"/>
  <c r="AW261" i="21" s="1"/>
  <c r="L111" i="12"/>
  <c r="AV71" i="21"/>
  <c r="AV270" i="21" s="1"/>
  <c r="AV63" i="21"/>
  <c r="N20" i="11"/>
  <c r="BS161" i="32"/>
  <c r="Y376" i="21" s="1"/>
  <c r="K64" i="51"/>
  <c r="K61" i="51" s="1"/>
  <c r="K12" i="61"/>
  <c r="AS5" i="21"/>
  <c r="F36" i="61"/>
  <c r="BA6" i="32"/>
  <c r="BA199" i="32" s="1"/>
  <c r="BA220" i="32" s="1"/>
  <c r="E37" i="62"/>
  <c r="L112" i="12"/>
  <c r="L119" i="12" s="1"/>
  <c r="N26" i="11"/>
  <c r="BH161" i="32" s="1"/>
  <c r="BT161" i="32" s="1"/>
  <c r="Z376" i="21" s="1"/>
  <c r="N48" i="11"/>
  <c r="M57" i="11"/>
  <c r="AU376" i="21" s="1"/>
  <c r="BB145" i="32"/>
  <c r="L118" i="12"/>
  <c r="AV95" i="21"/>
  <c r="M141" i="12"/>
  <c r="AS357" i="21"/>
  <c r="AS359" i="21"/>
  <c r="J120" i="12"/>
  <c r="N57" i="11"/>
  <c r="AV376" i="21" s="1"/>
  <c r="P18" i="11"/>
  <c r="N133" i="12"/>
  <c r="N142" i="12" s="1"/>
  <c r="T310" i="21"/>
  <c r="T312" i="21" s="1"/>
  <c r="T313" i="21" s="1"/>
  <c r="AP310" i="21"/>
  <c r="AP312" i="21" s="1"/>
  <c r="AP313" i="21" s="1"/>
  <c r="H71" i="51"/>
  <c r="H73" i="51" s="1"/>
  <c r="P12" i="11"/>
  <c r="N132" i="12"/>
  <c r="N141" i="12" s="1"/>
  <c r="K88" i="12"/>
  <c r="BB209" i="32"/>
  <c r="BB210" i="32" s="1"/>
  <c r="BB211" i="32" s="1"/>
  <c r="BB214" i="32"/>
  <c r="AE240" i="21"/>
  <c r="AE242" i="21" s="1"/>
  <c r="AE239" i="21" s="1"/>
  <c r="AE243" i="21" s="1"/>
  <c r="AO240" i="21"/>
  <c r="AO242" i="21" s="1"/>
  <c r="F10" i="51"/>
  <c r="F6" i="51" s="1"/>
  <c r="AN223" i="21"/>
  <c r="AR359" i="21"/>
  <c r="AR386" i="21"/>
  <c r="AR334" i="21"/>
  <c r="AR326" i="21"/>
  <c r="AU257" i="21"/>
  <c r="AU53" i="21"/>
  <c r="O13" i="11"/>
  <c r="O47" i="11"/>
  <c r="AZ301" i="21"/>
  <c r="AY301" i="21"/>
  <c r="AR367" i="21"/>
  <c r="T316" i="21"/>
  <c r="AP316" i="21"/>
  <c r="BD208" i="32"/>
  <c r="BD212" i="32"/>
  <c r="BD213" i="32"/>
  <c r="L149" i="12"/>
  <c r="L147" i="12"/>
  <c r="L139" i="12" s="1"/>
  <c r="L145" i="12"/>
  <c r="BC200" i="32"/>
  <c r="BC146" i="32" s="1"/>
  <c r="AV247" i="21"/>
  <c r="K108" i="12"/>
  <c r="K152" i="12" s="1"/>
  <c r="K151" i="12" s="1"/>
  <c r="AV250" i="21"/>
  <c r="AV46" i="21"/>
  <c r="BC208" i="32"/>
  <c r="BC212" i="32"/>
  <c r="BC213" i="32"/>
  <c r="M99" i="12"/>
  <c r="BI23" i="32" s="1"/>
  <c r="BU23" i="32" s="1"/>
  <c r="L117" i="12"/>
  <c r="M84" i="12"/>
  <c r="AV93" i="21"/>
  <c r="L53" i="11"/>
  <c r="L44" i="11"/>
  <c r="L45" i="11" s="1"/>
  <c r="O19" i="11"/>
  <c r="O48" i="11" s="1"/>
  <c r="L110" i="12"/>
  <c r="AV69" i="21"/>
  <c r="AV268" i="21" s="1"/>
  <c r="AV62" i="21"/>
  <c r="AV42" i="21" s="1"/>
  <c r="N14" i="11"/>
  <c r="BH158" i="32" s="1"/>
  <c r="BT158" i="32" s="1"/>
  <c r="Z370" i="21" s="1"/>
  <c r="BP206" i="32"/>
  <c r="BP207" i="32" s="1"/>
  <c r="BP148" i="32"/>
  <c r="BP205" i="32"/>
  <c r="AU252" i="21"/>
  <c r="AU48" i="21"/>
  <c r="AU341" i="21" s="1"/>
  <c r="K113" i="12"/>
  <c r="M32" i="11"/>
  <c r="BG162" i="32" s="1"/>
  <c r="BD188" i="32"/>
  <c r="BQ189" i="32"/>
  <c r="BQ188" i="32" s="1"/>
  <c r="M51" i="11"/>
  <c r="M52" i="11" s="1"/>
  <c r="M59" i="11" s="1"/>
  <c r="AU378" i="21" s="1"/>
  <c r="M35" i="11"/>
  <c r="BG157" i="32"/>
  <c r="M142" i="12"/>
  <c r="M86" i="12" s="1"/>
  <c r="O133" i="12"/>
  <c r="AT276" i="21"/>
  <c r="AT285" i="21" s="1"/>
  <c r="BC88" i="21"/>
  <c r="BT23" i="32"/>
  <c r="AS345" i="21"/>
  <c r="N50" i="11"/>
  <c r="N31" i="11"/>
  <c r="AV67" i="21"/>
  <c r="AV263" i="21" s="1"/>
  <c r="AV89" i="21"/>
  <c r="AV88" i="21" s="1"/>
  <c r="AV276" i="21" s="1"/>
  <c r="AV59" i="21"/>
  <c r="AV74" i="21"/>
  <c r="AV273" i="21" s="1"/>
  <c r="AV87" i="21"/>
  <c r="AV75" i="21"/>
  <c r="AV274" i="21" s="1"/>
  <c r="AV84" i="21"/>
  <c r="AV86" i="21"/>
  <c r="AV90" i="21"/>
  <c r="AV66" i="21"/>
  <c r="AV262" i="21" s="1"/>
  <c r="AV83" i="21"/>
  <c r="AV82" i="21" s="1"/>
  <c r="AV60" i="21"/>
  <c r="AU258" i="21"/>
  <c r="O30" i="11"/>
  <c r="O27" i="9"/>
  <c r="N35" i="9"/>
  <c r="M135" i="12"/>
  <c r="M53" i="11"/>
  <c r="BN145" i="32"/>
  <c r="BN6" i="32" s="1"/>
  <c r="AP178" i="21"/>
  <c r="AP171" i="21" s="1"/>
  <c r="AU277" i="21"/>
  <c r="J76" i="51"/>
  <c r="J79" i="51" s="1"/>
  <c r="AR237" i="21"/>
  <c r="AR335" i="21"/>
  <c r="AS255" i="21"/>
  <c r="AS322" i="21"/>
  <c r="AS324" i="21" s="1"/>
  <c r="H41" i="61"/>
  <c r="G21" i="62"/>
  <c r="AR357" i="21"/>
  <c r="AU82" i="21"/>
  <c r="M50" i="11"/>
  <c r="J12" i="61"/>
  <c r="M55" i="11"/>
  <c r="AU370" i="21" s="1"/>
  <c r="AB302" i="21"/>
  <c r="AX302" i="21"/>
  <c r="BN209" i="32"/>
  <c r="BN210" i="32" s="1"/>
  <c r="BN211" i="32" s="1"/>
  <c r="BN214" i="32"/>
  <c r="BO209" i="32"/>
  <c r="BO210" i="32" s="1"/>
  <c r="BO211" i="32" s="1"/>
  <c r="BO214" i="32"/>
  <c r="AS355" i="21"/>
  <c r="J62" i="51"/>
  <c r="V309" i="21"/>
  <c r="V311" i="21" s="1"/>
  <c r="AR309" i="21"/>
  <c r="AR311" i="21" s="1"/>
  <c r="J28" i="51"/>
  <c r="AT339" i="21"/>
  <c r="G11" i="51"/>
  <c r="AO362" i="21"/>
  <c r="AO225" i="21"/>
  <c r="M140" i="12"/>
  <c r="M136" i="12"/>
  <c r="N55" i="11"/>
  <c r="AV370" i="21" s="1"/>
  <c r="BR158" i="32"/>
  <c r="X370" i="21" s="1"/>
  <c r="H11" i="51"/>
  <c r="AP362" i="21"/>
  <c r="AP225" i="21"/>
  <c r="BF21" i="32"/>
  <c r="BF20" i="32" s="1"/>
  <c r="BR22" i="32"/>
  <c r="BR21" i="32" s="1"/>
  <c r="BR20" i="32" s="1"/>
  <c r="AO169" i="21"/>
  <c r="AP170" i="21"/>
  <c r="M148" i="12"/>
  <c r="M146" i="12"/>
  <c r="M144" i="12"/>
  <c r="M87" i="12" s="1"/>
  <c r="AT323" i="21"/>
  <c r="AT355" i="21"/>
  <c r="BC91" i="21"/>
  <c r="AT51" i="21"/>
  <c r="BC51" i="21" s="1"/>
  <c r="J26" i="62"/>
  <c r="L58" i="11"/>
  <c r="AT377" i="21" s="1"/>
  <c r="M58" i="11"/>
  <c r="AU377" i="21" s="1"/>
  <c r="BF162" i="32"/>
  <c r="BR162" i="32" s="1"/>
  <c r="X377" i="21" s="1"/>
  <c r="I58" i="11"/>
  <c r="AQ377" i="21" s="1"/>
  <c r="E58" i="11"/>
  <c r="AM377" i="21" s="1"/>
  <c r="J58" i="11"/>
  <c r="AR377" i="21" s="1"/>
  <c r="G58" i="11"/>
  <c r="AO377" i="21" s="1"/>
  <c r="H58" i="11"/>
  <c r="AP377" i="21" s="1"/>
  <c r="F58" i="11"/>
  <c r="AN377" i="21" s="1"/>
  <c r="AQ316" i="21"/>
  <c r="U316" i="21"/>
  <c r="AT254" i="21"/>
  <c r="AT283" i="21" s="1"/>
  <c r="BC82" i="21"/>
  <c r="AT50" i="21"/>
  <c r="BC50" i="21" s="1"/>
  <c r="BR161" i="32"/>
  <c r="X376" i="21" s="1"/>
  <c r="M54" i="11"/>
  <c r="AU369" i="21" s="1"/>
  <c r="N43" i="11"/>
  <c r="N53" i="11" s="1"/>
  <c r="L109" i="12"/>
  <c r="AV68" i="21"/>
  <c r="AV267" i="21" s="1"/>
  <c r="AV61" i="21"/>
  <c r="AV41" i="21" s="1"/>
  <c r="N8" i="11"/>
  <c r="AS367" i="21"/>
  <c r="BO145" i="32"/>
  <c r="BO6" i="32" s="1"/>
  <c r="AQ178" i="21"/>
  <c r="AQ171" i="21" s="1"/>
  <c r="AU41" i="21"/>
  <c r="AV253" i="21"/>
  <c r="AV278" i="21" s="1"/>
  <c r="AV49" i="21"/>
  <c r="BQ162" i="32"/>
  <c r="BQ156" i="32" s="1"/>
  <c r="BQ149" i="32" s="1"/>
  <c r="BS162" i="32"/>
  <c r="Y377" i="21" s="1"/>
  <c r="D27" i="61"/>
  <c r="D44" i="61" s="1"/>
  <c r="D53" i="61" s="1"/>
  <c r="AM212" i="21"/>
  <c r="AM231" i="21" s="1"/>
  <c r="E20" i="61"/>
  <c r="D17" i="62"/>
  <c r="D32" i="62"/>
  <c r="AN152" i="21"/>
  <c r="AV249" i="21"/>
  <c r="AV45" i="21"/>
  <c r="AV56" i="21"/>
  <c r="N54" i="11"/>
  <c r="AV369" i="21" s="1"/>
  <c r="N28" i="9"/>
  <c r="AM238" i="21"/>
  <c r="AM229" i="21"/>
  <c r="AM230" i="21"/>
  <c r="AU251" i="21"/>
  <c r="AU47" i="21"/>
  <c r="AU339" i="21" s="1"/>
  <c r="J115" i="12"/>
  <c r="J150" i="12"/>
  <c r="AU52" i="21"/>
  <c r="AU327" i="21" s="1"/>
  <c r="AU259" i="21"/>
  <c r="K93" i="12"/>
  <c r="L83" i="12"/>
  <c r="K116" i="12"/>
  <c r="AU92" i="21"/>
  <c r="K98" i="12"/>
  <c r="K58" i="11"/>
  <c r="AS377" i="21" s="1"/>
  <c r="E23" i="51"/>
  <c r="AM295" i="21"/>
  <c r="AM297" i="21" s="1"/>
  <c r="AM299" i="21" s="1"/>
  <c r="Q295" i="21"/>
  <c r="Q297" i="21" s="1"/>
  <c r="Q299" i="21" s="1"/>
  <c r="BC52" i="21"/>
  <c r="AT327" i="21"/>
  <c r="O34" i="9"/>
  <c r="P24" i="11"/>
  <c r="N134" i="12"/>
  <c r="O134" i="12" s="1"/>
  <c r="U310" i="21"/>
  <c r="U312" i="21" s="1"/>
  <c r="U313" i="21" s="1"/>
  <c r="AQ310" i="21"/>
  <c r="AQ312" i="21" s="1"/>
  <c r="AQ313" i="21" s="1"/>
  <c r="I71" i="51"/>
  <c r="I73" i="51" s="1"/>
  <c r="AV264" i="21"/>
  <c r="AV279" i="21" s="1"/>
  <c r="AV281" i="21" s="1"/>
  <c r="AT265" i="21"/>
  <c r="AT256" i="21" s="1"/>
  <c r="BC85" i="21"/>
  <c r="BR157" i="32"/>
  <c r="M56" i="11"/>
  <c r="AU372" i="21" s="1"/>
  <c r="AT266" i="21"/>
  <c r="P6" i="11"/>
  <c r="O28" i="9"/>
  <c r="O33" i="9" s="1"/>
  <c r="O31" i="9"/>
  <c r="N131" i="12"/>
  <c r="O131" i="12" s="1"/>
  <c r="N36" i="11"/>
  <c r="AT359" i="21"/>
  <c r="AU285" i="21"/>
  <c r="AU286" i="21" s="1"/>
  <c r="AS283" i="21"/>
  <c r="AS282" i="21" s="1"/>
  <c r="N86" i="12" l="1"/>
  <c r="AW95" i="21"/>
  <c r="M100" i="12"/>
  <c r="BI24" i="32" s="1"/>
  <c r="BU24" i="32" s="1"/>
  <c r="AT255" i="21"/>
  <c r="AT322" i="21"/>
  <c r="AT324" i="21" s="1"/>
  <c r="AW96" i="21"/>
  <c r="AW353" i="21" s="1"/>
  <c r="M101" i="12"/>
  <c r="BQ206" i="32"/>
  <c r="BQ207" i="32" s="1"/>
  <c r="BQ148" i="32"/>
  <c r="BQ205" i="32"/>
  <c r="G10" i="51"/>
  <c r="G6" i="51" s="1"/>
  <c r="AO223" i="21"/>
  <c r="P30" i="11"/>
  <c r="O35" i="9"/>
  <c r="N135" i="12"/>
  <c r="M110" i="12"/>
  <c r="AW69" i="21"/>
  <c r="AW268" i="21" s="1"/>
  <c r="AW62" i="21"/>
  <c r="O14" i="11"/>
  <c r="M109" i="12"/>
  <c r="AW68" i="21"/>
  <c r="AW267" i="21" s="1"/>
  <c r="AW61" i="21"/>
  <c r="O8" i="11"/>
  <c r="BE201" i="32"/>
  <c r="BE147" i="32" s="1"/>
  <c r="BE202" i="32" s="1"/>
  <c r="BE200" i="32"/>
  <c r="BE146" i="32" s="1"/>
  <c r="K32" i="61"/>
  <c r="BF7" i="32"/>
  <c r="BF217" i="32"/>
  <c r="O31" i="11"/>
  <c r="O50" i="11" s="1"/>
  <c r="AW83" i="21"/>
  <c r="AW82" i="21" s="1"/>
  <c r="AW75" i="21"/>
  <c r="AW274" i="21" s="1"/>
  <c r="AW74" i="21"/>
  <c r="AW273" i="21" s="1"/>
  <c r="AW86" i="21"/>
  <c r="AW66" i="21"/>
  <c r="AW262" i="21" s="1"/>
  <c r="AW84" i="21"/>
  <c r="AW60" i="21"/>
  <c r="AW59" i="21"/>
  <c r="AW67" i="21"/>
  <c r="AW263" i="21" s="1"/>
  <c r="AW90" i="21"/>
  <c r="AW89" i="21"/>
  <c r="AW87" i="21"/>
  <c r="AV251" i="21"/>
  <c r="AV47" i="21"/>
  <c r="E27" i="61"/>
  <c r="E44" i="61" s="1"/>
  <c r="E53" i="61" s="1"/>
  <c r="AN212" i="21"/>
  <c r="G36" i="61"/>
  <c r="F37" i="62"/>
  <c r="BB6" i="32"/>
  <c r="BB199" i="32" s="1"/>
  <c r="BB220" i="32" s="1"/>
  <c r="BH160" i="32"/>
  <c r="BT160" i="32" s="1"/>
  <c r="Z372" i="21" s="1"/>
  <c r="N56" i="11"/>
  <c r="AV372" i="21" s="1"/>
  <c r="AW249" i="21"/>
  <c r="AW45" i="21"/>
  <c r="BE208" i="32"/>
  <c r="BE212" i="32"/>
  <c r="BE213" i="32"/>
  <c r="AT335" i="21"/>
  <c r="AT336" i="21"/>
  <c r="BR156" i="32"/>
  <c r="X369" i="21"/>
  <c r="H10" i="51"/>
  <c r="H6" i="51" s="1"/>
  <c r="AP223" i="21"/>
  <c r="BP200" i="32"/>
  <c r="BP146" i="32" s="1"/>
  <c r="BP201" i="32"/>
  <c r="BP147" i="32" s="1"/>
  <c r="AR182" i="21" s="1"/>
  <c r="AR181" i="21" s="1"/>
  <c r="AR241" i="21"/>
  <c r="AH241" i="21"/>
  <c r="BD209" i="32"/>
  <c r="BD210" i="32" s="1"/>
  <c r="BD211" i="32" s="1"/>
  <c r="BD214" i="32"/>
  <c r="F23" i="51"/>
  <c r="AN295" i="21"/>
  <c r="AN297" i="21" s="1"/>
  <c r="AN299" i="21" s="1"/>
  <c r="R295" i="21"/>
  <c r="R297" i="21" s="1"/>
  <c r="R299" i="21" s="1"/>
  <c r="O32" i="9"/>
  <c r="AV259" i="21"/>
  <c r="Q315" i="21"/>
  <c r="Q317" i="21"/>
  <c r="Q318" i="21"/>
  <c r="AV248" i="21"/>
  <c r="AV43" i="21"/>
  <c r="AV341" i="21" s="1"/>
  <c r="AV277" i="21"/>
  <c r="V316" i="21"/>
  <c r="AR316" i="21"/>
  <c r="BG156" i="32"/>
  <c r="BG149" i="32" s="1"/>
  <c r="BS157" i="32"/>
  <c r="BP208" i="32"/>
  <c r="BP212" i="32"/>
  <c r="BP213" i="32"/>
  <c r="P13" i="11"/>
  <c r="P47" i="11" s="1"/>
  <c r="AM318" i="21"/>
  <c r="AM317" i="21"/>
  <c r="AM315" i="21"/>
  <c r="AV252" i="21"/>
  <c r="AV245" i="21" s="1"/>
  <c r="AV48" i="21"/>
  <c r="AV348" i="21"/>
  <c r="AT40" i="21"/>
  <c r="M112" i="12"/>
  <c r="M119" i="12" s="1"/>
  <c r="O26" i="11"/>
  <c r="L76" i="51"/>
  <c r="L79" i="51" s="1"/>
  <c r="AT237" i="21"/>
  <c r="BC5" i="21"/>
  <c r="AV52" i="21"/>
  <c r="AV327" i="21" s="1"/>
  <c r="I21" i="62"/>
  <c r="J41" i="61"/>
  <c r="M83" i="12"/>
  <c r="L116" i="12"/>
  <c r="M98" i="12"/>
  <c r="AV92" i="21"/>
  <c r="K115" i="12"/>
  <c r="K150" i="12"/>
  <c r="N34" i="9"/>
  <c r="N31" i="9"/>
  <c r="N33" i="9"/>
  <c r="N32" i="9"/>
  <c r="AU336" i="21"/>
  <c r="E74" i="51"/>
  <c r="E26" i="51"/>
  <c r="E83" i="51" s="1"/>
  <c r="E82" i="51"/>
  <c r="E80" i="51"/>
  <c r="E84" i="51"/>
  <c r="AV283" i="21"/>
  <c r="AZ302" i="21"/>
  <c r="AY302" i="21"/>
  <c r="AU254" i="21"/>
  <c r="AU245" i="21" s="1"/>
  <c r="AU50" i="21"/>
  <c r="AU40" i="21" s="1"/>
  <c r="AV254" i="21"/>
  <c r="L113" i="12"/>
  <c r="N32" i="11"/>
  <c r="M117" i="12"/>
  <c r="N84" i="12"/>
  <c r="AW93" i="21"/>
  <c r="AW348" i="21" s="1"/>
  <c r="AU256" i="21"/>
  <c r="O132" i="12"/>
  <c r="AN230" i="21"/>
  <c r="AN229" i="21"/>
  <c r="AN238" i="21"/>
  <c r="AN231" i="21"/>
  <c r="AG240" i="21"/>
  <c r="AG242" i="21" s="1"/>
  <c r="AG239" i="21" s="1"/>
  <c r="AG243" i="21" s="1"/>
  <c r="AQ240" i="21"/>
  <c r="AQ242" i="21" s="1"/>
  <c r="AP169" i="21"/>
  <c r="AQ170" i="21"/>
  <c r="AV339" i="21"/>
  <c r="AV258" i="21"/>
  <c r="AU338" i="21"/>
  <c r="AT245" i="21"/>
  <c r="K62" i="51"/>
  <c r="W309" i="21"/>
  <c r="W311" i="21" s="1"/>
  <c r="AS309" i="21"/>
  <c r="AS311" i="21" s="1"/>
  <c r="K28" i="51"/>
  <c r="K106" i="12"/>
  <c r="BG22" i="32"/>
  <c r="F20" i="61"/>
  <c r="E17" i="62"/>
  <c r="E32" i="62"/>
  <c r="AO152" i="21"/>
  <c r="BC201" i="32"/>
  <c r="BC147" i="32" s="1"/>
  <c r="BC145" i="32" s="1"/>
  <c r="AW250" i="21"/>
  <c r="AW46" i="21"/>
  <c r="AW246" i="21"/>
  <c r="AW41" i="21"/>
  <c r="L62" i="51"/>
  <c r="AT309" i="21"/>
  <c r="AT311" i="21" s="1"/>
  <c r="X309" i="21"/>
  <c r="X311" i="21" s="1"/>
  <c r="L28" i="51"/>
  <c r="O36" i="9"/>
  <c r="AU347" i="21"/>
  <c r="N51" i="11"/>
  <c r="N52" i="11" s="1"/>
  <c r="N35" i="11"/>
  <c r="BH157" i="32"/>
  <c r="AF240" i="21"/>
  <c r="AF242" i="21" s="1"/>
  <c r="AF239" i="21" s="1"/>
  <c r="AF243" i="21" s="1"/>
  <c r="AP240" i="21"/>
  <c r="AP242" i="21" s="1"/>
  <c r="AV85" i="21"/>
  <c r="I41" i="61"/>
  <c r="H21" i="62"/>
  <c r="BD218" i="32"/>
  <c r="BD219" i="32" s="1"/>
  <c r="BD148" i="32"/>
  <c r="BC202" i="32"/>
  <c r="AW253" i="21"/>
  <c r="AW278" i="21" s="1"/>
  <c r="AW49" i="21"/>
  <c r="L59" i="11"/>
  <c r="AT378" i="21" s="1"/>
  <c r="M111" i="12"/>
  <c r="M118" i="12" s="1"/>
  <c r="AW71" i="21"/>
  <c r="AW270" i="21" s="1"/>
  <c r="AW63" i="21"/>
  <c r="O20" i="11"/>
  <c r="BI160" i="32" s="1"/>
  <c r="BU160" i="32" s="1"/>
  <c r="AA372" i="21" s="1"/>
  <c r="N140" i="12"/>
  <c r="N136" i="12"/>
  <c r="L98" i="12"/>
  <c r="AV338" i="21"/>
  <c r="AV257" i="21"/>
  <c r="BR7" i="32"/>
  <c r="V310" i="21"/>
  <c r="V312" i="21" s="1"/>
  <c r="V313" i="21" s="1"/>
  <c r="AR310" i="21"/>
  <c r="AR312" i="21" s="1"/>
  <c r="AR313" i="21" s="1"/>
  <c r="J71" i="51"/>
  <c r="J73" i="51" s="1"/>
  <c r="AT284" i="21"/>
  <c r="AT286" i="21" s="1"/>
  <c r="AW55" i="21"/>
  <c r="K120" i="12"/>
  <c r="L102" i="12"/>
  <c r="L88" i="12"/>
  <c r="AU97" i="21"/>
  <c r="AU354" i="21" s="1"/>
  <c r="K102" i="12"/>
  <c r="AV350" i="21"/>
  <c r="K76" i="51"/>
  <c r="K79" i="51" s="1"/>
  <c r="AS237" i="21"/>
  <c r="AS335" i="21"/>
  <c r="AW264" i="21"/>
  <c r="AW279" i="21" s="1"/>
  <c r="AW281" i="21" s="1"/>
  <c r="O40" i="11"/>
  <c r="P25" i="11"/>
  <c r="P49" i="11" s="1"/>
  <c r="AX58" i="21"/>
  <c r="AX65" i="21"/>
  <c r="AX73" i="21"/>
  <c r="AX81" i="21"/>
  <c r="AX79" i="21"/>
  <c r="AX77" i="21"/>
  <c r="AX72" i="21"/>
  <c r="AX57" i="21"/>
  <c r="AX64" i="21"/>
  <c r="L108" i="12"/>
  <c r="L152" i="12" s="1"/>
  <c r="L151" i="12" s="1"/>
  <c r="I11" i="51"/>
  <c r="AQ362" i="21"/>
  <c r="AQ225" i="21"/>
  <c r="P40" i="11"/>
  <c r="P36" i="11"/>
  <c r="P46" i="11"/>
  <c r="P7" i="11"/>
  <c r="AX54" i="21"/>
  <c r="N148" i="12"/>
  <c r="N146" i="12"/>
  <c r="N144" i="12"/>
  <c r="N87" i="12" s="1"/>
  <c r="C23" i="62"/>
  <c r="C24" i="62" s="1"/>
  <c r="C41" i="62" s="1"/>
  <c r="C50" i="62" s="1"/>
  <c r="C38" i="62"/>
  <c r="C39" i="62" s="1"/>
  <c r="AM385" i="21"/>
  <c r="AM387" i="21" s="1"/>
  <c r="AM332" i="21"/>
  <c r="AM239" i="21"/>
  <c r="AM243" i="21" s="1"/>
  <c r="AN366" i="21"/>
  <c r="AM366" i="21"/>
  <c r="AM383" i="21"/>
  <c r="AM382" i="21"/>
  <c r="AM361" i="21"/>
  <c r="AN361" i="21"/>
  <c r="AV266" i="21"/>
  <c r="BF156" i="32"/>
  <c r="BF149" i="32" s="1"/>
  <c r="AS386" i="21"/>
  <c r="AS334" i="21"/>
  <c r="AS326" i="21"/>
  <c r="M149" i="12"/>
  <c r="M147" i="12"/>
  <c r="M145" i="12"/>
  <c r="M139" i="12" s="1"/>
  <c r="O135" i="12"/>
  <c r="AV285" i="21"/>
  <c r="AW56" i="21"/>
  <c r="BC209" i="32"/>
  <c r="BC210" i="32" s="1"/>
  <c r="BC211" i="32" s="1"/>
  <c r="BC214" i="32"/>
  <c r="P19" i="11"/>
  <c r="O46" i="11"/>
  <c r="N44" i="11"/>
  <c r="N45" i="11" s="1"/>
  <c r="H36" i="61" l="1"/>
  <c r="G37" i="62"/>
  <c r="BC6" i="32"/>
  <c r="BC199" i="32" s="1"/>
  <c r="BC220" i="32" s="1"/>
  <c r="AX96" i="21"/>
  <c r="O87" i="12"/>
  <c r="N101" i="12"/>
  <c r="O101" i="12" s="1"/>
  <c r="BG189" i="32"/>
  <c r="BG188" i="32" s="1"/>
  <c r="AU364" i="21"/>
  <c r="AU345" i="21"/>
  <c r="AY81" i="21"/>
  <c r="AX80" i="21"/>
  <c r="AZ81" i="21"/>
  <c r="P42" i="11"/>
  <c r="AX272" i="21"/>
  <c r="AY73" i="21"/>
  <c r="BG21" i="32"/>
  <c r="BG20" i="32" s="1"/>
  <c r="BS22" i="32"/>
  <c r="BS21" i="32" s="1"/>
  <c r="BS20" i="32" s="1"/>
  <c r="BT22" i="32"/>
  <c r="BT21" i="32" s="1"/>
  <c r="BT20" i="32" s="1"/>
  <c r="AQ169" i="21"/>
  <c r="AR170" i="21"/>
  <c r="N36" i="9"/>
  <c r="BS156" i="32"/>
  <c r="Y369" i="21"/>
  <c r="AW285" i="21"/>
  <c r="N149" i="12"/>
  <c r="N147" i="12"/>
  <c r="N145" i="12"/>
  <c r="AT310" i="21"/>
  <c r="AT312" i="21" s="1"/>
  <c r="AT313" i="21" s="1"/>
  <c r="X310" i="21"/>
  <c r="X312" i="21" s="1"/>
  <c r="X313" i="21" s="1"/>
  <c r="L71" i="51"/>
  <c r="L73" i="51" s="1"/>
  <c r="AU255" i="21"/>
  <c r="AU322" i="21"/>
  <c r="AV336" i="21"/>
  <c r="AW248" i="21"/>
  <c r="AW43" i="21"/>
  <c r="I10" i="51"/>
  <c r="I6" i="51" s="1"/>
  <c r="AQ223" i="21"/>
  <c r="AX261" i="21"/>
  <c r="AY65" i="21"/>
  <c r="AS316" i="21"/>
  <c r="W316" i="21"/>
  <c r="AW52" i="21"/>
  <c r="AW327" i="21" s="1"/>
  <c r="G20" i="61"/>
  <c r="F32" i="62"/>
  <c r="F17" i="62"/>
  <c r="AP152" i="21"/>
  <c r="N117" i="12"/>
  <c r="AX93" i="21"/>
  <c r="O84" i="12"/>
  <c r="BP145" i="32"/>
  <c r="BP6" i="32" s="1"/>
  <c r="AR178" i="21"/>
  <c r="AR171" i="21" s="1"/>
  <c r="BE209" i="32"/>
  <c r="BE210" i="32" s="1"/>
  <c r="BE211" i="32" s="1"/>
  <c r="BE214" i="32"/>
  <c r="AW254" i="21"/>
  <c r="BE145" i="32"/>
  <c r="BT157" i="32"/>
  <c r="AT282" i="21"/>
  <c r="BG218" i="32"/>
  <c r="L38" i="61"/>
  <c r="K18" i="62"/>
  <c r="BG206" i="32"/>
  <c r="BG207" i="32" s="1"/>
  <c r="BG205" i="32"/>
  <c r="BP202" i="32"/>
  <c r="AR228" i="21" s="1"/>
  <c r="P31" i="11"/>
  <c r="P50" i="11" s="1"/>
  <c r="AX66" i="21"/>
  <c r="AX86" i="21"/>
  <c r="AX89" i="21"/>
  <c r="AX84" i="21"/>
  <c r="AX74" i="21"/>
  <c r="AX67" i="21"/>
  <c r="AX90" i="21"/>
  <c r="AX75" i="21"/>
  <c r="AX60" i="21"/>
  <c r="AX87" i="21"/>
  <c r="AX83" i="21"/>
  <c r="AX59" i="21"/>
  <c r="AV265" i="21"/>
  <c r="AV284" i="21" s="1"/>
  <c r="AV286" i="21" s="1"/>
  <c r="N99" i="12"/>
  <c r="AW283" i="21"/>
  <c r="AW88" i="21"/>
  <c r="AW276" i="21" s="1"/>
  <c r="BI157" i="32"/>
  <c r="O54" i="11"/>
  <c r="AW369" i="21" s="1"/>
  <c r="AU283" i="21"/>
  <c r="AU282" i="21" s="1"/>
  <c r="BP209" i="32"/>
  <c r="BP210" i="32" s="1"/>
  <c r="BP211" i="32" s="1"/>
  <c r="BP214" i="32"/>
  <c r="AX250" i="21"/>
  <c r="AX46" i="21"/>
  <c r="AY46" i="21" s="1"/>
  <c r="AY58" i="21"/>
  <c r="N112" i="12"/>
  <c r="N119" i="12" s="1"/>
  <c r="P26" i="11"/>
  <c r="AV53" i="21"/>
  <c r="N59" i="11"/>
  <c r="AV378" i="21" s="1"/>
  <c r="BH162" i="32"/>
  <c r="BT162" i="32" s="1"/>
  <c r="Z377" i="21" s="1"/>
  <c r="O58" i="11"/>
  <c r="AW377" i="21" s="1"/>
  <c r="N58" i="11"/>
  <c r="AV377" i="21" s="1"/>
  <c r="AV347" i="21"/>
  <c r="AV91" i="21"/>
  <c r="X316" i="21"/>
  <c r="AT316" i="21"/>
  <c r="G27" i="61"/>
  <c r="AP212" i="21"/>
  <c r="M113" i="12"/>
  <c r="O32" i="11"/>
  <c r="BI162" i="32" s="1"/>
  <c r="AW338" i="21"/>
  <c r="AW257" i="21"/>
  <c r="F27" i="61"/>
  <c r="AO212" i="21"/>
  <c r="AO229" i="21" s="1"/>
  <c r="AT386" i="21"/>
  <c r="AT334" i="21"/>
  <c r="AT326" i="21"/>
  <c r="N111" i="12"/>
  <c r="N118" i="12" s="1"/>
  <c r="AX63" i="21"/>
  <c r="AX71" i="21"/>
  <c r="P20" i="11"/>
  <c r="AW259" i="21"/>
  <c r="O42" i="11"/>
  <c r="M102" i="12"/>
  <c r="M106" i="12" s="1"/>
  <c r="M88" i="12"/>
  <c r="L120" i="12"/>
  <c r="AV97" i="21"/>
  <c r="AV354" i="21" s="1"/>
  <c r="AV256" i="21"/>
  <c r="AW277" i="21"/>
  <c r="AU91" i="21"/>
  <c r="O56" i="11"/>
  <c r="AW372" i="21" s="1"/>
  <c r="AS310" i="21"/>
  <c r="AS312" i="21" s="1"/>
  <c r="AS313" i="21" s="1"/>
  <c r="W310" i="21"/>
  <c r="W312" i="21" s="1"/>
  <c r="W313" i="21" s="1"/>
  <c r="K71" i="51"/>
  <c r="K73" i="51" s="1"/>
  <c r="BI22" i="32"/>
  <c r="BI161" i="32"/>
  <c r="BU161" i="32" s="1"/>
  <c r="AA376" i="21" s="1"/>
  <c r="O57" i="11"/>
  <c r="AW376" i="21" s="1"/>
  <c r="P57" i="11"/>
  <c r="AX376" i="21" s="1"/>
  <c r="R315" i="21"/>
  <c r="R318" i="21"/>
  <c r="R317" i="21"/>
  <c r="H23" i="51"/>
  <c r="AP295" i="21"/>
  <c r="AP297" i="21" s="1"/>
  <c r="AP299" i="21" s="1"/>
  <c r="T295" i="21"/>
  <c r="T297" i="21" s="1"/>
  <c r="T299" i="21" s="1"/>
  <c r="AW266" i="21"/>
  <c r="G23" i="51"/>
  <c r="S295" i="21"/>
  <c r="S297" i="21" s="1"/>
  <c r="S299" i="21" s="1"/>
  <c r="AO295" i="21"/>
  <c r="AO297" i="21" s="1"/>
  <c r="AO299" i="21" s="1"/>
  <c r="AX55" i="21"/>
  <c r="AN317" i="21"/>
  <c r="AN315" i="21"/>
  <c r="AN318" i="21"/>
  <c r="AW251" i="21"/>
  <c r="AW47" i="21"/>
  <c r="M108" i="12"/>
  <c r="M152" i="12" s="1"/>
  <c r="M151" i="12" s="1"/>
  <c r="L106" i="12"/>
  <c r="BH22" i="32"/>
  <c r="BH21" i="32" s="1"/>
  <c r="BH20" i="32" s="1"/>
  <c r="BD201" i="32"/>
  <c r="BD147" i="32" s="1"/>
  <c r="BD202" i="32" s="1"/>
  <c r="BD200" i="32"/>
  <c r="BD146" i="32" s="1"/>
  <c r="AO238" i="21"/>
  <c r="N83" i="12"/>
  <c r="M116" i="12"/>
  <c r="N98" i="12"/>
  <c r="M93" i="12"/>
  <c r="AW92" i="21"/>
  <c r="BF189" i="32"/>
  <c r="AT364" i="21"/>
  <c r="BC40" i="21"/>
  <c r="AT345" i="21"/>
  <c r="F26" i="51"/>
  <c r="F83" i="51" s="1"/>
  <c r="F82" i="51"/>
  <c r="F80" i="51"/>
  <c r="F74" i="51"/>
  <c r="F84" i="51"/>
  <c r="X378" i="21"/>
  <c r="BR149" i="32"/>
  <c r="AW252" i="21"/>
  <c r="AW48" i="21"/>
  <c r="AW341" i="21" s="1"/>
  <c r="O43" i="11"/>
  <c r="O53" i="11" s="1"/>
  <c r="BQ200" i="32"/>
  <c r="BQ146" i="32" s="1"/>
  <c r="AI241" i="21"/>
  <c r="AS241" i="21"/>
  <c r="AW350" i="21"/>
  <c r="AN243" i="21"/>
  <c r="AX56" i="21"/>
  <c r="AX246" i="21"/>
  <c r="AZ54" i="21"/>
  <c r="AY54" i="21"/>
  <c r="AX41" i="21"/>
  <c r="AX271" i="21"/>
  <c r="AZ72" i="21"/>
  <c r="AY72" i="21"/>
  <c r="AW247" i="21"/>
  <c r="AW245" i="21" s="1"/>
  <c r="AW42" i="21"/>
  <c r="O136" i="12"/>
  <c r="L93" i="12"/>
  <c r="N110" i="12"/>
  <c r="AX69" i="21"/>
  <c r="AX62" i="21"/>
  <c r="P14" i="11"/>
  <c r="BI158" i="32"/>
  <c r="BU158" i="32" s="1"/>
  <c r="AA370" i="21" s="1"/>
  <c r="O55" i="11"/>
  <c r="AW370" i="21" s="1"/>
  <c r="P55" i="11"/>
  <c r="AX370" i="21" s="1"/>
  <c r="BQ208" i="32"/>
  <c r="BQ212" i="32"/>
  <c r="BQ213" i="32"/>
  <c r="AX95" i="21"/>
  <c r="O86" i="12"/>
  <c r="AX260" i="21"/>
  <c r="AZ64" i="21"/>
  <c r="AY64" i="21"/>
  <c r="AV50" i="21"/>
  <c r="AV40" i="21" s="1"/>
  <c r="AX249" i="21"/>
  <c r="AZ57" i="21"/>
  <c r="AY57" i="21"/>
  <c r="AX45" i="21"/>
  <c r="P48" i="11"/>
  <c r="P56" i="11" s="1"/>
  <c r="AX372" i="21" s="1"/>
  <c r="N109" i="12"/>
  <c r="AX68" i="21"/>
  <c r="AX61" i="21"/>
  <c r="P8" i="11"/>
  <c r="AX76" i="21"/>
  <c r="AZ77" i="21"/>
  <c r="AY77" i="21"/>
  <c r="N139" i="12"/>
  <c r="AW339" i="21"/>
  <c r="AW258" i="21"/>
  <c r="K38" i="61"/>
  <c r="J18" i="62"/>
  <c r="BF206" i="32"/>
  <c r="BF207" i="32" s="1"/>
  <c r="BF205" i="32"/>
  <c r="AZ79" i="21"/>
  <c r="AY79" i="21"/>
  <c r="AX78" i="21"/>
  <c r="F44" i="61"/>
  <c r="F53" i="61" s="1"/>
  <c r="D23" i="62"/>
  <c r="D24" i="62" s="1"/>
  <c r="D38" i="62"/>
  <c r="D39" i="62" s="1"/>
  <c r="AN385" i="21"/>
  <c r="AN387" i="21" s="1"/>
  <c r="AN332" i="21"/>
  <c r="AN239" i="21"/>
  <c r="AN382" i="21"/>
  <c r="AN383" i="21"/>
  <c r="AW85" i="21"/>
  <c r="AW53" i="21" s="1"/>
  <c r="N100" i="12"/>
  <c r="AZ372" i="21" l="1"/>
  <c r="AY372" i="21"/>
  <c r="BH189" i="32"/>
  <c r="BH188" i="32" s="1"/>
  <c r="AV364" i="21"/>
  <c r="AZ90" i="21"/>
  <c r="AY90" i="21"/>
  <c r="AZ45" i="21"/>
  <c r="AY45" i="21"/>
  <c r="BD145" i="32"/>
  <c r="AO315" i="21"/>
  <c r="AO318" i="21"/>
  <c r="AO317" i="21"/>
  <c r="AZ376" i="21"/>
  <c r="AY376" i="21"/>
  <c r="AX263" i="21"/>
  <c r="AZ67" i="21"/>
  <c r="AY67" i="21"/>
  <c r="BS7" i="32"/>
  <c r="AO361" i="21"/>
  <c r="BF188" i="32"/>
  <c r="BS189" i="32"/>
  <c r="BS188" i="32" s="1"/>
  <c r="BR189" i="32"/>
  <c r="BR188" i="32" s="1"/>
  <c r="S318" i="21"/>
  <c r="S317" i="21"/>
  <c r="S315" i="21"/>
  <c r="BJ23" i="32"/>
  <c r="BV23" i="32" s="1"/>
  <c r="O99" i="12"/>
  <c r="AX273" i="21"/>
  <c r="AY74" i="21"/>
  <c r="L32" i="61"/>
  <c r="BG217" i="32"/>
  <c r="BG7" i="32"/>
  <c r="BJ24" i="32"/>
  <c r="BV24" i="32" s="1"/>
  <c r="O100" i="12"/>
  <c r="AW347" i="21"/>
  <c r="G26" i="51"/>
  <c r="G83" i="51" s="1"/>
  <c r="G82" i="51"/>
  <c r="G80" i="51"/>
  <c r="G74" i="51"/>
  <c r="G84" i="51"/>
  <c r="N88" i="12"/>
  <c r="M120" i="12"/>
  <c r="AW97" i="21"/>
  <c r="AW354" i="21" s="1"/>
  <c r="AV323" i="21"/>
  <c r="AV355" i="21"/>
  <c r="AV51" i="21"/>
  <c r="L26" i="62"/>
  <c r="AZ250" i="21"/>
  <c r="AY250" i="21"/>
  <c r="AZ84" i="21"/>
  <c r="AY84" i="21"/>
  <c r="BG219" i="32"/>
  <c r="AR240" i="21"/>
  <c r="AR242" i="21" s="1"/>
  <c r="AH240" i="21"/>
  <c r="AH242" i="21" s="1"/>
  <c r="AH239" i="21" s="1"/>
  <c r="AH243" i="21" s="1"/>
  <c r="AZ261" i="21"/>
  <c r="AY261" i="21"/>
  <c r="AV39" i="21"/>
  <c r="AX88" i="21"/>
  <c r="AZ89" i="21"/>
  <c r="AY89" i="21"/>
  <c r="AV282" i="21"/>
  <c r="H27" i="61"/>
  <c r="AQ212" i="21"/>
  <c r="K21" i="62"/>
  <c r="L41" i="61"/>
  <c r="AS178" i="21"/>
  <c r="AS171" i="21" s="1"/>
  <c r="BT7" i="32"/>
  <c r="AZ370" i="21"/>
  <c r="AY370" i="21"/>
  <c r="AX248" i="21"/>
  <c r="AZ56" i="21"/>
  <c r="AY56" i="21"/>
  <c r="AX43" i="21"/>
  <c r="BJ22" i="32"/>
  <c r="O98" i="12"/>
  <c r="AZ86" i="21"/>
  <c r="AY86" i="21"/>
  <c r="AX85" i="21"/>
  <c r="AX348" i="21"/>
  <c r="AY93" i="21"/>
  <c r="AZ93" i="21"/>
  <c r="I23" i="51"/>
  <c r="U295" i="21"/>
  <c r="U297" i="21" s="1"/>
  <c r="U299" i="21" s="1"/>
  <c r="AQ295" i="21"/>
  <c r="AQ297" i="21" s="1"/>
  <c r="AQ299" i="21" s="1"/>
  <c r="BG208" i="32"/>
  <c r="BG212" i="32"/>
  <c r="BG213" i="32"/>
  <c r="AX253" i="21"/>
  <c r="AZ76" i="21"/>
  <c r="AX49" i="21"/>
  <c r="AY76" i="21"/>
  <c r="O44" i="11"/>
  <c r="O45" i="11" s="1"/>
  <c r="AX262" i="21"/>
  <c r="AY66" i="21"/>
  <c r="AZ272" i="21"/>
  <c r="AY272" i="21"/>
  <c r="AX350" i="21"/>
  <c r="AZ95" i="21"/>
  <c r="AY95" i="21"/>
  <c r="AZ41" i="21"/>
  <c r="AY41" i="21"/>
  <c r="BQ209" i="32"/>
  <c r="BQ210" i="32" s="1"/>
  <c r="BQ211" i="32" s="1"/>
  <c r="BQ214" i="32"/>
  <c r="M32" i="61"/>
  <c r="BH217" i="32"/>
  <c r="BH7" i="32"/>
  <c r="AZ249" i="21"/>
  <c r="AY249" i="21"/>
  <c r="N116" i="12"/>
  <c r="N93" i="12"/>
  <c r="AX92" i="21"/>
  <c r="O83" i="12"/>
  <c r="T318" i="21"/>
  <c r="T315" i="21"/>
  <c r="T317" i="21"/>
  <c r="AW256" i="21"/>
  <c r="AX251" i="21"/>
  <c r="AX47" i="21"/>
  <c r="AZ59" i="21"/>
  <c r="AY59" i="21"/>
  <c r="BT156" i="32"/>
  <c r="Z369" i="21"/>
  <c r="AP230" i="21"/>
  <c r="AP238" i="21"/>
  <c r="AP229" i="21"/>
  <c r="AP231" i="21"/>
  <c r="AX353" i="21"/>
  <c r="AZ96" i="21"/>
  <c r="AY96" i="21"/>
  <c r="AX264" i="21"/>
  <c r="AZ78" i="21"/>
  <c r="AY78" i="21"/>
  <c r="AW265" i="21"/>
  <c r="AW284" i="21" s="1"/>
  <c r="AW286" i="21" s="1"/>
  <c r="AZ246" i="21"/>
  <c r="AY246" i="21"/>
  <c r="BR206" i="32"/>
  <c r="BR207" i="32" s="1"/>
  <c r="BR148" i="32"/>
  <c r="BR205" i="32"/>
  <c r="BF208" i="32"/>
  <c r="BF212" i="32"/>
  <c r="BF213" i="32"/>
  <c r="AO231" i="21"/>
  <c r="AP315" i="21"/>
  <c r="AP318" i="21"/>
  <c r="AP317" i="21"/>
  <c r="BI156" i="32"/>
  <c r="BI149" i="32" s="1"/>
  <c r="BU157" i="32"/>
  <c r="AZ83" i="21"/>
  <c r="AY83" i="21"/>
  <c r="AX82" i="21"/>
  <c r="N113" i="12"/>
  <c r="N108" i="12" s="1"/>
  <c r="N152" i="12" s="1"/>
  <c r="N151" i="12" s="1"/>
  <c r="P32" i="11"/>
  <c r="BH156" i="32"/>
  <c r="BH149" i="32" s="1"/>
  <c r="Y378" i="21"/>
  <c r="BS149" i="32"/>
  <c r="BI21" i="32"/>
  <c r="BI20" i="32" s="1"/>
  <c r="BU22" i="32"/>
  <c r="BU21" i="32" s="1"/>
  <c r="BU20" i="32" s="1"/>
  <c r="AX267" i="21"/>
  <c r="AZ68" i="21"/>
  <c r="AY68" i="21"/>
  <c r="H82" i="51"/>
  <c r="H80" i="51"/>
  <c r="H74" i="51"/>
  <c r="H26" i="51"/>
  <c r="H83" i="51" s="1"/>
  <c r="H84" i="51"/>
  <c r="BJ160" i="32"/>
  <c r="BV160" i="32" s="1"/>
  <c r="AB372" i="21" s="1"/>
  <c r="Q20" i="11"/>
  <c r="BU162" i="32"/>
  <c r="AA377" i="21" s="1"/>
  <c r="O51" i="11"/>
  <c r="O52" i="11" s="1"/>
  <c r="O59" i="11" s="1"/>
  <c r="AW378" i="21" s="1"/>
  <c r="AZ87" i="21"/>
  <c r="AY87" i="21"/>
  <c r="J11" i="51"/>
  <c r="AR362" i="21"/>
  <c r="AR225" i="21"/>
  <c r="J36" i="61"/>
  <c r="BE6" i="32"/>
  <c r="BE199" i="32" s="1"/>
  <c r="BE220" i="32" s="1"/>
  <c r="I37" i="62"/>
  <c r="AX247" i="21"/>
  <c r="AZ55" i="21"/>
  <c r="AY55" i="21"/>
  <c r="AX42" i="21"/>
  <c r="AV345" i="21"/>
  <c r="O35" i="11"/>
  <c r="AX252" i="21"/>
  <c r="AY60" i="21"/>
  <c r="AX48" i="21"/>
  <c r="AW50" i="21"/>
  <c r="AW40" i="21" s="1"/>
  <c r="G44" i="61"/>
  <c r="G53" i="61" s="1"/>
  <c r="AU324" i="21"/>
  <c r="AR169" i="21"/>
  <c r="AS170" i="21"/>
  <c r="AX275" i="21"/>
  <c r="AZ80" i="21"/>
  <c r="AY80" i="21"/>
  <c r="L150" i="12"/>
  <c r="L115" i="12"/>
  <c r="AV255" i="21"/>
  <c r="AV322" i="21"/>
  <c r="AV324" i="21" s="1"/>
  <c r="M150" i="12"/>
  <c r="M115" i="12"/>
  <c r="E23" i="62"/>
  <c r="E24" i="62" s="1"/>
  <c r="E38" i="62"/>
  <c r="E39" i="62" s="1"/>
  <c r="AO385" i="21"/>
  <c r="AO387" i="21" s="1"/>
  <c r="AO332" i="21"/>
  <c r="AO239" i="21"/>
  <c r="AO383" i="21"/>
  <c r="AO382" i="21"/>
  <c r="AP366" i="21"/>
  <c r="AO366" i="21"/>
  <c r="AP361" i="21"/>
  <c r="AQ361" i="21"/>
  <c r="AQ366" i="21"/>
  <c r="P35" i="11"/>
  <c r="Q35" i="11" s="1"/>
  <c r="P51" i="11"/>
  <c r="BJ157" i="32"/>
  <c r="Q8" i="11"/>
  <c r="P54" i="11"/>
  <c r="AX369" i="21" s="1"/>
  <c r="AX338" i="21"/>
  <c r="AX257" i="21"/>
  <c r="AX53" i="21"/>
  <c r="AZ61" i="21"/>
  <c r="AY61" i="21"/>
  <c r="BJ158" i="32"/>
  <c r="BV158" i="32" s="1"/>
  <c r="AB370" i="21" s="1"/>
  <c r="Q14" i="11"/>
  <c r="AX258" i="21"/>
  <c r="AZ62" i="21"/>
  <c r="AY62" i="21"/>
  <c r="AZ260" i="21"/>
  <c r="AY260" i="21"/>
  <c r="AX268" i="21"/>
  <c r="AZ69" i="21"/>
  <c r="AY69" i="21"/>
  <c r="AZ271" i="21"/>
  <c r="AY271" i="21"/>
  <c r="BQ201" i="32"/>
  <c r="BQ147" i="32" s="1"/>
  <c r="AS182" i="21" s="1"/>
  <c r="AS181" i="21" s="1"/>
  <c r="AO243" i="21"/>
  <c r="AU355" i="21"/>
  <c r="AU323" i="21"/>
  <c r="AU51" i="21"/>
  <c r="K26" i="62"/>
  <c r="AU39" i="21"/>
  <c r="AX270" i="21"/>
  <c r="AZ71" i="21"/>
  <c r="AY71" i="21"/>
  <c r="D41" i="62"/>
  <c r="D50" i="62" s="1"/>
  <c r="P43" i="11"/>
  <c r="AX52" i="21"/>
  <c r="AO230" i="21"/>
  <c r="AX341" i="21"/>
  <c r="AX259" i="21"/>
  <c r="AZ63" i="21"/>
  <c r="AY63" i="21"/>
  <c r="F23" i="62"/>
  <c r="F24" i="62" s="1"/>
  <c r="F38" i="62"/>
  <c r="F39" i="62" s="1"/>
  <c r="AP385" i="21"/>
  <c r="AP387" i="21" s="1"/>
  <c r="AP332" i="21"/>
  <c r="AP239" i="21"/>
  <c r="AP383" i="21"/>
  <c r="AP382" i="21"/>
  <c r="BJ161" i="32"/>
  <c r="BV161" i="32" s="1"/>
  <c r="AB376" i="21" s="1"/>
  <c r="Q26" i="11"/>
  <c r="AX274" i="21"/>
  <c r="AZ75" i="21"/>
  <c r="AY75" i="21"/>
  <c r="BG148" i="32"/>
  <c r="AW336" i="21"/>
  <c r="H20" i="61"/>
  <c r="G32" i="62"/>
  <c r="G17" i="62"/>
  <c r="AQ152" i="21"/>
  <c r="BI189" i="32" l="1"/>
  <c r="AW364" i="21"/>
  <c r="AW345" i="21"/>
  <c r="AZ341" i="21"/>
  <c r="AY341" i="21"/>
  <c r="AZ53" i="21"/>
  <c r="AY53" i="21"/>
  <c r="AZ338" i="21"/>
  <c r="AY338" i="21"/>
  <c r="AX280" i="21"/>
  <c r="AZ275" i="21"/>
  <c r="AY275" i="21"/>
  <c r="BJ162" i="32"/>
  <c r="BV162" i="32" s="1"/>
  <c r="AB377" i="21" s="1"/>
  <c r="Q32" i="11"/>
  <c r="AQ318" i="21"/>
  <c r="AQ317" i="21"/>
  <c r="AQ315" i="21"/>
  <c r="BJ21" i="32"/>
  <c r="BJ20" i="32" s="1"/>
  <c r="BV22" i="32"/>
  <c r="BV21" i="32" s="1"/>
  <c r="BV20" i="32" s="1"/>
  <c r="BQ145" i="32"/>
  <c r="BQ6" i="32" s="1"/>
  <c r="AQ230" i="21"/>
  <c r="AQ238" i="21"/>
  <c r="AQ229" i="21"/>
  <c r="AQ231" i="21"/>
  <c r="AS169" i="21"/>
  <c r="AT170" i="21"/>
  <c r="AZ42" i="21"/>
  <c r="AY42" i="21"/>
  <c r="O93" i="12"/>
  <c r="U318" i="21"/>
  <c r="U317" i="21"/>
  <c r="U315" i="21"/>
  <c r="AZ264" i="21"/>
  <c r="AX279" i="21"/>
  <c r="AY264" i="21"/>
  <c r="AZ274" i="21"/>
  <c r="AY274" i="21"/>
  <c r="M64" i="51"/>
  <c r="M61" i="51" s="1"/>
  <c r="M12" i="61"/>
  <c r="BD39" i="21"/>
  <c r="AU5" i="21"/>
  <c r="L12" i="61"/>
  <c r="E41" i="62"/>
  <c r="E50" i="62" s="1"/>
  <c r="I20" i="61"/>
  <c r="H32" i="62"/>
  <c r="H17" i="62"/>
  <c r="AR152" i="21"/>
  <c r="AX254" i="21"/>
  <c r="AZ82" i="21"/>
  <c r="AY82" i="21"/>
  <c r="AX50" i="21"/>
  <c r="Z378" i="21"/>
  <c r="BT149" i="32"/>
  <c r="AX347" i="21"/>
  <c r="AZ92" i="21"/>
  <c r="AY92" i="21"/>
  <c r="AZ262" i="21"/>
  <c r="AY262" i="21"/>
  <c r="I82" i="51"/>
  <c r="I80" i="51"/>
  <c r="I74" i="51"/>
  <c r="I26" i="51"/>
  <c r="I83" i="51" s="1"/>
  <c r="I84" i="51"/>
  <c r="AZ43" i="21"/>
  <c r="AY43" i="21"/>
  <c r="AZ270" i="21"/>
  <c r="AY270" i="21"/>
  <c r="AZ259" i="21"/>
  <c r="AY259" i="21"/>
  <c r="AZ268" i="21"/>
  <c r="AY268" i="21"/>
  <c r="AU386" i="21"/>
  <c r="AU334" i="21"/>
  <c r="AU326" i="21"/>
  <c r="BF209" i="32"/>
  <c r="BF210" i="32" s="1"/>
  <c r="BF211" i="32" s="1"/>
  <c r="BF214" i="32"/>
  <c r="N150" i="12"/>
  <c r="N115" i="12"/>
  <c r="G23" i="62"/>
  <c r="G24" i="62" s="1"/>
  <c r="G38" i="62"/>
  <c r="G39" i="62" s="1"/>
  <c r="AQ332" i="21"/>
  <c r="AQ385" i="21"/>
  <c r="AQ387" i="21" s="1"/>
  <c r="AQ239" i="21"/>
  <c r="AQ383" i="21"/>
  <c r="AQ382" i="21"/>
  <c r="N120" i="12"/>
  <c r="AX97" i="21"/>
  <c r="AX91" i="21" s="1"/>
  <c r="O88" i="12"/>
  <c r="BT189" i="32"/>
  <c r="BT188" i="32" s="1"/>
  <c r="AZ263" i="21"/>
  <c r="AY263" i="21"/>
  <c r="N102" i="12"/>
  <c r="AV326" i="21"/>
  <c r="AV334" i="21"/>
  <c r="AY247" i="21"/>
  <c r="AZ247" i="21"/>
  <c r="BR200" i="32"/>
  <c r="BR146" i="32" s="1"/>
  <c r="BR201" i="32"/>
  <c r="BR147" i="32" s="1"/>
  <c r="AT182" i="21" s="1"/>
  <c r="AJ241" i="21"/>
  <c r="AT241" i="21"/>
  <c r="AZ49" i="21"/>
  <c r="AY49" i="21"/>
  <c r="L21" i="62"/>
  <c r="M41" i="61"/>
  <c r="BQ202" i="32"/>
  <c r="AS228" i="21" s="1"/>
  <c r="AZ257" i="21"/>
  <c r="AY257" i="21"/>
  <c r="AZ48" i="21"/>
  <c r="AY48" i="21"/>
  <c r="AZ267" i="21"/>
  <c r="AY267" i="21"/>
  <c r="BU156" i="32"/>
  <c r="AA369" i="21"/>
  <c r="BR208" i="32"/>
  <c r="BR212" i="32"/>
  <c r="BR213" i="32"/>
  <c r="AZ47" i="21"/>
  <c r="AY47" i="21"/>
  <c r="AZ348" i="21"/>
  <c r="AY348" i="21"/>
  <c r="AY248" i="21"/>
  <c r="AZ248" i="21"/>
  <c r="BU7" i="32"/>
  <c r="N38" i="61"/>
  <c r="M18" i="62"/>
  <c r="BI206" i="32"/>
  <c r="BI207" i="32" s="1"/>
  <c r="BI205" i="32"/>
  <c r="AX245" i="21"/>
  <c r="AZ251" i="21"/>
  <c r="AY251" i="21"/>
  <c r="AX283" i="21"/>
  <c r="AX265" i="21"/>
  <c r="AX284" i="21" s="1"/>
  <c r="AZ85" i="21"/>
  <c r="AY85" i="21"/>
  <c r="J21" i="62"/>
  <c r="K41" i="61"/>
  <c r="BF218" i="32"/>
  <c r="BF219" i="32" s="1"/>
  <c r="BF148" i="32"/>
  <c r="P53" i="11"/>
  <c r="P44" i="11"/>
  <c r="P45" i="11" s="1"/>
  <c r="AZ369" i="21"/>
  <c r="AY369" i="21"/>
  <c r="AY252" i="21"/>
  <c r="AZ252" i="21"/>
  <c r="N32" i="61"/>
  <c r="BI7" i="32"/>
  <c r="BI217" i="32"/>
  <c r="AZ353" i="21"/>
  <c r="AY353" i="21"/>
  <c r="P58" i="11"/>
  <c r="AX377" i="21" s="1"/>
  <c r="AX278" i="21"/>
  <c r="AY253" i="21"/>
  <c r="AZ253" i="21"/>
  <c r="AZ273" i="21"/>
  <c r="AY273" i="21"/>
  <c r="AW282" i="21"/>
  <c r="BS206" i="32"/>
  <c r="BS207" i="32" s="1"/>
  <c r="BS148" i="32"/>
  <c r="BS205" i="32"/>
  <c r="AW255" i="21"/>
  <c r="AW322" i="21"/>
  <c r="AX276" i="21"/>
  <c r="AZ88" i="21"/>
  <c r="AY88" i="21"/>
  <c r="I36" i="61"/>
  <c r="H37" i="62"/>
  <c r="BD6" i="32"/>
  <c r="BD199" i="32" s="1"/>
  <c r="BD220" i="32" s="1"/>
  <c r="H44" i="61"/>
  <c r="H53" i="61" s="1"/>
  <c r="BG200" i="32"/>
  <c r="BG146" i="32" s="1"/>
  <c r="BG201" i="32"/>
  <c r="BG147" i="32" s="1"/>
  <c r="BG202" i="32"/>
  <c r="AZ258" i="21"/>
  <c r="AY258" i="21"/>
  <c r="BJ156" i="32"/>
  <c r="BJ149" i="32" s="1"/>
  <c r="BV157" i="32"/>
  <c r="J10" i="51"/>
  <c r="J6" i="51" s="1"/>
  <c r="AR223" i="21"/>
  <c r="AY350" i="21"/>
  <c r="AZ350" i="21"/>
  <c r="N64" i="51"/>
  <c r="N61" i="51" s="1"/>
  <c r="AV5" i="21"/>
  <c r="AV386" i="21" s="1"/>
  <c r="AW91" i="21"/>
  <c r="AY52" i="21"/>
  <c r="AZ52" i="21"/>
  <c r="AX327" i="21"/>
  <c r="F41" i="62"/>
  <c r="F50" i="62" s="1"/>
  <c r="AX339" i="21"/>
  <c r="P52" i="11"/>
  <c r="Q51" i="11"/>
  <c r="M38" i="61"/>
  <c r="L18" i="62"/>
  <c r="BH218" i="32"/>
  <c r="BH219" i="32" s="1"/>
  <c r="BH206" i="32"/>
  <c r="BH207" i="32" s="1"/>
  <c r="BH148" i="32"/>
  <c r="BH205" i="32"/>
  <c r="AP243" i="21"/>
  <c r="BG209" i="32"/>
  <c r="BG210" i="32" s="1"/>
  <c r="BG211" i="32" s="1"/>
  <c r="BG214" i="32"/>
  <c r="AZ284" i="21" l="1"/>
  <c r="AY284" i="21"/>
  <c r="AX355" i="21"/>
  <c r="AX323" i="21"/>
  <c r="AZ91" i="21"/>
  <c r="AY91" i="21"/>
  <c r="AX51" i="21"/>
  <c r="N26" i="62"/>
  <c r="AX39" i="21"/>
  <c r="AA378" i="21"/>
  <c r="BU149" i="32"/>
  <c r="BH200" i="32"/>
  <c r="BH146" i="32" s="1"/>
  <c r="AZ278" i="21"/>
  <c r="AY278" i="21"/>
  <c r="AX277" i="21"/>
  <c r="AZ50" i="21"/>
  <c r="AY50" i="21"/>
  <c r="AX40" i="21"/>
  <c r="O32" i="61"/>
  <c r="BJ7" i="32"/>
  <c r="BJ217" i="32"/>
  <c r="AW323" i="21"/>
  <c r="AW355" i="21"/>
  <c r="AW51" i="21"/>
  <c r="M26" i="62"/>
  <c r="AW39" i="21"/>
  <c r="AZ276" i="21"/>
  <c r="AY276" i="21"/>
  <c r="AY377" i="21"/>
  <c r="AZ377" i="21"/>
  <c r="AX266" i="21"/>
  <c r="O102" i="12"/>
  <c r="O106" i="12" s="1"/>
  <c r="N106" i="12"/>
  <c r="AY283" i="21"/>
  <c r="AX282" i="21"/>
  <c r="AZ283" i="21"/>
  <c r="BV7" i="32"/>
  <c r="N76" i="51"/>
  <c r="N79" i="51" s="1"/>
  <c r="AV237" i="21"/>
  <c r="AV359" i="21"/>
  <c r="AV357" i="21"/>
  <c r="AV335" i="21"/>
  <c r="AZ245" i="21"/>
  <c r="AY245" i="21"/>
  <c r="M62" i="51"/>
  <c r="AU309" i="21"/>
  <c r="AU311" i="21" s="1"/>
  <c r="Y309" i="21"/>
  <c r="Y311" i="21" s="1"/>
  <c r="M28" i="51"/>
  <c r="M76" i="51"/>
  <c r="M79" i="51" s="1"/>
  <c r="AU237" i="21"/>
  <c r="AU359" i="21"/>
  <c r="AU357" i="21"/>
  <c r="AU335" i="21"/>
  <c r="AW324" i="21"/>
  <c r="BF200" i="32"/>
  <c r="BF146" i="32" s="1"/>
  <c r="AX285" i="21"/>
  <c r="N62" i="51"/>
  <c r="Z309" i="21"/>
  <c r="Z311" i="21" s="1"/>
  <c r="AV309" i="21"/>
  <c r="AV311" i="21" s="1"/>
  <c r="N28" i="51"/>
  <c r="BG145" i="32"/>
  <c r="G41" i="62"/>
  <c r="G50" i="62" s="1"/>
  <c r="AZ254" i="21"/>
  <c r="AY254" i="21"/>
  <c r="AU170" i="21"/>
  <c r="BC170" i="21"/>
  <c r="AZ265" i="21"/>
  <c r="AY265" i="21"/>
  <c r="AS240" i="21"/>
  <c r="AS242" i="21" s="1"/>
  <c r="AI240" i="21"/>
  <c r="AI242" i="21" s="1"/>
  <c r="AI239" i="21" s="1"/>
  <c r="AI243" i="21" s="1"/>
  <c r="BS200" i="32"/>
  <c r="BS146" i="32" s="1"/>
  <c r="BS201" i="32"/>
  <c r="BS147" i="32" s="1"/>
  <c r="AU182" i="21" s="1"/>
  <c r="AU181" i="21" s="1"/>
  <c r="AU241" i="21"/>
  <c r="AK241" i="21"/>
  <c r="BI208" i="32"/>
  <c r="BI212" i="32"/>
  <c r="BI213" i="32"/>
  <c r="AX256" i="21"/>
  <c r="BC182" i="21"/>
  <c r="AT181" i="21"/>
  <c r="BC181" i="21" s="1"/>
  <c r="AR238" i="21"/>
  <c r="AR229" i="21"/>
  <c r="J20" i="61"/>
  <c r="I17" i="62"/>
  <c r="I32" i="62"/>
  <c r="AS152" i="21"/>
  <c r="O38" i="61"/>
  <c r="N18" i="62"/>
  <c r="BJ206" i="32"/>
  <c r="BJ207" i="32" s="1"/>
  <c r="BJ205" i="32"/>
  <c r="BH208" i="32"/>
  <c r="BH212" i="32"/>
  <c r="BH213" i="32"/>
  <c r="P59" i="11"/>
  <c r="AX378" i="21" s="1"/>
  <c r="BS208" i="32"/>
  <c r="BS212" i="32"/>
  <c r="BS213" i="32"/>
  <c r="BR202" i="32"/>
  <c r="AT228" i="21" s="1"/>
  <c r="AZ339" i="21"/>
  <c r="AY339" i="21"/>
  <c r="I27" i="61"/>
  <c r="I44" i="61" s="1"/>
  <c r="I53" i="61" s="1"/>
  <c r="AR212" i="21"/>
  <c r="BR145" i="32"/>
  <c r="BR6" i="32" s="1"/>
  <c r="AT178" i="21"/>
  <c r="AX354" i="21"/>
  <c r="AZ97" i="21"/>
  <c r="AY97" i="21"/>
  <c r="AX281" i="21"/>
  <c r="AZ279" i="21"/>
  <c r="AY279" i="21"/>
  <c r="BR209" i="32"/>
  <c r="BR214" i="32"/>
  <c r="X358" i="21"/>
  <c r="AT358" i="21"/>
  <c r="AQ243" i="21"/>
  <c r="AZ280" i="21"/>
  <c r="AY280" i="21"/>
  <c r="BT206" i="32"/>
  <c r="BT207" i="32" s="1"/>
  <c r="BT148" i="32"/>
  <c r="BT205" i="32"/>
  <c r="J23" i="51"/>
  <c r="V295" i="21"/>
  <c r="V297" i="21" s="1"/>
  <c r="V299" i="21" s="1"/>
  <c r="AR295" i="21"/>
  <c r="AR297" i="21" s="1"/>
  <c r="AR299" i="21" s="1"/>
  <c r="K11" i="51"/>
  <c r="AS362" i="21"/>
  <c r="AS225" i="21"/>
  <c r="AZ327" i="21"/>
  <c r="AY327" i="21"/>
  <c r="AX336" i="21"/>
  <c r="BV156" i="32"/>
  <c r="AB369" i="21"/>
  <c r="AZ347" i="21"/>
  <c r="AY347" i="21"/>
  <c r="BI188" i="32"/>
  <c r="BU189" i="32"/>
  <c r="BU188" i="32" s="1"/>
  <c r="BH209" i="32" l="1"/>
  <c r="BH210" i="32" s="1"/>
  <c r="BH211" i="32" s="1"/>
  <c r="BH214" i="32"/>
  <c r="BS145" i="32"/>
  <c r="BS6" i="32" s="1"/>
  <c r="AU178" i="21"/>
  <c r="AU171" i="21" s="1"/>
  <c r="Y310" i="21"/>
  <c r="Y312" i="21" s="1"/>
  <c r="Y313" i="21" s="1"/>
  <c r="AU310" i="21"/>
  <c r="AU312" i="21" s="1"/>
  <c r="AU313" i="21" s="1"/>
  <c r="M71" i="51"/>
  <c r="M73" i="51" s="1"/>
  <c r="AZ282" i="21"/>
  <c r="AY282" i="21"/>
  <c r="P64" i="51"/>
  <c r="P61" i="51" s="1"/>
  <c r="AZ39" i="21"/>
  <c r="AY39" i="21"/>
  <c r="BB39" i="21"/>
  <c r="AX5" i="21"/>
  <c r="V318" i="21"/>
  <c r="V317" i="21"/>
  <c r="V315" i="21"/>
  <c r="L36" i="61"/>
  <c r="K37" i="62"/>
  <c r="BG6" i="32"/>
  <c r="BG199" i="32" s="1"/>
  <c r="BG220" i="32" s="1"/>
  <c r="AW326" i="21"/>
  <c r="AW334" i="21"/>
  <c r="AZ277" i="21"/>
  <c r="AY277" i="21"/>
  <c r="BB51" i="21"/>
  <c r="AZ51" i="21"/>
  <c r="AY51" i="21"/>
  <c r="BJ208" i="32"/>
  <c r="BJ212" i="32"/>
  <c r="BJ213" i="32"/>
  <c r="BF145" i="32"/>
  <c r="AZ336" i="21"/>
  <c r="AY336" i="21"/>
  <c r="BT201" i="32"/>
  <c r="BT147" i="32" s="1"/>
  <c r="AV182" i="21" s="1"/>
  <c r="AV181" i="21" s="1"/>
  <c r="BT200" i="32"/>
  <c r="BT146" i="32" s="1"/>
  <c r="AL241" i="21"/>
  <c r="AV241" i="21"/>
  <c r="AZ281" i="21"/>
  <c r="AY281" i="21"/>
  <c r="L11" i="51"/>
  <c r="AT362" i="21"/>
  <c r="BC228" i="21"/>
  <c r="AT225" i="21"/>
  <c r="AZ256" i="21"/>
  <c r="AX255" i="21"/>
  <c r="AY256" i="21"/>
  <c r="AX322" i="21"/>
  <c r="AV310" i="21"/>
  <c r="AV312" i="21" s="1"/>
  <c r="AV313" i="21" s="1"/>
  <c r="Z310" i="21"/>
  <c r="Z312" i="21" s="1"/>
  <c r="Z313" i="21" s="1"/>
  <c r="N71" i="51"/>
  <c r="N73" i="51" s="1"/>
  <c r="M21" i="62"/>
  <c r="N41" i="61"/>
  <c r="BI218" i="32"/>
  <c r="BI219" i="32" s="1"/>
  <c r="BI148" i="32"/>
  <c r="O64" i="51"/>
  <c r="O61" i="51" s="1"/>
  <c r="O12" i="61"/>
  <c r="AW5" i="21"/>
  <c r="AW386" i="21" s="1"/>
  <c r="N12" i="61"/>
  <c r="AS238" i="21"/>
  <c r="AZ266" i="21"/>
  <c r="AY266" i="21"/>
  <c r="AY323" i="21"/>
  <c r="AZ323" i="21"/>
  <c r="AJ240" i="21"/>
  <c r="AJ242" i="21" s="1"/>
  <c r="AJ239" i="21" s="1"/>
  <c r="AJ243" i="21" s="1"/>
  <c r="AT240" i="21"/>
  <c r="AT242" i="21" s="1"/>
  <c r="H23" i="62"/>
  <c r="H24" i="62" s="1"/>
  <c r="H41" i="62" s="1"/>
  <c r="H50" i="62" s="1"/>
  <c r="H38" i="62"/>
  <c r="H39" i="62" s="1"/>
  <c r="AR385" i="21"/>
  <c r="AR387" i="21" s="1"/>
  <c r="AR332" i="21"/>
  <c r="AR239" i="21"/>
  <c r="AR243" i="21" s="1"/>
  <c r="AR383" i="21"/>
  <c r="AR382" i="21"/>
  <c r="AR361" i="21"/>
  <c r="AR366" i="21"/>
  <c r="BR210" i="32"/>
  <c r="BR211" i="32" s="1"/>
  <c r="AT367" i="21"/>
  <c r="X366" i="21"/>
  <c r="X367" i="21"/>
  <c r="BT208" i="32"/>
  <c r="BT212" i="32"/>
  <c r="BT213" i="32"/>
  <c r="BS209" i="32"/>
  <c r="AU358" i="21"/>
  <c r="BS214" i="32"/>
  <c r="Y358" i="21"/>
  <c r="BI209" i="32"/>
  <c r="BI210" i="32" s="1"/>
  <c r="BI211" i="32" s="1"/>
  <c r="BI214" i="32"/>
  <c r="AV170" i="21"/>
  <c r="AU169" i="21"/>
  <c r="AZ285" i="21"/>
  <c r="AY285" i="21"/>
  <c r="BH201" i="32"/>
  <c r="BH147" i="32" s="1"/>
  <c r="BH202" i="32" s="1"/>
  <c r="AZ355" i="21"/>
  <c r="AY355" i="21"/>
  <c r="AR230" i="21"/>
  <c r="AZ378" i="21"/>
  <c r="AY378" i="21"/>
  <c r="Y316" i="21"/>
  <c r="AU316" i="21"/>
  <c r="Z316" i="21"/>
  <c r="AV316" i="21"/>
  <c r="AR318" i="21"/>
  <c r="AR317" i="21"/>
  <c r="AR315" i="21"/>
  <c r="J82" i="51"/>
  <c r="J80" i="51"/>
  <c r="J74" i="51"/>
  <c r="J26" i="51"/>
  <c r="J83" i="51" s="1"/>
  <c r="J84" i="51"/>
  <c r="AB378" i="21"/>
  <c r="BV149" i="32"/>
  <c r="AZ354" i="21"/>
  <c r="AY354" i="21"/>
  <c r="BF201" i="32"/>
  <c r="BF147" i="32" s="1"/>
  <c r="BF202" i="32" s="1"/>
  <c r="BU206" i="32"/>
  <c r="BU207" i="32" s="1"/>
  <c r="BU148" i="32"/>
  <c r="BU205" i="32"/>
  <c r="K10" i="51"/>
  <c r="K6" i="51" s="1"/>
  <c r="AS223" i="21"/>
  <c r="BC178" i="21"/>
  <c r="AT171" i="21"/>
  <c r="AR231" i="21"/>
  <c r="BS202" i="32"/>
  <c r="AU228" i="21" s="1"/>
  <c r="BJ189" i="32"/>
  <c r="AX364" i="21"/>
  <c r="AZ40" i="21"/>
  <c r="BB40" i="21"/>
  <c r="AY40" i="21"/>
  <c r="AX345" i="21"/>
  <c r="AX286" i="21"/>
  <c r="BV206" i="32" l="1"/>
  <c r="BV207" i="32" s="1"/>
  <c r="BV205" i="32"/>
  <c r="BH145" i="32"/>
  <c r="P62" i="51"/>
  <c r="AX309" i="21"/>
  <c r="AB309" i="21"/>
  <c r="AB311" i="21" s="1"/>
  <c r="P28" i="51"/>
  <c r="AZ286" i="21"/>
  <c r="AY286" i="21"/>
  <c r="BT209" i="32"/>
  <c r="AV358" i="21"/>
  <c r="BT214" i="32"/>
  <c r="Z358" i="21"/>
  <c r="BJ209" i="32"/>
  <c r="BJ214" i="32"/>
  <c r="AZ345" i="21"/>
  <c r="AY345" i="21"/>
  <c r="J27" i="61"/>
  <c r="J44" i="61" s="1"/>
  <c r="J53" i="61" s="1"/>
  <c r="AS212" i="21"/>
  <c r="K17" i="62"/>
  <c r="K32" i="62"/>
  <c r="AU152" i="21"/>
  <c r="M11" i="51"/>
  <c r="AU362" i="21"/>
  <c r="AU225" i="21"/>
  <c r="K36" i="61"/>
  <c r="J37" i="62"/>
  <c r="BF6" i="32"/>
  <c r="BF199" i="32" s="1"/>
  <c r="BF220" i="32" s="1"/>
  <c r="BC171" i="21"/>
  <c r="AT169" i="21"/>
  <c r="L20" i="61" s="1"/>
  <c r="K23" i="51"/>
  <c r="AS295" i="21"/>
  <c r="AS297" i="21" s="1"/>
  <c r="AS299" i="21" s="1"/>
  <c r="W295" i="21"/>
  <c r="W297" i="21" s="1"/>
  <c r="W299" i="21" s="1"/>
  <c r="AW170" i="21"/>
  <c r="AX324" i="21"/>
  <c r="AZ322" i="21"/>
  <c r="AY322" i="21"/>
  <c r="BS210" i="32"/>
  <c r="BS211" i="32" s="1"/>
  <c r="Y366" i="21"/>
  <c r="Y367" i="21"/>
  <c r="AU367" i="21"/>
  <c r="BU200" i="32"/>
  <c r="BU146" i="32" s="1"/>
  <c r="BU202" i="32" s="1"/>
  <c r="AW228" i="21" s="1"/>
  <c r="BU201" i="32"/>
  <c r="BU147" i="32" s="1"/>
  <c r="AW182" i="21" s="1"/>
  <c r="AW181" i="21" s="1"/>
  <c r="AW241" i="21"/>
  <c r="O76" i="51"/>
  <c r="O79" i="51" s="1"/>
  <c r="AW237" i="21"/>
  <c r="AW357" i="21"/>
  <c r="AW359" i="21"/>
  <c r="AW335" i="21"/>
  <c r="BT145" i="32"/>
  <c r="BT6" i="32" s="1"/>
  <c r="AV178" i="21"/>
  <c r="AV171" i="21" s="1"/>
  <c r="AV169" i="21" s="1"/>
  <c r="AK240" i="21"/>
  <c r="AK242" i="21" s="1"/>
  <c r="AK239" i="21" s="1"/>
  <c r="AK243" i="21" s="1"/>
  <c r="AU240" i="21"/>
  <c r="AU242" i="21" s="1"/>
  <c r="AZ364" i="21"/>
  <c r="AY364" i="21"/>
  <c r="BU208" i="32"/>
  <c r="BU212" i="32"/>
  <c r="BU213" i="32"/>
  <c r="AY255" i="21"/>
  <c r="AZ255" i="21"/>
  <c r="BT202" i="32"/>
  <c r="AV228" i="21" s="1"/>
  <c r="P76" i="51"/>
  <c r="P79" i="51" s="1"/>
  <c r="AX237" i="21"/>
  <c r="BB94" i="21"/>
  <c r="BB106" i="21"/>
  <c r="BB132" i="21"/>
  <c r="BB124" i="21"/>
  <c r="BB116" i="21"/>
  <c r="BB13" i="21"/>
  <c r="BB126" i="21"/>
  <c r="AZ5" i="21"/>
  <c r="AY5" i="21"/>
  <c r="BB138" i="21"/>
  <c r="BB146" i="21"/>
  <c r="BB18" i="21"/>
  <c r="BB12" i="21"/>
  <c r="BB33" i="21"/>
  <c r="BB114" i="21"/>
  <c r="BB11" i="21"/>
  <c r="BB30" i="21"/>
  <c r="BB149" i="21"/>
  <c r="BB25" i="21"/>
  <c r="BB140" i="21"/>
  <c r="BB127" i="21"/>
  <c r="BB150" i="21"/>
  <c r="BB16" i="21"/>
  <c r="BB137" i="21"/>
  <c r="BB130" i="21"/>
  <c r="BB26" i="21"/>
  <c r="BB128" i="21"/>
  <c r="BB29" i="21"/>
  <c r="BB101" i="21"/>
  <c r="BB125" i="21"/>
  <c r="BB23" i="21"/>
  <c r="BB31" i="21"/>
  <c r="BB151" i="21"/>
  <c r="BB110" i="21"/>
  <c r="BB115" i="21"/>
  <c r="BB133" i="21"/>
  <c r="BB10" i="21"/>
  <c r="BB32" i="21"/>
  <c r="BB34" i="21"/>
  <c r="BB123" i="21"/>
  <c r="BB131" i="21"/>
  <c r="BB70" i="21"/>
  <c r="BB118" i="21"/>
  <c r="BB143" i="21"/>
  <c r="BB38" i="21"/>
  <c r="BB108" i="21"/>
  <c r="BB111" i="21"/>
  <c r="BB99" i="21"/>
  <c r="BB22" i="21"/>
  <c r="BB36" i="21"/>
  <c r="BB113" i="21"/>
  <c r="BB144" i="21"/>
  <c r="BB107" i="21"/>
  <c r="BB129" i="21"/>
  <c r="BB136" i="21"/>
  <c r="BB122" i="21"/>
  <c r="BB100" i="21"/>
  <c r="BB103" i="21"/>
  <c r="BB148" i="21"/>
  <c r="BB28" i="21"/>
  <c r="BB109" i="21"/>
  <c r="BB24" i="21"/>
  <c r="BB35" i="21"/>
  <c r="BB37" i="21"/>
  <c r="BB44" i="21"/>
  <c r="BB21" i="21"/>
  <c r="BB147" i="21"/>
  <c r="BB27" i="21"/>
  <c r="BB20" i="21"/>
  <c r="BB119" i="21"/>
  <c r="BB104" i="21"/>
  <c r="BB117" i="21"/>
  <c r="BB15" i="21"/>
  <c r="BB14" i="21"/>
  <c r="BB19" i="21"/>
  <c r="BB17" i="21"/>
  <c r="BB142" i="21"/>
  <c r="BB121" i="21"/>
  <c r="BB9" i="21"/>
  <c r="BB145" i="21"/>
  <c r="BB120" i="21"/>
  <c r="BB98" i="21"/>
  <c r="BB141" i="21"/>
  <c r="BB139" i="21"/>
  <c r="BB8" i="21"/>
  <c r="BB112" i="21"/>
  <c r="BB135" i="21"/>
  <c r="BB7" i="21"/>
  <c r="BB6" i="21"/>
  <c r="BB102" i="21"/>
  <c r="BB134" i="21"/>
  <c r="AX359" i="21"/>
  <c r="BB64" i="21"/>
  <c r="BB81" i="21"/>
  <c r="BB79" i="21"/>
  <c r="BB57" i="21"/>
  <c r="BB72" i="21"/>
  <c r="BB77" i="21"/>
  <c r="BB54" i="21"/>
  <c r="BB80" i="21"/>
  <c r="BB75" i="21"/>
  <c r="BB68" i="21"/>
  <c r="BB86" i="21"/>
  <c r="BB95" i="21"/>
  <c r="BB62" i="21"/>
  <c r="BB89" i="21"/>
  <c r="BB55" i="21"/>
  <c r="BB76" i="21"/>
  <c r="BB96" i="21"/>
  <c r="BB84" i="21"/>
  <c r="BB59" i="21"/>
  <c r="BB56" i="21"/>
  <c r="BB87" i="21"/>
  <c r="BB93" i="21"/>
  <c r="BB90" i="21"/>
  <c r="BB41" i="21"/>
  <c r="BB78" i="21"/>
  <c r="BB83" i="21"/>
  <c r="BB61" i="21"/>
  <c r="BB67" i="21"/>
  <c r="BB69" i="21"/>
  <c r="BB63" i="21"/>
  <c r="BB45" i="21"/>
  <c r="BB71" i="21"/>
  <c r="BB43" i="21"/>
  <c r="BB85" i="21"/>
  <c r="BB92" i="21"/>
  <c r="BB52" i="21"/>
  <c r="BB48" i="21"/>
  <c r="BB47" i="21"/>
  <c r="BB42" i="21"/>
  <c r="BB82" i="21"/>
  <c r="BB53" i="21"/>
  <c r="BB49" i="21"/>
  <c r="BB88" i="21"/>
  <c r="BB97" i="21"/>
  <c r="AX335" i="21"/>
  <c r="BB91" i="21"/>
  <c r="AX357" i="21"/>
  <c r="BB50" i="21"/>
  <c r="O62" i="51"/>
  <c r="AW309" i="21"/>
  <c r="AW311" i="21" s="1"/>
  <c r="AA309" i="21"/>
  <c r="AA311" i="21" s="1"/>
  <c r="O28" i="51"/>
  <c r="BJ188" i="32"/>
  <c r="BV189" i="32"/>
  <c r="BV188" i="32" s="1"/>
  <c r="BV148" i="32" s="1"/>
  <c r="BI200" i="32"/>
  <c r="BI146" i="32" s="1"/>
  <c r="BI201" i="32"/>
  <c r="BI147" i="32" s="1"/>
  <c r="BI202" i="32" s="1"/>
  <c r="L10" i="51"/>
  <c r="L6" i="51" s="1"/>
  <c r="BC225" i="21"/>
  <c r="AT223" i="21"/>
  <c r="O11" i="51" l="1"/>
  <c r="AW362" i="21"/>
  <c r="AW225" i="21"/>
  <c r="BV200" i="32"/>
  <c r="BV146" i="32" s="1"/>
  <c r="BV201" i="32"/>
  <c r="BV147" i="32" s="1"/>
  <c r="AX182" i="21" s="1"/>
  <c r="BV202" i="32"/>
  <c r="AX241" i="21"/>
  <c r="M20" i="61"/>
  <c r="L32" i="62"/>
  <c r="L17" i="62"/>
  <c r="AV152" i="21"/>
  <c r="AZ335" i="21"/>
  <c r="AY335" i="21"/>
  <c r="BB5" i="21"/>
  <c r="BI145" i="32"/>
  <c r="I23" i="62"/>
  <c r="I24" i="62" s="1"/>
  <c r="I41" i="62" s="1"/>
  <c r="I50" i="62" s="1"/>
  <c r="I38" i="62"/>
  <c r="I39" i="62" s="1"/>
  <c r="AS385" i="21"/>
  <c r="AS387" i="21" s="1"/>
  <c r="AS332" i="21"/>
  <c r="AS239" i="21"/>
  <c r="AS243" i="21" s="1"/>
  <c r="AS383" i="21"/>
  <c r="AS382" i="21"/>
  <c r="AS366" i="21"/>
  <c r="AS230" i="21"/>
  <c r="AS229" i="21"/>
  <c r="AS361" i="21"/>
  <c r="AS231" i="21"/>
  <c r="AX386" i="21"/>
  <c r="AX326" i="21"/>
  <c r="AX334" i="21"/>
  <c r="AZ324" i="21"/>
  <c r="AY324" i="21"/>
  <c r="AZ309" i="21"/>
  <c r="AY309" i="21"/>
  <c r="AX311" i="21"/>
  <c r="O41" i="61"/>
  <c r="N21" i="62"/>
  <c r="BJ148" i="32"/>
  <c r="BJ218" i="32"/>
  <c r="BJ219" i="32" s="1"/>
  <c r="M10" i="51"/>
  <c r="M6" i="51" s="1"/>
  <c r="AU223" i="21"/>
  <c r="AX310" i="21"/>
  <c r="AB310" i="21"/>
  <c r="AB312" i="21" s="1"/>
  <c r="AB313" i="21" s="1"/>
  <c r="P71" i="51"/>
  <c r="P73" i="51" s="1"/>
  <c r="K82" i="51"/>
  <c r="K80" i="51"/>
  <c r="K74" i="51"/>
  <c r="K26" i="51"/>
  <c r="K83" i="51" s="1"/>
  <c r="K84" i="51"/>
  <c r="BU209" i="32"/>
  <c r="BU214" i="32"/>
  <c r="AA358" i="21"/>
  <c r="AW358" i="21"/>
  <c r="AZ237" i="21"/>
  <c r="AY237" i="21"/>
  <c r="L23" i="51"/>
  <c r="AT295" i="21"/>
  <c r="AT297" i="21" s="1"/>
  <c r="AT299" i="21" s="1"/>
  <c r="X295" i="21"/>
  <c r="X297" i="21" s="1"/>
  <c r="X299" i="21" s="1"/>
  <c r="AA316" i="21"/>
  <c r="AW316" i="21"/>
  <c r="BU145" i="32"/>
  <c r="BU6" i="32" s="1"/>
  <c r="AW240" i="21" s="1"/>
  <c r="AW242" i="21" s="1"/>
  <c r="AW178" i="21"/>
  <c r="AW171" i="21" s="1"/>
  <c r="AW169" i="21" s="1"/>
  <c r="BJ210" i="32"/>
  <c r="BJ211" i="32" s="1"/>
  <c r="M36" i="61"/>
  <c r="L37" i="62"/>
  <c r="BH6" i="32"/>
  <c r="BH199" i="32" s="1"/>
  <c r="BH220" i="32" s="1"/>
  <c r="AB316" i="21"/>
  <c r="AX316" i="21"/>
  <c r="AX170" i="21"/>
  <c r="BT210" i="32"/>
  <c r="BT211" i="32" s="1"/>
  <c r="Z367" i="21"/>
  <c r="AV367" i="21"/>
  <c r="Z366" i="21"/>
  <c r="K20" i="61"/>
  <c r="BC169" i="21"/>
  <c r="J32" i="62"/>
  <c r="J17" i="62"/>
  <c r="AT152" i="21"/>
  <c r="K27" i="61"/>
  <c r="BC223" i="21"/>
  <c r="AT212" i="21"/>
  <c r="AT361" i="21" s="1"/>
  <c r="N11" i="51"/>
  <c r="AV362" i="21"/>
  <c r="AV225" i="21"/>
  <c r="AV240" i="21"/>
  <c r="AV242" i="21" s="1"/>
  <c r="AL240" i="21"/>
  <c r="AL242" i="21" s="1"/>
  <c r="AL239" i="21" s="1"/>
  <c r="AL243" i="21" s="1"/>
  <c r="W318" i="21"/>
  <c r="W317" i="21"/>
  <c r="W315" i="21"/>
  <c r="AZ357" i="21"/>
  <c r="AY357" i="21"/>
  <c r="AW310" i="21"/>
  <c r="AW312" i="21" s="1"/>
  <c r="AW313" i="21" s="1"/>
  <c r="AA310" i="21"/>
  <c r="AA312" i="21" s="1"/>
  <c r="AA313" i="21" s="1"/>
  <c r="O71" i="51"/>
  <c r="O73" i="51" s="1"/>
  <c r="AZ359" i="21"/>
  <c r="AY359" i="21"/>
  <c r="AS318" i="21"/>
  <c r="AS317" i="21"/>
  <c r="AS315" i="21"/>
  <c r="AU238" i="21"/>
  <c r="BV208" i="32"/>
  <c r="BV212" i="32"/>
  <c r="BV213" i="32"/>
  <c r="N20" i="61" l="1"/>
  <c r="M32" i="62"/>
  <c r="M17" i="62"/>
  <c r="AW152" i="21"/>
  <c r="M23" i="51"/>
  <c r="Y295" i="21"/>
  <c r="Y297" i="21" s="1"/>
  <c r="Y299" i="21" s="1"/>
  <c r="AU295" i="21"/>
  <c r="AU297" i="21" s="1"/>
  <c r="AU299" i="21" s="1"/>
  <c r="AZ386" i="21"/>
  <c r="AY386" i="21"/>
  <c r="BV209" i="32"/>
  <c r="AX358" i="21"/>
  <c r="AB358" i="21"/>
  <c r="BV214" i="32"/>
  <c r="AZ241" i="21"/>
  <c r="AY241" i="21"/>
  <c r="AX242" i="21"/>
  <c r="AX228" i="21"/>
  <c r="AX227" i="21"/>
  <c r="AX226" i="21"/>
  <c r="AY182" i="21"/>
  <c r="AX181" i="21"/>
  <c r="AZ182" i="21"/>
  <c r="N10" i="51"/>
  <c r="N6" i="51" s="1"/>
  <c r="AV223" i="21"/>
  <c r="AZ310" i="21"/>
  <c r="AY310" i="21"/>
  <c r="AX312" i="21"/>
  <c r="L27" i="61"/>
  <c r="L44" i="61" s="1"/>
  <c r="L53" i="61" s="1"/>
  <c r="AU212" i="21"/>
  <c r="AY170" i="21"/>
  <c r="AZ170" i="21"/>
  <c r="X318" i="21"/>
  <c r="X317" i="21"/>
  <c r="X315" i="21"/>
  <c r="BV145" i="32"/>
  <c r="BV6" i="32" s="1"/>
  <c r="AX240" i="21" s="1"/>
  <c r="AX178" i="21"/>
  <c r="BJ200" i="32"/>
  <c r="BJ146" i="32" s="1"/>
  <c r="BJ201" i="32"/>
  <c r="BJ147" i="32" s="1"/>
  <c r="BJ202" i="32" s="1"/>
  <c r="AT230" i="21"/>
  <c r="BC230" i="21" s="1"/>
  <c r="AT238" i="21"/>
  <c r="AT243" i="21" s="1"/>
  <c r="AT229" i="21"/>
  <c r="BC229" i="21" s="1"/>
  <c r="BC152" i="21"/>
  <c r="AT231" i="21"/>
  <c r="BC231" i="21" s="1"/>
  <c r="AZ316" i="21"/>
  <c r="AY316" i="21"/>
  <c r="AT318" i="21"/>
  <c r="AT317" i="21"/>
  <c r="AT315" i="21"/>
  <c r="AZ311" i="21"/>
  <c r="AY311" i="21"/>
  <c r="AT366" i="21"/>
  <c r="N36" i="61"/>
  <c r="M37" i="62"/>
  <c r="BI6" i="32"/>
  <c r="BI199" i="32" s="1"/>
  <c r="BI220" i="32" s="1"/>
  <c r="O10" i="51"/>
  <c r="O6" i="51" s="1"/>
  <c r="AW223" i="21"/>
  <c r="BU210" i="32"/>
  <c r="BU211" i="32" s="1"/>
  <c r="AA367" i="21"/>
  <c r="AW367" i="21"/>
  <c r="AA366" i="21"/>
  <c r="L82" i="51"/>
  <c r="L80" i="51"/>
  <c r="L74" i="51"/>
  <c r="L26" i="51"/>
  <c r="L83" i="51" s="1"/>
  <c r="L84" i="51"/>
  <c r="J39" i="62"/>
  <c r="AZ334" i="21"/>
  <c r="AY334" i="21"/>
  <c r="AY326" i="21"/>
  <c r="AZ326" i="21"/>
  <c r="J23" i="62"/>
  <c r="J24" i="62" s="1"/>
  <c r="J41" i="62" s="1"/>
  <c r="J50" i="62" s="1"/>
  <c r="J38" i="62"/>
  <c r="AT385" i="21"/>
  <c r="AT387" i="21" s="1"/>
  <c r="AT332" i="21"/>
  <c r="AT239" i="21"/>
  <c r="BC212" i="21"/>
  <c r="AT382" i="21"/>
  <c r="AT383" i="21"/>
  <c r="AU366" i="21"/>
  <c r="K44" i="61"/>
  <c r="K53" i="61" s="1"/>
  <c r="AV238" i="21"/>
  <c r="AZ226" i="21" l="1"/>
  <c r="AY226" i="21"/>
  <c r="AZ181" i="21"/>
  <c r="AY181" i="21"/>
  <c r="K23" i="62"/>
  <c r="K24" i="62" s="1"/>
  <c r="K38" i="62"/>
  <c r="K39" i="62" s="1"/>
  <c r="AU385" i="21"/>
  <c r="AU387" i="21" s="1"/>
  <c r="AU332" i="21"/>
  <c r="AU239" i="21"/>
  <c r="AU243" i="21" s="1"/>
  <c r="AU383" i="21"/>
  <c r="AU382" i="21"/>
  <c r="AU229" i="21"/>
  <c r="AU230" i="21"/>
  <c r="AU231" i="21"/>
  <c r="AZ227" i="21"/>
  <c r="AY227" i="21"/>
  <c r="P11" i="51"/>
  <c r="AX362" i="21"/>
  <c r="AZ228" i="21"/>
  <c r="AY228" i="21"/>
  <c r="AX225" i="21"/>
  <c r="AU361" i="21"/>
  <c r="AZ312" i="21"/>
  <c r="AX313" i="21"/>
  <c r="AY312" i="21"/>
  <c r="AZ242" i="21"/>
  <c r="AY242" i="21"/>
  <c r="AU318" i="21"/>
  <c r="AU317" i="21"/>
  <c r="AU315" i="21"/>
  <c r="BV210" i="32"/>
  <c r="BV211" i="32" s="1"/>
  <c r="AX367" i="21"/>
  <c r="AB366" i="21"/>
  <c r="AB367" i="21"/>
  <c r="AY178" i="21"/>
  <c r="AZ178" i="21"/>
  <c r="AX171" i="21"/>
  <c r="Y318" i="21"/>
  <c r="Y317" i="21"/>
  <c r="Y315" i="21"/>
  <c r="AW361" i="21"/>
  <c r="AZ240" i="21"/>
  <c r="AY240" i="21"/>
  <c r="M80" i="51"/>
  <c r="M74" i="51"/>
  <c r="M82" i="51"/>
  <c r="M26" i="51"/>
  <c r="M83" i="51" s="1"/>
  <c r="M84" i="51"/>
  <c r="N27" i="61"/>
  <c r="N44" i="61" s="1"/>
  <c r="N53" i="61" s="1"/>
  <c r="AW212" i="21"/>
  <c r="AW231" i="21" s="1"/>
  <c r="M27" i="61"/>
  <c r="M44" i="61" s="1"/>
  <c r="M53" i="61" s="1"/>
  <c r="AV212" i="21"/>
  <c r="AW366" i="21" s="1"/>
  <c r="AW238" i="21"/>
  <c r="N23" i="51"/>
  <c r="Z295" i="21"/>
  <c r="Z297" i="21" s="1"/>
  <c r="Z299" i="21" s="1"/>
  <c r="AV295" i="21"/>
  <c r="AV297" i="21" s="1"/>
  <c r="AV299" i="21" s="1"/>
  <c r="BJ145" i="32"/>
  <c r="O23" i="51"/>
  <c r="AA295" i="21"/>
  <c r="AA297" i="21" s="1"/>
  <c r="AA299" i="21" s="1"/>
  <c r="AW295" i="21"/>
  <c r="AW297" i="21" s="1"/>
  <c r="AW299" i="21" s="1"/>
  <c r="AZ358" i="21"/>
  <c r="AY358" i="21"/>
  <c r="AA318" i="21" l="1"/>
  <c r="AA317" i="21"/>
  <c r="AA315" i="21"/>
  <c r="AY362" i="21"/>
  <c r="AZ362" i="21"/>
  <c r="AZ171" i="21"/>
  <c r="AY171" i="21"/>
  <c r="AX169" i="21"/>
  <c r="O74" i="51"/>
  <c r="O82" i="51"/>
  <c r="O26" i="51"/>
  <c r="O83" i="51" s="1"/>
  <c r="O80" i="51"/>
  <c r="O84" i="51"/>
  <c r="O36" i="61"/>
  <c r="BJ6" i="32"/>
  <c r="BJ199" i="32" s="1"/>
  <c r="BJ220" i="32" s="1"/>
  <c r="N37" i="62"/>
  <c r="K41" i="62"/>
  <c r="K50" i="62" s="1"/>
  <c r="Z318" i="21"/>
  <c r="Z317" i="21"/>
  <c r="Z315" i="21"/>
  <c r="AZ313" i="21"/>
  <c r="AY313" i="21"/>
  <c r="AV366" i="21"/>
  <c r="N74" i="51"/>
  <c r="N82" i="51"/>
  <c r="N26" i="51"/>
  <c r="N83" i="51" s="1"/>
  <c r="N80" i="51"/>
  <c r="N84" i="51"/>
  <c r="M38" i="62"/>
  <c r="M39" i="62" s="1"/>
  <c r="M23" i="62"/>
  <c r="M24" i="62" s="1"/>
  <c r="AW385" i="21"/>
  <c r="AW387" i="21" s="1"/>
  <c r="AW332" i="21"/>
  <c r="AW239" i="21"/>
  <c r="AW243" i="21" s="1"/>
  <c r="AW383" i="21"/>
  <c r="AW382" i="21"/>
  <c r="L38" i="62"/>
  <c r="L39" i="62" s="1"/>
  <c r="L23" i="62"/>
  <c r="L24" i="62" s="1"/>
  <c r="L41" i="62" s="1"/>
  <c r="L50" i="62" s="1"/>
  <c r="AV385" i="21"/>
  <c r="AV387" i="21" s="1"/>
  <c r="AV332" i="21"/>
  <c r="AV239" i="21"/>
  <c r="AV243" i="21" s="1"/>
  <c r="AV383" i="21"/>
  <c r="AV382" i="21"/>
  <c r="AV231" i="21"/>
  <c r="AV229" i="21"/>
  <c r="AV230" i="21"/>
  <c r="AV318" i="21"/>
  <c r="AV317" i="21"/>
  <c r="AV315" i="21"/>
  <c r="AW229" i="21"/>
  <c r="AZ367" i="21"/>
  <c r="AY367" i="21"/>
  <c r="P10" i="51"/>
  <c r="P6" i="51" s="1"/>
  <c r="AZ225" i="21"/>
  <c r="AY225" i="21"/>
  <c r="AX223" i="21"/>
  <c r="AW318" i="21"/>
  <c r="AW317" i="21"/>
  <c r="AW315" i="21"/>
  <c r="AW230" i="21"/>
  <c r="AV361" i="21"/>
  <c r="M41" i="62" l="1"/>
  <c r="M50" i="62" s="1"/>
  <c r="O27" i="61"/>
  <c r="AZ223" i="21"/>
  <c r="AY223" i="21"/>
  <c r="AX212" i="21"/>
  <c r="BB223" i="21" s="1"/>
  <c r="P23" i="51"/>
  <c r="AB295" i="21"/>
  <c r="AB297" i="21" s="1"/>
  <c r="AB299" i="21" s="1"/>
  <c r="AX295" i="21"/>
  <c r="O20" i="61"/>
  <c r="O44" i="61" s="1"/>
  <c r="O53" i="61" s="1"/>
  <c r="BB169" i="21"/>
  <c r="AZ169" i="21"/>
  <c r="AZ152" i="21" s="1"/>
  <c r="AY169" i="21"/>
  <c r="AY152" i="21" s="1"/>
  <c r="N17" i="62"/>
  <c r="N24" i="62" s="1"/>
  <c r="N32" i="62"/>
  <c r="AX152" i="21"/>
  <c r="AX297" i="21" l="1"/>
  <c r="AZ295" i="21"/>
  <c r="AY295" i="21"/>
  <c r="AX230" i="21"/>
  <c r="AX238" i="21"/>
  <c r="AX229" i="21"/>
  <c r="BB194" i="21"/>
  <c r="BB203" i="21"/>
  <c r="BB195" i="21"/>
  <c r="BB183" i="21"/>
  <c r="BB202" i="21"/>
  <c r="BB200" i="21"/>
  <c r="BB191" i="21"/>
  <c r="BB189" i="21"/>
  <c r="BB211" i="21"/>
  <c r="BB201" i="21"/>
  <c r="BB208" i="21"/>
  <c r="BB210" i="21"/>
  <c r="BB190" i="21"/>
  <c r="BB179" i="21"/>
  <c r="BB193" i="21"/>
  <c r="BB209" i="21"/>
  <c r="BB175" i="21"/>
  <c r="BB187" i="21"/>
  <c r="BB192" i="21"/>
  <c r="BB185" i="21"/>
  <c r="BB168" i="21"/>
  <c r="BB184" i="21"/>
  <c r="BB167" i="21"/>
  <c r="BB177" i="21"/>
  <c r="BB174" i="21"/>
  <c r="BB176" i="21"/>
  <c r="BB188" i="21"/>
  <c r="BB186" i="21"/>
  <c r="BB205" i="21"/>
  <c r="BB180" i="21"/>
  <c r="BB199" i="21"/>
  <c r="BB198" i="21"/>
  <c r="BB163" i="21"/>
  <c r="BB165" i="21"/>
  <c r="BB164" i="21"/>
  <c r="BB161" i="21"/>
  <c r="BB162" i="21"/>
  <c r="BB197" i="21"/>
  <c r="BB157" i="21"/>
  <c r="BB158" i="21"/>
  <c r="BB160" i="21"/>
  <c r="BB207" i="21"/>
  <c r="BB156" i="21"/>
  <c r="BB155" i="21"/>
  <c r="BB159" i="21"/>
  <c r="BB154" i="21"/>
  <c r="BB206" i="21"/>
  <c r="BB153" i="21"/>
  <c r="BB204" i="21"/>
  <c r="BB166" i="21"/>
  <c r="BB196" i="21"/>
  <c r="BB173" i="21"/>
  <c r="BB172" i="21"/>
  <c r="AX231" i="21"/>
  <c r="BB182" i="21"/>
  <c r="BB170" i="21"/>
  <c r="BB178" i="21"/>
  <c r="BB181" i="21"/>
  <c r="BB171" i="21"/>
  <c r="N39" i="62"/>
  <c r="P74" i="51"/>
  <c r="P26" i="51"/>
  <c r="P83" i="51" s="1"/>
  <c r="P82" i="51"/>
  <c r="P80" i="51"/>
  <c r="P84" i="51"/>
  <c r="N41" i="62"/>
  <c r="N50" i="62" s="1"/>
  <c r="AB317" i="21"/>
  <c r="AB315" i="21"/>
  <c r="AB318" i="21"/>
  <c r="N38" i="62"/>
  <c r="AX385" i="21"/>
  <c r="AX332" i="21"/>
  <c r="AY212" i="21"/>
  <c r="AX239" i="21"/>
  <c r="AZ212" i="21"/>
  <c r="BB217" i="21"/>
  <c r="BB216" i="21"/>
  <c r="BB222" i="21"/>
  <c r="BB221" i="21"/>
  <c r="BB224" i="21"/>
  <c r="BB220" i="21"/>
  <c r="BB215" i="21"/>
  <c r="BB214" i="21"/>
  <c r="BB213" i="21"/>
  <c r="BB212" i="21" s="1"/>
  <c r="AX383" i="21"/>
  <c r="AX382" i="21"/>
  <c r="BB226" i="21"/>
  <c r="BB227" i="21"/>
  <c r="AX366" i="21"/>
  <c r="AX361" i="21"/>
  <c r="BB225" i="21"/>
  <c r="AY366" i="21" l="1"/>
  <c r="AZ366" i="21"/>
  <c r="AZ361" i="21"/>
  <c r="AY361" i="21"/>
  <c r="AZ382" i="21"/>
  <c r="AY382" i="21"/>
  <c r="AZ332" i="21"/>
  <c r="AY332" i="21"/>
  <c r="BB152" i="21"/>
  <c r="AZ229" i="21"/>
  <c r="AY229" i="21"/>
  <c r="AY238" i="21"/>
  <c r="AZ238" i="21"/>
  <c r="AX243" i="21"/>
  <c r="AZ239" i="21"/>
  <c r="AY239" i="21"/>
  <c r="AZ230" i="21"/>
  <c r="AY230" i="21"/>
  <c r="AZ383" i="21"/>
  <c r="AY383" i="21"/>
  <c r="AX387" i="21"/>
  <c r="AZ385" i="21"/>
  <c r="AY385" i="21"/>
  <c r="AZ297" i="21"/>
  <c r="AY297" i="21"/>
  <c r="AX299" i="21"/>
  <c r="AX318" i="21" l="1"/>
  <c r="AX317" i="21"/>
  <c r="AX315" i="21"/>
  <c r="AZ299" i="21"/>
  <c r="AY299" i="21"/>
  <c r="AY387" i="21"/>
  <c r="AZ387" i="21"/>
  <c r="AY318" i="21" l="1"/>
  <c r="AZ318" i="21"/>
  <c r="AZ315" i="21"/>
  <c r="AY315" i="21"/>
  <c r="AZ317" i="21"/>
  <c r="AY317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10" authorId="0" shapeId="0" xr:uid="{00000000-0006-0000-0A00-000001000000}">
      <text>
        <r>
          <rPr>
            <sz val="9"/>
            <color indexed="81"/>
            <rFont val="Tahoma"/>
            <family val="2"/>
          </rPr>
          <t xml:space="preserve">AUDITADO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H110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 xml:space="preserve">Cuenca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11" authorId="0" shapeId="0" xr:uid="{00000000-0006-0000-0B00-000002000000}">
      <text>
        <r>
          <rPr>
            <sz val="9"/>
            <color indexed="81"/>
            <rFont val="Tahoma"/>
            <family val="2"/>
          </rPr>
          <t xml:space="preserve">Ambato
</t>
        </r>
      </text>
    </comment>
    <comment ref="H112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Manta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<sst xmlns="http://schemas.openxmlformats.org/spreadsheetml/2006/main" count="4096" uniqueCount="1421">
  <si>
    <t>BANCO CAPITAL S.A.</t>
  </si>
  <si>
    <t>PRESUPUESTO  2026</t>
  </si>
  <si>
    <t xml:space="preserve">PRINCIPALES PREMISAS PRESUPUESTARIAS </t>
  </si>
  <si>
    <t>meses</t>
  </si>
  <si>
    <t># créditos
vehículos</t>
  </si>
  <si>
    <t>Colocación cartera de crédito bruta</t>
  </si>
  <si>
    <t>PRODUCTIVO</t>
  </si>
  <si>
    <t>2026: enero a diciembre</t>
  </si>
  <si>
    <t>CONSUMO</t>
  </si>
  <si>
    <t>MICROCREDITO</t>
  </si>
  <si>
    <t>REFINANCIADA</t>
  </si>
  <si>
    <t>REESTRUCTURADA</t>
  </si>
  <si>
    <t xml:space="preserve">Recuperación cartera de crédito </t>
  </si>
  <si>
    <t>Crecimiento cartera de crédito bruta</t>
  </si>
  <si>
    <t>Generación, venta y administración cartera</t>
  </si>
  <si>
    <t># créditos</t>
  </si>
  <si>
    <t>Promedio mensual</t>
  </si>
  <si>
    <t>Portafolio de inversiones</t>
  </si>
  <si>
    <t>Comportamiento en virtud del movimiento de fondos disponibles, precautelando mantener el suficiente activo líquido para las operaciones del Banco.</t>
  </si>
  <si>
    <t>Crecimiento depósitos a la vista</t>
  </si>
  <si>
    <t>2023*</t>
  </si>
  <si>
    <t>promedio mensual</t>
  </si>
  <si>
    <t>anual</t>
  </si>
  <si>
    <t>Crecimiento depósitos a plazo</t>
  </si>
  <si>
    <t>12 meses</t>
  </si>
  <si>
    <t>Recuperación de activos castigados (cartera y cuentas por cobrar)</t>
  </si>
  <si>
    <t>Reversión de provisiones (cartera, cuentas por cobrar, bienes recibidos en dación en pago)</t>
  </si>
  <si>
    <t>Inversión en sistemas y tecnología</t>
  </si>
  <si>
    <t>Inversión en nueva imagen del Banco</t>
  </si>
  <si>
    <t>Venta de casa recibida en dación en pago</t>
  </si>
  <si>
    <t>CAPITALIZACION</t>
  </si>
  <si>
    <t>2023* - 2024</t>
  </si>
  <si>
    <t>Rendimiento inversiones disponibles para venta</t>
  </si>
  <si>
    <t>Rendimiento promedio ponderado Ene a Jun2024</t>
  </si>
  <si>
    <t>Rendimiento inversiones mantenidas hasta vcto</t>
  </si>
  <si>
    <t>Rendimiento promedio ponderado proyectado</t>
  </si>
  <si>
    <t>Rendimiento cartera de crédito productivo</t>
  </si>
  <si>
    <t>Tasa promedio ponderada Ene a Jun2024</t>
  </si>
  <si>
    <t>Rendimiento cartera de crédito consumo</t>
  </si>
  <si>
    <t>Tasa estimada</t>
  </si>
  <si>
    <t>Rendimiento cartera de microcrédito</t>
  </si>
  <si>
    <t>Rendimiento cartera refinanciada</t>
  </si>
  <si>
    <t>Rendimiento cartera reestructurada</t>
  </si>
  <si>
    <t>Costo depósitos de ahorro</t>
  </si>
  <si>
    <t>Costo promedio ponderado proyectado</t>
  </si>
  <si>
    <t>Costo depósitos a plazo</t>
  </si>
  <si>
    <t>Indicador de mora crédito productivo</t>
  </si>
  <si>
    <t>Morosidad promedio ponderado Ene a Jun2024</t>
  </si>
  <si>
    <t>Reducción % mora</t>
  </si>
  <si>
    <t>Morosidad proyectada</t>
  </si>
  <si>
    <t>Indicador de mora crédito consumo</t>
  </si>
  <si>
    <t>Indicador de mora microcrédito</t>
  </si>
  <si>
    <t>Indicador de mora crédito refinanciado</t>
  </si>
  <si>
    <t>Indicador de mora crédito reestructurado</t>
  </si>
  <si>
    <t>VOLUMEN (COLOCACIÓN CARTERA DE CRÉDITO)
AUTOMOTRIZ</t>
  </si>
  <si>
    <t>VOLUMEN
ADICIONAL</t>
  </si>
  <si>
    <t>VOLUMEN
POR RECUPERACIÓN</t>
  </si>
  <si>
    <t>VOLUMEN TOTAL
COLOCACIÓN REQUERIDA
CON RECUPER PROYECTADA</t>
  </si>
  <si>
    <t>Número de créditos por Ejecutivo de Negocios</t>
  </si>
  <si>
    <t>Número de Ejecutivos de Negocios</t>
  </si>
  <si>
    <t>Valor promedio por crédito</t>
  </si>
  <si>
    <t>Productividad mensual promedio</t>
  </si>
  <si>
    <t>TOTALES</t>
  </si>
  <si>
    <t>Número total de operaciones</t>
  </si>
  <si>
    <t>Número de operaciones promedio mensuales</t>
  </si>
  <si>
    <t>INCORPORACION DE PERSONAL:</t>
  </si>
  <si>
    <t>TOTAL</t>
  </si>
  <si>
    <t>DISPOSICIONES RESOLUCIÓN SB-INCSFPR-2024-01573</t>
  </si>
  <si>
    <t>Comisión Casa de Valores</t>
  </si>
  <si>
    <t>Desinversión EMPAGRAM</t>
  </si>
  <si>
    <t>Ago.2024</t>
  </si>
  <si>
    <t>Sep.2024</t>
  </si>
  <si>
    <t>🟨 Fondo Amarillo (Datos de Entrada): Si la celda contiene un número fijo escrito a mano (Ej: 1500 o 0.05). Aquí es donde tú debes modificar los parámetros.</t>
  </si>
  <si>
    <t>🟩 Fondo Verde Claro (Dependencias Externas): Si la celda tiene una fórmula que toma datos de otra hoja (Ej: =Premisas!B4 * 2).</t>
  </si>
  <si>
    <t>🟦 Fondo Azul Claro (Fórmulas Locales): Si la celda es una fórmula que solo suma o resta cosas dentro de su misma hoja (Ej: =SUMA(A1:A5)).</t>
  </si>
  <si>
    <t>ESTADOS FINANCIEROS A ÚLTIMO NIVEL</t>
  </si>
  <si>
    <t>D</t>
  </si>
  <si>
    <t>CODIGO</t>
  </si>
  <si>
    <t>Cuenta</t>
  </si>
  <si>
    <t>ACTIVOS</t>
  </si>
  <si>
    <t>FONDOS DISPONIBLES</t>
  </si>
  <si>
    <t>Caja</t>
  </si>
  <si>
    <t>Efectivo</t>
  </si>
  <si>
    <t>EFECTIVO CAJEROS</t>
  </si>
  <si>
    <t>EFECTIVO SERVIPAGOS</t>
  </si>
  <si>
    <t>Caja chica</t>
  </si>
  <si>
    <t>Depósitos para encaje</t>
  </si>
  <si>
    <t>Banco Central del Ecuador</t>
  </si>
  <si>
    <t>Bancos y otras instituciones financieras</t>
  </si>
  <si>
    <t>Bancos e instituciones financieras locales</t>
  </si>
  <si>
    <t>Bancos e instituciones financieras del exterior</t>
  </si>
  <si>
    <t>Efectos de cobro inmediato</t>
  </si>
  <si>
    <t>EFECTOS INGRESADOS A CAJA</t>
  </si>
  <si>
    <t>VALORES ENVIADOS A CÁMARA DE COMPENSACIÓN</t>
  </si>
  <si>
    <t>INVERSIONES</t>
  </si>
  <si>
    <t>Disponibles para la venta de entidades del sector privado</t>
  </si>
  <si>
    <t>Disponibles para la venta de entidades del sector</t>
  </si>
  <si>
    <t>De 1 a 30 días</t>
  </si>
  <si>
    <t>130310</t>
  </si>
  <si>
    <t>De 31 a 90 días</t>
  </si>
  <si>
    <t>130315</t>
  </si>
  <si>
    <t>De 91 a 180 días</t>
  </si>
  <si>
    <t>De 181 a 360 días</t>
  </si>
  <si>
    <t>De más de 360 días</t>
  </si>
  <si>
    <t>Disponibles para la venta del estado o de entidades sector público</t>
  </si>
  <si>
    <t>Disponibles para la venta del estado o de entidade</t>
  </si>
  <si>
    <t>Mantenidas hasta el vencimiento de entidades sector privado</t>
  </si>
  <si>
    <t>Mantenidas hasta el vencimiento del estado o de en</t>
  </si>
  <si>
    <t>De disponibilidad restringida</t>
  </si>
  <si>
    <t>Depósitos sujetos a restricción</t>
  </si>
  <si>
    <t>CARTERA DE CREDITOS</t>
  </si>
  <si>
    <t>CARTERA DE CREDITOS BRUTA</t>
  </si>
  <si>
    <t>INMOBILIARIO</t>
  </si>
  <si>
    <t>CONSUMO REFINANCIADO</t>
  </si>
  <si>
    <t>MICROCREDITO REFINANCIADO</t>
  </si>
  <si>
    <t>CONSUMO REESTRUCTURADO</t>
  </si>
  <si>
    <t>MICROCREDITO REESTRUCTURADO</t>
  </si>
  <si>
    <t>REFINANCIADO COVID 19</t>
  </si>
  <si>
    <t>REESTRUCTURADO COVID 19</t>
  </si>
  <si>
    <t>PROVISIONES PARA CREDITOS INCOBRABLES</t>
  </si>
  <si>
    <t>TOTAL CARTERA DE CREDITO POR VENCER</t>
  </si>
  <si>
    <t>TOTAL CARTERA DE CREDITO EN RIESGO</t>
  </si>
  <si>
    <t>CARTERA DE CRÉDITOS PRODUCTIVO POR VENCER</t>
  </si>
  <si>
    <t>CARTERA DE CRÉDITOS CONSUMO POR VENCER</t>
  </si>
  <si>
    <t>CARTERA DE MICROCRÉDITO POR VENCER</t>
  </si>
  <si>
    <t>CARTERA DE CRÉDITOS CONSUMO REFINANCIADA POR VENCER</t>
  </si>
  <si>
    <t>DE 1 A 30 DIAS</t>
  </si>
  <si>
    <t>DE 31 A 90 DIAS</t>
  </si>
  <si>
    <t>DE 91 A 180 DIAS</t>
  </si>
  <si>
    <t>DE 181 A 360 DIAS</t>
  </si>
  <si>
    <t>DE MAS DE 360 DIAS</t>
  </si>
  <si>
    <t>CARTERA DE MICROCRÉDITO REFINANCIADA POR VENCER</t>
  </si>
  <si>
    <t>CARTERA DE CRÉDITOS CONSUMO REESTRUCTURADA POR VENCER</t>
  </si>
  <si>
    <t>CARTERA DE MICROCRÉDITO REESTRUCTURADA POR VENCER</t>
  </si>
  <si>
    <t>CARTERA DE CRÉDITOS PRODUCTIVO QUE NO DEVENGA INTERESES</t>
  </si>
  <si>
    <t>CARTERA DE CRÉDITOS CONSUMO QUE NO DEVENGA INTERESES</t>
  </si>
  <si>
    <t>CARTERA DE MICROCRÉDITO QUE NO DEVENGA INTERESES</t>
  </si>
  <si>
    <t>CARTERA DE CRÉDITOS CONSUMO REFINANCIADA QUE NO DEVENGA INTERESES</t>
  </si>
  <si>
    <t>CARTERA DE MICROCRÉDITO REFINANCIADA QUE NO DEVENGA INTERESES</t>
  </si>
  <si>
    <t>CARTERA DE CRÉDITOS CONSUMO REESTRUCTURADA QUE NO DEVENGA INTERESES</t>
  </si>
  <si>
    <t>DE MAS 360 DIAS</t>
  </si>
  <si>
    <t>CARTERA DE MICROCRÉDITO REESTRUCTURADA QUE NO DEVENGA INTERESES</t>
  </si>
  <si>
    <t>CARTERA DE CRÉDITOS PRODUCTIVO VENCIDA</t>
  </si>
  <si>
    <t>CARTERA DE CRÉDITOS CONSUMO VENCIDA</t>
  </si>
  <si>
    <t>DE 181 A 270 DIAS</t>
  </si>
  <si>
    <t>DE MAS DE 270 DIAS</t>
  </si>
  <si>
    <t>CARTERA DE CREDITO DE INMOBILIARIA VENCIDA</t>
  </si>
  <si>
    <t>DE 91 A 270 DIAS</t>
  </si>
  <si>
    <t>DE 271 A 360 DIAS</t>
  </si>
  <si>
    <t>DE 360 A 720 DIAS</t>
  </si>
  <si>
    <t>DE MAS DE 720 DIAS</t>
  </si>
  <si>
    <t>CARTERA DE MICROCRÉDITO VENCIDA</t>
  </si>
  <si>
    <t>CARTERA DE CRÉDITOS CONSUMO REFINANCIADA VENCIDA</t>
  </si>
  <si>
    <t>CARTERA DE MICROCRÉDITO REFINANCIADA VENCIDA</t>
  </si>
  <si>
    <t>CARTERA DE CRÉDITOS CONSUMO REESTRUCTURADA VENCIDA</t>
  </si>
  <si>
    <t>CARTERA DE MICROCRÉDITO REESTRUCTURADA VENCIDA</t>
  </si>
  <si>
    <t>DE 31 A 90 DÍAS</t>
  </si>
  <si>
    <t>DE 91 A 180 DÍAS</t>
  </si>
  <si>
    <t>DE 181 A 360 DÍAS</t>
  </si>
  <si>
    <t>DE MAS DE 360 DÍAS</t>
  </si>
  <si>
    <t>CARTERA REFINACIADA COVID 19 POR VENCER</t>
  </si>
  <si>
    <t>PRODUCTIVO POR VENCER</t>
  </si>
  <si>
    <t>CONSUMO POR VENCER</t>
  </si>
  <si>
    <t>CARTERA REFINACIADA COVID 19 NO DEVENGA</t>
  </si>
  <si>
    <t>CONSUMO QUE NO DEVENGA INTERESES</t>
  </si>
  <si>
    <t>CARTERA REFINACIADA COVID 19 VENCIDA</t>
  </si>
  <si>
    <t>CONSUMO VENCIDA</t>
  </si>
  <si>
    <t>CARTERA REESTRUCTURADA COVID 19 POR VENCER</t>
  </si>
  <si>
    <t>MICROCRÉDITO POR VENCER</t>
  </si>
  <si>
    <t>CARTERA REESTRUCTURADA COVID 19 NO DEVENGA</t>
  </si>
  <si>
    <t>MICROCRÉDITO QUE NO DEVENGA INTERESES</t>
  </si>
  <si>
    <t>CARTERA REESTRUCTURADA COVID 19 VENCIDA</t>
  </si>
  <si>
    <t>MICROCRÉDITO VENCIDA</t>
  </si>
  <si>
    <t>(Provisiones para créditos incobrables)</t>
  </si>
  <si>
    <t>(CARTERA DE CRÉDITOS PRODUCTIVO )</t>
  </si>
  <si>
    <t>(CARTERA DE CREDITO)</t>
  </si>
  <si>
    <t>(CARTERA DE CRÉDITOS CONSUMO )</t>
  </si>
  <si>
    <t>(CARTERA DE CRÉDITOS CONSUMO)</t>
  </si>
  <si>
    <t>(CARTERA DE CREDITO INMOBILIARIO)</t>
  </si>
  <si>
    <t>(CARTERA DE CRÉDITO INMOBILIARIO)</t>
  </si>
  <si>
    <t>(CARTERA DE MICROCRÉDITO )</t>
  </si>
  <si>
    <t>(PROVISION CARTERA MICROCREDITOS)</t>
  </si>
  <si>
    <t>(CARTERA DE CREDITO REFINANCIADA)</t>
  </si>
  <si>
    <t>(CARTERA DE CREDITO REESTRUCTURADA)</t>
  </si>
  <si>
    <t>(PROVISIÓN GENERICA POR TECNOLOGIA CREDITICIA)</t>
  </si>
  <si>
    <t>(PROVISION ANTICICLICA)</t>
  </si>
  <si>
    <t>(PROVISION NO REVERSADAS POR REQUER. NORMATIVO)</t>
  </si>
  <si>
    <t>(PROVISION GENERICA VOLUNTARIA)</t>
  </si>
  <si>
    <t>CUENTAS POR COBRAR</t>
  </si>
  <si>
    <t>Intereses por cobrar de inversiones</t>
  </si>
  <si>
    <t>Disponibles para la venta</t>
  </si>
  <si>
    <t>Intereses por cobrar de cartera de créditos</t>
  </si>
  <si>
    <t>CARTERA DE CRÉDITOS PRODUCTIVO</t>
  </si>
  <si>
    <t>CARTERA DE CRÉDITOS CONSUMO</t>
  </si>
  <si>
    <t>CARTERA DE MICROCRÉDITO</t>
  </si>
  <si>
    <t>CARTERA DE CREDITO REFINANCIADA</t>
  </si>
  <si>
    <t>CARTERA DE CREDITO REESTRUCTURADA</t>
  </si>
  <si>
    <t>Rendimientos por cobrar de fideicomisos mercantile</t>
  </si>
  <si>
    <t>OTROS INTERESES POR COBRAR</t>
  </si>
  <si>
    <t>Inversiones vencidas</t>
  </si>
  <si>
    <t>INVERSIONES VENCIDAS</t>
  </si>
  <si>
    <t>Pagos por cuenta de clientes</t>
  </si>
  <si>
    <t>Seguros</t>
  </si>
  <si>
    <t>SEGUROS VEHICULOS</t>
  </si>
  <si>
    <t>DISPOSITIVOS</t>
  </si>
  <si>
    <t>DESGRAVAMEN - VEHICULOS</t>
  </si>
  <si>
    <t>INCENDIOS</t>
  </si>
  <si>
    <t>DESGRAVAMEN - CARTERA</t>
  </si>
  <si>
    <t>OPCION AUTO</t>
  </si>
  <si>
    <t>PRIMAS NO COBRADOS</t>
  </si>
  <si>
    <t>SEGURO POR COBRAR VEHICULOS</t>
  </si>
  <si>
    <t>SEGURO POR COBRAR DESGRAVAMEN VEHICULOS</t>
  </si>
  <si>
    <t>SEGURO POR COBRAR DESGRAVAMEN - CARTERA</t>
  </si>
  <si>
    <t>SEGURO POR COBRAR OPCION AUTO</t>
  </si>
  <si>
    <t>Intereses reestructurados por cobrar</t>
  </si>
  <si>
    <t>INTERESES DE CARTERA DE CRÉDITOS PRODUCTIVO</t>
  </si>
  <si>
    <t>Cuentas por cobrar varias</t>
  </si>
  <si>
    <t>Anticipos al personal</t>
  </si>
  <si>
    <t>Por venta de bienes y acciones</t>
  </si>
  <si>
    <t>Otras</t>
  </si>
  <si>
    <t>CUENTA POR COBRAR CLIENTES - TRAMITES Y GESTIONES</t>
  </si>
  <si>
    <t>CHEQUES PROTESTADOS</t>
  </si>
  <si>
    <t>GASTOS JUDICIALES</t>
  </si>
  <si>
    <t>CUENTA POR COBRAR OPCION AUTO</t>
  </si>
  <si>
    <t>TRANSACCIONES FACILITO</t>
  </si>
  <si>
    <t>OTROS</t>
  </si>
  <si>
    <t>CUENTA POR COBRAR CIA. VEHICULOS</t>
  </si>
  <si>
    <t>CUENTA POR COBRAR CIA DESGRAVAMEN</t>
  </si>
  <si>
    <t>CUENTA POR COBRAR CIA DISPOSITIVOS</t>
  </si>
  <si>
    <t>(Provisión para cuentas por cobrar)</t>
  </si>
  <si>
    <t>(Provisión para intereses y comisiones por cobrar)</t>
  </si>
  <si>
    <t>(Provisión para otras cuentas por cobrar)</t>
  </si>
  <si>
    <t>BIENES REALIZABLES, ADJUDICADOS POR PAGO, DE ARREN</t>
  </si>
  <si>
    <t>Bienes adjudicados por pago</t>
  </si>
  <si>
    <t>Terrenos</t>
  </si>
  <si>
    <t>Edificios y otros locales</t>
  </si>
  <si>
    <t>Unidades de transporte</t>
  </si>
  <si>
    <t>Bienes arrendados</t>
  </si>
  <si>
    <t>Inmuebles</t>
  </si>
  <si>
    <t>(Depreciación de bienes arrendados)</t>
  </si>
  <si>
    <t>(Provisión para bienes realizables, adjudicados po</t>
  </si>
  <si>
    <t>(Provisión para bienes adjudicados)</t>
  </si>
  <si>
    <t>PROPIEDADES Y EQUIPO</t>
  </si>
  <si>
    <t>Edificios</t>
  </si>
  <si>
    <t>Muebles, enseres y equipos de oficina</t>
  </si>
  <si>
    <t>MUEBLES DE OFICINA</t>
  </si>
  <si>
    <t>ENSERES DE OFICINA</t>
  </si>
  <si>
    <t>EQUIPO DE OFICINA</t>
  </si>
  <si>
    <t>Equipos de computación</t>
  </si>
  <si>
    <t>Otros</t>
  </si>
  <si>
    <t>PINACOTECA</t>
  </si>
  <si>
    <t>(Depreciación acumulada)</t>
  </si>
  <si>
    <t>(Edificios)</t>
  </si>
  <si>
    <t>(Muebles, enseres y equipos de oficina)</t>
  </si>
  <si>
    <t>(Equipos de computación)</t>
  </si>
  <si>
    <t>(Unidades de transporte)</t>
  </si>
  <si>
    <t>OTROS ACTIVOS</t>
  </si>
  <si>
    <t>Derechos fiduciarios</t>
  </si>
  <si>
    <t>Inversiones</t>
  </si>
  <si>
    <t>Cartera de créditos por vencer</t>
  </si>
  <si>
    <t>CARTERA DE CRÉDITO POR VENCER 30 DIAS</t>
  </si>
  <si>
    <t>CARTERA DE CRÉDITO POR VENCER 90 DIAS</t>
  </si>
  <si>
    <t>CARTERA DE CRÉDITO POR VENCER 180 DIAS</t>
  </si>
  <si>
    <t>CARTERA DE CRÉDITO POR VENCER 360 DIAS</t>
  </si>
  <si>
    <t>CARTERA DE CRÉDITO POR VENCER REST</t>
  </si>
  <si>
    <t>Cuentas por cobrar</t>
  </si>
  <si>
    <t>FONDO DE LIQUIDEZ</t>
  </si>
  <si>
    <t>Gastos y pagos anticipados</t>
  </si>
  <si>
    <t>Anticipos a terceros</t>
  </si>
  <si>
    <t>DIFERENCIA EN COMPRA DE CARTERA</t>
  </si>
  <si>
    <t>(Amortización de gastos anticipados)</t>
  </si>
  <si>
    <t>Gastos diferidos</t>
  </si>
  <si>
    <t>Programas de computación</t>
  </si>
  <si>
    <t>Gastos de adecuación</t>
  </si>
  <si>
    <t>(Amortización acumulada gastos diferidos)</t>
  </si>
  <si>
    <t>Materiales, mercaderías e insumos</t>
  </si>
  <si>
    <t>Proveduría</t>
  </si>
  <si>
    <t>SUMINISTROS DE OFICINA</t>
  </si>
  <si>
    <t>FORMATO PREIMPRESO</t>
  </si>
  <si>
    <t>SUMINISTROS DE LIMPIEZA</t>
  </si>
  <si>
    <t>INSUMOS PUBLICITARIOS</t>
  </si>
  <si>
    <t>Impuesto al valor agregado IVA</t>
  </si>
  <si>
    <t>CRÉDITO TRIBUTARIO BIENES Y SERVICIOS</t>
  </si>
  <si>
    <t>RETENCION IVA 20</t>
  </si>
  <si>
    <t>CREDITO TRIBUTARIO POR COMPENSAR</t>
  </si>
  <si>
    <t>Otros impuestos</t>
  </si>
  <si>
    <t>Depósitos en garantía y para importaciones</t>
  </si>
  <si>
    <t>199025</t>
  </si>
  <si>
    <t>(Provisión para otros activos irrecuperables)</t>
  </si>
  <si>
    <t>(Provisión para valuación de derechos fiduciarios)</t>
  </si>
  <si>
    <t>(Provisión para otros activos)</t>
  </si>
  <si>
    <t>PASIVOS</t>
  </si>
  <si>
    <t>OBLIGACIONES CON EL PUBLICO</t>
  </si>
  <si>
    <t>Depósitos a la vista</t>
  </si>
  <si>
    <t>Depósitos monetarios que generan intereses</t>
  </si>
  <si>
    <t>CUENTAS VIGENTES</t>
  </si>
  <si>
    <t>Depósitos monetarios que no generan intereses</t>
  </si>
  <si>
    <t>CUENTAS CERRADAS</t>
  </si>
  <si>
    <t>Cheques Certificados</t>
  </si>
  <si>
    <t>Depósitos de Ahorro</t>
  </si>
  <si>
    <t>Otros depósitos</t>
  </si>
  <si>
    <t>CLIENTES DE INVERSION</t>
  </si>
  <si>
    <t>Depósitos a plazo</t>
  </si>
  <si>
    <t>De más de 361 días</t>
  </si>
  <si>
    <t>DEPOSITOS RESTRINGIDOS</t>
  </si>
  <si>
    <t>CUENTAS DE INTEGRACION DE CAPITAL</t>
  </si>
  <si>
    <t>FONDOS RETENIDOS - CUENTAS CLIENTES</t>
  </si>
  <si>
    <t>OBLIGACIONES INMEDIATAS</t>
  </si>
  <si>
    <t>Cheques de Gerencia</t>
  </si>
  <si>
    <t>CUENTAS POR PAGAR</t>
  </si>
  <si>
    <t>Intereses por pagar</t>
  </si>
  <si>
    <t>VENCIDOS</t>
  </si>
  <si>
    <t>Obligaciones financieras</t>
  </si>
  <si>
    <t>OTRAS INSTITUCIONES</t>
  </si>
  <si>
    <t>Obligaciones patronales</t>
  </si>
  <si>
    <t>Beneficios Sociales</t>
  </si>
  <si>
    <t>DECIMO TERCER SUELDO</t>
  </si>
  <si>
    <t>DECIMO CUARTO SUELDO</t>
  </si>
  <si>
    <t>PROVISION VACACIONES</t>
  </si>
  <si>
    <t>Aportes al IESS</t>
  </si>
  <si>
    <t>Fondo de reserva IESS</t>
  </si>
  <si>
    <t>Participación a empleados</t>
  </si>
  <si>
    <t>Retenciones</t>
  </si>
  <si>
    <t>Retenciones fiscales</t>
  </si>
  <si>
    <t>FINANCIAMIENTO DE LA ATENCION INTEGRAL DEL CANCER</t>
  </si>
  <si>
    <t>IVA</t>
  </si>
  <si>
    <t>IVA FACTURADO</t>
  </si>
  <si>
    <t>IVA 30%</t>
  </si>
  <si>
    <t>IVA 70%</t>
  </si>
  <si>
    <t>IVA 100%</t>
  </si>
  <si>
    <t>IVA 10%</t>
  </si>
  <si>
    <t>IVA 20%</t>
  </si>
  <si>
    <t>IMPUESTO A LA RENTA</t>
  </si>
  <si>
    <t>RENDIMEINTOS FINANCIEROS</t>
  </si>
  <si>
    <t>RETENCION RENTA 1%</t>
  </si>
  <si>
    <t>RETENCION RENTA 2%</t>
  </si>
  <si>
    <t>RETENCION RENTA 8%</t>
  </si>
  <si>
    <t>RETENCION RENTA 10%</t>
  </si>
  <si>
    <t>RETENCION RENTA OTROS %</t>
  </si>
  <si>
    <t>RETENCIONES RENTA 1.75%</t>
  </si>
  <si>
    <t>0TRAS RETENCIONES RENTA APLICABLES 2.75%</t>
  </si>
  <si>
    <t>RETENCION RENTA 1.75% CONT.MICROEMPRESA</t>
  </si>
  <si>
    <t>OTRAS AUTORETENCIONES</t>
  </si>
  <si>
    <t>RETENCION RENTA 3%</t>
  </si>
  <si>
    <t>MULTA CHEQUES PROTESTADOS</t>
  </si>
  <si>
    <t>IMPUESTO SALIDA DE DIVISAS</t>
  </si>
  <si>
    <t>Otras retenciones</t>
  </si>
  <si>
    <t>APORTES AL IESS</t>
  </si>
  <si>
    <t>PRESTAMOS IESS</t>
  </si>
  <si>
    <t>RETENCIONES EN LA FUENTE EMP.</t>
  </si>
  <si>
    <t>COSTO NOTARIO</t>
  </si>
  <si>
    <t>COSTO REGISTRADORES DE LA PROPIEDAD</t>
  </si>
  <si>
    <t>COSTOS TRAMITADOR</t>
  </si>
  <si>
    <t>HONORAIOS POR ADMINISTRACION DEL FIDEICOMISO</t>
  </si>
  <si>
    <t>HONORARIOS RESTITUCION - FIDEICOMISO</t>
  </si>
  <si>
    <t>HONORARIOS EJECUCION GARANTIAS - FIDEICOMISO</t>
  </si>
  <si>
    <t>ENCARGO FIDUCIARIO</t>
  </si>
  <si>
    <t>GUARDA Y ENAGENACION GARANTIAS - ANEFI</t>
  </si>
  <si>
    <t>MOVILIZACION DE VEHICULOS APRHENDIDOS</t>
  </si>
  <si>
    <t>RETENCION APRHENSION VEHICULOS</t>
  </si>
  <si>
    <t>LEVANTAMIENTO ENCARGO FIDUCIARIO</t>
  </si>
  <si>
    <t>OTRAS RETENCIONES</t>
  </si>
  <si>
    <t>Contribuciones, impuestos y multas</t>
  </si>
  <si>
    <t>Impuesto a la renta</t>
  </si>
  <si>
    <t>Obligaciones por compra de cartera</t>
  </si>
  <si>
    <t>CARTERA DE CREDITO DE CONSUMO</t>
  </si>
  <si>
    <t>Provisiones para operaciones contingentes</t>
  </si>
  <si>
    <t>AVALES</t>
  </si>
  <si>
    <t>Cuentas por pagar varias</t>
  </si>
  <si>
    <t>Cheques girados no cobrados</t>
  </si>
  <si>
    <t>Otras cuentas por pagar</t>
  </si>
  <si>
    <t>OPERCIONES DE CREDITO</t>
  </si>
  <si>
    <t>SEGUROS CARTERA</t>
  </si>
  <si>
    <t>DESGRAVAMEN VEHICULOS</t>
  </si>
  <si>
    <t>DESGRAVAMEN CARTERA</t>
  </si>
  <si>
    <t>SEGURO TARJETAS DE DEBITO</t>
  </si>
  <si>
    <t>SEGURO REFINANCIAMIENTO COVID</t>
  </si>
  <si>
    <t>PRIMA NETA</t>
  </si>
  <si>
    <t>SEGURO ASISTENCIA</t>
  </si>
  <si>
    <t>GASTO DE COBRANZA DIFERIDO</t>
  </si>
  <si>
    <t>SEGURO FINANCIADO VEHICULO</t>
  </si>
  <si>
    <t>CHEQUES REVOCADOS</t>
  </si>
  <si>
    <t>CUENTAS POR PAGAR - JUDICIALES</t>
  </si>
  <si>
    <t>RECUP.CARTERA VENDIDA - 29 OCTUBRE</t>
  </si>
  <si>
    <t>VALOR POR VENTA DE VEHICULOS</t>
  </si>
  <si>
    <t>PAGO OPCION AUTO</t>
  </si>
  <si>
    <t>CUENTA POR PAGAR OPCION AUTO</t>
  </si>
  <si>
    <t>OTRAS</t>
  </si>
  <si>
    <t>OBLIGACIONES FINANCIERAS</t>
  </si>
  <si>
    <t>OBLIGACIONES CON EL FDL DEL SISTEMA FINANCIERO ECU</t>
  </si>
  <si>
    <t>POR CREDITOS ORDINARIOS</t>
  </si>
  <si>
    <t>OBLIGACIONES CONVERTIBLES EN ACCIONES Y APORTES PA</t>
  </si>
  <si>
    <t>Aportes para futura capitalización</t>
  </si>
  <si>
    <t>APORTE ACCIONISTAS</t>
  </si>
  <si>
    <t>APORTE SUSCRIPCION DE ACCIONES</t>
  </si>
  <si>
    <t>OTROS PASIVOS</t>
  </si>
  <si>
    <t>Ingresos recibidos por anticipado</t>
  </si>
  <si>
    <t>SEGUROS VEHICULO</t>
  </si>
  <si>
    <t>SEGUROS - DISPOSITIVOS</t>
  </si>
  <si>
    <t>SEGUROS - DESGRAVAMEN VEHICULOS</t>
  </si>
  <si>
    <t>SEGUROS - INCENDIOS</t>
  </si>
  <si>
    <t>SEGUROS - DESGRAVAMEN CARTERA</t>
  </si>
  <si>
    <t>Sobrantes de caja</t>
  </si>
  <si>
    <t>Varios</t>
  </si>
  <si>
    <t>CLIENTES DE CRÉDITO</t>
  </si>
  <si>
    <t>RETENCION SEGUROS</t>
  </si>
  <si>
    <t>FONDOS EN GARANTIA</t>
  </si>
  <si>
    <t>TRANSACCIONES CASH</t>
  </si>
  <si>
    <t>TRANSACCIONES SPI - SPL</t>
  </si>
  <si>
    <t>PAGO A PROVEEDORES</t>
  </si>
  <si>
    <t>TRANSFERENCIAS INTERNAS BANCA PERSONAS</t>
  </si>
  <si>
    <t>TRANSACCIONES SPI-SPL OFICINA</t>
  </si>
  <si>
    <t>PATRIMONIO</t>
  </si>
  <si>
    <t>CAPITAL SOCIAL</t>
  </si>
  <si>
    <t>Capital pagado</t>
  </si>
  <si>
    <t>APORTES DE ACCIONISTAS</t>
  </si>
  <si>
    <t>REINVERSION</t>
  </si>
  <si>
    <t>REV.PATRIMONIO SIN RESTRICCION</t>
  </si>
  <si>
    <t>RESERVAS</t>
  </si>
  <si>
    <t>Legales</t>
  </si>
  <si>
    <t>SUPERAVIT POR VALUACIONES</t>
  </si>
  <si>
    <t>Superávit por valuación de propiedades, equipo y o</t>
  </si>
  <si>
    <t>Valuación Inversión Neta en Instrumentos Financier</t>
  </si>
  <si>
    <t>RESULTADOS</t>
  </si>
  <si>
    <t>Utilidades o excedentes acumulados</t>
  </si>
  <si>
    <t>(Pérdidas acumuladas)</t>
  </si>
  <si>
    <t>3603</t>
  </si>
  <si>
    <t>Utilidad o excedentes del ejercicio</t>
  </si>
  <si>
    <t>(Pérdida del ejercicio)</t>
  </si>
  <si>
    <t>GASTOS</t>
  </si>
  <si>
    <t>INTERESES CAUSADOS</t>
  </si>
  <si>
    <t>Obligaciones con el público</t>
  </si>
  <si>
    <t>DEPOSITOS MONETARIOS</t>
  </si>
  <si>
    <t>DEPÓSITOS DE AHORROS</t>
  </si>
  <si>
    <t>DEPOSITOS A PLAZO</t>
  </si>
  <si>
    <t>Obligaciones con entidades del sector público</t>
  </si>
  <si>
    <t>COMISIONES CAUSADAS</t>
  </si>
  <si>
    <t>Varias</t>
  </si>
  <si>
    <t>PERDIDAS FINANCIERAS</t>
  </si>
  <si>
    <t>En venta de activos productivos</t>
  </si>
  <si>
    <t>En venta de inversiones</t>
  </si>
  <si>
    <t>Prima en compra de cartera</t>
  </si>
  <si>
    <t>PROVISIONES</t>
  </si>
  <si>
    <t>Cartera de créditos</t>
  </si>
  <si>
    <t>Crédito Productivo</t>
  </si>
  <si>
    <t>CRÉDITOS PRODUCTIVO</t>
  </si>
  <si>
    <t>Crédito de consumo</t>
  </si>
  <si>
    <t>CRÉDITOS CONSUMO</t>
  </si>
  <si>
    <t>Microcrédito</t>
  </si>
  <si>
    <t>Bienes realizables, adjudicados por pago y de arre</t>
  </si>
  <si>
    <t>Otros activos</t>
  </si>
  <si>
    <t>Operaciones contingentes</t>
  </si>
  <si>
    <t>GASTOS DE OPERACION</t>
  </si>
  <si>
    <t>Gastos de personal</t>
  </si>
  <si>
    <t>Remuneraciones mensuales</t>
  </si>
  <si>
    <t>Beneficios sociales</t>
  </si>
  <si>
    <t>Pensiones y jubilaciones</t>
  </si>
  <si>
    <t>COMISIONES</t>
  </si>
  <si>
    <t>PERSONAL DE CAPTACIONES</t>
  </si>
  <si>
    <t>PERSONAL DE COBRANZAS</t>
  </si>
  <si>
    <t>PERSONAL DEPARTAMENTO DE CREDITO</t>
  </si>
  <si>
    <t>PERSONAL DEPARTAMENTO COLOCACIONES</t>
  </si>
  <si>
    <t>PERSONAL DEPARTAMENTO LEGAL</t>
  </si>
  <si>
    <t>COMISION PERSONAL OTROS</t>
  </si>
  <si>
    <t>MOVILIZACION INTERNA</t>
  </si>
  <si>
    <t>VIATICOS Y MOVILIZACION</t>
  </si>
  <si>
    <t>PREMIOS AL PERSONAL</t>
  </si>
  <si>
    <t>BONO POR CUMPLIMIENTO</t>
  </si>
  <si>
    <t>INDEMINIZACIONES</t>
  </si>
  <si>
    <t>DESAHUCIO</t>
  </si>
  <si>
    <t>REFRIGERIO Y CAFETERIA</t>
  </si>
  <si>
    <t>UNIFORMES</t>
  </si>
  <si>
    <t>VACACIONES PAGADAS</t>
  </si>
  <si>
    <t>OTROS GASTOS DE NOMINA</t>
  </si>
  <si>
    <t>HORAS EXTRAS</t>
  </si>
  <si>
    <t>Honorarios</t>
  </si>
  <si>
    <t>Directores</t>
  </si>
  <si>
    <t>Honorarios profesionales</t>
  </si>
  <si>
    <t>Servicios varios</t>
  </si>
  <si>
    <t>Movilización, fletes y embalajes</t>
  </si>
  <si>
    <t>Servicios de guardianía</t>
  </si>
  <si>
    <t>COMPANIA DE SEGUROS</t>
  </si>
  <si>
    <t>COMPANIA DE GUARDIANIA</t>
  </si>
  <si>
    <t>SERVICIOS DE NONITOREO</t>
  </si>
  <si>
    <t>Publicidad y propaganda</t>
  </si>
  <si>
    <t>PUBLICIDAD MEDIOS</t>
  </si>
  <si>
    <t>PROMOCION AGENCIAS PUBLICITARIAS</t>
  </si>
  <si>
    <t>MATERIAL PROMOCIONAL</t>
  </si>
  <si>
    <t>PROMOCION DE VENTAS COMERCIAL DEDUCIBLE</t>
  </si>
  <si>
    <t>PROMOCION DE VENTAS COMERCIAL NO DEDUCIBLE</t>
  </si>
  <si>
    <t>ATENCION A CLIENTES</t>
  </si>
  <si>
    <t>Servicios básicos</t>
  </si>
  <si>
    <t>TELEFONIA FIJA</t>
  </si>
  <si>
    <t>TELEFONIA MOVIL</t>
  </si>
  <si>
    <t>ENERGIA ELECTRICA</t>
  </si>
  <si>
    <t>AGUA POTABLE</t>
  </si>
  <si>
    <t>ENLACE DE DATOS</t>
  </si>
  <si>
    <t>Arrendamientos</t>
  </si>
  <si>
    <t>ARRENDAMIENTOS INMUEBLES</t>
  </si>
  <si>
    <t>ARRENDAMIENTO EQUIPOS</t>
  </si>
  <si>
    <t>Otros servicios</t>
  </si>
  <si>
    <t>ATENCION A CLIENTES Y PROVEEDORES</t>
  </si>
  <si>
    <t>GASTOS LEGALES</t>
  </si>
  <si>
    <t>GASTOS DE COBRANZAS</t>
  </si>
  <si>
    <t>SERVICIOS DE AUDITORIA</t>
  </si>
  <si>
    <t>SERVICIOS CALIFICADORA DE RIESGOS</t>
  </si>
  <si>
    <t>SERVICIOS CALIFICADORA DE RIESGO</t>
  </si>
  <si>
    <t>SERVICIO DE ASESORIA</t>
  </si>
  <si>
    <t>SERVICIO DE ADMINISTRACION DE FIDEICOMISOS</t>
  </si>
  <si>
    <t>SERVICIOS OPERACIONALES</t>
  </si>
  <si>
    <t>SERVICIOS CAJERO AUTOMATICO</t>
  </si>
  <si>
    <t>SERVICIOS DE SOFTWARE</t>
  </si>
  <si>
    <t>SERVICIOS DE IMPRESIONES</t>
  </si>
  <si>
    <t>Impuestos, contribuciones y multas</t>
  </si>
  <si>
    <t>Impuestos Fiscales</t>
  </si>
  <si>
    <t>Impuestos Municipales</t>
  </si>
  <si>
    <t>IMPUESTOS PREDIALES</t>
  </si>
  <si>
    <t>IMPUESTO DEL 1.5 POR MIL</t>
  </si>
  <si>
    <t>PATENTE</t>
  </si>
  <si>
    <t>OTROS IMPUESTO</t>
  </si>
  <si>
    <t>Aportes a la Superintendencia de Bancos</t>
  </si>
  <si>
    <t>APORTES AL COSEDE POR PRIMA FINA</t>
  </si>
  <si>
    <t>APORTES AL COSEDE POR PRIMA AJUSTADA</t>
  </si>
  <si>
    <t>Multas y otras sanciones</t>
  </si>
  <si>
    <t>Impuestos y aportes para otros organismos e instit</t>
  </si>
  <si>
    <t>IMPUESTO ACTIVOS EN EL EXTERIOR</t>
  </si>
  <si>
    <t>IMPUESTO A LA SALIDA DE CAPTIALES</t>
  </si>
  <si>
    <t>OTROS IMPUSTO Y APORTES</t>
  </si>
  <si>
    <t>Depreciaciones</t>
  </si>
  <si>
    <t>Amortizaciones</t>
  </si>
  <si>
    <t>Otros gastos</t>
  </si>
  <si>
    <t>Suministros diversos</t>
  </si>
  <si>
    <t>UTILIES Y SUMINISTROS DE OFICINA</t>
  </si>
  <si>
    <t>MATERIALES DE LIMPIEZA</t>
  </si>
  <si>
    <t>OTROS SUMINISTROS</t>
  </si>
  <si>
    <t>Mantenimiento y reparaciones</t>
  </si>
  <si>
    <t>EDIFICIOS Y OFICINAS</t>
  </si>
  <si>
    <t>EDIFICOS Y OFICINAS</t>
  </si>
  <si>
    <t>MUEBLES EQUIPOS E INTALACIONES</t>
  </si>
  <si>
    <t>VEHICULOS</t>
  </si>
  <si>
    <t>PAGO CONDOMINIOS</t>
  </si>
  <si>
    <t>SERVICOS DE LIMPIEZA</t>
  </si>
  <si>
    <t>MANTENIMIENTO EQ.COMPUTO Y SOFWAR</t>
  </si>
  <si>
    <t>OTROS GASTOS</t>
  </si>
  <si>
    <t>OTROS GASTOS NO DEDUCIBLES</t>
  </si>
  <si>
    <t>OTRAS PERDIDAS OPERACIONALES</t>
  </si>
  <si>
    <t>Pérdida en venta de bienes realizables y recuperad</t>
  </si>
  <si>
    <t>OTROS GASTOS Y PERDIDAS</t>
  </si>
  <si>
    <t>Pérdida en venta de bienes</t>
  </si>
  <si>
    <t>Intereses y comisiones devengados en ejercicios an</t>
  </si>
  <si>
    <t>TARIFAS COBRADAS EJERC.ANTERIORES</t>
  </si>
  <si>
    <t>CREDITO INMOBILIARIO</t>
  </si>
  <si>
    <t>DE MORA</t>
  </si>
  <si>
    <t>IMPUESTOS Y PARTICIPACION A EMPLEADOS</t>
  </si>
  <si>
    <t>PARTICIPACIÓN A EMPLEADOS</t>
  </si>
  <si>
    <t>INGRESOS</t>
  </si>
  <si>
    <t>INTERESES Y DESCUENTOS GANADOS</t>
  </si>
  <si>
    <t>Depósitos</t>
  </si>
  <si>
    <t>Depósitos en bancos y otras instituciones financie</t>
  </si>
  <si>
    <t>Intereses y descuentos de inversiones en títulos v</t>
  </si>
  <si>
    <t>Mantenidas hasta el vencimiento</t>
  </si>
  <si>
    <t>Intereses de cartera de créditos</t>
  </si>
  <si>
    <t>CARTERA DE CREDITO INMOBILIARIO</t>
  </si>
  <si>
    <t>Cartera de créditos refinanciada</t>
  </si>
  <si>
    <t>CARTERA DE CREDITOS REFINANCIADA</t>
  </si>
  <si>
    <t>CARTERA DE CREDITOS REESTRUCTURADA</t>
  </si>
  <si>
    <t>DESCUENTOS EN CARTERA COMPRADA</t>
  </si>
  <si>
    <t>CARTERA COMERCIAL</t>
  </si>
  <si>
    <t>CONVENIOS</t>
  </si>
  <si>
    <t>CARTERA CONSUMO</t>
  </si>
  <si>
    <t>CONVENIO ORDINARIO</t>
  </si>
  <si>
    <t>Otros intereses y descuentos</t>
  </si>
  <si>
    <t>COMISIONES GANADAS</t>
  </si>
  <si>
    <t>UTILIDADES FINANCIERAS</t>
  </si>
  <si>
    <t>En venta de cartera de créditos</t>
  </si>
  <si>
    <t>Otras - premio OVA</t>
  </si>
  <si>
    <t>Rendimientos por fideicomiso mercantil</t>
  </si>
  <si>
    <t>INGRESOS POR SERVICIOS</t>
  </si>
  <si>
    <t>SERVICIOS FINANCIEROS CON CARGO MAXIMO</t>
  </si>
  <si>
    <t>SERVICIOS CON CUENTAS</t>
  </si>
  <si>
    <t>SERVICIOS CON CHEQUES</t>
  </si>
  <si>
    <t>SERVICIOS CON TARJETAS</t>
  </si>
  <si>
    <t>SERVICIOS DE TRANSFERENCIAS</t>
  </si>
  <si>
    <t>SERVICIOS DE RECUPERACION DE CARTERA</t>
  </si>
  <si>
    <t>SERVICIO DE GESTION DE DOCUMENTOS</t>
  </si>
  <si>
    <t>SERVICIOS DE CERTIFICACIONES</t>
  </si>
  <si>
    <t>OTROS INGRESOS OPERACIONALES</t>
  </si>
  <si>
    <t>OTROS INGRESOS</t>
  </si>
  <si>
    <t>Utilidad en venta de bienes</t>
  </si>
  <si>
    <t>Recuperaciones de activos financieros</t>
  </si>
  <si>
    <t>De activos castigados</t>
  </si>
  <si>
    <t>Reversión de provisiones</t>
  </si>
  <si>
    <t>Intereses y comisiones de ejercicios anteriores</t>
  </si>
  <si>
    <t>CREDITOS COMERCIALES</t>
  </si>
  <si>
    <t>CREDITOS CONSUMO</t>
  </si>
  <si>
    <t>VIVIENDA</t>
  </si>
  <si>
    <t>MORA</t>
  </si>
  <si>
    <t>Pérdidas y gananacias</t>
  </si>
  <si>
    <t>CUENTAS CONTINGENTES</t>
  </si>
  <si>
    <t>DEUDORAS</t>
  </si>
  <si>
    <t>Otras cuentas contingentes deudoras</t>
  </si>
  <si>
    <t>DEUDORAS POR CONTRA</t>
  </si>
  <si>
    <t>OTRAS CTAS.CONTINGENTES DEUDOR</t>
  </si>
  <si>
    <t>ACREEDORAS POR CONTRA</t>
  </si>
  <si>
    <t>FIANZAS Y GARANTIAS</t>
  </si>
  <si>
    <t>OTRAS CTAS.CONTINGENTES ACREE.</t>
  </si>
  <si>
    <t>ACREEDORAS</t>
  </si>
  <si>
    <t>Fianzas y garantías</t>
  </si>
  <si>
    <t>Otras cuentas contingentes acreedoras</t>
  </si>
  <si>
    <t>CUENTAS DE ORDEN</t>
  </si>
  <si>
    <t>CUENTAS DE ORDEN DEUDORAS</t>
  </si>
  <si>
    <t>Valores y bienes propios en poder de terceros</t>
  </si>
  <si>
    <t>En custodia</t>
  </si>
  <si>
    <t>Bienes entregados en arrendameinto financiero</t>
  </si>
  <si>
    <t>Activos propios en poder de terceros entregados en</t>
  </si>
  <si>
    <t>ACTIVOS CASTIGADOS</t>
  </si>
  <si>
    <t>CREDITOS PRODUCTIVOS</t>
  </si>
  <si>
    <t>CREDTIOS DE CONSUMO</t>
  </si>
  <si>
    <t>Cartera de créditos y otros activos en demanda jud</t>
  </si>
  <si>
    <t>FIRMAS</t>
  </si>
  <si>
    <t>Intereses, comisiones e ingresos en suspenso</t>
  </si>
  <si>
    <t>CARTERA DE CREDITOS COMERCIAL</t>
  </si>
  <si>
    <t>INTERESES VENCIDOS PRODUCTIVO</t>
  </si>
  <si>
    <t>INTERESES POR VENCER PRODUCTIVO</t>
  </si>
  <si>
    <t>INTERESES POR MORA PRODUCTIVO</t>
  </si>
  <si>
    <t>INTERESES VENCIDOS - ORDINARIO</t>
  </si>
  <si>
    <t>INTERESES POR VENCER - ORDINARIO</t>
  </si>
  <si>
    <t>INTERESES POR MORA - ORDINARIO</t>
  </si>
  <si>
    <t>INTERESES VENCIDOS</t>
  </si>
  <si>
    <t>INTERESES POR VENCER</t>
  </si>
  <si>
    <t>INTERESES POR MORA</t>
  </si>
  <si>
    <t>Cartera de créditos para la microempresa</t>
  </si>
  <si>
    <t>INTERES POR MORA</t>
  </si>
  <si>
    <t>CARTERA DE CREDITO DE CONSUMO ORDINARIO</t>
  </si>
  <si>
    <t>INTERES EN MORA</t>
  </si>
  <si>
    <t>INTERES POR VENCER</t>
  </si>
  <si>
    <t>Contratos de arrendamiento mercantil financiero</t>
  </si>
  <si>
    <t>Cánones por recibir</t>
  </si>
  <si>
    <t>Opción de compra</t>
  </si>
  <si>
    <t>Otras cuentas de orden deudoras</t>
  </si>
  <si>
    <t>Cobertura de seguros</t>
  </si>
  <si>
    <t>Otras cuentas de orden</t>
  </si>
  <si>
    <t>VENTA DE CARTERA CON RESPONSABILIDAD</t>
  </si>
  <si>
    <t>VALOR CARTERA</t>
  </si>
  <si>
    <t>INTERES NORMAL</t>
  </si>
  <si>
    <t>CARTERA CASTIGADA VENDIDA</t>
  </si>
  <si>
    <t>VTA.CARTERA SIN RESPONSABILIDAD</t>
  </si>
  <si>
    <t>ACREEDORAS X CONTRA</t>
  </si>
  <si>
    <t>VALORES-BIENES PROPIOS EN POD.</t>
  </si>
  <si>
    <t>ACT.PROP.EN PODER/TERC.ENT.GAR</t>
  </si>
  <si>
    <t>CARTERA DE CREDITO Y OTROS ACTIVOS EN DEMANDA J.</t>
  </si>
  <si>
    <t>INTERESES EN SUSPENSO</t>
  </si>
  <si>
    <t>CONTRATOS DE ARR.MERCANTIL</t>
  </si>
  <si>
    <t>OTRAS CUENTAS/ORDEN DEUDORAS</t>
  </si>
  <si>
    <t>VALORES-BIENES RECIBIDOS/TERC.</t>
  </si>
  <si>
    <t>DEPOSITOS DE ENT./SEC.PUBLICO</t>
  </si>
  <si>
    <t>ORIGEN DEL CAPITAL</t>
  </si>
  <si>
    <t>PROVISIONES CONSTITUIDAS</t>
  </si>
  <si>
    <t>DPTOS. O CAPTACIONES CONST. COMO GARANTIA DE PREST</t>
  </si>
  <si>
    <t>CUENTAS DE ORDEN ACREEDORAS</t>
  </si>
  <si>
    <t>Valores y bienes recibidos de terceros</t>
  </si>
  <si>
    <t>Documentos en garantía</t>
  </si>
  <si>
    <t>Valores fiduciarios en garantía</t>
  </si>
  <si>
    <t>Bienes inmuebles en garantía</t>
  </si>
  <si>
    <t>OTROS BIENES EN GARANTIA</t>
  </si>
  <si>
    <t>Depósitos de entidades del sector público</t>
  </si>
  <si>
    <t>Origen del capital</t>
  </si>
  <si>
    <t>Aportes en efectivo de accionistas o socios del pa</t>
  </si>
  <si>
    <t>Reinversión</t>
  </si>
  <si>
    <t>Revalorización del Patrimonio</t>
  </si>
  <si>
    <t>PROVISIÓN GENÉRICAS POR TECNOLOGÍA CREDITICIA CARTERA DE CONSUMO</t>
  </si>
  <si>
    <t>PROVISION GENERAL POR RIESGO ADIC.CARTERA MICROCRE</t>
  </si>
  <si>
    <t>DPTO.O CAPTACIONES CONSTIT.COMO GARATIAS DE PREST.</t>
  </si>
  <si>
    <t>CARTERA PRODUCTIVO</t>
  </si>
  <si>
    <t>CARTERA DE CONSUMO</t>
  </si>
  <si>
    <t>VALORES BIENES RECIBIDOS DE TERCEROS</t>
  </si>
  <si>
    <t>DPTOS.O CAPTACIONES CONST.COMO GARANTIA DE PREST</t>
  </si>
  <si>
    <t>5 - 4</t>
  </si>
  <si>
    <t>UTILIDAD O (PERDIDA)</t>
  </si>
  <si>
    <t>CUADRE</t>
  </si>
  <si>
    <t>PRESUPUESTOS 2024</t>
  </si>
  <si>
    <t>EJECUTADO</t>
  </si>
  <si>
    <t>PRESUPUESTO</t>
  </si>
  <si>
    <t>ANÁLISIS
VERTICAL</t>
  </si>
  <si>
    <t>202406-202412</t>
  </si>
  <si>
    <t>202312-202412</t>
  </si>
  <si>
    <t>BALANCE GENERAL - PRESUPUESTO MENSUAL</t>
  </si>
  <si>
    <t>2025-1</t>
  </si>
  <si>
    <t>2025-2</t>
  </si>
  <si>
    <t>2025-3</t>
  </si>
  <si>
    <t>2025-4</t>
  </si>
  <si>
    <t>2025-5</t>
  </si>
  <si>
    <t>2025-6</t>
  </si>
  <si>
    <t>2025-7</t>
  </si>
  <si>
    <t>2025-8</t>
  </si>
  <si>
    <t>2025-9</t>
  </si>
  <si>
    <t>2025-10</t>
  </si>
  <si>
    <t>Comportam</t>
  </si>
  <si>
    <t>%</t>
  </si>
  <si>
    <t>Rendimientos por cobrar de fideicomisos mercantiles</t>
  </si>
  <si>
    <t>3601</t>
  </si>
  <si>
    <t>Utlidades o excedentes acumulados</t>
  </si>
  <si>
    <r>
      <t xml:space="preserve">Resultado: Utilidad o </t>
    </r>
    <r>
      <rPr>
        <sz val="8"/>
        <color rgb="FFFF0000"/>
        <rFont val="Calibri"/>
        <family val="2"/>
      </rPr>
      <t>(Pérdida)</t>
    </r>
  </si>
  <si>
    <t>PASIVO + PATRIMONIO</t>
  </si>
  <si>
    <t>PASIVO + PATRIMONIO + RESULTADO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</si>
  <si>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</si>
  <si>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</si>
  <si>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</si>
  <si>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</si>
  <si>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</si>
  <si>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</si>
  <si>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</si>
  <si>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</si>
  <si>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</si>
  <si>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1</t>
  </si>
  <si>
    <t>ACTIVO</t>
  </si>
  <si>
    <t>2</t>
  </si>
  <si>
    <t>PASIVO</t>
  </si>
  <si>
    <t>3</t>
  </si>
  <si>
    <t>4</t>
  </si>
  <si>
    <t>5</t>
  </si>
  <si>
    <t>RESULTADO DEL EJERCICIO</t>
  </si>
  <si>
    <t>CARTERA DE CREDITO POR VENCER</t>
  </si>
  <si>
    <t>CARTERA DE CREDITO EN RIESGO</t>
  </si>
  <si>
    <t>CARTERA DE CREDITO QUE NO DEVENGA INTERESES</t>
  </si>
  <si>
    <t>CARTERA DE CREDITO VENCIDA</t>
  </si>
  <si>
    <t>CARTERA DE CREDITO REFINANCIADA POR VENCER</t>
  </si>
  <si>
    <t>CARTERA DE CREDITO REFINANCIADA QUE NO DEVENGA INTERESES</t>
  </si>
  <si>
    <t>CARTERA DE CREDITO REFINANCIADA VENCIDA</t>
  </si>
  <si>
    <t>CARTERA DE CREDITO REFINANCIADA EN RIESGO</t>
  </si>
  <si>
    <t>CARTERA DE CREDITO REESTRUCTURADA POR VENCER</t>
  </si>
  <si>
    <t>CARTERA DE CREDITO REESTRUCTURADA QUE NOP DEVENGA INTERESES</t>
  </si>
  <si>
    <t>CARTERA DE CREDITO REESTRUCTURADA VENCIDA</t>
  </si>
  <si>
    <t>CARTERA DE CREDITO REESTRUCTURADA EN RIESGO</t>
  </si>
  <si>
    <t>CAPTACIONES</t>
  </si>
  <si>
    <t>21</t>
  </si>
  <si>
    <t>TOTAL CAPTACIONES (Obligaciones con el Público)</t>
  </si>
  <si>
    <t>PATRIMONIO TECNICO</t>
  </si>
  <si>
    <t>Patrimonio Técnico Primario</t>
  </si>
  <si>
    <t>Patrimonio Técnico Secundario</t>
  </si>
  <si>
    <t>PATRIMONIO TECNICO TOTAL</t>
  </si>
  <si>
    <t>Deducciones al Patrimonio Técnico Total</t>
  </si>
  <si>
    <t>PATRIMONIO TECNICO CONSTITUIDO</t>
  </si>
  <si>
    <t>ACTIVOS Y CONTINGENTES PONDERADOS POR RIESGO</t>
  </si>
  <si>
    <t>Activos a Ponderar con 0.00</t>
  </si>
  <si>
    <t>Activos Ponderados con 0.00</t>
  </si>
  <si>
    <t>Activos a Ponderar con 0.10</t>
  </si>
  <si>
    <t>Activos Ponderados con 0.10</t>
  </si>
  <si>
    <t>Activos a Ponderar con 0.20</t>
  </si>
  <si>
    <t>Activos Ponderados con 0.20</t>
  </si>
  <si>
    <t>Activos a Ponderar con 0.50</t>
  </si>
  <si>
    <t>Activos Ponderados con 0.50</t>
  </si>
  <si>
    <t>Activos a Ponderar con 1.00</t>
  </si>
  <si>
    <t>Activos Ponderados con 1.00</t>
  </si>
  <si>
    <t>TOTAL ACTIVOS Y CONTINGENTES A PODERAR POR RIESGO</t>
  </si>
  <si>
    <t>TOTAL ACTIVOS Y CONTINGENTES PONDERADOS POR RIESGO</t>
  </si>
  <si>
    <t>PATRIMONIO TECNICO REQUERIDO (9% Act y Cont pond por riesgo)</t>
  </si>
  <si>
    <t>Excedente o Deficiencia de Patrim Técnico Requerido</t>
  </si>
  <si>
    <t>PATRIMIO TECNICO CONSTITUIDO MINIMO: 4% Activos Totales y Contingentes</t>
  </si>
  <si>
    <t>EXCEDENTE O DEFICIENCIA DE PATRIMONIO TÉCNICO CONSTITUIDO MINIMO</t>
  </si>
  <si>
    <t>SOLVENCIA</t>
  </si>
  <si>
    <t>SOLVENCIA (%): Patr Técn Const / Total Act y Cont Pond por Riesgo</t>
  </si>
  <si>
    <t>ACTIVOS LIQUIDOS</t>
  </si>
  <si>
    <t>PASIVOS EXIGIBLES</t>
  </si>
  <si>
    <t>ACTIVOS IMPRODUCTIVOS BRUTOS</t>
  </si>
  <si>
    <t>ACTIVOS IMPRODUCTIVOS NETOS</t>
  </si>
  <si>
    <t>ACTIVOS LIQUIDOS IMPRODUCTIVOS</t>
  </si>
  <si>
    <t>ACTIVOS INMOVILIZADOS NETOS</t>
  </si>
  <si>
    <t>ACTIVOS PRODUCTIVOS</t>
  </si>
  <si>
    <t>PASIVOS CON COSTO</t>
  </si>
  <si>
    <t>INDICADORES FINANCIEROS</t>
  </si>
  <si>
    <t>SUFICIENCIA PATRIMONIAL</t>
  </si>
  <si>
    <t>(PATRIMONIO+RESULTADOS)/ACTIVOS INMOVILIZADOS NETOS (3) (6)</t>
  </si>
  <si>
    <t>ESTRUCTURA Y CALIDAD DE ACTIVOS</t>
  </si>
  <si>
    <t>ACTIVOS IMPRODUCTIVOS NETOS / TOTAL ACTIVOS</t>
  </si>
  <si>
    <t>ACTIVOS PRODUCTIVOS / TOTAL ACTIVOS</t>
  </si>
  <si>
    <t>ACTIVOS PRODUCTIVOS / PASIVOS CON COSTO</t>
  </si>
  <si>
    <t>INDICES DE MOROSIDAD</t>
  </si>
  <si>
    <t>MOROSIDAD DE LA CARTERA DE CREDITOS PRODUCTIVO</t>
  </si>
  <si>
    <t>MOROSIDAD CARTERA CONSUMO</t>
  </si>
  <si>
    <t>MOROSIDAD DE LA CARTERA DE CREDITOS INMOBILIARIO</t>
  </si>
  <si>
    <t>MOROSIDAD DE LA CARTERA DE CREDITOS MICROCREDITO</t>
  </si>
  <si>
    <t>MOROSIDAD DE LA CARTERA DE CREDITOS VIVIENDA DE INTERES SOCIAL Y PUBLICO</t>
  </si>
  <si>
    <t>MOROSIDAD DE LA CARTERA DE CREDITOS EDUCATIVO</t>
  </si>
  <si>
    <t>MOROSIDAD DE LA CARTERA DE CREDITOS INVERSION PUBLICA</t>
  </si>
  <si>
    <t>MOROSIDAD DE LA CARTERA TOTAL</t>
  </si>
  <si>
    <t>COBERTURA DE PROVISIONES PARA CARTERA IMPRODUCTIVA</t>
  </si>
  <si>
    <t>COBERTURA CARTERA DE CREDITOS PRODUCTIVO</t>
  </si>
  <si>
    <t>COBERTURA CARTERA CONSUMO</t>
  </si>
  <si>
    <t>COBERTURA CARTERA INMOBILIARIO Y VIVIENDA INTERES PUBLICO</t>
  </si>
  <si>
    <t>COBERTURA CARTERA DE CREDITOS MICROCREDITO</t>
  </si>
  <si>
    <t>COBERTURA CARTERA DE CREDITOS EDUCATIVO</t>
  </si>
  <si>
    <t>COBERTURA CARTERA DE CREDITO INVERSION PUBLICA</t>
  </si>
  <si>
    <t>COBERTURA DE LA CARTERA REFINANCIADA</t>
  </si>
  <si>
    <t>COBERTURA DE LA CARTERA REESTRUCTURADA</t>
  </si>
  <si>
    <t>COBERTURA DE LA CARTERA PROBLEMÁTICA</t>
  </si>
  <si>
    <t>EFICIENCIA MICROECONOMICA</t>
  </si>
  <si>
    <t>GASTOS DE OPERACIÓN ESTIMADOS / TOTAL ACTIVO PROMEDIO (3)</t>
  </si>
  <si>
    <t>GASTOS DE OPERACIÓN / MARGEN FINANCIERO</t>
  </si>
  <si>
    <t>GASTOS DE PERSONAL ESTIMADOS / ACTIVO PROMEDIO (3)</t>
  </si>
  <si>
    <t>RENTABILIDAD</t>
  </si>
  <si>
    <t>RESULTADOS DEL EJERCICIO / PATRIMONIO PROMEDIO</t>
  </si>
  <si>
    <t>RESULTADOS DEL EJERCICIO / ACTIVO PROMEDIO</t>
  </si>
  <si>
    <t>INTERMEDIACIÓN FINANCIERA</t>
  </si>
  <si>
    <t>CARTERA BRUTA / (DEPOSITOS A LA VISTA + DEPOSITOS A PLAZO)</t>
  </si>
  <si>
    <t>EFICIENCIA FINANCIERA</t>
  </si>
  <si>
    <t>MARGEN DE INTERMEDIACIÓN ESTIMADO / PATRIMONIO PROMEDIO</t>
  </si>
  <si>
    <t>MARGEN DE INTERMEDIACIÓN ESTIMADO / ACTIVO PROMEDIO</t>
  </si>
  <si>
    <t>RENDIMIENTO DE LA CARTERA (3)</t>
  </si>
  <si>
    <t>RENDIMIENTO CARTERA PRODUCTIVO POR VENCER</t>
  </si>
  <si>
    <t>RENDIMIENTO CARTERA CONSUMO POR VENCER</t>
  </si>
  <si>
    <t>RENDIMIENTO CARTERA DE CRÉDITOS INMOBILIARIO POR VENCER</t>
  </si>
  <si>
    <t>RENDIMIENTO CARTERA DE CREDITOS MICROCREDITO POR VENCER (9)</t>
  </si>
  <si>
    <t>RENDIMIENTO CARTERA DE CREDITOS VIVIENDA DE INTERES SOCIAL Y PUBLICO POR VENCER</t>
  </si>
  <si>
    <t>RENDIMIENTO CARTERA DE CREDITOS EDUCATIVO POR VENCER</t>
  </si>
  <si>
    <t>RENDIMIENTO CARTERA DE CREDITO INVERSIÓN PÚBLICA POR VENCER</t>
  </si>
  <si>
    <t>RENDIMIENTO CARTERA DE CREDITOS REFINANCIADOS</t>
  </si>
  <si>
    <t>RENDIMIENTO CARTERA DE CREDITOS REESTRUCTURADOS</t>
  </si>
  <si>
    <t>RENDIMIENTO CARTERA POR VENCER TOTAL</t>
  </si>
  <si>
    <t>LIQUIDEZ</t>
  </si>
  <si>
    <t>FONDOS DISPON / TOTAL DPTOS A CORTO PLAZO</t>
  </si>
  <si>
    <t>VULNERABILIDAD DEL PATRIMONIO</t>
  </si>
  <si>
    <t>CARTERA IMPRODUCTIVA DESCUBIERTA / (PATRIMONIO + RESULTADOS) (7)</t>
  </si>
  <si>
    <t>CARTERA IMPRODUCTIVA / PATRIMONIO (DIC)</t>
  </si>
  <si>
    <t>FK = (PATRIMONIO + RESULTADOS - INGRESOS EXTRAORDINARIOS) / ACTIVOS TOTALES</t>
  </si>
  <si>
    <t>FI = 1 + (ACTIVOS IMPRODUCTIVOS / ACTIVOS TOTALES)</t>
  </si>
  <si>
    <t>INDICE DE CAPITALIZACIÓN NETO: FK/FI</t>
  </si>
  <si>
    <t>ESTADO DE RESULTADOS MENSUAL</t>
  </si>
  <si>
    <t>EJECUCIÓN MENSUAL 2023</t>
  </si>
  <si>
    <t>EJECUCIÓN ACUMULADA 2023</t>
  </si>
  <si>
    <t>EJECUCIÓN
ACUMULADA</t>
  </si>
  <si>
    <t>PRESUPUESTO
MENSUAL</t>
  </si>
  <si>
    <t>PRESUPUESTO
ACUMULADO</t>
  </si>
  <si>
    <t>Código</t>
  </si>
  <si>
    <t>CONCEPTOS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</si>
  <si>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</si>
  <si>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</si>
  <si>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</si>
  <si>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</si>
  <si>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</si>
  <si>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</si>
  <si>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</si>
  <si>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</si>
  <si>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</si>
  <si>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</si>
  <si>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</si>
  <si>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</si>
  <si>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4-48</t>
  </si>
  <si>
    <t>GASTOS SIN GRUPO 48</t>
  </si>
  <si>
    <t>Constitución provisiones requeridas diferidas</t>
  </si>
  <si>
    <t>Cartera de créditos productivo</t>
  </si>
  <si>
    <t>Cartera de créditos de consumo</t>
  </si>
  <si>
    <t>Cartera de créditos inmobiliario</t>
  </si>
  <si>
    <t>Cartera de microcrédito</t>
  </si>
  <si>
    <t>Cartera de créditos reestructurada</t>
  </si>
  <si>
    <t>RESULTADO ANTES PARTIC TRAB E IMPTO RENTA</t>
  </si>
  <si>
    <t>RESULTADO ANTES DE IMPUESTO A LA RENTA</t>
  </si>
  <si>
    <t>RESULTADO</t>
  </si>
  <si>
    <t>INDICADORES MENSUALES Y ACUMULADOS</t>
  </si>
  <si>
    <t>INTERESES CAUSADOS / INTERESES GANADOS</t>
  </si>
  <si>
    <t>MARGEN NETO DE INTERESES</t>
  </si>
  <si>
    <t>MARGEN BRUTO FINANCIERO</t>
  </si>
  <si>
    <t>MARGEN NETO FINANCIERO</t>
  </si>
  <si>
    <t>MARGEN DE INTERMEDIACION</t>
  </si>
  <si>
    <t>MARGEN OPERACIONAL</t>
  </si>
  <si>
    <t>UTILIDAD ANTES PARTIC TRAB E IMPTO RENTA</t>
  </si>
  <si>
    <t>RELACION GP/MBF</t>
  </si>
  <si>
    <t>RELACION GO/MBF</t>
  </si>
  <si>
    <t>GRADO DE ABSORCIÓN: GO/MNF</t>
  </si>
  <si>
    <t>PRESUPUESTO 2024</t>
  </si>
  <si>
    <t>FLUJOS DE CAJA</t>
  </si>
  <si>
    <t>COD</t>
  </si>
  <si>
    <t>GRUPOS DE CUENTAS</t>
  </si>
  <si>
    <t>FONDOS DISPONIBLES MES ANTERIOR</t>
  </si>
  <si>
    <t>INVERSIONES MES ANTERIOR</t>
  </si>
  <si>
    <t>ACTIVOS LIQUIDOS NETOS MES ANTERIOR</t>
  </si>
  <si>
    <t>EGRESOS</t>
  </si>
  <si>
    <t>ACTIVOS LIQUIDOS NETOS</t>
  </si>
  <si>
    <t>COMPORTAMIENTO ACTIVO LIQUIDO NETO</t>
  </si>
  <si>
    <t>COMPORTAMIENTO ACTIVO LIQUIDO NETO ACUMULADO</t>
  </si>
  <si>
    <t>EMPAGRAM</t>
  </si>
  <si>
    <t>Años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</si>
  <si>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</si>
  <si>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</si>
  <si>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</si>
  <si>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</si>
  <si>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</si>
  <si>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</si>
  <si>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</si>
  <si>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</si>
  <si>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</si>
  <si>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</si>
  <si>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</si>
  <si>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</si>
  <si>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Desinversión</t>
  </si>
  <si>
    <t>Saldo al 31Dic24</t>
  </si>
  <si>
    <t>CAPITAL</t>
  </si>
  <si>
    <t>FLUJO DE EFECTIVO</t>
  </si>
  <si>
    <t>ENTRADAS DE EFECTIVO</t>
  </si>
  <si>
    <t>RECUPERACIÓN DE CARTERA DE CREDITO</t>
  </si>
  <si>
    <t>ORIGINACIÓN, VENTA Y ADMINISTRACIÓN CARTERA DE CRÉDITO (OVA)</t>
  </si>
  <si>
    <t>INGRESOS POR OTROS ACTIVOS</t>
  </si>
  <si>
    <t>INGRESOS DEPÓSITOS A LA VISTA</t>
  </si>
  <si>
    <t>INGRESOS DEPÓSITOS A PLAZO</t>
  </si>
  <si>
    <t>INCREMENTO DE OBLIGACIONES POR PAGAR</t>
  </si>
  <si>
    <t>INTERESES GANADOS</t>
  </si>
  <si>
    <t>CAPITALIZACION (movimiento patrimonial)</t>
  </si>
  <si>
    <t>TOTAL INGRESOS</t>
  </si>
  <si>
    <t>SALIDAS DE EFECTIVO</t>
  </si>
  <si>
    <t>COLOCACIÓN CARTERA DE CRÉDITO</t>
  </si>
  <si>
    <t>INCREMENTO DE CUENTAS POR COBRAR</t>
  </si>
  <si>
    <t>SALIDAS POR OTROS ACTIVOS</t>
  </si>
  <si>
    <t>PAGO DE OBLIGACIONES FINANCIERAS</t>
  </si>
  <si>
    <t>SALIDAS/RETIROS DEPOSITOS A LA VISTA</t>
  </si>
  <si>
    <t>SALIDAS DEPOSITOS A PLAZO</t>
  </si>
  <si>
    <t>PAGOS DE OBLIGACIONES POR PAGAR</t>
  </si>
  <si>
    <t>SALIDA POR COMPENSACIÓN CRÉDITOS PARA CAPITALIZACIÓN</t>
  </si>
  <si>
    <t>PAGO DE INTERESES</t>
  </si>
  <si>
    <t>PAGO DE COMISIONES</t>
  </si>
  <si>
    <t>GASTOS VARIOS</t>
  </si>
  <si>
    <t>TOTAL SALIDAS</t>
  </si>
  <si>
    <t>PATRIMONIO TÉCNICO, ACTIVOS Y CONTINGENTES PONDERADOS POR RIESGO</t>
  </si>
  <si>
    <t>PRESUPUESTO 2025</t>
  </si>
  <si>
    <t>CODIGOS</t>
  </si>
  <si>
    <t>PATRIMONIO TECNICO PRIMARIO</t>
  </si>
  <si>
    <t>Pérdidas Acumuladas - saldos auditados (1)</t>
  </si>
  <si>
    <t>5-4</t>
  </si>
  <si>
    <t>INGRESOS MENOS GASTOS</t>
  </si>
  <si>
    <t>PATRIMONIO TECNICO SECUNDARIO</t>
  </si>
  <si>
    <t>SUPERAVIT POR VALUACIÓN</t>
  </si>
  <si>
    <t>Pérdidas Acumuladas (1)</t>
  </si>
  <si>
    <t>Utilidad del Ejercicio (4)</t>
  </si>
  <si>
    <t>Pérdida del Ejercicio (4)</t>
  </si>
  <si>
    <t>Provisiones créditos incobrables - Provisión genérica por tecnología crediticia (6)</t>
  </si>
  <si>
    <t>Provisiones créditos incobrables - Provisión genérica voluntaria (6)</t>
  </si>
  <si>
    <t>ACTIVOS Y CONTINGENTES A PONDERAR POR RIESGO</t>
  </si>
  <si>
    <t>ACTIVOS Y CONTINGENTES A PONDERAR CON 0.00</t>
  </si>
  <si>
    <t>ACTIVOS Y CONTINGENTES PONDERADOS POR RIESGO CON 0.00</t>
  </si>
  <si>
    <t>11</t>
  </si>
  <si>
    <t>Fondos Disponibles</t>
  </si>
  <si>
    <t>14</t>
  </si>
  <si>
    <t>Cartera de créditos (garantías depósitos en efectivo)</t>
  </si>
  <si>
    <t>199005</t>
  </si>
  <si>
    <t>Impuesto al Valor Agregado - IVA</t>
  </si>
  <si>
    <t>6401, 6402, 6403, 6404</t>
  </si>
  <si>
    <t>ACTIVOS A PONDERAR CON 0.10</t>
  </si>
  <si>
    <t>ACTIVOS PONDERADOS POR RIESGO CON 0.10</t>
  </si>
  <si>
    <t>1304</t>
  </si>
  <si>
    <t>1306</t>
  </si>
  <si>
    <t>130710</t>
  </si>
  <si>
    <t>ACTIVOS A PONDERAR CON 0.20</t>
  </si>
  <si>
    <t>ACTIVOSPONDERADOS POR RIESGO CON 0.20</t>
  </si>
  <si>
    <t>ACTIVOS Y CONTINGENTES A PONDERAR CON 0.50</t>
  </si>
  <si>
    <t>ACTIVOS Y CONTINGENTES PONDERADOS POR RIESGO CON 0.50</t>
  </si>
  <si>
    <t>1303</t>
  </si>
  <si>
    <t>Disponibles para la Venta de entidades del sector privado (4)</t>
  </si>
  <si>
    <t>1305</t>
  </si>
  <si>
    <t>Mantenidas hasta el vencimiento de entidades del sector privado (4)</t>
  </si>
  <si>
    <t>1403</t>
  </si>
  <si>
    <t>Cartera de Créditos Inmobiliario por Vencer (5)</t>
  </si>
  <si>
    <t>1408</t>
  </si>
  <si>
    <t>Cartera de Créditos de Vivienda de Interés Público por Vencer (5)</t>
  </si>
  <si>
    <t>1619</t>
  </si>
  <si>
    <t>Cuentas por Cobrar por Cartera de Vivienda vendida al fideicomiso de titularización</t>
  </si>
  <si>
    <t>640505</t>
  </si>
  <si>
    <t>Compromisos futuros - Riesgo asumido por cartera vendida (5)</t>
  </si>
  <si>
    <t>ACTIVOS Y CONTINGENTES A PONDERAR CON 1.00</t>
  </si>
  <si>
    <t>ACTIVOS Y CONTINGENTES PONDERADOS POR RIESGO CON 1.00</t>
  </si>
  <si>
    <t>13</t>
  </si>
  <si>
    <t>INVERSIONES (6)</t>
  </si>
  <si>
    <t>+</t>
  </si>
  <si>
    <t>CARTERA DE CREDITOS (7)</t>
  </si>
  <si>
    <t>16-1619</t>
  </si>
  <si>
    <t>CUENTAS POR COBRAR MENOS CUENTAS POR COBRAR PARA CARTERA DE VIVIENDA VENDIDA AL FIDEICOMISO DE TITULARIZACION</t>
  </si>
  <si>
    <t>17</t>
  </si>
  <si>
    <t>BIENES REALIZ, ADJUD POR PAGO, DE ARREND MERC Y NO UTILIZ POR LA INSTIT</t>
  </si>
  <si>
    <t>18</t>
  </si>
  <si>
    <t>19</t>
  </si>
  <si>
    <t>OTROS ACTIVOS (8)</t>
  </si>
  <si>
    <t>OTRAS CUENTAS CONTINGENTES ACREEDORAS</t>
  </si>
  <si>
    <t>PATRIMONIO TECNICO REQUERIDO: 9% Act y Cont Pond por Riesgo</t>
  </si>
  <si>
    <t>EXCEDENTE O DEFICIENCIA DE PATRIMONIO TÉCNICO REQUERIDO</t>
  </si>
  <si>
    <t>PATRIMIO TECNICO CONSTITUIDO MINIMO: 4% Activos Totales y Conting</t>
  </si>
  <si>
    <t>EXCEDENTE O DEFICIENCIA DE PATRIM TÉCNICO CONSTITUIDO MINIMO</t>
  </si>
  <si>
    <t>INDICADOR SOLVENCIA (%):
Patrim Técn Constit / Total Act y Cont Pond por Riesgo</t>
  </si>
  <si>
    <t>COMF Art. 190 (%):
Patrim Técnico Constit / (Total Activos + Cuentas Contingentes)</t>
  </si>
  <si>
    <t>ACTIVO FIJO / PATRIMONIO TÉCNICO CONSTITUIDO</t>
  </si>
  <si>
    <t>PROYECCIÓN GASTOS DE PERSONAL 2024</t>
  </si>
  <si>
    <t>REMUNERACIÓN BÁSICA UNIFICADA 2024</t>
  </si>
  <si>
    <t>GASTOS DE PERSONAL 2024</t>
  </si>
  <si>
    <t>INCREMENTO %</t>
  </si>
  <si>
    <t>GASTOS DE PERSONAL 2025</t>
  </si>
  <si>
    <t>REMUNERACIÓN BÁSICA UNIFICADA 2025</t>
  </si>
  <si>
    <t>Remun Variable
Promedio</t>
  </si>
  <si>
    <t>RMU</t>
  </si>
  <si>
    <t>#</t>
  </si>
  <si>
    <t>LUGAR DE TRABAJO</t>
  </si>
  <si>
    <t>AREA</t>
  </si>
  <si>
    <t>GE</t>
  </si>
  <si>
    <t>OFI</t>
  </si>
  <si>
    <t>CARGO</t>
  </si>
  <si>
    <t>APELLIDOS</t>
  </si>
  <si>
    <t>NOMBRES</t>
  </si>
  <si>
    <t>FECHA
INGRESO
(dd-mmm-aa)</t>
  </si>
  <si>
    <t>RMU
ANTERIOR</t>
  </si>
  <si>
    <t>INCREMENTO</t>
  </si>
  <si>
    <t>RMU
ACTUAL</t>
  </si>
  <si>
    <t>BONOS</t>
  </si>
  <si>
    <t>HORAS 
EXTRAS
Y SUPL</t>
  </si>
  <si>
    <t>RETRIBUCION
VARIABLE</t>
  </si>
  <si>
    <t>SEGURO MEDICO</t>
  </si>
  <si>
    <t>SUBTOTAL GRAVABLE
IESS</t>
  </si>
  <si>
    <t>IESS
Patronal</t>
  </si>
  <si>
    <t>FONDOS DE RESERVA</t>
  </si>
  <si>
    <t>DECIMO
CUARTO</t>
  </si>
  <si>
    <t>DECIMO TERCERO</t>
  </si>
  <si>
    <t>TOTAL
INGRESOS</t>
  </si>
  <si>
    <t>VACACIONES</t>
  </si>
  <si>
    <t>FONDOS DE RESERVA
ENERO</t>
  </si>
  <si>
    <t>FONDOS DE RESERVA FEBRERO</t>
  </si>
  <si>
    <t>FONDOS DE RESERVA
MARZO</t>
  </si>
  <si>
    <t>FONDOS DE RESERVA
ABRIL</t>
  </si>
  <si>
    <t>FONDOS DE RESERVA
MAYO</t>
  </si>
  <si>
    <t>FONDOS DE RESERVA
JUNIO</t>
  </si>
  <si>
    <t>FONDOS DE RESERVA
JULIO</t>
  </si>
  <si>
    <t>FONDOS DE RESERVA AGOSTO</t>
  </si>
  <si>
    <t>FONDOS DE RESERVA SEPTIEMBRE</t>
  </si>
  <si>
    <t>FONDOS DE RESERVA OCTUBRE</t>
  </si>
  <si>
    <t>FONDOS DE RESERVA NOVIEMBRE</t>
  </si>
  <si>
    <t>FONDOS DE RESERVA DICIEMBRE</t>
  </si>
  <si>
    <t>RMU
PISO</t>
  </si>
  <si>
    <t>RMU
TECHO</t>
  </si>
  <si>
    <t>QUITO</t>
  </si>
  <si>
    <t>OPERACIONES</t>
  </si>
  <si>
    <t>O</t>
  </si>
  <si>
    <t>UIO</t>
  </si>
  <si>
    <t>ANALISTA OPERACIONES Y FABRICA DE CREDITO</t>
  </si>
  <si>
    <t>GERENCIA GENERAL</t>
  </si>
  <si>
    <t>GG</t>
  </si>
  <si>
    <t>ASISTENTE DE GERENCIA GENERAL</t>
  </si>
  <si>
    <t>ASISTENTE DE PROCESOS</t>
  </si>
  <si>
    <t>CARTERA Y RECUPERACIÓN</t>
  </si>
  <si>
    <t>C&amp;R</t>
  </si>
  <si>
    <t>EJECUTIVO DE CARTERA Y RECUPERACIÓN</t>
  </si>
  <si>
    <t>IBA</t>
  </si>
  <si>
    <t>EJECUTIVO DE CAJA</t>
  </si>
  <si>
    <t>NEGOCIOS</t>
  </si>
  <si>
    <t>GN</t>
  </si>
  <si>
    <t>EJECUTIVO DE CREDITO AUTOMOTRIZ</t>
  </si>
  <si>
    <t>GYE</t>
  </si>
  <si>
    <t>EJECUTIVO NEGOCIOS SR</t>
  </si>
  <si>
    <t>EJECUTIVO NEGOCIOS JR</t>
  </si>
  <si>
    <t>ADMINISTRATIVO Y RECURSOS HUMANOS</t>
  </si>
  <si>
    <t>A&amp;RRHH</t>
  </si>
  <si>
    <t>AUXILIAR DE SERVICIOS GENERALES</t>
  </si>
  <si>
    <t>CAJERO</t>
  </si>
  <si>
    <t xml:space="preserve">CUMPLIMIENTO </t>
  </si>
  <si>
    <t>A&amp;C</t>
  </si>
  <si>
    <t>OFICIAL DE CUMPLIMIENTO</t>
  </si>
  <si>
    <t>ASISTENTE OPERACIONES Y FABRICA DE CREDITO</t>
  </si>
  <si>
    <t>OFICIAL ADMINISTRATIVO</t>
  </si>
  <si>
    <t>EJECUTIVO CARTERA Y RECUPERACION</t>
  </si>
  <si>
    <t>GESTOR DE COBRANZA LEGAL</t>
  </si>
  <si>
    <t>SUBGERENTE DE OPERACIONES</t>
  </si>
  <si>
    <t>ASISTENTE DE OPERACIONES</t>
  </si>
  <si>
    <t>GERENTE DE NEGOCIOS</t>
  </si>
  <si>
    <t>SISTEMAS Y TECNOLOGÍA</t>
  </si>
  <si>
    <t>S&amp;T</t>
  </si>
  <si>
    <t>ADMINISTRADOR DESARROLLO DE SISTEMAS</t>
  </si>
  <si>
    <t xml:space="preserve">CONTABILIDAD </t>
  </si>
  <si>
    <t>F</t>
  </si>
  <si>
    <t>ASISTENTE DE CONTABILIDAD</t>
  </si>
  <si>
    <t>OFICIAL DE SEGUROS</t>
  </si>
  <si>
    <t>OFICIAL DE RECURSOS HUMANOS</t>
  </si>
  <si>
    <t>BANCA PRIVADA</t>
  </si>
  <si>
    <t>EJECUTIVO DE BANCA PRIVADA</t>
  </si>
  <si>
    <t>ADMINISTRADOR DE REDES Y SOPORTE TÉCNICO</t>
  </si>
  <si>
    <t>GESTOR DE RECUPERACIÓN EXTRAJUDICIAL</t>
  </si>
  <si>
    <t>OFICIAL DE ATENCIÓN USUARIO FINANCIERO</t>
  </si>
  <si>
    <t>SEGURIDAD DE LA INFORMACIÓN</t>
  </si>
  <si>
    <t>SI</t>
  </si>
  <si>
    <t>OFICIAL DE SEGURIDAD DE LA INFORMACIÓN</t>
  </si>
  <si>
    <t xml:space="preserve">OPERACIONES </t>
  </si>
  <si>
    <t>GESTOR OPERATIVO</t>
  </si>
  <si>
    <t>EJECUTIVO DE CUSTODIA Y CAJAS</t>
  </si>
  <si>
    <t>ASISTENTE MONITOREO Y CALL CENTER</t>
  </si>
  <si>
    <t>EJECUTIVO DE FABRICA DE CRÉDITO</t>
  </si>
  <si>
    <t>GERENTE DE CARTERA Y RECUPERACIÓN</t>
  </si>
  <si>
    <t>EJECUTIVO ATENCION AL CLIENTE</t>
  </si>
  <si>
    <t>SUPERVISOR OPERATIVO</t>
  </si>
  <si>
    <t>EJECUTIVO RECUPERACION CAMPO</t>
  </si>
  <si>
    <t>ADMINISTRADOR DEL CIERRE DIARIO</t>
  </si>
  <si>
    <t>AUDITORIA INTERNA</t>
  </si>
  <si>
    <t>AUDITOR INTERNO</t>
  </si>
  <si>
    <t>GERENTE DE SISTEMAS Y TECNOLOGÍA</t>
  </si>
  <si>
    <t>SUPERVISOR CARTERA Y RECUPERACION</t>
  </si>
  <si>
    <t>EJECUTIVO DE ANALISIS Y FABRICA DE CREDITO</t>
  </si>
  <si>
    <t>FINANCIERO</t>
  </si>
  <si>
    <t>GERENTE FINANCIERO-ADMINISTRATIVO</t>
  </si>
  <si>
    <t>GERENTE DE SUCURSAL</t>
  </si>
  <si>
    <t>RIESGOS</t>
  </si>
  <si>
    <t>R</t>
  </si>
  <si>
    <t>SUBGERENTE DE LA UNIDAD DE ADMINISTRACION INTEGRAL DE RIESGOS</t>
  </si>
  <si>
    <t>CONTADORA GENERAL</t>
  </si>
  <si>
    <t>YEPEZ RAZA</t>
  </si>
  <si>
    <t>MONICA PATRICIA</t>
  </si>
  <si>
    <t>SUBTOTALES QUITO</t>
  </si>
  <si>
    <t>IBARRA</t>
  </si>
  <si>
    <t>SUBTOTALES IBARRA</t>
  </si>
  <si>
    <t>GUAYAQUIL</t>
  </si>
  <si>
    <t>SUBTOTALES GUAYAQUIL</t>
  </si>
  <si>
    <t>INCORPORACIONES</t>
  </si>
  <si>
    <t>VICEPRESIDENTE DE NEGOCIOS</t>
  </si>
  <si>
    <t>INCORPORACION</t>
  </si>
  <si>
    <t>GERENTE DE RIESGOS</t>
  </si>
  <si>
    <t>EJECUTIVO DE CREDITO AUTOMOTRIZ SENIOR</t>
  </si>
  <si>
    <t>EJECUTIVO DE BANCA PRIVADA SENIOR</t>
  </si>
  <si>
    <t>EJECUTIVO BANCA CORPORATIVA</t>
  </si>
  <si>
    <t>SUBTOTALES</t>
  </si>
  <si>
    <t>ABOGADA  INTERNA</t>
  </si>
  <si>
    <t>EMERGENCIAS BANCARIAS</t>
  </si>
  <si>
    <t>BANCA  PROVADA</t>
  </si>
  <si>
    <t>uio</t>
  </si>
  <si>
    <t>EJECUTIVO DE BANCA PRIVADA JUNIOR</t>
  </si>
  <si>
    <t>EJECUTIVO DE CREDITO AUTOMOTRIZ JUNIOR</t>
  </si>
  <si>
    <t>EJECUTIVO DE EMISIÓN</t>
  </si>
  <si>
    <t>HONORARIOS PROFESIONALES</t>
  </si>
  <si>
    <t>Honorario</t>
  </si>
  <si>
    <t>Total Honorario</t>
  </si>
  <si>
    <t>Comisiones</t>
  </si>
  <si>
    <t>Total
Comisiones</t>
  </si>
  <si>
    <t>GERENTE GENERAL</t>
  </si>
  <si>
    <t>BASTIDAS RUALES</t>
  </si>
  <si>
    <t>DIEGO VICENTE</t>
  </si>
  <si>
    <t>JEFE FINANCIERO</t>
  </si>
  <si>
    <t>GARCIA ANDRADE</t>
  </si>
  <si>
    <t>CARLOS PATRICIO</t>
  </si>
  <si>
    <t>SUBGERENTE DE BANCA PRIVADA</t>
  </si>
  <si>
    <t>PRADO PALMA</t>
  </si>
  <si>
    <t>ANA MARIA</t>
  </si>
  <si>
    <t>DECLARACIONES TRIBUTARIAS</t>
  </si>
  <si>
    <t>PURUNCAJAS CHAVEZ</t>
  </si>
  <si>
    <t>LUIS FERNANDO</t>
  </si>
  <si>
    <t>DEFENSORA DEL CLIENTE</t>
  </si>
  <si>
    <t>DEFENSOR DEL CLIENTE</t>
  </si>
  <si>
    <t>RUEDA JARAMILLO</t>
  </si>
  <si>
    <t>MOREJON</t>
  </si>
  <si>
    <t>GIOVANNY</t>
  </si>
  <si>
    <t>BASTIDAS VACA</t>
  </si>
  <si>
    <t>JOSE DIEGO</t>
  </si>
  <si>
    <t>ASESOR LEGAL INTERNO</t>
  </si>
  <si>
    <t>PALACIOS ABAD</t>
  </si>
  <si>
    <t>XAVIER</t>
  </si>
  <si>
    <t>VERA FRANCO</t>
  </si>
  <si>
    <t>GUILLERMO FORTUNATO</t>
  </si>
  <si>
    <t>GG: GERENCIA GENERAL</t>
  </si>
  <si>
    <t>SUBOTOTALES GUAYAQUIL</t>
  </si>
  <si>
    <t>GN: NEGOCIOS</t>
  </si>
  <si>
    <t>O: OPERACIONES</t>
  </si>
  <si>
    <t>C&amp;R: CARTERA Y RECUPERACION</t>
  </si>
  <si>
    <t>A&amp;RRHH: ADMINISTRATIVO Y RECURSOS HUMANOS</t>
  </si>
  <si>
    <t>Captaciones</t>
  </si>
  <si>
    <t>F: FINANCIERO</t>
  </si>
  <si>
    <t>Cobranzas</t>
  </si>
  <si>
    <t>R: RIESGOS</t>
  </si>
  <si>
    <t>A&amp;C: AUDITORIA Y CONTROL</t>
  </si>
  <si>
    <t>SI: SEGURIDAD DE LA INFORMACIÓN</t>
  </si>
  <si>
    <t>S&amp;T: SISTEMAS Y TECNOLOGÍA</t>
  </si>
  <si>
    <t>TOTAL PERSONAL</t>
  </si>
  <si>
    <t>Colocaciones</t>
  </si>
  <si>
    <t>PROYECCIONES RECUPERACIÓN CARTERA DE CRÉDITOS</t>
  </si>
  <si>
    <t>PROYECCIÓN RECUPERACIÓN CARTERA DE CRÉDITO (CAPITAL)</t>
  </si>
  <si>
    <t>2024-12</t>
  </si>
  <si>
    <t>2025-11</t>
  </si>
  <si>
    <t>2025-12</t>
  </si>
  <si>
    <t>Recuperación</t>
  </si>
  <si>
    <t>CORTE: 31/12/2024</t>
  </si>
  <si>
    <t>SEGMENTO CREDITO</t>
  </si>
  <si>
    <t>Corporativo</t>
  </si>
  <si>
    <t>Empresarial</t>
  </si>
  <si>
    <t>Pymes</t>
  </si>
  <si>
    <t>Acumulación Ampliada</t>
  </si>
  <si>
    <t>Acumulación Simple</t>
  </si>
  <si>
    <t>Minorista</t>
  </si>
  <si>
    <t>Consumo</t>
  </si>
  <si>
    <t>Microcrédito Minorista</t>
  </si>
  <si>
    <t>PROYECCIÓN RECUPERACIÓN CARTERA DE CRÉDITO (INTERESES)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</si>
  <si>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</si>
  <si>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</si>
  <si>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</si>
  <si>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</si>
  <si>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</si>
  <si>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</si>
  <si>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</si>
  <si>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</si>
  <si>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</si>
  <si>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</si>
  <si>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</si>
  <si>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</si>
  <si>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RELACIÓN PORCENTUAL DE LA PROYECCIÓN POR RECUPERACIÓN DE INTERESES - APORTE POR PRODUCTO</t>
  </si>
  <si>
    <t>PROVISIÓN ACUMULADA HISTÓRICA</t>
  </si>
  <si>
    <t>TECNOLOGIA CREDITICIA</t>
  </si>
  <si>
    <t>ANTICICLICA</t>
  </si>
  <si>
    <t>NO REVERSADA POR REQUER NORMATIVO</t>
  </si>
  <si>
    <t>(PROVISIÓN GENERICA VOLUNTARIA)</t>
  </si>
  <si>
    <t>PROVISIÓN ACUMULADA PROYECTADA</t>
  </si>
  <si>
    <t>PROMEDIO</t>
  </si>
  <si>
    <t>INMOBILIARIA</t>
  </si>
  <si>
    <t>GASTO PROVISIÓN PROYECTADA</t>
  </si>
  <si>
    <t>COBERTURA</t>
  </si>
  <si>
    <t>PROYECCIÓN CASTIGOS DE CARTERA DE CRÉDITO</t>
  </si>
  <si>
    <t>SALDOS DE CARTERA BRUTA</t>
  </si>
  <si>
    <t>REESTRUCTUR</t>
  </si>
  <si>
    <t>TOTAL CARTERA BRUTA</t>
  </si>
  <si>
    <t>MESES
PROMEDIO
FINANC</t>
  </si>
  <si>
    <t>DESGLOCE PRESUPUESTARIO COLOCACIÓN MENSUAL</t>
  </si>
  <si>
    <t>COLOCACIÓN CON RECUPER CARTERA REGISTRADA AL 31/10/2025 Y RECUP COLOC Ene-Dic2026</t>
  </si>
  <si>
    <t>COLOCACIÓN CON RECUPERACIÓN CARTERA REGISTRADA AL 31/07/2025</t>
  </si>
  <si>
    <t>RECUPERACIÓN COLOCACIÓN Ene-Dic2025 Y PROYECCIÓN CASTIGOS 2025 (fórmulas)</t>
  </si>
  <si>
    <t>RECUPERACIÓN COLOCACIÓN Ene-Dic2025 Y PROYECCIÓN CASTIGOS 2025 (valores)</t>
  </si>
  <si>
    <t>RECUPERACIÓN COLOCACIÓN Jul-Dic2025 Y PROYECCIÓN CASTIGOS 2025 (fórmulas)</t>
  </si>
  <si>
    <t>MES</t>
  </si>
  <si>
    <t>%
COLOCACIÓN
PRODUCTIVO</t>
  </si>
  <si>
    <t>%
COLOCACIÓN
CONSUMO</t>
  </si>
  <si>
    <t>%
COLOCACIÓN
MICROCREDITO</t>
  </si>
  <si>
    <t>%
COLOCACIÓN
REFIN REESTR</t>
  </si>
  <si>
    <t>MICROCRÉDITO</t>
  </si>
  <si>
    <t>Número
Créditos
consumo
y micro</t>
  </si>
  <si>
    <t>Número
Asesores</t>
  </si>
  <si>
    <t>COLOCACIÓN
PARA VENTA
BI</t>
  </si>
  <si>
    <t>COLOCACIÓN
PARA BANCO</t>
  </si>
  <si>
    <t>PRODUCTIVO
24 meses</t>
  </si>
  <si>
    <t>CONSUMO
60 meses</t>
  </si>
  <si>
    <t>MICROCRED
60 meses</t>
  </si>
  <si>
    <t>REFINANC
60 meses</t>
  </si>
  <si>
    <t>REESTRUCT
60 meses</t>
  </si>
  <si>
    <t>TOTAL
RECUPERA</t>
  </si>
  <si>
    <t>%
RECUP</t>
  </si>
  <si>
    <t>Septiemb</t>
  </si>
  <si>
    <t>Noviemb</t>
  </si>
  <si>
    <t>Diciemb</t>
  </si>
  <si>
    <t>Número de créditos consumo y microcrédito</t>
  </si>
  <si>
    <t>Número de créditos promedio mensual</t>
  </si>
  <si>
    <t>DESGLOCE CRECIMIENTO MENSUAL DE LA CARTERA DURANTE EL 2026</t>
  </si>
  <si>
    <t>SALDO AL 2024-12-31</t>
  </si>
  <si>
    <t>COLOCACION PROYECTADA</t>
  </si>
  <si>
    <t>RECUPERACIÓN PROYECTADA</t>
  </si>
  <si>
    <t>SALDO PROY AL 2025-12-31</t>
  </si>
  <si>
    <t>CRECIMIENTO DE CARTERA</t>
  </si>
  <si>
    <t>Colocación</t>
  </si>
  <si>
    <t>Saldos</t>
  </si>
  <si>
    <t>Crecimiento cartera</t>
  </si>
  <si>
    <t>CALCULO DE LA COLOCACIÓN ANUAL REQUERIDA</t>
  </si>
  <si>
    <t>Promedios</t>
  </si>
  <si>
    <t>SALDO
CARTERA
2025-10-31</t>
  </si>
  <si>
    <t>PARTICIP
2025-10-31</t>
  </si>
  <si>
    <t>RECUPER
PROYECT
CARTERA
CON CORTE
2025-10-31</t>
  </si>
  <si>
    <t>RECUPER
PROYECT
COLOCACION
Ene-Dic2026</t>
  </si>
  <si>
    <t>COLOCACIÓN
ADICIONAL
A LA RECUP
PROYECTADA</t>
  </si>
  <si>
    <t>COLOCACIÓN
REQUERIDA
CON RECUP
CART CORTE
2025-12-31</t>
  </si>
  <si>
    <t>COLOCACIÓN
REQUERIDA
CON RECUP
PROYECTADA</t>
  </si>
  <si>
    <t>CARTERA
ORIGINADA,
VENDIDA Y
ADMINISTRADA
2025</t>
  </si>
  <si>
    <t>SALDO
CARTERA
PROYECTADO
2026-12-31</t>
  </si>
  <si>
    <t>PARTICIP
PROYECT
2026-12-31</t>
  </si>
  <si>
    <t>COMPORTAM
PROYECTADO
CARTERA
2026</t>
  </si>
  <si>
    <t># neg mes</t>
  </si>
  <si>
    <t># neg mes BI</t>
  </si>
  <si>
    <t># neg mes BC</t>
  </si>
  <si>
    <t>MICROCRÈDITO</t>
  </si>
  <si>
    <t>PROYECCIONES COLOCACIÓN CARTERA DE CRÉDITOS</t>
  </si>
  <si>
    <t>COLOCACIÓN TOTAL</t>
  </si>
  <si>
    <t>TOTAL COLOCACIÓN</t>
  </si>
  <si>
    <t>CRECIMIENTO CARTERA DE CRÉDITO</t>
  </si>
  <si>
    <t>TOTAL CRECIMIENTO CARTERA</t>
  </si>
  <si>
    <t>TOTAL SALDO CARTERA</t>
  </si>
  <si>
    <t>PARTICIPACIÓN POR SEGMENTO</t>
  </si>
  <si>
    <t>Productivo</t>
  </si>
  <si>
    <t>Refinanciada</t>
  </si>
  <si>
    <t>Reestructurada</t>
  </si>
  <si>
    <t>Total</t>
  </si>
  <si>
    <t>PROYECCIÓN INTERESES CREDITO PRODUCTIVO</t>
  </si>
  <si>
    <t>CUENTA</t>
  </si>
  <si>
    <t>NOMBRE CUENTA</t>
  </si>
  <si>
    <t>CARTERA BRUTA</t>
  </si>
  <si>
    <t>Cartera bruta</t>
  </si>
  <si>
    <t>MOROSIDAD PROMEDIO*</t>
  </si>
  <si>
    <t>Premisas</t>
  </si>
  <si>
    <t>Cartera riesgo</t>
  </si>
  <si>
    <t>TASA PROMEDIO PONDERADA**</t>
  </si>
  <si>
    <t>Intereses</t>
  </si>
  <si>
    <t>*Morosidad promedio Ene-Jun2024 y proyectada a Dic2024; **Tasa promedio ponderada Ene-Jun2024</t>
  </si>
  <si>
    <t>PROYECCIÓN INTERESES CARTERA CONSUMO</t>
  </si>
  <si>
    <t>PROYECCIÓN INTERESES CARTERA MICROCREDITO</t>
  </si>
  <si>
    <t>PROYECCIÓN INTERESES REFINANCIADA</t>
  </si>
  <si>
    <t>PROYECCIÓN INTERESES REESTRUCTURADA</t>
  </si>
  <si>
    <t>PROYECCIÓN INTERESES GANADOS</t>
  </si>
  <si>
    <t>CARTERA BRUTA PROPIA</t>
  </si>
  <si>
    <t>CARTERA COMPRADA CON DESCTO</t>
  </si>
  <si>
    <t>CARTERA BRUTA - CART COMPRADA CON DESCTO</t>
  </si>
  <si>
    <t>CARTERA EN RIESGO</t>
  </si>
  <si>
    <t>CARTERA POR VENCER</t>
  </si>
  <si>
    <t>CARTERA POR VENCER - CART COMPRADA DESCTO</t>
  </si>
  <si>
    <t>CARTERA POR VENCER PRODUCTIVO</t>
  </si>
  <si>
    <t>CARTERA POR VENCER CONSUMO</t>
  </si>
  <si>
    <t>CARTERA POR VENCER MICROCREDITO</t>
  </si>
  <si>
    <t>CARTERA POR VENCER REFINANCIADA</t>
  </si>
  <si>
    <t>CARTERA POR VENCER REESTRUCTURADA</t>
  </si>
  <si>
    <t>PROYECCION INTER GAN MENSUAL</t>
  </si>
  <si>
    <t>PROYECCION INTER GAN ACUMUL</t>
  </si>
  <si>
    <t>MOROSIDAD PROYECTADA</t>
  </si>
  <si>
    <t>RENDIMIENTO PROYECTADO PRODUCTIVO</t>
  </si>
  <si>
    <t>RENDIMIENTO PROYECTADO CONSUMO</t>
  </si>
  <si>
    <t>RENDIMIENTO PROYECTADO MICROCREDITO</t>
  </si>
  <si>
    <t>RENDIMIENTO PROYECTADO REFINANCIADA</t>
  </si>
  <si>
    <t>RENDIMIENTO PROYECTADO REESTRUCTURADA</t>
  </si>
  <si>
    <t>RENDIMIENTO PROYECTADO CARTERA TOTAL</t>
  </si>
  <si>
    <t>PROYECCIÓN OBLIGACIONES CON EL PÚBLICO</t>
  </si>
  <si>
    <t>SALDO
INICIAL
2023-12-31</t>
  </si>
  <si>
    <t>PARTICIPACION
INICIAL
2023-04-30</t>
  </si>
  <si>
    <t>CRECIMIENTO
PROYECTADO
2023-12-31</t>
  </si>
  <si>
    <t>PARTICIPACION
CRECIMIENTO
PROYECTADO
2023-12-31</t>
  </si>
  <si>
    <t>SALDO
PROYECTADO
2023-12-31</t>
  </si>
  <si>
    <t>PARTICIPACION
SALDO
PROYECTADO
2023-12-31</t>
  </si>
  <si>
    <t>DEPOSITOS A LA VISTA</t>
  </si>
  <si>
    <t>SALDO
INICIAL
2025-10-31</t>
  </si>
  <si>
    <t>PARTICIPACION
INICIAL
2025-10-31</t>
  </si>
  <si>
    <t>CRECIMIENTO
PROYECTADO
2026-12-31</t>
  </si>
  <si>
    <t>PARTICIPACION
CRECIMIENTO
PROYECTADO
2026-12-31</t>
  </si>
  <si>
    <t>SALDO
PROYECTADO
2026-12-31</t>
  </si>
  <si>
    <t>PARTICIPACION
SALDO
PROYECTADO
2025-12-31</t>
  </si>
  <si>
    <t>DESGLOCE PRESUPUESTARIO MENSUAL DE CAPTACIONES</t>
  </si>
  <si>
    <t>DÍAS LABORABLES</t>
  </si>
  <si>
    <t>CRECIMIENTO DEP VISTA</t>
  </si>
  <si>
    <t>SALDO FINAL
DEP VISTA</t>
  </si>
  <si>
    <t>CRECIMIENTO DPF'S</t>
  </si>
  <si>
    <t>SALDO FINAL DPF'S</t>
  </si>
  <si>
    <t>CRECIM DE RESTRINGIDOS</t>
  </si>
  <si>
    <t>SALDO FINAL RESTRINGIDOS</t>
  </si>
  <si>
    <t>OBLIGACIONES
CON EL PUBLICO</t>
  </si>
  <si>
    <t>Fecha
Inicial</t>
  </si>
  <si>
    <t>Fecha
Final</t>
  </si>
  <si>
    <t>CRECIMIENTO CAPTACIONES</t>
  </si>
  <si>
    <t>PROYECCIONES</t>
  </si>
  <si>
    <t>A LA VISTA</t>
  </si>
  <si>
    <t>A PLAZO</t>
  </si>
  <si>
    <t>RESTRINGIDOS</t>
  </si>
  <si>
    <t>TOTAL CAPTACIONES</t>
  </si>
  <si>
    <t>Capital a cancelar</t>
  </si>
  <si>
    <t>Intereses a cancelar</t>
  </si>
  <si>
    <t>CALCULO INTERESES CAPTACIONES Y OBLIGACIONES FINANCIERAS</t>
  </si>
  <si>
    <t>días</t>
  </si>
  <si>
    <t>OFICINAS</t>
  </si>
  <si>
    <t>Tasas Promedio Ponderadas</t>
  </si>
  <si>
    <t>PLAZO FIJO</t>
  </si>
  <si>
    <t>Obligaciones Financieras</t>
  </si>
  <si>
    <t>ESTIMACIÓN DE LA CARTERA CRÉDITO ORIGINADA, VENDIDA Y ADMINISTRADA</t>
  </si>
  <si>
    <t>29/2/2025</t>
  </si>
  <si>
    <t>TOTAL
2024</t>
  </si>
  <si>
    <t>Plazo promedio (meses)</t>
  </si>
  <si>
    <t>Premio estimado</t>
  </si>
  <si>
    <t>Premio acum estimado</t>
  </si>
  <si>
    <t># vehículos mensual</t>
  </si>
  <si>
    <t>PRODUCCION TOTAL</t>
  </si>
  <si>
    <t>PRODUCCION BC</t>
  </si>
  <si>
    <t>COLOCACIÓN PROPIA BC</t>
  </si>
  <si>
    <t>RECUPERACIÓN</t>
  </si>
  <si>
    <t>ENCAJE</t>
  </si>
  <si>
    <t>DOCUMENTOS NEGOCIADOS CON ECUASUEÑA S.A.</t>
  </si>
  <si>
    <t>29/2/2026</t>
  </si>
  <si>
    <t>Saldo cartera</t>
  </si>
  <si>
    <t>Capital a vencer</t>
  </si>
  <si>
    <t>Descuento a devengar</t>
  </si>
  <si>
    <t>Valor a recuperar</t>
  </si>
  <si>
    <t>DIFERIMIENTO PROVISIONES REQUERIDAS</t>
  </si>
  <si>
    <t>Total provisiones requeridas</t>
  </si>
  <si>
    <t>Constitución prov mensual</t>
  </si>
  <si>
    <t>Provis requeridas por constituir</t>
  </si>
  <si>
    <t>Nupero de operacionar</t>
  </si>
  <si>
    <t>MAPA DE COLORES DEL AUDITOR</t>
  </si>
  <si>
    <t>DATOS DE ENTRADA (Inputs)</t>
  </si>
  <si>
    <t>Números ingresados manualmente. Estos son los parámetros que puedes modificar (Saldos iniciales, tasas, etc).</t>
  </si>
  <si>
    <t>DEPENDENCIAS EXTERNAS</t>
  </si>
  <si>
    <t>Fórmulas que toman datos de OTRAS hojas (Ej: =Premisas!A1).</t>
  </si>
  <si>
    <t>FÓRMULAS LOCALES</t>
  </si>
  <si>
    <t>Fórmulas que calculan datos dentro de su misma hoja (Ej: Sumas de columnas, Restas).</t>
  </si>
  <si>
    <t>📊 Análisis inicial – Recuperación y provisiones de cartera</t>
  </si>
  <si>
    <t>Fuente analizada: RecupProv | Proyección mensual 2025</t>
  </si>
  <si>
    <t>Recuperación capital</t>
  </si>
  <si>
    <t>Recuperación intereses</t>
  </si>
  <si>
    <t>Recuperación total</t>
  </si>
  <si>
    <t>Riesgo ene→dic 2025</t>
  </si>
  <si>
    <t>Cobertura ene→dic 2025</t>
  </si>
  <si>
    <t>Castigos proyectados</t>
  </si>
  <si>
    <t>🧠 Hallazgos iniciales</t>
  </si>
  <si>
    <t>La recuperación total proyectada del año supera los $11 MM al sumar capital e intereses.</t>
  </si>
  <si>
    <t>Consumo concentra la mayor parte de la recuperación y también lidera el crecimiento del riesgo.</t>
  </si>
  <si>
    <t>La cartera en riesgo casi se duplica durante 2025, mientras la cobertura pierde solidez.</t>
  </si>
  <si>
    <t>Los castigos aparecen al final del año y octubre es el mes más exigente.</t>
  </si>
  <si>
    <t>La cartera bruta crece con fuerza, impulsada sobre todo por Consumo y Microcrédito.</t>
  </si>
  <si>
    <t>📈 Recuperación mensual total</t>
  </si>
  <si>
    <t>Mes</t>
  </si>
  <si>
    <t>Capital</t>
  </si>
  <si>
    <t>🥇 Mix de recuperación por segmento</t>
  </si>
  <si>
    <t>Segmento</t>
  </si>
  <si>
    <t>Capital total</t>
  </si>
  <si>
    <t>Participación</t>
  </si>
  <si>
    <t>⚠️ Riesgo y cobertura</t>
  </si>
  <si>
    <t>Riesgo cartera</t>
  </si>
  <si>
    <t>Provisión proyectada</t>
  </si>
  <si>
    <t>Cobertura</t>
  </si>
  <si>
    <t>🗓️ Castigos proyectados por mes</t>
  </si>
  <si>
    <t>Castigos</t>
  </si>
  <si>
    <t>📌 Lectura rápida</t>
  </si>
  <si>
    <t>Indicador</t>
  </si>
  <si>
    <t>Valor</t>
  </si>
  <si>
    <t>Mes pico recuperación capital</t>
  </si>
  <si>
    <t>Mes pico recuperación intereses</t>
  </si>
  <si>
    <t>Mes pico castigos</t>
  </si>
  <si>
    <t>Participación Consumo capital</t>
  </si>
  <si>
    <t>Participación Microcrédito capital</t>
  </si>
  <si>
    <t>Cobertura dic-25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</si>
</sst>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.00_);_(* \(#,##0.00\);_(* &quot;-&quot;??_);_(@_)"/>
    <numFmt numFmtId="165" formatCode="0.0%"/>
    <numFmt numFmtId="166" formatCode="&quot;$&quot;#,##0.00"/>
    <numFmt numFmtId="167" formatCode="_(* #,##0_);_(* \(#,##0\);_(* &quot;-&quot;??_);_(@_)"/>
    <numFmt numFmtId="168" formatCode="yyyy\-mm\-dd;@"/>
    <numFmt numFmtId="169" formatCode="#,##0.00_ ;[Red]\-#,##0.00\ "/>
    <numFmt numFmtId="170" formatCode="yyyy\-mm"/>
    <numFmt numFmtId="171" formatCode="#,##0.00%;[Red]\(#,##0.00%\)"/>
    <numFmt numFmtId="172" formatCode="#,##0.00%;[Red]\-#,##0.00%"/>
    <numFmt numFmtId="173" formatCode="#,##0.0%;[Red]\(#,##0.0%\)"/>
    <numFmt numFmtId="174" formatCode="_(&quot;$&quot;\ * #,##0.00_);_(&quot;$&quot;\ * \(#,##0.00\);_(&quot;$&quot;\ * &quot;-&quot;??_);_(@_)"/>
    <numFmt numFmtId="175" formatCode="#,##0_ ;[Red]\-#,##0\ "/>
    <numFmt numFmtId="176" formatCode="_ * #,##0_ ;_ * \-#,##0_ ;_ * &quot;-&quot;??_ ;_ @_ "/>
  </numFmts>
  <fonts count="117" x14ac:knownFonts="1"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6"/>
      <color rgb="FF002060"/>
      <name val="Cambria"/>
      <family val="1"/>
    </font>
    <font>
      <b/>
      <sz val="16"/>
      <color rgb="FFFF0000"/>
      <name val="Calibri"/>
      <family val="2"/>
      <scheme val="minor"/>
    </font>
    <font>
      <b/>
      <sz val="26"/>
      <name val="Cambria"/>
      <family val="1"/>
    </font>
    <font>
      <b/>
      <sz val="20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sz val="20"/>
      <color theme="1"/>
      <name val="Calibri"/>
      <family val="2"/>
      <scheme val="minor"/>
    </font>
    <font>
      <b/>
      <sz val="20"/>
      <color rgb="FF00206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Times New Roman"/>
      <family val="1"/>
    </font>
    <font>
      <b/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6"/>
      <color rgb="FFFF0000"/>
      <name val="Cambria"/>
      <family val="1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b/>
      <sz val="8"/>
      <color theme="8" tint="-0.499984740745262"/>
      <name val="Calibri"/>
      <family val="2"/>
    </font>
    <font>
      <b/>
      <sz val="8"/>
      <color theme="5" tint="-0.249977111117893"/>
      <name val="Calibri"/>
      <family val="2"/>
    </font>
    <font>
      <sz val="8"/>
      <color theme="1"/>
      <name val="Calibri"/>
      <family val="2"/>
    </font>
    <font>
      <sz val="14"/>
      <color theme="1"/>
      <name val="Calibri"/>
      <family val="2"/>
    </font>
    <font>
      <sz val="9"/>
      <color theme="1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8"/>
      <name val="Calibri"/>
      <family val="2"/>
    </font>
    <font>
      <b/>
      <sz val="8"/>
      <color theme="1"/>
      <name val="Calibri"/>
      <family val="2"/>
    </font>
    <font>
      <sz val="11"/>
      <color theme="1"/>
      <name val="Calibri"/>
      <family val="2"/>
    </font>
    <font>
      <b/>
      <sz val="12"/>
      <color theme="5" tint="-0.249977111117893"/>
      <name val="Calibri"/>
      <family val="2"/>
    </font>
    <font>
      <sz val="8"/>
      <name val="Calibri"/>
      <family val="2"/>
    </font>
    <font>
      <sz val="8"/>
      <color rgb="FFFF0000"/>
      <name val="Calibri"/>
      <family val="2"/>
    </font>
    <font>
      <b/>
      <sz val="8"/>
      <color rgb="FF0070C0"/>
      <name val="Calibri"/>
      <family val="2"/>
    </font>
    <font>
      <b/>
      <sz val="8"/>
      <color rgb="FFC00000"/>
      <name val="Calibri"/>
      <family val="2"/>
    </font>
    <font>
      <b/>
      <sz val="8"/>
      <color theme="0"/>
      <name val="Calibri"/>
      <family val="2"/>
    </font>
    <font>
      <b/>
      <sz val="8"/>
      <color rgb="FFFF0000"/>
      <name val="Calibri"/>
      <family val="2"/>
    </font>
    <font>
      <b/>
      <sz val="20"/>
      <color theme="1"/>
      <name val="Calibri"/>
      <family val="2"/>
    </font>
    <font>
      <b/>
      <sz val="14"/>
      <color theme="9" tint="-0.249977111117893"/>
      <name val="Calibri"/>
      <family val="2"/>
    </font>
    <font>
      <sz val="12"/>
      <color theme="1"/>
      <name val="Calibri"/>
      <family val="2"/>
    </font>
    <font>
      <b/>
      <sz val="18"/>
      <color theme="1"/>
      <name val="Calibri"/>
      <family val="2"/>
    </font>
    <font>
      <sz val="14"/>
      <name val="Calibri"/>
      <family val="2"/>
    </font>
    <font>
      <b/>
      <sz val="8"/>
      <color theme="9" tint="-0.499984740745262"/>
      <name val="Calibri"/>
      <family val="2"/>
    </font>
    <font>
      <b/>
      <sz val="18"/>
      <color theme="5" tint="-0.249977111117893"/>
      <name val="Calibri"/>
      <family val="2"/>
      <scheme val="minor"/>
    </font>
    <font>
      <b/>
      <sz val="20"/>
      <color theme="5" tint="-0.249977111117893"/>
      <name val="Calibri"/>
      <family val="2"/>
      <scheme val="minor"/>
    </font>
    <font>
      <b/>
      <sz val="8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10"/>
      <name val="Calibri"/>
      <family val="2"/>
    </font>
    <font>
      <b/>
      <sz val="12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0"/>
      <color indexed="62"/>
      <name val="Times New Roman"/>
      <family val="1"/>
    </font>
    <font>
      <b/>
      <sz val="12"/>
      <color theme="9" tint="-0.249977111117893"/>
      <name val="Calibri"/>
      <family val="2"/>
      <scheme val="minor"/>
    </font>
    <font>
      <b/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theme="8" tint="-0.499984740745262"/>
      <name val="Calibri"/>
      <family val="2"/>
      <scheme val="minor"/>
    </font>
    <font>
      <b/>
      <sz val="9"/>
      <color theme="5" tint="-0.249977111117893"/>
      <name val="Calibri"/>
      <family val="2"/>
      <scheme val="minor"/>
    </font>
    <font>
      <b/>
      <sz val="24"/>
      <color rgb="FFFF0000"/>
      <name val="Cambria"/>
      <family val="1"/>
    </font>
    <font>
      <b/>
      <sz val="20"/>
      <name val="Calibri"/>
      <family val="2"/>
    </font>
    <font>
      <b/>
      <sz val="16"/>
      <name val="Calibri"/>
      <family val="2"/>
      <scheme val="minor"/>
    </font>
    <font>
      <b/>
      <sz val="9"/>
      <color theme="9" tint="-0.249977111117893"/>
      <name val="Calibri"/>
      <family val="2"/>
      <scheme val="minor"/>
    </font>
    <font>
      <sz val="9"/>
      <color theme="9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Times New Roman"/>
      <family val="1"/>
    </font>
    <font>
      <b/>
      <sz val="11"/>
      <color theme="9" tint="-0.249977111117893"/>
      <name val="Calibri"/>
      <family val="2"/>
      <scheme val="minor"/>
    </font>
    <font>
      <b/>
      <sz val="11"/>
      <name val="Calibri"/>
      <family val="2"/>
      <scheme val="minor"/>
    </font>
    <font>
      <b/>
      <sz val="24"/>
      <color rgb="FFFF0000"/>
      <name val="Times New Roman"/>
      <family val="1"/>
    </font>
    <font>
      <b/>
      <sz val="18"/>
      <color theme="9" tint="-0.249977111117893"/>
      <name val="Calibri"/>
      <family val="2"/>
      <scheme val="minor"/>
    </font>
    <font>
      <b/>
      <sz val="10"/>
      <name val="Times New Roman"/>
      <family val="1"/>
    </font>
    <font>
      <b/>
      <sz val="12"/>
      <name val="Times New Roman"/>
      <family val="1"/>
    </font>
    <font>
      <b/>
      <u/>
      <sz val="16"/>
      <color theme="9" tint="-0.249977111117893"/>
      <name val="Calibri"/>
      <family val="2"/>
      <scheme val="minor"/>
    </font>
    <font>
      <b/>
      <sz val="9"/>
      <color indexed="62"/>
      <name val="Calibri"/>
      <family val="2"/>
      <scheme val="minor"/>
    </font>
    <font>
      <b/>
      <sz val="26"/>
      <color rgb="FFFF0000"/>
      <name val="Times New Roman"/>
      <family val="1"/>
    </font>
    <font>
      <b/>
      <sz val="8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sz val="9"/>
      <color theme="9" tint="-0.499984740745262"/>
      <name val="Calibri"/>
      <family val="2"/>
      <scheme val="minor"/>
    </font>
    <font>
      <b/>
      <sz val="18"/>
      <name val="Cambria"/>
      <family val="1"/>
    </font>
    <font>
      <b/>
      <sz val="9"/>
      <color theme="1"/>
      <name val="Calibri"/>
      <family val="2"/>
    </font>
    <font>
      <b/>
      <sz val="9"/>
      <color theme="9" tint="-0.249977111117893"/>
      <name val="Calibri"/>
      <family val="2"/>
    </font>
    <font>
      <b/>
      <sz val="14"/>
      <color theme="9" tint="-0.499984740745262"/>
      <name val="Cambria"/>
      <family val="1"/>
    </font>
    <font>
      <b/>
      <sz val="10"/>
      <color theme="0"/>
      <name val="Times New Roman"/>
      <family val="1"/>
    </font>
    <font>
      <b/>
      <sz val="20"/>
      <name val="Cambria"/>
      <family val="1"/>
    </font>
    <font>
      <b/>
      <sz val="16"/>
      <name val="Cambria"/>
      <family val="1"/>
    </font>
    <font>
      <sz val="10"/>
      <color theme="1"/>
      <name val="Times New Roman"/>
      <family val="1"/>
    </font>
    <font>
      <b/>
      <sz val="16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CCE5FF"/>
      </patternFill>
    </fill>
    <fill>
      <patternFill patternType="solid">
        <fgColor rgb="FFCCFF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gray0625"/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darkDown">
        <bgColor theme="0" tint="-4.9989318521683403E-2"/>
      </patternFill>
    </fill>
    <fill>
      <patternFill patternType="solid">
        <fgColor theme="9" tint="0.79998168889431442"/>
        <bgColor indexed="64"/>
      </patternFill>
    </fill>
    <fill>
      <patternFill patternType="lightGray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8FBFF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4472C4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105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40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40" fontId="3" fillId="0" borderId="1" xfId="0" applyNumberFormat="1" applyFont="1" applyBorder="1" applyAlignment="1" applyProtection="1">
      <alignment horizontal="left" vertical="center"/>
      <protection hidden="1"/>
    </xf>
    <xf numFmtId="0" fontId="6" fillId="0" borderId="0" xfId="0" applyFont="1" applyAlignment="1">
      <alignment vertical="center"/>
    </xf>
    <xf numFmtId="0" fontId="7" fillId="2" borderId="6" xfId="0" applyFont="1" applyFill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0" fontId="6" fillId="0" borderId="7" xfId="0" applyNumberFormat="1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8" fillId="0" borderId="8" xfId="0" applyFont="1" applyBorder="1" applyAlignment="1">
      <alignment horizontal="center" vertical="center"/>
    </xf>
    <xf numFmtId="0" fontId="9" fillId="1" borderId="6" xfId="0" applyFont="1" applyFill="1" applyBorder="1" applyAlignment="1">
      <alignment vertical="center"/>
    </xf>
    <xf numFmtId="0" fontId="9" fillId="1" borderId="7" xfId="0" applyFont="1" applyFill="1" applyBorder="1" applyAlignment="1">
      <alignment horizontal="center" vertical="center"/>
    </xf>
    <xf numFmtId="40" fontId="9" fillId="1" borderId="7" xfId="0" applyNumberFormat="1" applyFont="1" applyFill="1" applyBorder="1" applyAlignment="1">
      <alignment vertical="center"/>
    </xf>
    <xf numFmtId="0" fontId="9" fillId="1" borderId="7" xfId="0" applyFont="1" applyFill="1" applyBorder="1" applyAlignment="1">
      <alignment vertical="center"/>
    </xf>
    <xf numFmtId="40" fontId="9" fillId="1" borderId="7" xfId="0" applyNumberFormat="1" applyFont="1" applyFill="1" applyBorder="1" applyAlignment="1">
      <alignment horizontal="right" vertical="center"/>
    </xf>
    <xf numFmtId="165" fontId="9" fillId="1" borderId="8" xfId="0" applyNumberFormat="1" applyFont="1" applyFill="1" applyBorder="1" applyAlignment="1">
      <alignment vertical="center"/>
    </xf>
    <xf numFmtId="0" fontId="10" fillId="0" borderId="6" xfId="0" applyFont="1" applyBorder="1" applyAlignment="1">
      <alignment vertical="center"/>
    </xf>
    <xf numFmtId="166" fontId="9" fillId="3" borderId="7" xfId="0" applyNumberFormat="1" applyFont="1" applyFill="1" applyBorder="1" applyAlignment="1">
      <alignment horizontal="center" vertical="center"/>
    </xf>
    <xf numFmtId="40" fontId="9" fillId="4" borderId="7" xfId="0" applyNumberFormat="1" applyFont="1" applyFill="1" applyBorder="1" applyAlignment="1">
      <alignment horizontal="right" vertical="center"/>
    </xf>
    <xf numFmtId="40" fontId="9" fillId="5" borderId="7" xfId="0" applyNumberFormat="1" applyFont="1" applyFill="1" applyBorder="1" applyAlignment="1">
      <alignment horizontal="right" vertical="center"/>
    </xf>
    <xf numFmtId="165" fontId="9" fillId="0" borderId="8" xfId="0" applyNumberFormat="1" applyFont="1" applyBorder="1" applyAlignment="1">
      <alignment vertical="center"/>
    </xf>
    <xf numFmtId="0" fontId="10" fillId="0" borderId="6" xfId="0" applyFont="1" applyBorder="1" applyAlignment="1">
      <alignment horizontal="right" vertical="center" indent="1"/>
    </xf>
    <xf numFmtId="40" fontId="9" fillId="0" borderId="7" xfId="0" applyNumberFormat="1" applyFont="1" applyBorder="1" applyAlignment="1">
      <alignment horizontal="right" vertical="center"/>
    </xf>
    <xf numFmtId="167" fontId="9" fillId="4" borderId="8" xfId="0" applyNumberFormat="1" applyFont="1" applyFill="1" applyBorder="1" applyAlignment="1">
      <alignment vertical="center"/>
    </xf>
    <xf numFmtId="40" fontId="9" fillId="0" borderId="7" xfId="0" applyNumberFormat="1" applyFont="1" applyBorder="1" applyAlignment="1">
      <alignment vertical="center"/>
    </xf>
    <xf numFmtId="40" fontId="9" fillId="4" borderId="7" xfId="0" applyNumberFormat="1" applyFont="1" applyFill="1" applyBorder="1" applyAlignment="1">
      <alignment vertical="center"/>
    </xf>
    <xf numFmtId="0" fontId="9" fillId="4" borderId="6" xfId="0" applyFont="1" applyFill="1" applyBorder="1" applyAlignment="1">
      <alignment horizontal="right" vertical="center" indent="1"/>
    </xf>
    <xf numFmtId="38" fontId="9" fillId="4" borderId="7" xfId="0" applyNumberFormat="1" applyFont="1" applyFill="1" applyBorder="1" applyAlignment="1">
      <alignment vertical="center"/>
    </xf>
    <xf numFmtId="0" fontId="9" fillId="0" borderId="9" xfId="0" applyFont="1" applyBorder="1" applyAlignment="1">
      <alignment horizontal="center" vertical="center"/>
    </xf>
    <xf numFmtId="38" fontId="9" fillId="4" borderId="9" xfId="0" applyNumberFormat="1" applyFont="1" applyFill="1" applyBorder="1" applyAlignment="1">
      <alignment vertical="center"/>
    </xf>
    <xf numFmtId="40" fontId="9" fillId="0" borderId="10" xfId="0" applyNumberFormat="1" applyFont="1" applyBorder="1" applyAlignment="1">
      <alignment horizontal="right" vertical="center"/>
    </xf>
    <xf numFmtId="165" fontId="9" fillId="0" borderId="11" xfId="0" applyNumberFormat="1" applyFont="1" applyBorder="1" applyAlignment="1">
      <alignment vertical="center"/>
    </xf>
    <xf numFmtId="166" fontId="9" fillId="3" borderId="7" xfId="0" applyNumberFormat="1" applyFont="1" applyFill="1" applyBorder="1" applyAlignment="1">
      <alignment vertical="center"/>
    </xf>
    <xf numFmtId="9" fontId="9" fillId="0" borderId="8" xfId="0" applyNumberFormat="1" applyFont="1" applyBorder="1" applyAlignment="1">
      <alignment vertical="center"/>
    </xf>
    <xf numFmtId="9" fontId="9" fillId="0" borderId="8" xfId="0" applyNumberFormat="1" applyFont="1" applyBorder="1" applyAlignment="1">
      <alignment horizontal="center" vertical="center"/>
    </xf>
    <xf numFmtId="164" fontId="9" fillId="4" borderId="7" xfId="0" applyNumberFormat="1" applyFont="1" applyFill="1" applyBorder="1" applyAlignment="1">
      <alignment vertical="center"/>
    </xf>
    <xf numFmtId="0" fontId="12" fillId="0" borderId="6" xfId="0" applyFont="1" applyBorder="1" applyAlignment="1">
      <alignment horizontal="justify" vertical="center"/>
    </xf>
    <xf numFmtId="164" fontId="9" fillId="5" borderId="7" xfId="0" applyNumberFormat="1" applyFont="1" applyFill="1" applyBorder="1" applyAlignment="1">
      <alignment vertical="center"/>
    </xf>
    <xf numFmtId="166" fontId="9" fillId="3" borderId="0" xfId="0" applyNumberFormat="1" applyFont="1" applyFill="1" applyAlignment="1">
      <alignment vertical="center"/>
    </xf>
    <xf numFmtId="166" fontId="13" fillId="3" borderId="7" xfId="0" applyNumberFormat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/>
    </xf>
    <xf numFmtId="164" fontId="9" fillId="0" borderId="0" xfId="0" applyNumberFormat="1" applyFont="1" applyAlignment="1">
      <alignment vertical="center"/>
    </xf>
    <xf numFmtId="9" fontId="9" fillId="0" borderId="12" xfId="0" applyNumberFormat="1" applyFont="1" applyBorder="1" applyAlignment="1">
      <alignment horizontal="center" vertical="center"/>
    </xf>
    <xf numFmtId="40" fontId="9" fillId="0" borderId="0" xfId="0" applyNumberFormat="1" applyFont="1" applyAlignment="1">
      <alignment vertical="center"/>
    </xf>
    <xf numFmtId="40" fontId="13" fillId="0" borderId="12" xfId="0" applyNumberFormat="1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2" xfId="0" applyBorder="1" applyAlignment="1">
      <alignment vertical="center"/>
    </xf>
    <xf numFmtId="166" fontId="11" fillId="3" borderId="7" xfId="0" applyNumberFormat="1" applyFont="1" applyFill="1" applyBorder="1" applyAlignment="1">
      <alignment horizontal="center" vertical="center"/>
    </xf>
    <xf numFmtId="10" fontId="14" fillId="3" borderId="9" xfId="0" applyNumberFormat="1" applyFont="1" applyFill="1" applyBorder="1" applyAlignment="1">
      <alignment vertical="center"/>
    </xf>
    <xf numFmtId="0" fontId="11" fillId="0" borderId="9" xfId="0" applyFont="1" applyBorder="1" applyAlignment="1">
      <alignment horizontal="left" vertical="center" indent="1"/>
    </xf>
    <xf numFmtId="0" fontId="0" fillId="0" borderId="14" xfId="0" applyBorder="1" applyAlignment="1">
      <alignment vertical="center"/>
    </xf>
    <xf numFmtId="10" fontId="14" fillId="5" borderId="9" xfId="0" applyNumberFormat="1" applyFont="1" applyFill="1" applyBorder="1" applyAlignment="1">
      <alignment vertical="center"/>
    </xf>
    <xf numFmtId="0" fontId="11" fillId="4" borderId="9" xfId="0" applyFont="1" applyFill="1" applyBorder="1" applyAlignment="1">
      <alignment horizontal="left" vertical="center" indent="1"/>
    </xf>
    <xf numFmtId="17" fontId="11" fillId="6" borderId="7" xfId="0" applyNumberFormat="1" applyFont="1" applyFill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10" fontId="14" fillId="4" borderId="9" xfId="0" applyNumberFormat="1" applyFont="1" applyFill="1" applyBorder="1" applyAlignment="1">
      <alignment vertical="center"/>
    </xf>
    <xf numFmtId="0" fontId="13" fillId="0" borderId="13" xfId="0" applyFont="1" applyBorder="1" applyAlignment="1">
      <alignment horizontal="justify" vertical="center"/>
    </xf>
    <xf numFmtId="0" fontId="16" fillId="0" borderId="7" xfId="0" applyFont="1" applyBorder="1" applyAlignment="1">
      <alignment horizontal="justify" vertical="center" wrapText="1"/>
    </xf>
    <xf numFmtId="0" fontId="15" fillId="0" borderId="0" xfId="0" applyFont="1" applyAlignment="1">
      <alignment horizontal="center" vertical="center" wrapText="1"/>
    </xf>
    <xf numFmtId="0" fontId="17" fillId="0" borderId="9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15" fontId="18" fillId="0" borderId="7" xfId="0" applyNumberFormat="1" applyFont="1" applyBorder="1" applyAlignment="1" applyProtection="1">
      <alignment horizontal="center" vertical="center" wrapText="1"/>
      <protection hidden="1"/>
    </xf>
    <xf numFmtId="0" fontId="16" fillId="0" borderId="7" xfId="0" applyFont="1" applyBorder="1" applyAlignment="1">
      <alignment horizontal="justify" vertical="center"/>
    </xf>
    <xf numFmtId="167" fontId="11" fillId="3" borderId="14" xfId="0" applyNumberFormat="1" applyFont="1" applyFill="1" applyBorder="1" applyAlignment="1">
      <alignment horizontal="right" vertical="center"/>
    </xf>
    <xf numFmtId="10" fontId="14" fillId="0" borderId="0" xfId="0" applyNumberFormat="1" applyFont="1" applyAlignment="1">
      <alignment vertical="center"/>
    </xf>
    <xf numFmtId="167" fontId="11" fillId="4" borderId="7" xfId="0" applyNumberFormat="1" applyFont="1" applyFill="1" applyBorder="1" applyAlignment="1">
      <alignment horizontal="center" vertical="center"/>
    </xf>
    <xf numFmtId="167" fontId="11" fillId="4" borderId="7" xfId="0" applyNumberFormat="1" applyFont="1" applyFill="1" applyBorder="1" applyAlignment="1">
      <alignment horizontal="right" vertical="center"/>
    </xf>
    <xf numFmtId="166" fontId="11" fillId="3" borderId="14" xfId="0" applyNumberFormat="1" applyFont="1" applyFill="1" applyBorder="1" applyAlignment="1">
      <alignment horizontal="center" vertical="center"/>
    </xf>
    <xf numFmtId="164" fontId="11" fillId="4" borderId="7" xfId="0" applyNumberFormat="1" applyFont="1" applyFill="1" applyBorder="1" applyAlignment="1">
      <alignment horizontal="center" vertical="center"/>
    </xf>
    <xf numFmtId="0" fontId="16" fillId="0" borderId="7" xfId="0" applyFont="1" applyBorder="1" applyAlignment="1">
      <alignment horizontal="right" vertical="center" indent="1"/>
    </xf>
    <xf numFmtId="164" fontId="19" fillId="4" borderId="7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64" fontId="19" fillId="5" borderId="7" xfId="0" applyNumberFormat="1" applyFont="1" applyFill="1" applyBorder="1" applyAlignment="1">
      <alignment horizontal="center" vertical="center"/>
    </xf>
    <xf numFmtId="167" fontId="19" fillId="4" borderId="7" xfId="0" applyNumberFormat="1" applyFont="1" applyFill="1" applyBorder="1" applyAlignment="1">
      <alignment horizontal="center" vertical="center"/>
    </xf>
    <xf numFmtId="43" fontId="19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"/>
    </xf>
    <xf numFmtId="0" fontId="20" fillId="5" borderId="7" xfId="0" applyFont="1" applyFill="1" applyBorder="1" applyAlignment="1">
      <alignment horizontal="justify" vertical="center"/>
    </xf>
    <xf numFmtId="0" fontId="11" fillId="3" borderId="14" xfId="0" applyFont="1" applyFill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/>
    </xf>
    <xf numFmtId="0" fontId="11" fillId="4" borderId="15" xfId="0" applyFont="1" applyFill="1" applyBorder="1" applyAlignment="1">
      <alignment horizontal="center" vertical="center"/>
    </xf>
    <xf numFmtId="0" fontId="9" fillId="1" borderId="16" xfId="0" applyFont="1" applyFill="1" applyBorder="1" applyAlignment="1">
      <alignment vertical="center"/>
    </xf>
    <xf numFmtId="0" fontId="9" fillId="1" borderId="17" xfId="0" applyFont="1" applyFill="1" applyBorder="1" applyAlignment="1">
      <alignment horizontal="center" vertical="center"/>
    </xf>
    <xf numFmtId="0" fontId="9" fillId="1" borderId="18" xfId="0" applyFont="1" applyFill="1" applyBorder="1" applyAlignment="1">
      <alignment horizontal="center" vertical="center"/>
    </xf>
    <xf numFmtId="40" fontId="9" fillId="1" borderId="18" xfId="0" applyNumberFormat="1" applyFont="1" applyFill="1" applyBorder="1" applyAlignment="1">
      <alignment vertical="center"/>
    </xf>
    <xf numFmtId="0" fontId="9" fillId="1" borderId="18" xfId="0" applyFont="1" applyFill="1" applyBorder="1" applyAlignment="1">
      <alignment vertical="center"/>
    </xf>
    <xf numFmtId="40" fontId="9" fillId="1" borderId="18" xfId="0" applyNumberFormat="1" applyFont="1" applyFill="1" applyBorder="1" applyAlignment="1">
      <alignment horizontal="right" vertical="center"/>
    </xf>
    <xf numFmtId="165" fontId="9" fillId="1" borderId="19" xfId="0" applyNumberFormat="1" applyFont="1" applyFill="1" applyBorder="1" applyAlignment="1">
      <alignment vertical="center"/>
    </xf>
    <xf numFmtId="164" fontId="11" fillId="0" borderId="14" xfId="0" applyNumberFormat="1" applyFont="1" applyBorder="1" applyAlignment="1">
      <alignment horizontal="center" vertical="center"/>
    </xf>
    <xf numFmtId="164" fontId="11" fillId="5" borderId="7" xfId="0" applyNumberFormat="1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164" fontId="11" fillId="0" borderId="7" xfId="0" applyNumberFormat="1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40" fontId="22" fillId="5" borderId="0" xfId="0" applyNumberFormat="1" applyFont="1" applyFill="1" applyAlignment="1" applyProtection="1">
      <alignment horizontal="left" vertical="center"/>
      <protection hidden="1"/>
    </xf>
    <xf numFmtId="0" fontId="17" fillId="0" borderId="0" xfId="0" applyFont="1" applyAlignment="1">
      <alignment vertical="center"/>
    </xf>
    <xf numFmtId="0" fontId="23" fillId="0" borderId="20" xfId="0" applyFont="1" applyBorder="1" applyAlignment="1">
      <alignment vertical="center"/>
    </xf>
    <xf numFmtId="0" fontId="23" fillId="0" borderId="2" xfId="0" applyFont="1" applyBorder="1" applyAlignment="1">
      <alignment vertical="center"/>
    </xf>
    <xf numFmtId="0" fontId="23" fillId="0" borderId="21" xfId="0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6" fillId="0" borderId="7" xfId="0" applyFont="1" applyBorder="1" applyAlignment="1">
      <alignment horizontal="center" vertical="center" wrapText="1"/>
    </xf>
    <xf numFmtId="14" fontId="27" fillId="6" borderId="22" xfId="0" applyNumberFormat="1" applyFont="1" applyFill="1" applyBorder="1" applyAlignment="1">
      <alignment horizontal="center" vertical="center" wrapText="1" readingOrder="1"/>
    </xf>
    <xf numFmtId="14" fontId="27" fillId="0" borderId="22" xfId="0" applyNumberFormat="1" applyFont="1" applyBorder="1" applyAlignment="1">
      <alignment horizontal="center" vertical="center" wrapText="1" readingOrder="1"/>
    </xf>
    <xf numFmtId="168" fontId="28" fillId="7" borderId="7" xfId="0" applyNumberFormat="1" applyFont="1" applyFill="1" applyBorder="1" applyAlignment="1">
      <alignment horizontal="center" vertical="center" wrapText="1"/>
    </xf>
    <xf numFmtId="168" fontId="28" fillId="7" borderId="0" xfId="0" applyNumberFormat="1" applyFont="1" applyFill="1" applyAlignment="1">
      <alignment horizontal="center" vertical="center" wrapText="1"/>
    </xf>
    <xf numFmtId="0" fontId="25" fillId="0" borderId="0" xfId="0" applyFont="1" applyAlignment="1">
      <alignment vertical="center"/>
    </xf>
    <xf numFmtId="49" fontId="26" fillId="3" borderId="7" xfId="0" applyNumberFormat="1" applyFont="1" applyFill="1" applyBorder="1" applyAlignment="1">
      <alignment horizontal="left" vertical="center" wrapText="1"/>
    </xf>
    <xf numFmtId="0" fontId="26" fillId="0" borderId="7" xfId="0" applyFont="1" applyBorder="1" applyAlignment="1">
      <alignment vertical="center" wrapText="1"/>
    </xf>
    <xf numFmtId="40" fontId="27" fillId="3" borderId="22" xfId="0" applyNumberFormat="1" applyFont="1" applyFill="1" applyBorder="1" applyAlignment="1">
      <alignment horizontal="right" vertical="center" wrapText="1" readingOrder="1"/>
    </xf>
    <xf numFmtId="40" fontId="28" fillId="3" borderId="7" xfId="0" applyNumberFormat="1" applyFont="1" applyFill="1" applyBorder="1" applyAlignment="1">
      <alignment horizontal="right" vertical="center" wrapText="1"/>
    </xf>
    <xf numFmtId="40" fontId="28" fillId="5" borderId="7" xfId="0" applyNumberFormat="1" applyFont="1" applyFill="1" applyBorder="1" applyAlignment="1">
      <alignment horizontal="right" vertical="center" wrapText="1"/>
    </xf>
    <xf numFmtId="40" fontId="28" fillId="0" borderId="0" xfId="0" applyNumberFormat="1" applyFont="1" applyAlignment="1">
      <alignment horizontal="right" vertical="center" wrapText="1"/>
    </xf>
    <xf numFmtId="0" fontId="25" fillId="3" borderId="0" xfId="0" applyFont="1" applyFill="1" applyAlignment="1">
      <alignment vertical="center"/>
    </xf>
    <xf numFmtId="49" fontId="29" fillId="3" borderId="7" xfId="0" applyNumberFormat="1" applyFont="1" applyFill="1" applyBorder="1" applyAlignment="1">
      <alignment horizontal="left" vertical="center" wrapText="1"/>
    </xf>
    <xf numFmtId="0" fontId="29" fillId="0" borderId="7" xfId="0" applyFont="1" applyBorder="1" applyAlignment="1">
      <alignment vertical="center" wrapText="1"/>
    </xf>
    <xf numFmtId="40" fontId="30" fillId="3" borderId="22" xfId="0" applyNumberFormat="1" applyFont="1" applyFill="1" applyBorder="1" applyAlignment="1">
      <alignment horizontal="right" vertical="center" wrapText="1" readingOrder="1"/>
    </xf>
    <xf numFmtId="40" fontId="31" fillId="3" borderId="7" xfId="0" applyNumberFormat="1" applyFont="1" applyFill="1" applyBorder="1" applyAlignment="1">
      <alignment horizontal="right" vertical="center" wrapText="1"/>
    </xf>
    <xf numFmtId="40" fontId="31" fillId="5" borderId="7" xfId="0" applyNumberFormat="1" applyFont="1" applyFill="1" applyBorder="1" applyAlignment="1">
      <alignment horizontal="right" vertical="center" wrapText="1"/>
    </xf>
    <xf numFmtId="40" fontId="31" fillId="0" borderId="0" xfId="0" applyNumberFormat="1" applyFont="1" applyAlignment="1">
      <alignment horizontal="right" vertical="center" wrapText="1"/>
    </xf>
    <xf numFmtId="0" fontId="21" fillId="3" borderId="0" xfId="0" applyFont="1" applyFill="1" applyAlignment="1">
      <alignment vertical="center"/>
    </xf>
    <xf numFmtId="40" fontId="30" fillId="0" borderId="22" xfId="0" applyNumberFormat="1" applyFont="1" applyBorder="1" applyAlignment="1">
      <alignment horizontal="right" vertical="center" wrapText="1" readingOrder="1"/>
    </xf>
    <xf numFmtId="40" fontId="31" fillId="0" borderId="7" xfId="0" applyNumberFormat="1" applyFont="1" applyBorder="1" applyAlignment="1">
      <alignment horizontal="right" vertical="center" wrapText="1"/>
    </xf>
    <xf numFmtId="49" fontId="29" fillId="0" borderId="7" xfId="0" applyNumberFormat="1" applyFont="1" applyBorder="1" applyAlignment="1">
      <alignment horizontal="left" vertical="center" wrapText="1"/>
    </xf>
    <xf numFmtId="49" fontId="26" fillId="0" borderId="7" xfId="0" applyNumberFormat="1" applyFont="1" applyBorder="1" applyAlignment="1">
      <alignment horizontal="left" vertical="center" wrapText="1"/>
    </xf>
    <xf numFmtId="40" fontId="32" fillId="4" borderId="22" xfId="0" applyNumberFormat="1" applyFont="1" applyFill="1" applyBorder="1" applyAlignment="1">
      <alignment vertical="center" wrapText="1" readingOrder="1"/>
    </xf>
    <xf numFmtId="40" fontId="32" fillId="0" borderId="0" xfId="0" applyNumberFormat="1" applyFont="1" applyAlignment="1">
      <alignment vertical="center" wrapText="1" readingOrder="1"/>
    </xf>
    <xf numFmtId="40" fontId="33" fillId="4" borderId="22" xfId="0" applyNumberFormat="1" applyFont="1" applyFill="1" applyBorder="1" applyAlignment="1">
      <alignment vertical="center" wrapText="1" readingOrder="1"/>
    </xf>
    <xf numFmtId="40" fontId="33" fillId="0" borderId="0" xfId="0" applyNumberFormat="1" applyFont="1" applyAlignment="1">
      <alignment vertical="center" wrapText="1" readingOrder="1"/>
    </xf>
    <xf numFmtId="40" fontId="33" fillId="0" borderId="22" xfId="0" applyNumberFormat="1" applyFont="1" applyBorder="1" applyAlignment="1">
      <alignment vertical="center" wrapText="1" readingOrder="1"/>
    </xf>
    <xf numFmtId="40" fontId="34" fillId="4" borderId="22" xfId="0" applyNumberFormat="1" applyFont="1" applyFill="1" applyBorder="1" applyAlignment="1">
      <alignment vertical="center" wrapText="1" readingOrder="1"/>
    </xf>
    <xf numFmtId="40" fontId="34" fillId="0" borderId="0" xfId="0" applyNumberFormat="1" applyFont="1" applyAlignment="1">
      <alignment vertical="center" wrapText="1" readingOrder="1"/>
    </xf>
    <xf numFmtId="40" fontId="35" fillId="4" borderId="22" xfId="0" applyNumberFormat="1" applyFont="1" applyFill="1" applyBorder="1" applyAlignment="1">
      <alignment vertical="center" wrapText="1" readingOrder="1"/>
    </xf>
    <xf numFmtId="40" fontId="35" fillId="0" borderId="0" xfId="0" applyNumberFormat="1" applyFont="1" applyAlignment="1">
      <alignment vertical="center" wrapText="1" readingOrder="1"/>
    </xf>
    <xf numFmtId="40" fontId="27" fillId="0" borderId="22" xfId="0" applyNumberFormat="1" applyFont="1" applyBorder="1" applyAlignment="1">
      <alignment horizontal="right" vertical="center" wrapText="1" readingOrder="1"/>
    </xf>
    <xf numFmtId="49" fontId="21" fillId="3" borderId="7" xfId="0" applyNumberFormat="1" applyFont="1" applyFill="1" applyBorder="1" applyAlignment="1">
      <alignment horizontal="left" vertical="center"/>
    </xf>
    <xf numFmtId="43" fontId="21" fillId="3" borderId="0" xfId="0" applyNumberFormat="1" applyFont="1" applyFill="1" applyAlignment="1">
      <alignment vertical="center"/>
    </xf>
    <xf numFmtId="43" fontId="21" fillId="0" borderId="0" xfId="0" applyNumberFormat="1" applyFont="1" applyAlignment="1">
      <alignment vertical="center"/>
    </xf>
    <xf numFmtId="0" fontId="21" fillId="0" borderId="7" xfId="0" applyFont="1" applyBorder="1" applyAlignment="1">
      <alignment vertical="center"/>
    </xf>
    <xf numFmtId="0" fontId="21" fillId="3" borderId="0" xfId="0" applyFont="1" applyFill="1" applyAlignment="1">
      <alignment horizontal="left" vertical="center"/>
    </xf>
    <xf numFmtId="0" fontId="29" fillId="8" borderId="7" xfId="0" applyFont="1" applyFill="1" applyBorder="1" applyAlignment="1">
      <alignment vertical="center" wrapText="1"/>
    </xf>
    <xf numFmtId="49" fontId="29" fillId="3" borderId="0" xfId="0" applyNumberFormat="1" applyFont="1" applyFill="1" applyAlignment="1">
      <alignment horizontal="left" vertical="center" wrapText="1"/>
    </xf>
    <xf numFmtId="0" fontId="29" fillId="0" borderId="0" xfId="0" applyFont="1" applyAlignment="1">
      <alignment vertical="center" wrapText="1"/>
    </xf>
    <xf numFmtId="0" fontId="25" fillId="3" borderId="0" xfId="0" applyFont="1" applyFill="1" applyAlignment="1">
      <alignment horizontal="left" vertical="center"/>
    </xf>
    <xf numFmtId="40" fontId="28" fillId="0" borderId="7" xfId="0" applyNumberFormat="1" applyFont="1" applyBorder="1" applyAlignment="1">
      <alignment horizontal="right" vertical="center" wrapText="1"/>
    </xf>
    <xf numFmtId="0" fontId="29" fillId="0" borderId="7" xfId="0" applyFont="1" applyBorder="1" applyAlignment="1">
      <alignment horizontal="left" vertical="center" wrapText="1"/>
    </xf>
    <xf numFmtId="49" fontId="30" fillId="3" borderId="7" xfId="0" applyNumberFormat="1" applyFont="1" applyFill="1" applyBorder="1" applyAlignment="1">
      <alignment vertical="center" wrapText="1"/>
    </xf>
    <xf numFmtId="40" fontId="30" fillId="0" borderId="7" xfId="0" applyNumberFormat="1" applyFont="1" applyBorder="1" applyAlignment="1">
      <alignment vertical="center" wrapText="1"/>
    </xf>
    <xf numFmtId="40" fontId="21" fillId="0" borderId="0" xfId="0" applyNumberFormat="1" applyFont="1" applyAlignment="1">
      <alignment vertical="center" readingOrder="1"/>
    </xf>
    <xf numFmtId="40" fontId="21" fillId="3" borderId="0" xfId="0" applyNumberFormat="1" applyFont="1" applyFill="1" applyAlignment="1">
      <alignment vertical="center" readingOrder="1"/>
    </xf>
    <xf numFmtId="169" fontId="21" fillId="3" borderId="0" xfId="0" applyNumberFormat="1" applyFont="1" applyFill="1" applyAlignment="1">
      <alignment vertical="center"/>
    </xf>
    <xf numFmtId="169" fontId="21" fillId="0" borderId="0" xfId="0" applyNumberFormat="1" applyFont="1" applyAlignment="1">
      <alignment vertical="center"/>
    </xf>
    <xf numFmtId="0" fontId="21" fillId="0" borderId="0" xfId="0" applyFont="1" applyAlignment="1">
      <alignment vertical="center" readingOrder="1"/>
    </xf>
    <xf numFmtId="40" fontId="31" fillId="9" borderId="0" xfId="0" applyNumberFormat="1" applyFont="1" applyFill="1" applyAlignment="1">
      <alignment horizontal="right" vertical="center" wrapText="1"/>
    </xf>
    <xf numFmtId="0" fontId="26" fillId="0" borderId="7" xfId="0" applyFont="1" applyBorder="1" applyAlignment="1">
      <alignment horizontal="left" vertical="center" wrapText="1"/>
    </xf>
    <xf numFmtId="49" fontId="28" fillId="3" borderId="7" xfId="0" applyNumberFormat="1" applyFont="1" applyFill="1" applyBorder="1" applyAlignment="1">
      <alignment horizontal="left" vertical="center" wrapText="1"/>
    </xf>
    <xf numFmtId="164" fontId="28" fillId="0" borderId="7" xfId="0" applyNumberFormat="1" applyFont="1" applyBorder="1" applyAlignment="1">
      <alignment vertical="center" wrapText="1"/>
    </xf>
    <xf numFmtId="49" fontId="31" fillId="3" borderId="7" xfId="0" applyNumberFormat="1" applyFont="1" applyFill="1" applyBorder="1" applyAlignment="1">
      <alignment horizontal="left" vertical="center" wrapText="1"/>
    </xf>
    <xf numFmtId="164" fontId="31" fillId="0" borderId="7" xfId="0" applyNumberFormat="1" applyFont="1" applyBorder="1" applyAlignment="1">
      <alignment vertical="center" wrapText="1"/>
    </xf>
    <xf numFmtId="49" fontId="27" fillId="3" borderId="7" xfId="0" applyNumberFormat="1" applyFont="1" applyFill="1" applyBorder="1" applyAlignment="1">
      <alignment vertical="center" wrapText="1"/>
    </xf>
    <xf numFmtId="40" fontId="27" fillId="0" borderId="7" xfId="0" applyNumberFormat="1" applyFont="1" applyBorder="1" applyAlignment="1">
      <alignment vertical="center" wrapText="1"/>
    </xf>
    <xf numFmtId="0" fontId="29" fillId="0" borderId="23" xfId="0" applyFont="1" applyBorder="1" applyAlignment="1">
      <alignment horizontal="left" vertical="center" wrapText="1"/>
    </xf>
    <xf numFmtId="40" fontId="31" fillId="3" borderId="23" xfId="0" applyNumberFormat="1" applyFont="1" applyFill="1" applyBorder="1" applyAlignment="1">
      <alignment horizontal="right" vertical="center" wrapText="1"/>
    </xf>
    <xf numFmtId="40" fontId="31" fillId="5" borderId="23" xfId="0" applyNumberFormat="1" applyFont="1" applyFill="1" applyBorder="1" applyAlignment="1">
      <alignment horizontal="right" vertical="center" wrapText="1"/>
    </xf>
    <xf numFmtId="0" fontId="25" fillId="0" borderId="22" xfId="0" applyFont="1" applyBorder="1" applyAlignment="1">
      <alignment vertical="center"/>
    </xf>
    <xf numFmtId="40" fontId="28" fillId="0" borderId="22" xfId="0" applyNumberFormat="1" applyFont="1" applyBorder="1" applyAlignment="1">
      <alignment horizontal="right"/>
    </xf>
    <xf numFmtId="40" fontId="28" fillId="3" borderId="22" xfId="0" applyNumberFormat="1" applyFont="1" applyFill="1" applyBorder="1" applyAlignment="1">
      <alignment horizontal="right"/>
    </xf>
    <xf numFmtId="40" fontId="28" fillId="5" borderId="22" xfId="0" applyNumberFormat="1" applyFont="1" applyFill="1" applyBorder="1" applyAlignment="1">
      <alignment horizontal="right"/>
    </xf>
    <xf numFmtId="40" fontId="28" fillId="0" borderId="0" xfId="0" applyNumberFormat="1" applyFont="1" applyAlignment="1">
      <alignment horizontal="right"/>
    </xf>
    <xf numFmtId="0" fontId="21" fillId="0" borderId="22" xfId="0" applyFont="1" applyBorder="1" applyAlignment="1">
      <alignment vertical="center"/>
    </xf>
    <xf numFmtId="40" fontId="31" fillId="0" borderId="22" xfId="0" applyNumberFormat="1" applyFont="1" applyBorder="1" applyAlignment="1">
      <alignment horizontal="right"/>
    </xf>
    <xf numFmtId="40" fontId="31" fillId="3" borderId="22" xfId="0" applyNumberFormat="1" applyFont="1" applyFill="1" applyBorder="1" applyAlignment="1">
      <alignment horizontal="right"/>
    </xf>
    <xf numFmtId="40" fontId="31" fillId="5" borderId="22" xfId="0" applyNumberFormat="1" applyFont="1" applyFill="1" applyBorder="1" applyAlignment="1">
      <alignment horizontal="right"/>
    </xf>
    <xf numFmtId="40" fontId="31" fillId="0" borderId="0" xfId="0" applyNumberFormat="1" applyFont="1" applyAlignment="1">
      <alignment horizontal="right"/>
    </xf>
    <xf numFmtId="40" fontId="31" fillId="3" borderId="0" xfId="0" applyNumberFormat="1" applyFont="1" applyFill="1" applyAlignment="1">
      <alignment horizontal="right"/>
    </xf>
    <xf numFmtId="40" fontId="31" fillId="5" borderId="0" xfId="0" applyNumberFormat="1" applyFont="1" applyFill="1" applyAlignment="1">
      <alignment horizontal="right"/>
    </xf>
    <xf numFmtId="0" fontId="25" fillId="0" borderId="7" xfId="0" applyFont="1" applyBorder="1" applyAlignment="1">
      <alignment vertical="center"/>
    </xf>
    <xf numFmtId="40" fontId="28" fillId="3" borderId="7" xfId="0" applyNumberFormat="1" applyFont="1" applyFill="1" applyBorder="1" applyAlignment="1">
      <alignment horizontal="right"/>
    </xf>
    <xf numFmtId="40" fontId="28" fillId="5" borderId="7" xfId="0" applyNumberFormat="1" applyFont="1" applyFill="1" applyBorder="1" applyAlignment="1">
      <alignment horizontal="right"/>
    </xf>
    <xf numFmtId="40" fontId="28" fillId="0" borderId="7" xfId="0" applyNumberFormat="1" applyFont="1" applyBorder="1" applyAlignment="1">
      <alignment horizontal="right"/>
    </xf>
    <xf numFmtId="40" fontId="31" fillId="3" borderId="7" xfId="0" applyNumberFormat="1" applyFont="1" applyFill="1" applyBorder="1" applyAlignment="1">
      <alignment horizontal="right"/>
    </xf>
    <xf numFmtId="40" fontId="31" fillId="5" borderId="7" xfId="0" applyNumberFormat="1" applyFont="1" applyFill="1" applyBorder="1" applyAlignment="1">
      <alignment horizontal="right"/>
    </xf>
    <xf numFmtId="40" fontId="31" fillId="0" borderId="7" xfId="0" applyNumberFormat="1" applyFont="1" applyBorder="1" applyAlignment="1">
      <alignment horizontal="right"/>
    </xf>
    <xf numFmtId="49" fontId="25" fillId="9" borderId="22" xfId="0" applyNumberFormat="1" applyFont="1" applyFill="1" applyBorder="1" applyAlignment="1">
      <alignment horizontal="center" vertical="center" readingOrder="1"/>
    </xf>
    <xf numFmtId="0" fontId="27" fillId="9" borderId="22" xfId="0" applyFont="1" applyFill="1" applyBorder="1" applyAlignment="1">
      <alignment horizontal="center" vertical="center" wrapText="1" readingOrder="1"/>
    </xf>
    <xf numFmtId="40" fontId="27" fillId="4" borderId="22" xfId="0" applyNumberFormat="1" applyFont="1" applyFill="1" applyBorder="1" applyAlignment="1">
      <alignment horizontal="right" vertical="center" wrapText="1" readingOrder="1"/>
    </xf>
    <xf numFmtId="40" fontId="27" fillId="9" borderId="0" xfId="0" applyNumberFormat="1" applyFont="1" applyFill="1" applyAlignment="1">
      <alignment horizontal="right" vertical="center" wrapText="1" readingOrder="1"/>
    </xf>
    <xf numFmtId="0" fontId="21" fillId="0" borderId="7" xfId="0" applyFont="1" applyBorder="1" applyAlignment="1">
      <alignment horizontal="left" vertical="center"/>
    </xf>
    <xf numFmtId="0" fontId="21" fillId="0" borderId="7" xfId="0" applyFont="1" applyBorder="1" applyAlignment="1">
      <alignment horizontal="right" vertical="center"/>
    </xf>
    <xf numFmtId="164" fontId="31" fillId="4" borderId="7" xfId="0" applyNumberFormat="1" applyFont="1" applyFill="1" applyBorder="1" applyAlignment="1">
      <alignment horizontal="right" vertical="center"/>
    </xf>
    <xf numFmtId="164" fontId="31" fillId="0" borderId="0" xfId="0" applyNumberFormat="1" applyFont="1" applyAlignment="1">
      <alignment horizontal="right" vertical="center"/>
    </xf>
    <xf numFmtId="0" fontId="36" fillId="0" borderId="0" xfId="0" applyFont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36" fillId="0" borderId="0" xfId="0" applyFont="1" applyAlignment="1">
      <alignment vertical="center"/>
    </xf>
    <xf numFmtId="40" fontId="36" fillId="0" borderId="0" xfId="0" applyNumberFormat="1" applyFont="1" applyAlignment="1">
      <alignment vertical="center"/>
    </xf>
    <xf numFmtId="1" fontId="36" fillId="0" borderId="0" xfId="0" applyNumberFormat="1" applyFont="1" applyAlignment="1">
      <alignment horizontal="center" vertical="center"/>
    </xf>
    <xf numFmtId="1" fontId="37" fillId="0" borderId="0" xfId="0" applyNumberFormat="1" applyFont="1" applyAlignment="1">
      <alignment horizontal="center" vertical="center"/>
    </xf>
    <xf numFmtId="164" fontId="38" fillId="0" borderId="0" xfId="0" applyNumberFormat="1" applyFont="1" applyAlignment="1">
      <alignment horizontal="center" vertical="center"/>
    </xf>
    <xf numFmtId="1" fontId="39" fillId="0" borderId="0" xfId="0" applyNumberFormat="1" applyFont="1" applyAlignment="1">
      <alignment horizontal="center" vertical="center"/>
    </xf>
    <xf numFmtId="0" fontId="40" fillId="0" borderId="0" xfId="0" applyFont="1" applyAlignment="1">
      <alignment horizontal="left" vertical="center"/>
    </xf>
    <xf numFmtId="170" fontId="41" fillId="6" borderId="7" xfId="0" applyNumberFormat="1" applyFont="1" applyFill="1" applyBorder="1" applyAlignment="1">
      <alignment horizontal="center" vertical="center" wrapText="1"/>
    </xf>
    <xf numFmtId="0" fontId="42" fillId="10" borderId="7" xfId="0" applyFont="1" applyFill="1" applyBorder="1" applyAlignment="1">
      <alignment horizontal="center" vertical="center"/>
    </xf>
    <xf numFmtId="1" fontId="42" fillId="10" borderId="7" xfId="0" applyNumberFormat="1" applyFont="1" applyFill="1" applyBorder="1" applyAlignment="1">
      <alignment horizontal="center" vertical="center" wrapText="1"/>
    </xf>
    <xf numFmtId="1" fontId="43" fillId="5" borderId="24" xfId="0" applyNumberFormat="1" applyFont="1" applyFill="1" applyBorder="1" applyAlignment="1">
      <alignment horizontal="center" vertical="center"/>
    </xf>
    <xf numFmtId="1" fontId="43" fillId="3" borderId="24" xfId="0" applyNumberFormat="1" applyFont="1" applyFill="1" applyBorder="1" applyAlignment="1">
      <alignment horizontal="center" vertical="center"/>
    </xf>
    <xf numFmtId="1" fontId="42" fillId="6" borderId="7" xfId="0" applyNumberFormat="1" applyFont="1" applyFill="1" applyBorder="1" applyAlignment="1">
      <alignment horizontal="center" vertical="center"/>
    </xf>
    <xf numFmtId="0" fontId="42" fillId="3" borderId="7" xfId="0" applyFont="1" applyFill="1" applyBorder="1" applyAlignment="1">
      <alignment horizontal="center" vertical="center"/>
    </xf>
    <xf numFmtId="0" fontId="36" fillId="0" borderId="0" xfId="0" applyFont="1" applyAlignment="1">
      <alignment vertical="center" wrapText="1"/>
    </xf>
    <xf numFmtId="0" fontId="36" fillId="0" borderId="0" xfId="0" applyFont="1" applyAlignment="1">
      <alignment horizontal="center" vertical="center" wrapText="1"/>
    </xf>
    <xf numFmtId="0" fontId="44" fillId="0" borderId="0" xfId="0" applyFont="1" applyAlignment="1">
      <alignment horizontal="left" vertical="center"/>
    </xf>
    <xf numFmtId="0" fontId="42" fillId="0" borderId="0" xfId="0" applyFont="1" applyAlignment="1">
      <alignment vertical="center" wrapText="1"/>
    </xf>
    <xf numFmtId="170" fontId="41" fillId="5" borderId="7" xfId="0" applyNumberFormat="1" applyFont="1" applyFill="1" applyBorder="1" applyAlignment="1">
      <alignment horizontal="center" vertical="center" wrapText="1"/>
    </xf>
    <xf numFmtId="170" fontId="41" fillId="11" borderId="7" xfId="0" applyNumberFormat="1" applyFont="1" applyFill="1" applyBorder="1" applyAlignment="1">
      <alignment horizontal="center" vertical="center" wrapText="1"/>
    </xf>
    <xf numFmtId="170" fontId="41" fillId="10" borderId="7" xfId="0" applyNumberFormat="1" applyFont="1" applyFill="1" applyBorder="1" applyAlignment="1">
      <alignment horizontal="center" vertical="center" wrapText="1"/>
    </xf>
    <xf numFmtId="170" fontId="41" fillId="12" borderId="7" xfId="0" applyNumberFormat="1" applyFont="1" applyFill="1" applyBorder="1" applyAlignment="1">
      <alignment horizontal="center" vertical="center" wrapText="1"/>
    </xf>
    <xf numFmtId="0" fontId="36" fillId="3" borderId="0" xfId="0" applyFont="1" applyFill="1" applyAlignment="1">
      <alignment horizontal="center" vertical="center"/>
    </xf>
    <xf numFmtId="0" fontId="42" fillId="5" borderId="7" xfId="0" applyFont="1" applyFill="1" applyBorder="1" applyAlignment="1">
      <alignment horizontal="left" vertical="center"/>
    </xf>
    <xf numFmtId="0" fontId="42" fillId="5" borderId="7" xfId="0" applyFont="1" applyFill="1" applyBorder="1" applyAlignment="1">
      <alignment vertical="center"/>
    </xf>
    <xf numFmtId="40" fontId="41" fillId="5" borderId="7" xfId="0" applyNumberFormat="1" applyFont="1" applyFill="1" applyBorder="1" applyAlignment="1">
      <alignment vertical="center"/>
    </xf>
    <xf numFmtId="40" fontId="41" fillId="4" borderId="7" xfId="0" applyNumberFormat="1" applyFont="1" applyFill="1" applyBorder="1" applyAlignment="1">
      <alignment vertical="center"/>
    </xf>
    <xf numFmtId="10" fontId="41" fillId="4" borderId="7" xfId="0" applyNumberFormat="1" applyFont="1" applyFill="1" applyBorder="1" applyAlignment="1">
      <alignment horizontal="center" vertical="center"/>
    </xf>
    <xf numFmtId="164" fontId="36" fillId="4" borderId="0" xfId="0" applyNumberFormat="1" applyFont="1" applyFill="1" applyAlignment="1">
      <alignment vertical="center"/>
    </xf>
    <xf numFmtId="0" fontId="42" fillId="0" borderId="0" xfId="0" applyFont="1" applyAlignment="1">
      <alignment vertical="center"/>
    </xf>
    <xf numFmtId="49" fontId="42" fillId="5" borderId="7" xfId="0" applyNumberFormat="1" applyFont="1" applyFill="1" applyBorder="1" applyAlignment="1">
      <alignment horizontal="left" vertical="center"/>
    </xf>
    <xf numFmtId="10" fontId="41" fillId="4" borderId="7" xfId="0" applyNumberFormat="1" applyFont="1" applyFill="1" applyBorder="1" applyAlignment="1">
      <alignment vertical="center"/>
    </xf>
    <xf numFmtId="10" fontId="45" fillId="4" borderId="7" xfId="0" applyNumberFormat="1" applyFont="1" applyFill="1" applyBorder="1" applyAlignment="1">
      <alignment vertical="center"/>
    </xf>
    <xf numFmtId="0" fontId="36" fillId="5" borderId="7" xfId="0" applyFont="1" applyFill="1" applyBorder="1" applyAlignment="1">
      <alignment horizontal="left" vertical="center"/>
    </xf>
    <xf numFmtId="49" fontId="36" fillId="5" borderId="7" xfId="0" applyNumberFormat="1" applyFont="1" applyFill="1" applyBorder="1" applyAlignment="1">
      <alignment horizontal="left" vertical="center"/>
    </xf>
    <xf numFmtId="40" fontId="45" fillId="5" borderId="7" xfId="0" applyNumberFormat="1" applyFont="1" applyFill="1" applyBorder="1" applyAlignment="1">
      <alignment vertical="center"/>
    </xf>
    <xf numFmtId="40" fontId="45" fillId="4" borderId="7" xfId="0" applyNumberFormat="1" applyFont="1" applyFill="1" applyBorder="1" applyAlignment="1">
      <alignment vertical="center"/>
    </xf>
    <xf numFmtId="40" fontId="45" fillId="3" borderId="7" xfId="0" applyNumberFormat="1" applyFont="1" applyFill="1" applyBorder="1" applyAlignment="1">
      <alignment vertical="center"/>
    </xf>
    <xf numFmtId="40" fontId="45" fillId="0" borderId="7" xfId="0" applyNumberFormat="1" applyFont="1" applyBorder="1" applyAlignment="1">
      <alignment vertical="center"/>
    </xf>
    <xf numFmtId="0" fontId="42" fillId="3" borderId="0" xfId="0" applyFont="1" applyFill="1" applyAlignment="1">
      <alignment horizontal="center" vertical="center"/>
    </xf>
    <xf numFmtId="49" fontId="41" fillId="5" borderId="7" xfId="0" applyNumberFormat="1" applyFont="1" applyFill="1" applyBorder="1" applyAlignment="1">
      <alignment horizontal="left" vertical="center"/>
    </xf>
    <xf numFmtId="0" fontId="42" fillId="13" borderId="7" xfId="0" applyFont="1" applyFill="1" applyBorder="1" applyAlignment="1">
      <alignment horizontal="left"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center" vertical="center"/>
    </xf>
    <xf numFmtId="0" fontId="45" fillId="0" borderId="7" xfId="0" applyFont="1" applyBorder="1" applyAlignment="1">
      <alignment horizontal="left" vertical="center"/>
    </xf>
    <xf numFmtId="10" fontId="45" fillId="0" borderId="7" xfId="0" applyNumberFormat="1" applyFont="1" applyBorder="1" applyAlignment="1">
      <alignment vertical="center"/>
    </xf>
    <xf numFmtId="0" fontId="36" fillId="0" borderId="7" xfId="0" applyFont="1" applyBorder="1" applyAlignment="1">
      <alignment horizontal="left" vertical="center"/>
    </xf>
    <xf numFmtId="171" fontId="45" fillId="4" borderId="7" xfId="0" applyNumberFormat="1" applyFont="1" applyFill="1" applyBorder="1" applyAlignment="1">
      <alignment vertical="center"/>
    </xf>
    <xf numFmtId="0" fontId="42" fillId="0" borderId="0" xfId="0" applyFont="1" applyAlignment="1">
      <alignment horizontal="center" vertical="center"/>
    </xf>
    <xf numFmtId="0" fontId="42" fillId="0" borderId="7" xfId="0" applyFont="1" applyBorder="1" applyAlignment="1">
      <alignment horizontal="left" vertical="center"/>
    </xf>
    <xf numFmtId="49" fontId="46" fillId="5" borderId="7" xfId="0" applyNumberFormat="1" applyFont="1" applyFill="1" applyBorder="1" applyAlignment="1">
      <alignment horizontal="left" vertical="center"/>
    </xf>
    <xf numFmtId="49" fontId="47" fillId="5" borderId="7" xfId="0" applyNumberFormat="1" applyFont="1" applyFill="1" applyBorder="1" applyAlignment="1">
      <alignment horizontal="left" vertical="center"/>
    </xf>
    <xf numFmtId="49" fontId="48" fillId="5" borderId="7" xfId="0" applyNumberFormat="1" applyFont="1" applyFill="1" applyBorder="1" applyAlignment="1">
      <alignment horizontal="left" vertical="center"/>
    </xf>
    <xf numFmtId="0" fontId="45" fillId="4" borderId="7" xfId="0" applyFont="1" applyFill="1" applyBorder="1" applyAlignment="1">
      <alignment vertical="center"/>
    </xf>
    <xf numFmtId="0" fontId="45" fillId="0" borderId="7" xfId="0" applyFont="1" applyBorder="1" applyAlignment="1">
      <alignment vertical="center"/>
    </xf>
    <xf numFmtId="40" fontId="46" fillId="5" borderId="7" xfId="0" applyNumberFormat="1" applyFont="1" applyFill="1" applyBorder="1" applyAlignment="1">
      <alignment vertical="center"/>
    </xf>
    <xf numFmtId="0" fontId="45" fillId="5" borderId="7" xfId="0" applyFont="1" applyFill="1" applyBorder="1" applyAlignment="1">
      <alignment vertical="center"/>
    </xf>
    <xf numFmtId="164" fontId="45" fillId="5" borderId="7" xfId="0" applyNumberFormat="1" applyFont="1" applyFill="1" applyBorder="1" applyAlignment="1">
      <alignment vertical="center"/>
    </xf>
    <xf numFmtId="0" fontId="42" fillId="13" borderId="7" xfId="0" applyFont="1" applyFill="1" applyBorder="1" applyAlignment="1">
      <alignment vertical="center"/>
    </xf>
    <xf numFmtId="0" fontId="36" fillId="3" borderId="7" xfId="0" applyFont="1" applyFill="1" applyBorder="1" applyAlignment="1">
      <alignment horizontal="left" vertical="center"/>
    </xf>
    <xf numFmtId="49" fontId="36" fillId="0" borderId="7" xfId="0" applyNumberFormat="1" applyFont="1" applyBorder="1" applyAlignment="1">
      <alignment horizontal="left" vertical="center"/>
    </xf>
    <xf numFmtId="39" fontId="45" fillId="5" borderId="7" xfId="0" applyNumberFormat="1" applyFont="1" applyFill="1" applyBorder="1" applyAlignment="1">
      <alignment vertical="center"/>
    </xf>
    <xf numFmtId="39" fontId="45" fillId="3" borderId="7" xfId="0" applyNumberFormat="1" applyFont="1" applyFill="1" applyBorder="1" applyAlignment="1">
      <alignment vertical="center"/>
    </xf>
    <xf numFmtId="40" fontId="41" fillId="13" borderId="7" xfId="0" applyNumberFormat="1" applyFont="1" applyFill="1" applyBorder="1" applyAlignment="1">
      <alignment vertical="center"/>
    </xf>
    <xf numFmtId="10" fontId="41" fillId="13" borderId="7" xfId="0" applyNumberFormat="1" applyFont="1" applyFill="1" applyBorder="1" applyAlignment="1">
      <alignment vertical="center"/>
    </xf>
    <xf numFmtId="171" fontId="41" fillId="4" borderId="7" xfId="0" applyNumberFormat="1" applyFont="1" applyFill="1" applyBorder="1" applyAlignment="1">
      <alignment vertical="center"/>
    </xf>
    <xf numFmtId="0" fontId="36" fillId="10" borderId="7" xfId="0" applyFont="1" applyFill="1" applyBorder="1" applyAlignment="1">
      <alignment horizontal="left" vertical="center"/>
    </xf>
    <xf numFmtId="0" fontId="36" fillId="10" borderId="7" xfId="0" applyFont="1" applyFill="1" applyBorder="1" applyAlignment="1">
      <alignment vertical="center"/>
    </xf>
    <xf numFmtId="0" fontId="42" fillId="14" borderId="7" xfId="0" applyFont="1" applyFill="1" applyBorder="1" applyAlignment="1">
      <alignment horizontal="left" vertical="center"/>
    </xf>
    <xf numFmtId="0" fontId="42" fillId="14" borderId="7" xfId="0" applyFont="1" applyFill="1" applyBorder="1" applyAlignment="1">
      <alignment vertical="center"/>
    </xf>
    <xf numFmtId="10" fontId="41" fillId="14" borderId="7" xfId="0" applyNumberFormat="1" applyFont="1" applyFill="1" applyBorder="1" applyAlignment="1">
      <alignment horizontal="center" vertical="center"/>
    </xf>
    <xf numFmtId="0" fontId="42" fillId="9" borderId="7" xfId="0" applyFont="1" applyFill="1" applyBorder="1" applyAlignment="1">
      <alignment horizontal="left" vertical="center"/>
    </xf>
    <xf numFmtId="0" fontId="42" fillId="9" borderId="7" xfId="0" applyFont="1" applyFill="1" applyBorder="1" applyAlignment="1">
      <alignment vertical="center"/>
    </xf>
    <xf numFmtId="164" fontId="36" fillId="0" borderId="0" xfId="0" applyNumberFormat="1" applyFont="1" applyAlignment="1">
      <alignment horizontal="left" vertical="center"/>
    </xf>
    <xf numFmtId="0" fontId="46" fillId="0" borderId="0" xfId="0" applyFont="1" applyAlignment="1">
      <alignment horizontal="right" vertical="center"/>
    </xf>
    <xf numFmtId="164" fontId="49" fillId="4" borderId="0" xfId="0" applyNumberFormat="1" applyFont="1" applyFill="1" applyAlignment="1">
      <alignment vertical="center"/>
    </xf>
    <xf numFmtId="170" fontId="41" fillId="4" borderId="7" xfId="0" applyNumberFormat="1" applyFont="1" applyFill="1" applyBorder="1" applyAlignment="1">
      <alignment horizontal="center" vertical="center" wrapText="1"/>
    </xf>
    <xf numFmtId="0" fontId="42" fillId="4" borderId="7" xfId="0" applyFont="1" applyFill="1" applyBorder="1" applyAlignment="1">
      <alignment horizontal="center" vertical="center"/>
    </xf>
    <xf numFmtId="0" fontId="41" fillId="5" borderId="7" xfId="0" applyFont="1" applyFill="1" applyBorder="1" applyAlignment="1">
      <alignment horizontal="right" vertical="center"/>
    </xf>
    <xf numFmtId="164" fontId="41" fillId="5" borderId="7" xfId="0" applyNumberFormat="1" applyFont="1" applyFill="1" applyBorder="1" applyAlignment="1">
      <alignment vertical="center"/>
    </xf>
    <xf numFmtId="40" fontId="36" fillId="5" borderId="7" xfId="0" applyNumberFormat="1" applyFont="1" applyFill="1" applyBorder="1" applyAlignment="1">
      <alignment vertical="center"/>
    </xf>
    <xf numFmtId="40" fontId="36" fillId="4" borderId="7" xfId="0" applyNumberFormat="1" applyFont="1" applyFill="1" applyBorder="1" applyAlignment="1">
      <alignment vertical="center"/>
    </xf>
    <xf numFmtId="40" fontId="36" fillId="0" borderId="7" xfId="0" applyNumberFormat="1" applyFont="1" applyBorder="1" applyAlignment="1">
      <alignment vertical="center"/>
    </xf>
    <xf numFmtId="0" fontId="41" fillId="0" borderId="7" xfId="0" applyFont="1" applyBorder="1" applyAlignment="1">
      <alignment horizontal="right" vertical="center"/>
    </xf>
    <xf numFmtId="164" fontId="41" fillId="0" borderId="7" xfId="0" applyNumberFormat="1" applyFont="1" applyBorder="1" applyAlignment="1">
      <alignment vertical="center"/>
    </xf>
    <xf numFmtId="0" fontId="46" fillId="0" borderId="0" xfId="0" applyFont="1" applyAlignment="1">
      <alignment vertical="center"/>
    </xf>
    <xf numFmtId="0" fontId="46" fillId="0" borderId="7" xfId="0" applyFont="1" applyBorder="1" applyAlignment="1">
      <alignment horizontal="right" vertical="center"/>
    </xf>
    <xf numFmtId="164" fontId="50" fillId="0" borderId="7" xfId="0" applyNumberFormat="1" applyFont="1" applyBorder="1" applyAlignment="1">
      <alignment horizontal="right" vertical="center"/>
    </xf>
    <xf numFmtId="40" fontId="46" fillId="4" borderId="0" xfId="0" applyNumberFormat="1" applyFont="1" applyFill="1" applyAlignment="1">
      <alignment vertical="center"/>
    </xf>
    <xf numFmtId="40" fontId="46" fillId="0" borderId="0" xfId="0" applyNumberFormat="1" applyFont="1" applyAlignment="1">
      <alignment vertical="center"/>
    </xf>
    <xf numFmtId="0" fontId="45" fillId="0" borderId="7" xfId="0" applyFont="1" applyBorder="1" applyAlignment="1">
      <alignment horizontal="right" vertical="center"/>
    </xf>
    <xf numFmtId="164" fontId="45" fillId="0" borderId="7" xfId="0" applyNumberFormat="1" applyFont="1" applyBorder="1" applyAlignment="1">
      <alignment vertical="center"/>
    </xf>
    <xf numFmtId="164" fontId="41" fillId="15" borderId="7" xfId="0" applyNumberFormat="1" applyFont="1" applyFill="1" applyBorder="1" applyAlignment="1">
      <alignment vertical="center"/>
    </xf>
    <xf numFmtId="40" fontId="42" fillId="4" borderId="7" xfId="0" applyNumberFormat="1" applyFont="1" applyFill="1" applyBorder="1" applyAlignment="1">
      <alignment vertical="center"/>
    </xf>
    <xf numFmtId="0" fontId="45" fillId="4" borderId="7" xfId="0" applyFont="1" applyFill="1" applyBorder="1" applyAlignment="1">
      <alignment horizontal="right" vertical="center"/>
    </xf>
    <xf numFmtId="164" fontId="45" fillId="4" borderId="7" xfId="0" applyNumberFormat="1" applyFont="1" applyFill="1" applyBorder="1" applyAlignment="1">
      <alignment vertical="center"/>
    </xf>
    <xf numFmtId="164" fontId="41" fillId="8" borderId="7" xfId="0" applyNumberFormat="1" applyFont="1" applyFill="1" applyBorder="1" applyAlignment="1">
      <alignment vertical="center"/>
    </xf>
    <xf numFmtId="164" fontId="41" fillId="4" borderId="7" xfId="0" applyNumberFormat="1" applyFont="1" applyFill="1" applyBorder="1" applyAlignment="1">
      <alignment vertical="center"/>
    </xf>
    <xf numFmtId="49" fontId="45" fillId="4" borderId="7" xfId="0" applyNumberFormat="1" applyFont="1" applyFill="1" applyBorder="1" applyAlignment="1">
      <alignment horizontal="right" vertical="center"/>
    </xf>
    <xf numFmtId="164" fontId="45" fillId="8" borderId="7" xfId="0" applyNumberFormat="1" applyFont="1" applyFill="1" applyBorder="1" applyAlignment="1">
      <alignment vertical="center"/>
    </xf>
    <xf numFmtId="164" fontId="41" fillId="14" borderId="7" xfId="0" applyNumberFormat="1" applyFont="1" applyFill="1" applyBorder="1" applyAlignment="1">
      <alignment vertical="center"/>
    </xf>
    <xf numFmtId="40" fontId="42" fillId="4" borderId="23" xfId="0" applyNumberFormat="1" applyFont="1" applyFill="1" applyBorder="1" applyAlignment="1">
      <alignment vertical="center"/>
    </xf>
    <xf numFmtId="0" fontId="45" fillId="0" borderId="0" xfId="0" applyFont="1" applyAlignment="1">
      <alignment horizontal="right" vertical="center"/>
    </xf>
    <xf numFmtId="164" fontId="45" fillId="0" borderId="0" xfId="0" applyNumberFormat="1" applyFont="1" applyAlignment="1">
      <alignment vertical="center"/>
    </xf>
    <xf numFmtId="164" fontId="41" fillId="14" borderId="25" xfId="0" applyNumberFormat="1" applyFont="1" applyFill="1" applyBorder="1" applyAlignment="1">
      <alignment vertical="center"/>
    </xf>
    <xf numFmtId="0" fontId="36" fillId="4" borderId="7" xfId="0" applyFont="1" applyFill="1" applyBorder="1" applyAlignment="1">
      <alignment vertical="center"/>
    </xf>
    <xf numFmtId="0" fontId="36" fillId="4" borderId="7" xfId="0" applyFont="1" applyFill="1" applyBorder="1" applyAlignment="1">
      <alignment horizontal="left" vertical="center"/>
    </xf>
    <xf numFmtId="0" fontId="42" fillId="0" borderId="7" xfId="0" applyFont="1" applyBorder="1" applyAlignment="1">
      <alignment horizontal="right" vertical="center"/>
    </xf>
    <xf numFmtId="164" fontId="41" fillId="0" borderId="25" xfId="0" applyNumberFormat="1" applyFont="1" applyBorder="1" applyAlignment="1">
      <alignment vertical="center"/>
    </xf>
    <xf numFmtId="164" fontId="41" fillId="6" borderId="25" xfId="0" applyNumberFormat="1" applyFont="1" applyFill="1" applyBorder="1" applyAlignment="1">
      <alignment vertical="center"/>
    </xf>
    <xf numFmtId="170" fontId="41" fillId="4" borderId="25" xfId="0" applyNumberFormat="1" applyFont="1" applyFill="1" applyBorder="1" applyAlignment="1">
      <alignment horizontal="center" vertical="center" wrapText="1"/>
    </xf>
    <xf numFmtId="170" fontId="41" fillId="10" borderId="25" xfId="0" applyNumberFormat="1" applyFont="1" applyFill="1" applyBorder="1" applyAlignment="1">
      <alignment horizontal="center" vertical="center" wrapText="1"/>
    </xf>
    <xf numFmtId="164" fontId="45" fillId="0" borderId="25" xfId="0" applyNumberFormat="1" applyFont="1" applyBorder="1" applyAlignment="1">
      <alignment vertical="center"/>
    </xf>
    <xf numFmtId="0" fontId="41" fillId="0" borderId="0" xfId="0" applyFont="1" applyAlignment="1">
      <alignment horizontal="right" vertical="center"/>
    </xf>
    <xf numFmtId="164" fontId="41" fillId="0" borderId="0" xfId="0" applyNumberFormat="1" applyFont="1" applyAlignment="1">
      <alignment vertical="center"/>
    </xf>
    <xf numFmtId="164" fontId="45" fillId="16" borderId="25" xfId="0" applyNumberFormat="1" applyFont="1" applyFill="1" applyBorder="1" applyAlignment="1">
      <alignment vertical="center"/>
    </xf>
    <xf numFmtId="164" fontId="41" fillId="16" borderId="25" xfId="0" applyNumberFormat="1" applyFont="1" applyFill="1" applyBorder="1" applyAlignment="1">
      <alignment vertical="center"/>
    </xf>
    <xf numFmtId="164" fontId="41" fillId="10" borderId="25" xfId="0" applyNumberFormat="1" applyFont="1" applyFill="1" applyBorder="1" applyAlignment="1">
      <alignment vertical="center"/>
    </xf>
    <xf numFmtId="164" fontId="41" fillId="10" borderId="7" xfId="0" applyNumberFormat="1" applyFont="1" applyFill="1" applyBorder="1" applyAlignment="1">
      <alignment vertical="center"/>
    </xf>
    <xf numFmtId="40" fontId="42" fillId="4" borderId="14" xfId="0" applyNumberFormat="1" applyFont="1" applyFill="1" applyBorder="1" applyAlignment="1">
      <alignment vertical="center"/>
    </xf>
    <xf numFmtId="40" fontId="36" fillId="5" borderId="14" xfId="0" applyNumberFormat="1" applyFont="1" applyFill="1" applyBorder="1" applyAlignment="1">
      <alignment vertical="center"/>
    </xf>
    <xf numFmtId="40" fontId="36" fillId="4" borderId="14" xfId="0" applyNumberFormat="1" applyFont="1" applyFill="1" applyBorder="1" applyAlignment="1">
      <alignment vertical="center"/>
    </xf>
    <xf numFmtId="0" fontId="50" fillId="0" borderId="7" xfId="0" applyFont="1" applyBorder="1" applyAlignment="1">
      <alignment horizontal="center" vertical="center"/>
    </xf>
    <xf numFmtId="10" fontId="42" fillId="4" borderId="14" xfId="0" applyNumberFormat="1" applyFont="1" applyFill="1" applyBorder="1" applyAlignment="1">
      <alignment vertical="center"/>
    </xf>
    <xf numFmtId="10" fontId="42" fillId="4" borderId="7" xfId="0" applyNumberFormat="1" applyFont="1" applyFill="1" applyBorder="1" applyAlignment="1">
      <alignment vertical="center"/>
    </xf>
    <xf numFmtId="172" fontId="42" fillId="4" borderId="7" xfId="0" applyNumberFormat="1" applyFont="1" applyFill="1" applyBorder="1" applyAlignment="1">
      <alignment vertical="center"/>
    </xf>
    <xf numFmtId="0" fontId="50" fillId="0" borderId="0" xfId="0" applyFont="1" applyAlignment="1">
      <alignment horizontal="center" vertical="center"/>
    </xf>
    <xf numFmtId="10" fontId="36" fillId="0" borderId="0" xfId="0" applyNumberFormat="1" applyFont="1" applyAlignment="1">
      <alignment vertical="center"/>
    </xf>
    <xf numFmtId="164" fontId="41" fillId="6" borderId="7" xfId="0" applyNumberFormat="1" applyFont="1" applyFill="1" applyBorder="1" applyAlignment="1">
      <alignment vertical="center"/>
    </xf>
    <xf numFmtId="40" fontId="36" fillId="17" borderId="7" xfId="0" applyNumberFormat="1" applyFont="1" applyFill="1" applyBorder="1" applyAlignment="1">
      <alignment vertical="center"/>
    </xf>
    <xf numFmtId="0" fontId="36" fillId="17" borderId="7" xfId="0" applyFont="1" applyFill="1" applyBorder="1" applyAlignment="1">
      <alignment vertical="center"/>
    </xf>
    <xf numFmtId="10" fontId="36" fillId="4" borderId="7" xfId="0" applyNumberFormat="1" applyFont="1" applyFill="1" applyBorder="1" applyAlignment="1">
      <alignment vertical="center"/>
    </xf>
    <xf numFmtId="172" fontId="36" fillId="4" borderId="7" xfId="0" applyNumberFormat="1" applyFont="1" applyFill="1" applyBorder="1" applyAlignment="1">
      <alignment vertical="center"/>
    </xf>
    <xf numFmtId="0" fontId="36" fillId="0" borderId="7" xfId="0" applyFont="1" applyBorder="1" applyAlignment="1">
      <alignment vertical="center"/>
    </xf>
    <xf numFmtId="10" fontId="36" fillId="0" borderId="7" xfId="0" applyNumberFormat="1" applyFont="1" applyBorder="1" applyAlignment="1">
      <alignment vertical="center"/>
    </xf>
    <xf numFmtId="172" fontId="36" fillId="0" borderId="7" xfId="0" applyNumberFormat="1" applyFont="1" applyBorder="1" applyAlignment="1">
      <alignment vertical="center"/>
    </xf>
    <xf numFmtId="10" fontId="36" fillId="3" borderId="7" xfId="0" applyNumberFormat="1" applyFont="1" applyFill="1" applyBorder="1" applyAlignment="1">
      <alignment vertical="center"/>
    </xf>
    <xf numFmtId="10" fontId="36" fillId="5" borderId="7" xfId="0" applyNumberFormat="1" applyFont="1" applyFill="1" applyBorder="1" applyAlignment="1">
      <alignment vertical="center"/>
    </xf>
    <xf numFmtId="171" fontId="36" fillId="4" borderId="7" xfId="0" applyNumberFormat="1" applyFont="1" applyFill="1" applyBorder="1" applyAlignment="1">
      <alignment vertical="center"/>
    </xf>
    <xf numFmtId="171" fontId="36" fillId="5" borderId="7" xfId="0" applyNumberFormat="1" applyFont="1" applyFill="1" applyBorder="1" applyAlignment="1">
      <alignment vertical="center"/>
    </xf>
    <xf numFmtId="171" fontId="36" fillId="3" borderId="7" xfId="0" applyNumberFormat="1" applyFont="1" applyFill="1" applyBorder="1" applyAlignment="1">
      <alignment vertical="center"/>
    </xf>
    <xf numFmtId="164" fontId="45" fillId="0" borderId="7" xfId="0" applyNumberFormat="1" applyFont="1" applyBorder="1" applyAlignment="1">
      <alignment horizontal="left" vertical="center"/>
    </xf>
    <xf numFmtId="40" fontId="22" fillId="0" borderId="0" xfId="0" applyNumberFormat="1" applyFont="1" applyAlignment="1" applyProtection="1">
      <alignment horizontal="left" vertical="center"/>
      <protection hidden="1"/>
    </xf>
    <xf numFmtId="40" fontId="22" fillId="4" borderId="0" xfId="0" applyNumberFormat="1" applyFont="1" applyFill="1" applyAlignment="1" applyProtection="1">
      <alignment horizontal="left" vertical="center"/>
      <protection hidden="1"/>
    </xf>
    <xf numFmtId="40" fontId="51" fillId="5" borderId="0" xfId="0" applyNumberFormat="1" applyFont="1" applyFill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52" fillId="0" borderId="0" xfId="0" applyFont="1" applyAlignment="1">
      <alignment horizontal="center" vertical="center"/>
    </xf>
    <xf numFmtId="43" fontId="36" fillId="0" borderId="0" xfId="0" applyNumberFormat="1" applyFont="1" applyAlignment="1">
      <alignment vertical="center"/>
    </xf>
    <xf numFmtId="0" fontId="52" fillId="0" borderId="0" xfId="0" applyFont="1" applyAlignment="1">
      <alignment vertical="center"/>
    </xf>
    <xf numFmtId="0" fontId="53" fillId="0" borderId="0" xfId="0" applyFont="1" applyAlignment="1">
      <alignment horizontal="center" vertical="center"/>
    </xf>
    <xf numFmtId="0" fontId="40" fillId="0" borderId="0" xfId="0" applyFont="1" applyAlignment="1">
      <alignment vertical="center"/>
    </xf>
    <xf numFmtId="0" fontId="54" fillId="0" borderId="0" xfId="0" applyFont="1" applyAlignment="1">
      <alignment horizontal="center" vertical="center"/>
    </xf>
    <xf numFmtId="0" fontId="36" fillId="0" borderId="0" xfId="0" applyFont="1" applyAlignment="1" applyProtection="1">
      <alignment vertical="center"/>
      <protection hidden="1"/>
    </xf>
    <xf numFmtId="15" fontId="41" fillId="6" borderId="7" xfId="0" applyNumberFormat="1" applyFont="1" applyFill="1" applyBorder="1" applyAlignment="1">
      <alignment horizontal="center" vertical="center" wrapText="1"/>
    </xf>
    <xf numFmtId="15" fontId="49" fillId="18" borderId="7" xfId="0" applyNumberFormat="1" applyFont="1" applyFill="1" applyBorder="1" applyAlignment="1">
      <alignment horizontal="center" vertical="center" wrapText="1"/>
    </xf>
    <xf numFmtId="15" fontId="41" fillId="10" borderId="7" xfId="0" applyNumberFormat="1" applyFont="1" applyFill="1" applyBorder="1" applyAlignment="1">
      <alignment horizontal="center" vertical="center" wrapText="1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55" fillId="5" borderId="0" xfId="0" applyFont="1" applyFill="1" applyAlignment="1">
      <alignment horizontal="center" vertical="center"/>
    </xf>
    <xf numFmtId="0" fontId="55" fillId="3" borderId="0" xfId="0" applyFont="1" applyFill="1" applyAlignment="1">
      <alignment horizontal="center" vertical="center"/>
    </xf>
    <xf numFmtId="0" fontId="55" fillId="3" borderId="0" xfId="0" applyFont="1" applyFill="1" applyAlignment="1" applyProtection="1">
      <alignment horizontal="center" vertical="center"/>
      <protection hidden="1"/>
    </xf>
    <xf numFmtId="0" fontId="55" fillId="0" borderId="0" xfId="0" applyFont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15" fontId="41" fillId="5" borderId="14" xfId="0" applyNumberFormat="1" applyFont="1" applyFill="1" applyBorder="1" applyAlignment="1">
      <alignment horizontal="center" vertical="center" wrapText="1"/>
    </xf>
    <xf numFmtId="15" fontId="41" fillId="6" borderId="7" xfId="0" applyNumberFormat="1" applyFont="1" applyFill="1" applyBorder="1" applyAlignment="1">
      <alignment horizontal="center" vertical="center"/>
    </xf>
    <xf numFmtId="15" fontId="41" fillId="9" borderId="7" xfId="0" applyNumberFormat="1" applyFont="1" applyFill="1" applyBorder="1" applyAlignment="1">
      <alignment horizontal="center" vertical="center"/>
    </xf>
    <xf numFmtId="15" fontId="41" fillId="6" borderId="14" xfId="0" applyNumberFormat="1" applyFont="1" applyFill="1" applyBorder="1" applyAlignment="1">
      <alignment horizontal="center" vertical="center" wrapText="1"/>
    </xf>
    <xf numFmtId="15" fontId="41" fillId="11" borderId="14" xfId="0" applyNumberFormat="1" applyFont="1" applyFill="1" applyBorder="1" applyAlignment="1">
      <alignment horizontal="center" vertical="center" wrapText="1"/>
    </xf>
    <xf numFmtId="15" fontId="41" fillId="9" borderId="14" xfId="0" applyNumberFormat="1" applyFont="1" applyFill="1" applyBorder="1" applyAlignment="1">
      <alignment horizontal="center" vertical="center" wrapText="1"/>
    </xf>
    <xf numFmtId="49" fontId="42" fillId="5" borderId="24" xfId="0" applyNumberFormat="1" applyFont="1" applyFill="1" applyBorder="1" applyAlignment="1">
      <alignment horizontal="left" vertical="center"/>
    </xf>
    <xf numFmtId="164" fontId="41" fillId="5" borderId="24" xfId="0" applyNumberFormat="1" applyFont="1" applyFill="1" applyBorder="1" applyAlignment="1">
      <alignment vertical="center"/>
    </xf>
    <xf numFmtId="164" fontId="41" fillId="4" borderId="24" xfId="0" applyNumberFormat="1" applyFont="1" applyFill="1" applyBorder="1" applyAlignment="1">
      <alignment vertical="center"/>
    </xf>
    <xf numFmtId="164" fontId="41" fillId="14" borderId="24" xfId="0" applyNumberFormat="1" applyFont="1" applyFill="1" applyBorder="1" applyAlignment="1">
      <alignment vertical="center"/>
    </xf>
    <xf numFmtId="164" fontId="41" fillId="13" borderId="7" xfId="0" applyNumberFormat="1" applyFont="1" applyFill="1" applyBorder="1" applyAlignment="1">
      <alignment vertical="center"/>
    </xf>
    <xf numFmtId="164" fontId="42" fillId="0" borderId="7" xfId="0" applyNumberFormat="1" applyFont="1" applyBorder="1" applyAlignment="1">
      <alignment vertical="center"/>
    </xf>
    <xf numFmtId="164" fontId="42" fillId="4" borderId="7" xfId="0" applyNumberFormat="1" applyFont="1" applyFill="1" applyBorder="1" applyAlignment="1">
      <alignment vertical="center"/>
    </xf>
    <xf numFmtId="164" fontId="36" fillId="0" borderId="7" xfId="0" applyNumberFormat="1" applyFont="1" applyBorder="1" applyAlignment="1">
      <alignment vertical="center"/>
    </xf>
    <xf numFmtId="164" fontId="36" fillId="4" borderId="7" xfId="0" applyNumberFormat="1" applyFont="1" applyFill="1" applyBorder="1" applyAlignment="1">
      <alignment vertical="center"/>
    </xf>
    <xf numFmtId="164" fontId="45" fillId="3" borderId="7" xfId="0" applyNumberFormat="1" applyFont="1" applyFill="1" applyBorder="1" applyAlignment="1">
      <alignment vertical="center"/>
    </xf>
    <xf numFmtId="0" fontId="42" fillId="3" borderId="7" xfId="0" applyFont="1" applyFill="1" applyBorder="1" applyAlignment="1">
      <alignment horizontal="left" vertical="center"/>
    </xf>
    <xf numFmtId="9" fontId="42" fillId="0" borderId="0" xfId="0" applyNumberFormat="1" applyFont="1" applyAlignment="1">
      <alignment vertical="center"/>
    </xf>
    <xf numFmtId="40" fontId="41" fillId="14" borderId="7" xfId="0" applyNumberFormat="1" applyFont="1" applyFill="1" applyBorder="1" applyAlignment="1">
      <alignment vertical="center"/>
    </xf>
    <xf numFmtId="0" fontId="36" fillId="19" borderId="0" xfId="0" applyFont="1" applyFill="1" applyAlignment="1">
      <alignment horizontal="left" vertical="center"/>
    </xf>
    <xf numFmtId="0" fontId="36" fillId="19" borderId="0" xfId="0" applyFont="1" applyFill="1" applyAlignment="1">
      <alignment vertical="center"/>
    </xf>
    <xf numFmtId="0" fontId="56" fillId="19" borderId="0" xfId="0" applyFont="1" applyFill="1" applyAlignment="1">
      <alignment vertical="center"/>
    </xf>
    <xf numFmtId="4" fontId="36" fillId="19" borderId="0" xfId="0" applyNumberFormat="1" applyFont="1" applyFill="1" applyAlignment="1">
      <alignment vertical="center"/>
    </xf>
    <xf numFmtId="0" fontId="56" fillId="19" borderId="7" xfId="0" applyFont="1" applyFill="1" applyBorder="1" applyAlignment="1">
      <alignment vertical="center"/>
    </xf>
    <xf numFmtId="173" fontId="41" fillId="4" borderId="7" xfId="0" applyNumberFormat="1" applyFont="1" applyFill="1" applyBorder="1" applyAlignment="1">
      <alignment horizontal="center" vertical="center"/>
    </xf>
    <xf numFmtId="173" fontId="41" fillId="19" borderId="7" xfId="0" applyNumberFormat="1" applyFont="1" applyFill="1" applyBorder="1" applyAlignment="1">
      <alignment horizontal="center" vertical="center"/>
    </xf>
    <xf numFmtId="0" fontId="42" fillId="19" borderId="0" xfId="0" applyFont="1" applyFill="1" applyAlignment="1">
      <alignment horizontal="left" vertical="center"/>
    </xf>
    <xf numFmtId="0" fontId="42" fillId="19" borderId="7" xfId="0" applyFont="1" applyFill="1" applyBorder="1" applyAlignment="1">
      <alignment vertical="center"/>
    </xf>
    <xf numFmtId="40" fontId="42" fillId="19" borderId="7" xfId="0" applyNumberFormat="1" applyFont="1" applyFill="1" applyBorder="1" applyAlignment="1">
      <alignment vertical="center"/>
    </xf>
    <xf numFmtId="40" fontId="36" fillId="19" borderId="0" xfId="0" applyNumberFormat="1" applyFont="1" applyFill="1" applyAlignment="1">
      <alignment horizontal="left" vertical="center"/>
    </xf>
    <xf numFmtId="0" fontId="42" fillId="19" borderId="0" xfId="0" applyFont="1" applyFill="1" applyAlignment="1">
      <alignment vertical="center"/>
    </xf>
    <xf numFmtId="10" fontId="42" fillId="19" borderId="0" xfId="0" applyNumberFormat="1" applyFont="1" applyFill="1" applyAlignment="1">
      <alignment vertical="center"/>
    </xf>
    <xf numFmtId="43" fontId="36" fillId="4" borderId="0" xfId="0" applyNumberFormat="1" applyFont="1" applyFill="1" applyAlignment="1">
      <alignment vertical="center"/>
    </xf>
    <xf numFmtId="40" fontId="0" fillId="0" borderId="0" xfId="0" applyNumberFormat="1" applyAlignment="1">
      <alignment horizontal="left" vertical="center"/>
    </xf>
    <xf numFmtId="40" fontId="57" fillId="0" borderId="0" xfId="0" applyNumberFormat="1" applyFont="1" applyAlignment="1">
      <alignment vertical="center"/>
    </xf>
    <xf numFmtId="40" fontId="57" fillId="0" borderId="0" xfId="0" applyNumberFormat="1" applyFont="1" applyAlignment="1">
      <alignment horizontal="center" vertical="center"/>
    </xf>
    <xf numFmtId="40" fontId="58" fillId="0" borderId="0" xfId="0" applyNumberFormat="1" applyFont="1" applyAlignment="1">
      <alignment horizontal="center" vertical="center"/>
    </xf>
    <xf numFmtId="40" fontId="57" fillId="0" borderId="0" xfId="0" applyNumberFormat="1" applyFont="1" applyAlignment="1">
      <alignment horizontal="left" vertical="center"/>
    </xf>
    <xf numFmtId="0" fontId="41" fillId="0" borderId="25" xfId="0" applyFont="1" applyBorder="1" applyAlignment="1">
      <alignment horizontal="center" vertical="center"/>
    </xf>
    <xf numFmtId="168" fontId="41" fillId="0" borderId="25" xfId="0" applyNumberFormat="1" applyFont="1" applyBorder="1" applyAlignment="1">
      <alignment horizontal="center" vertical="center"/>
    </xf>
    <xf numFmtId="168" fontId="41" fillId="5" borderId="25" xfId="0" applyNumberFormat="1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40" fontId="45" fillId="0" borderId="0" xfId="0" applyNumberFormat="1" applyFont="1" applyAlignment="1">
      <alignment horizontal="left" vertical="center"/>
    </xf>
    <xf numFmtId="40" fontId="0" fillId="0" borderId="0" xfId="0" applyNumberFormat="1" applyAlignment="1">
      <alignment horizontal="right" vertical="center"/>
    </xf>
    <xf numFmtId="0" fontId="28" fillId="3" borderId="25" xfId="0" applyFont="1" applyFill="1" applyBorder="1" applyAlignment="1">
      <alignment horizontal="center" vertical="center"/>
    </xf>
    <xf numFmtId="40" fontId="41" fillId="0" borderId="25" xfId="0" applyNumberFormat="1" applyFont="1" applyBorder="1" applyAlignment="1">
      <alignment horizontal="left" vertical="center"/>
    </xf>
    <xf numFmtId="40" fontId="41" fillId="5" borderId="25" xfId="0" applyNumberFormat="1" applyFont="1" applyFill="1" applyBorder="1" applyAlignment="1">
      <alignment horizontal="right" vertical="center"/>
    </xf>
    <xf numFmtId="0" fontId="28" fillId="0" borderId="0" xfId="0" applyFont="1" applyAlignment="1">
      <alignment horizontal="center" vertical="center"/>
    </xf>
    <xf numFmtId="40" fontId="41" fillId="6" borderId="25" xfId="0" applyNumberFormat="1" applyFont="1" applyFill="1" applyBorder="1" applyAlignment="1">
      <alignment horizontal="left" vertical="center"/>
    </xf>
    <xf numFmtId="40" fontId="41" fillId="4" borderId="25" xfId="0" applyNumberFormat="1" applyFont="1" applyFill="1" applyBorder="1" applyAlignment="1">
      <alignment horizontal="right" vertical="center"/>
    </xf>
    <xf numFmtId="40" fontId="45" fillId="0" borderId="0" xfId="0" applyNumberFormat="1" applyFont="1" applyAlignment="1">
      <alignment horizontal="right" vertical="center"/>
    </xf>
    <xf numFmtId="40" fontId="41" fillId="0" borderId="26" xfId="0" applyNumberFormat="1" applyFont="1" applyBorder="1" applyAlignment="1">
      <alignment horizontal="left" vertical="center"/>
    </xf>
    <xf numFmtId="40" fontId="41" fillId="0" borderId="0" xfId="0" applyNumberFormat="1" applyFont="1" applyAlignment="1">
      <alignment horizontal="left" vertical="center"/>
    </xf>
    <xf numFmtId="0" fontId="31" fillId="5" borderId="25" xfId="0" applyFont="1" applyFill="1" applyBorder="1" applyAlignment="1">
      <alignment horizontal="center" vertical="center"/>
    </xf>
    <xf numFmtId="0" fontId="31" fillId="5" borderId="25" xfId="0" applyFont="1" applyFill="1" applyBorder="1" applyAlignment="1">
      <alignment horizontal="left" vertical="center"/>
    </xf>
    <xf numFmtId="0" fontId="31" fillId="0" borderId="25" xfId="0" applyFont="1" applyBorder="1" applyAlignment="1">
      <alignment horizontal="left" vertical="center"/>
    </xf>
    <xf numFmtId="40" fontId="45" fillId="5" borderId="25" xfId="0" applyNumberFormat="1" applyFont="1" applyFill="1" applyBorder="1" applyAlignment="1">
      <alignment horizontal="right" vertical="center"/>
    </xf>
    <xf numFmtId="164" fontId="0" fillId="0" borderId="0" xfId="0" applyNumberFormat="1"/>
    <xf numFmtId="49" fontId="31" fillId="5" borderId="25" xfId="0" applyNumberFormat="1" applyFont="1" applyFill="1" applyBorder="1" applyAlignment="1">
      <alignment horizontal="center" vertical="center"/>
    </xf>
    <xf numFmtId="49" fontId="31" fillId="5" borderId="25" xfId="0" applyNumberFormat="1" applyFont="1" applyFill="1" applyBorder="1" applyAlignment="1">
      <alignment horizontal="left" vertical="center"/>
    </xf>
    <xf numFmtId="49" fontId="31" fillId="0" borderId="25" xfId="0" applyNumberFormat="1" applyFont="1" applyBorder="1" applyAlignment="1">
      <alignment horizontal="left" vertical="center"/>
    </xf>
    <xf numFmtId="40" fontId="21" fillId="0" borderId="0" xfId="0" applyNumberFormat="1" applyFont="1"/>
    <xf numFmtId="40" fontId="21" fillId="0" borderId="0" xfId="0" applyNumberFormat="1" applyFont="1" applyAlignment="1">
      <alignment horizontal="right" vertical="center"/>
    </xf>
    <xf numFmtId="40" fontId="21" fillId="4" borderId="0" xfId="0" applyNumberFormat="1" applyFont="1" applyFill="1"/>
    <xf numFmtId="1" fontId="59" fillId="0" borderId="25" xfId="0" applyNumberFormat="1" applyFont="1" applyBorder="1" applyAlignment="1">
      <alignment horizontal="center" vertical="center"/>
    </xf>
    <xf numFmtId="1" fontId="59" fillId="3" borderId="25" xfId="0" applyNumberFormat="1" applyFont="1" applyFill="1" applyBorder="1" applyAlignment="1">
      <alignment horizontal="center" vertical="center"/>
    </xf>
    <xf numFmtId="1" fontId="59" fillId="4" borderId="25" xfId="0" applyNumberFormat="1" applyFont="1" applyFill="1" applyBorder="1" applyAlignment="1">
      <alignment horizontal="center" vertical="center"/>
    </xf>
    <xf numFmtId="0" fontId="60" fillId="0" borderId="0" xfId="0" applyFont="1" applyAlignment="1">
      <alignment horizontal="center" vertical="center"/>
    </xf>
    <xf numFmtId="1" fontId="59" fillId="6" borderId="25" xfId="0" applyNumberFormat="1" applyFont="1" applyFill="1" applyBorder="1" applyAlignment="1">
      <alignment horizontal="center" vertical="center"/>
    </xf>
    <xf numFmtId="164" fontId="61" fillId="3" borderId="25" xfId="0" applyNumberFormat="1" applyFont="1" applyFill="1" applyBorder="1" applyAlignment="1">
      <alignment horizontal="center" vertical="center" wrapText="1"/>
    </xf>
    <xf numFmtId="164" fontId="61" fillId="6" borderId="25" xfId="0" applyNumberFormat="1" applyFont="1" applyFill="1" applyBorder="1" applyAlignment="1">
      <alignment horizontal="center" vertical="center"/>
    </xf>
    <xf numFmtId="164" fontId="61" fillId="0" borderId="25" xfId="0" applyNumberFormat="1" applyFont="1" applyBorder="1" applyAlignment="1">
      <alignment horizontal="center" vertical="center"/>
    </xf>
    <xf numFmtId="164" fontId="61" fillId="7" borderId="25" xfId="0" applyNumberFormat="1" applyFont="1" applyFill="1" applyBorder="1" applyAlignment="1">
      <alignment horizontal="center" vertical="center" wrapText="1"/>
    </xf>
    <xf numFmtId="164" fontId="60" fillId="0" borderId="0" xfId="0" applyNumberFormat="1" applyFont="1" applyAlignment="1">
      <alignment vertical="center"/>
    </xf>
    <xf numFmtId="164" fontId="61" fillId="6" borderId="25" xfId="0" applyNumberFormat="1" applyFont="1" applyFill="1" applyBorder="1" applyAlignment="1">
      <alignment horizontal="center" vertical="center" wrapText="1"/>
    </xf>
    <xf numFmtId="0" fontId="60" fillId="0" borderId="0" xfId="0" applyFont="1" applyAlignment="1">
      <alignment vertical="center"/>
    </xf>
    <xf numFmtId="40" fontId="0" fillId="0" borderId="0" xfId="0" applyNumberFormat="1"/>
    <xf numFmtId="40" fontId="61" fillId="0" borderId="25" xfId="0" applyNumberFormat="1" applyFont="1" applyBorder="1" applyAlignment="1">
      <alignment horizontal="center" vertical="center" wrapText="1"/>
    </xf>
    <xf numFmtId="40" fontId="61" fillId="4" borderId="25" xfId="0" applyNumberFormat="1" applyFont="1" applyFill="1" applyBorder="1" applyAlignment="1">
      <alignment horizontal="center" vertical="center" wrapText="1"/>
    </xf>
    <xf numFmtId="40" fontId="60" fillId="0" borderId="0" xfId="0" applyNumberFormat="1" applyFont="1" applyAlignment="1">
      <alignment vertical="center"/>
    </xf>
    <xf numFmtId="164" fontId="59" fillId="4" borderId="25" xfId="0" applyNumberFormat="1" applyFont="1" applyFill="1" applyBorder="1" applyAlignment="1">
      <alignment horizontal="center" vertical="center" wrapText="1"/>
    </xf>
    <xf numFmtId="174" fontId="59" fillId="4" borderId="27" xfId="0" applyNumberFormat="1" applyFont="1" applyFill="1" applyBorder="1" applyAlignment="1">
      <alignment vertical="center"/>
    </xf>
    <xf numFmtId="164" fontId="61" fillId="0" borderId="25" xfId="0" applyNumberFormat="1" applyFont="1" applyBorder="1" applyAlignment="1">
      <alignment horizontal="center" vertical="center" wrapText="1"/>
    </xf>
    <xf numFmtId="168" fontId="62" fillId="0" borderId="25" xfId="0" applyNumberFormat="1" applyFont="1" applyBorder="1" applyAlignment="1">
      <alignment horizontal="center" vertical="center"/>
    </xf>
    <xf numFmtId="168" fontId="41" fillId="0" borderId="25" xfId="0" applyNumberFormat="1" applyFont="1" applyBorder="1" applyAlignment="1">
      <alignment horizontal="center" vertical="center" wrapText="1"/>
    </xf>
    <xf numFmtId="40" fontId="41" fillId="0" borderId="25" xfId="0" applyNumberFormat="1" applyFont="1" applyBorder="1" applyAlignment="1">
      <alignment horizontal="right" vertical="center"/>
    </xf>
    <xf numFmtId="40" fontId="62" fillId="6" borderId="25" xfId="0" applyNumberFormat="1" applyFont="1" applyFill="1" applyBorder="1" applyAlignment="1">
      <alignment horizontal="left" vertical="center"/>
    </xf>
    <xf numFmtId="40" fontId="41" fillId="6" borderId="25" xfId="0" applyNumberFormat="1" applyFont="1" applyFill="1" applyBorder="1" applyAlignment="1">
      <alignment horizontal="right" vertical="center"/>
    </xf>
    <xf numFmtId="40" fontId="45" fillId="0" borderId="25" xfId="0" applyNumberFormat="1" applyFont="1" applyBorder="1" applyAlignment="1">
      <alignment horizontal="right" vertical="center"/>
    </xf>
    <xf numFmtId="0" fontId="24" fillId="0" borderId="0" xfId="0" applyFont="1"/>
    <xf numFmtId="0" fontId="28" fillId="0" borderId="25" xfId="0" applyFont="1" applyBorder="1" applyAlignment="1">
      <alignment horizontal="center" vertical="center"/>
    </xf>
    <xf numFmtId="9" fontId="31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vertical="center"/>
    </xf>
    <xf numFmtId="0" fontId="22" fillId="5" borderId="0" xfId="0" applyFont="1" applyFill="1" applyAlignment="1" applyProtection="1">
      <alignment horizontal="left" vertical="center"/>
      <protection hidden="1"/>
    </xf>
    <xf numFmtId="0" fontId="63" fillId="0" borderId="0" xfId="0" applyFont="1" applyAlignment="1">
      <alignment horizontal="left" vertical="center"/>
    </xf>
    <xf numFmtId="164" fontId="63" fillId="0" borderId="0" xfId="0" applyNumberFormat="1" applyFont="1" applyAlignment="1">
      <alignment vertical="center"/>
    </xf>
    <xf numFmtId="9" fontId="63" fillId="0" borderId="0" xfId="0" applyNumberFormat="1" applyFont="1" applyAlignment="1">
      <alignment horizontal="center" vertical="center"/>
    </xf>
    <xf numFmtId="168" fontId="28" fillId="0" borderId="25" xfId="0" applyNumberFormat="1" applyFont="1" applyBorder="1" applyAlignment="1">
      <alignment horizontal="center" vertical="center"/>
    </xf>
    <xf numFmtId="9" fontId="28" fillId="0" borderId="0" xfId="0" applyNumberFormat="1" applyFont="1" applyAlignment="1">
      <alignment horizontal="center" vertical="center"/>
    </xf>
    <xf numFmtId="168" fontId="28" fillId="5" borderId="25" xfId="0" applyNumberFormat="1" applyFont="1" applyFill="1" applyBorder="1" applyAlignment="1">
      <alignment horizontal="center" vertical="center"/>
    </xf>
    <xf numFmtId="0" fontId="31" fillId="0" borderId="0" xfId="0" applyFont="1" applyAlignment="1">
      <alignment horizontal="right" vertical="center"/>
    </xf>
    <xf numFmtId="14" fontId="31" fillId="0" borderId="0" xfId="0" applyNumberFormat="1" applyFont="1" applyAlignment="1">
      <alignment vertical="center"/>
    </xf>
    <xf numFmtId="0" fontId="24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49" fontId="28" fillId="6" borderId="25" xfId="0" applyNumberFormat="1" applyFont="1" applyFill="1" applyBorder="1" applyAlignment="1">
      <alignment horizontal="left" vertical="center"/>
    </xf>
    <xf numFmtId="164" fontId="28" fillId="4" borderId="25" xfId="0" applyNumberFormat="1" applyFont="1" applyFill="1" applyBorder="1" applyAlignment="1">
      <alignment vertical="center"/>
    </xf>
    <xf numFmtId="0" fontId="31" fillId="5" borderId="25" xfId="0" applyFont="1" applyFill="1" applyBorder="1" applyAlignment="1">
      <alignment horizontal="right" vertical="center" wrapText="1"/>
    </xf>
    <xf numFmtId="0" fontId="31" fillId="5" borderId="25" xfId="0" applyFont="1" applyFill="1" applyBorder="1" applyAlignment="1">
      <alignment horizontal="left" vertical="center" wrapText="1"/>
    </xf>
    <xf numFmtId="164" fontId="31" fillId="5" borderId="25" xfId="0" applyNumberFormat="1" applyFont="1" applyFill="1" applyBorder="1" applyAlignment="1">
      <alignment horizontal="right" vertical="center" wrapText="1"/>
    </xf>
    <xf numFmtId="0" fontId="31" fillId="5" borderId="28" xfId="0" applyFont="1" applyFill="1" applyBorder="1" applyAlignment="1">
      <alignment horizontal="right" vertical="center" wrapText="1"/>
    </xf>
    <xf numFmtId="49" fontId="31" fillId="5" borderId="28" xfId="0" applyNumberFormat="1" applyFont="1" applyFill="1" applyBorder="1" applyAlignment="1">
      <alignment horizontal="left" vertical="center" wrapText="1"/>
    </xf>
    <xf numFmtId="40" fontId="31" fillId="0" borderId="28" xfId="0" applyNumberFormat="1" applyFont="1" applyBorder="1" applyAlignment="1">
      <alignment horizontal="right" vertical="center" wrapText="1"/>
    </xf>
    <xf numFmtId="0" fontId="31" fillId="3" borderId="28" xfId="0" applyFont="1" applyFill="1" applyBorder="1" applyAlignment="1">
      <alignment horizontal="right" vertical="center" wrapText="1"/>
    </xf>
    <xf numFmtId="49" fontId="31" fillId="0" borderId="28" xfId="0" applyNumberFormat="1" applyFont="1" applyBorder="1" applyAlignment="1">
      <alignment horizontal="left" vertical="center" wrapText="1"/>
    </xf>
    <xf numFmtId="40" fontId="31" fillId="5" borderId="28" xfId="0" applyNumberFormat="1" applyFont="1" applyFill="1" applyBorder="1" applyAlignment="1">
      <alignment horizontal="right" vertical="center" wrapText="1"/>
    </xf>
    <xf numFmtId="0" fontId="31" fillId="0" borderId="28" xfId="0" applyFont="1" applyBorder="1" applyAlignment="1">
      <alignment horizontal="right" vertical="center" wrapText="1"/>
    </xf>
    <xf numFmtId="164" fontId="31" fillId="0" borderId="28" xfId="0" applyNumberFormat="1" applyFont="1" applyBorder="1" applyAlignment="1">
      <alignment vertical="center" wrapText="1"/>
    </xf>
    <xf numFmtId="49" fontId="31" fillId="5" borderId="28" xfId="0" applyNumberFormat="1" applyFont="1" applyFill="1" applyBorder="1" applyAlignment="1">
      <alignment horizontal="right" vertical="center" wrapText="1"/>
    </xf>
    <xf numFmtId="0" fontId="31" fillId="0" borderId="0" xfId="0" applyFont="1" applyAlignment="1">
      <alignment horizontal="right" vertical="center" wrapText="1"/>
    </xf>
    <xf numFmtId="164" fontId="31" fillId="0" borderId="0" xfId="0" applyNumberFormat="1" applyFont="1" applyAlignment="1">
      <alignment vertical="center" wrapText="1"/>
    </xf>
    <xf numFmtId="164" fontId="31" fillId="0" borderId="0" xfId="0" applyNumberFormat="1" applyFont="1" applyAlignment="1">
      <alignment horizontal="right" vertical="center" wrapText="1"/>
    </xf>
    <xf numFmtId="40" fontId="28" fillId="4" borderId="25" xfId="0" applyNumberFormat="1" applyFont="1" applyFill="1" applyBorder="1" applyAlignment="1">
      <alignment vertical="center"/>
    </xf>
    <xf numFmtId="0" fontId="31" fillId="0" borderId="28" xfId="0" applyFont="1" applyBorder="1" applyAlignment="1">
      <alignment horizontal="left" vertical="center" wrapText="1"/>
    </xf>
    <xf numFmtId="9" fontId="31" fillId="3" borderId="0" xfId="0" applyNumberFormat="1" applyFont="1" applyFill="1" applyAlignment="1">
      <alignment horizontal="center" vertical="center"/>
    </xf>
    <xf numFmtId="10" fontId="31" fillId="3" borderId="0" xfId="0" applyNumberFormat="1" applyFont="1" applyFill="1" applyAlignment="1">
      <alignment horizontal="center" vertical="center"/>
    </xf>
    <xf numFmtId="0" fontId="28" fillId="0" borderId="0" xfId="0" applyFont="1" applyAlignment="1">
      <alignment horizontal="left" vertical="center"/>
    </xf>
    <xf numFmtId="164" fontId="31" fillId="0" borderId="25" xfId="0" applyNumberFormat="1" applyFont="1" applyBorder="1" applyAlignment="1">
      <alignment vertical="center"/>
    </xf>
    <xf numFmtId="164" fontId="28" fillId="0" borderId="25" xfId="0" applyNumberFormat="1" applyFont="1" applyBorder="1" applyAlignment="1">
      <alignment horizontal="right" vertical="center"/>
    </xf>
    <xf numFmtId="0" fontId="31" fillId="0" borderId="0" xfId="0" applyFont="1" applyAlignment="1">
      <alignment vertical="center"/>
    </xf>
    <xf numFmtId="40" fontId="28" fillId="4" borderId="28" xfId="0" applyNumberFormat="1" applyFont="1" applyFill="1" applyBorder="1" applyAlignment="1">
      <alignment horizontal="right" vertical="center" wrapText="1"/>
    </xf>
    <xf numFmtId="164" fontId="28" fillId="0" borderId="25" xfId="0" applyNumberFormat="1" applyFont="1" applyBorder="1" applyAlignment="1">
      <alignment horizontal="left" vertical="center"/>
    </xf>
    <xf numFmtId="164" fontId="31" fillId="0" borderId="29" xfId="0" applyNumberFormat="1" applyFont="1" applyBorder="1" applyAlignment="1">
      <alignment vertical="center" wrapText="1"/>
    </xf>
    <xf numFmtId="164" fontId="31" fillId="5" borderId="29" xfId="0" applyNumberFormat="1" applyFont="1" applyFill="1" applyBorder="1" applyAlignment="1">
      <alignment vertical="center" wrapText="1"/>
    </xf>
    <xf numFmtId="164" fontId="31" fillId="3" borderId="28" xfId="0" applyNumberFormat="1" applyFont="1" applyFill="1" applyBorder="1" applyAlignment="1">
      <alignment horizontal="right" vertical="center" wrapText="1"/>
    </xf>
    <xf numFmtId="164" fontId="31" fillId="5" borderId="28" xfId="0" applyNumberFormat="1" applyFont="1" applyFill="1" applyBorder="1" applyAlignment="1">
      <alignment vertical="center" wrapText="1"/>
    </xf>
    <xf numFmtId="9" fontId="64" fillId="0" borderId="0" xfId="0" applyNumberFormat="1" applyFont="1" applyAlignment="1">
      <alignment horizontal="center" vertical="center"/>
    </xf>
    <xf numFmtId="164" fontId="31" fillId="5" borderId="28" xfId="0" applyNumberFormat="1" applyFont="1" applyFill="1" applyBorder="1" applyAlignment="1">
      <alignment horizontal="right" vertical="center" wrapText="1"/>
    </xf>
    <xf numFmtId="0" fontId="31" fillId="0" borderId="30" xfId="0" applyFont="1" applyBorder="1" applyAlignment="1">
      <alignment horizontal="right" vertical="center" wrapText="1"/>
    </xf>
    <xf numFmtId="164" fontId="31" fillId="0" borderId="25" xfId="0" applyNumberFormat="1" applyFont="1" applyBorder="1" applyAlignment="1">
      <alignment vertical="center" wrapText="1"/>
    </xf>
    <xf numFmtId="164" fontId="31" fillId="0" borderId="28" xfId="0" applyNumberFormat="1" applyFont="1" applyBorder="1" applyAlignment="1">
      <alignment horizontal="right" vertical="center" wrapText="1"/>
    </xf>
    <xf numFmtId="164" fontId="31" fillId="0" borderId="25" xfId="0" applyNumberFormat="1" applyFont="1" applyBorder="1" applyAlignment="1">
      <alignment horizontal="right" vertical="center" wrapText="1"/>
    </xf>
    <xf numFmtId="0" fontId="31" fillId="5" borderId="28" xfId="0" applyFont="1" applyFill="1" applyBorder="1" applyAlignment="1">
      <alignment horizontal="left" vertical="center" wrapText="1"/>
    </xf>
    <xf numFmtId="164" fontId="31" fillId="5" borderId="29" xfId="0" applyNumberFormat="1" applyFont="1" applyFill="1" applyBorder="1" applyAlignment="1">
      <alignment horizontal="right" vertical="center" wrapText="1"/>
    </xf>
    <xf numFmtId="164" fontId="31" fillId="3" borderId="29" xfId="0" applyNumberFormat="1" applyFont="1" applyFill="1" applyBorder="1" applyAlignment="1">
      <alignment horizontal="right" vertical="center" wrapText="1"/>
    </xf>
    <xf numFmtId="164" fontId="31" fillId="0" borderId="29" xfId="0" applyNumberFormat="1" applyFont="1" applyBorder="1" applyAlignment="1">
      <alignment horizontal="right" vertical="center" wrapText="1"/>
    </xf>
    <xf numFmtId="164" fontId="31" fillId="3" borderId="28" xfId="0" applyNumberFormat="1" applyFont="1" applyFill="1" applyBorder="1" applyAlignment="1">
      <alignment horizontal="left" vertical="center" wrapText="1"/>
    </xf>
    <xf numFmtId="164" fontId="28" fillId="6" borderId="25" xfId="0" applyNumberFormat="1" applyFont="1" applyFill="1" applyBorder="1" applyAlignment="1">
      <alignment vertical="center"/>
    </xf>
    <xf numFmtId="49" fontId="31" fillId="0" borderId="0" xfId="0" applyNumberFormat="1" applyFont="1" applyAlignment="1">
      <alignment horizontal="right" vertical="center"/>
    </xf>
    <xf numFmtId="164" fontId="28" fillId="0" borderId="25" xfId="0" applyNumberFormat="1" applyFont="1" applyBorder="1" applyAlignment="1">
      <alignment vertical="center"/>
    </xf>
    <xf numFmtId="164" fontId="28" fillId="6" borderId="25" xfId="0" applyNumberFormat="1" applyFont="1" applyFill="1" applyBorder="1" applyAlignment="1">
      <alignment vertical="center" wrapText="1"/>
    </xf>
    <xf numFmtId="10" fontId="28" fillId="4" borderId="25" xfId="0" applyNumberFormat="1" applyFont="1" applyFill="1" applyBorder="1" applyAlignment="1">
      <alignment vertical="center"/>
    </xf>
    <xf numFmtId="164" fontId="28" fillId="0" borderId="25" xfId="0" applyNumberFormat="1" applyFont="1" applyBorder="1" applyAlignment="1">
      <alignment vertical="center" wrapText="1"/>
    </xf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>
      <alignment vertical="center"/>
    </xf>
    <xf numFmtId="40" fontId="65" fillId="0" borderId="0" xfId="0" applyNumberFormat="1" applyFont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17" fillId="0" borderId="0" xfId="0" applyFont="1" applyAlignment="1" applyProtection="1">
      <alignment vertical="center"/>
      <protection hidden="1"/>
    </xf>
    <xf numFmtId="0" fontId="24" fillId="0" borderId="0" xfId="0" applyFont="1" applyAlignment="1" applyProtection="1">
      <alignment vertical="center"/>
      <protection hidden="1"/>
    </xf>
    <xf numFmtId="0" fontId="24" fillId="0" borderId="0" xfId="0" applyFont="1" applyAlignment="1" applyProtection="1">
      <alignment horizontal="center" vertical="center"/>
      <protection hidden="1"/>
    </xf>
    <xf numFmtId="164" fontId="66" fillId="0" borderId="25" xfId="0" applyNumberFormat="1" applyFont="1" applyBorder="1" applyAlignment="1" applyProtection="1">
      <alignment horizontal="center" vertical="center" wrapText="1"/>
      <protection hidden="1"/>
    </xf>
    <xf numFmtId="39" fontId="0" fillId="3" borderId="25" xfId="0" applyNumberFormat="1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right" vertical="center"/>
      <protection hidden="1"/>
    </xf>
    <xf numFmtId="40" fontId="0" fillId="5" borderId="25" xfId="0" applyNumberFormat="1" applyFill="1" applyBorder="1" applyAlignment="1" applyProtection="1">
      <alignment horizontal="right" vertical="center"/>
      <protection locked="0" hidden="1"/>
    </xf>
    <xf numFmtId="10" fontId="0" fillId="4" borderId="25" xfId="0" applyNumberFormat="1" applyFill="1" applyBorder="1" applyAlignment="1" applyProtection="1">
      <alignment horizontal="center" vertical="center"/>
      <protection locked="0" hidden="1"/>
    </xf>
    <xf numFmtId="0" fontId="67" fillId="0" borderId="0" xfId="0" applyFont="1" applyAlignment="1" applyProtection="1">
      <alignment vertical="center"/>
      <protection locked="0" hidden="1"/>
    </xf>
    <xf numFmtId="164" fontId="0" fillId="0" borderId="0" xfId="0" applyNumberFormat="1" applyAlignment="1" applyProtection="1">
      <alignment vertical="center"/>
      <protection locked="0" hidden="1"/>
    </xf>
    <xf numFmtId="40" fontId="0" fillId="4" borderId="25" xfId="0" applyNumberFormat="1" applyFill="1" applyBorder="1" applyAlignment="1" applyProtection="1">
      <alignment horizontal="right" vertical="center"/>
      <protection locked="0" hidden="1"/>
    </xf>
    <xf numFmtId="171" fontId="68" fillId="4" borderId="25" xfId="0" applyNumberFormat="1" applyFont="1" applyFill="1" applyBorder="1" applyAlignment="1" applyProtection="1">
      <alignment vertical="center"/>
      <protection hidden="1"/>
    </xf>
    <xf numFmtId="171" fontId="68" fillId="0" borderId="0" xfId="0" applyNumberFormat="1" applyFont="1" applyAlignment="1" applyProtection="1">
      <alignment vertical="center"/>
      <protection hidden="1"/>
    </xf>
    <xf numFmtId="0" fontId="21" fillId="0" borderId="0" xfId="0" applyFont="1" applyAlignment="1" applyProtection="1">
      <alignment horizontal="center" vertical="center" wrapText="1"/>
      <protection hidden="1"/>
    </xf>
    <xf numFmtId="9" fontId="21" fillId="3" borderId="0" xfId="0" applyNumberFormat="1" applyFont="1" applyFill="1" applyAlignment="1" applyProtection="1">
      <alignment horizontal="center" vertical="center"/>
      <protection hidden="1"/>
    </xf>
    <xf numFmtId="14" fontId="21" fillId="0" borderId="0" xfId="0" applyNumberFormat="1" applyFont="1" applyAlignment="1" applyProtection="1">
      <alignment horizontal="center" vertical="center"/>
      <protection hidden="1"/>
    </xf>
    <xf numFmtId="17" fontId="0" fillId="0" borderId="26" xfId="0" applyNumberFormat="1" applyBorder="1" applyAlignment="1" applyProtection="1">
      <alignment horizontal="center" vertical="center"/>
      <protection hidden="1"/>
    </xf>
    <xf numFmtId="0" fontId="24" fillId="6" borderId="0" xfId="0" applyFont="1" applyFill="1" applyAlignment="1" applyProtection="1">
      <alignment horizontal="center" vertical="center"/>
      <protection hidden="1"/>
    </xf>
    <xf numFmtId="0" fontId="67" fillId="0" borderId="0" xfId="0" applyFont="1" applyAlignment="1" applyProtection="1">
      <alignment vertical="center"/>
      <protection hidden="1"/>
    </xf>
    <xf numFmtId="0" fontId="25" fillId="0" borderId="7" xfId="0" applyFont="1" applyBorder="1" applyAlignment="1" applyProtection="1">
      <alignment horizontal="center" vertical="center"/>
      <protection hidden="1"/>
    </xf>
    <xf numFmtId="164" fontId="25" fillId="0" borderId="7" xfId="0" applyNumberFormat="1" applyFont="1" applyBorder="1" applyAlignment="1" applyProtection="1">
      <alignment horizontal="center" vertical="center" wrapText="1"/>
      <protection hidden="1"/>
    </xf>
    <xf numFmtId="15" fontId="25" fillId="0" borderId="7" xfId="0" applyNumberFormat="1" applyFont="1" applyBorder="1" applyAlignment="1" applyProtection="1">
      <alignment horizontal="center" vertical="center" wrapText="1"/>
      <protection hidden="1"/>
    </xf>
    <xf numFmtId="0" fontId="25" fillId="0" borderId="7" xfId="0" applyFont="1" applyBorder="1" applyAlignment="1" applyProtection="1">
      <alignment horizontal="center" vertical="center" wrapText="1"/>
      <protection hidden="1"/>
    </xf>
    <xf numFmtId="0" fontId="21" fillId="0" borderId="0" xfId="0" applyFont="1" applyAlignment="1" applyProtection="1">
      <alignment vertical="center"/>
      <protection hidden="1"/>
    </xf>
    <xf numFmtId="0" fontId="21" fillId="3" borderId="7" xfId="0" applyFont="1" applyFill="1" applyBorder="1" applyAlignment="1" applyProtection="1">
      <alignment vertical="center"/>
      <protection hidden="1"/>
    </xf>
    <xf numFmtId="0" fontId="21" fillId="0" borderId="7" xfId="0" applyFont="1" applyBorder="1" applyAlignment="1" applyProtection="1">
      <alignment horizontal="center" vertical="center"/>
      <protection locked="0" hidden="1"/>
    </xf>
    <xf numFmtId="0" fontId="21" fillId="0" borderId="7" xfId="0" applyFont="1" applyBorder="1" applyAlignment="1" applyProtection="1">
      <alignment horizontal="justify" vertical="center" wrapText="1"/>
      <protection locked="0" hidden="1"/>
    </xf>
    <xf numFmtId="0" fontId="21" fillId="0" borderId="7" xfId="0" applyFont="1" applyBorder="1" applyAlignment="1" applyProtection="1">
      <alignment horizontal="center" vertical="center" wrapText="1"/>
      <protection locked="0" hidden="1"/>
    </xf>
    <xf numFmtId="0" fontId="30" fillId="0" borderId="7" xfId="0" applyFont="1" applyBorder="1" applyAlignment="1">
      <alignment vertical="center" wrapText="1" readingOrder="1"/>
    </xf>
    <xf numFmtId="168" fontId="21" fillId="0" borderId="7" xfId="0" applyNumberFormat="1" applyFont="1" applyBorder="1" applyAlignment="1" applyProtection="1">
      <alignment horizontal="center" vertical="center"/>
      <protection locked="0" hidden="1"/>
    </xf>
    <xf numFmtId="164" fontId="21" fillId="3" borderId="7" xfId="0" applyNumberFormat="1" applyFont="1" applyFill="1" applyBorder="1" applyAlignment="1" applyProtection="1">
      <alignment vertical="center"/>
      <protection locked="0" hidden="1"/>
    </xf>
    <xf numFmtId="164" fontId="21" fillId="0" borderId="7" xfId="0" applyNumberFormat="1" applyFont="1" applyBorder="1" applyAlignment="1" applyProtection="1">
      <alignment vertical="center"/>
      <protection locked="0" hidden="1"/>
    </xf>
    <xf numFmtId="164" fontId="21" fillId="4" borderId="7" xfId="0" applyNumberFormat="1" applyFont="1" applyFill="1" applyBorder="1" applyAlignment="1" applyProtection="1">
      <alignment vertical="center"/>
      <protection locked="0" hidden="1"/>
    </xf>
    <xf numFmtId="164" fontId="21" fillId="4" borderId="7" xfId="0" applyNumberFormat="1" applyFont="1" applyFill="1" applyBorder="1" applyAlignment="1" applyProtection="1">
      <alignment vertical="center"/>
      <protection hidden="1"/>
    </xf>
    <xf numFmtId="164" fontId="21" fillId="3" borderId="7" xfId="0" applyNumberFormat="1" applyFont="1" applyFill="1" applyBorder="1" applyAlignment="1" applyProtection="1">
      <alignment vertical="center"/>
      <protection hidden="1"/>
    </xf>
    <xf numFmtId="164" fontId="21" fillId="0" borderId="0" xfId="0" applyNumberFormat="1" applyFont="1" applyAlignment="1" applyProtection="1">
      <alignment vertical="center"/>
      <protection locked="0" hidden="1"/>
    </xf>
    <xf numFmtId="0" fontId="21" fillId="4" borderId="7" xfId="0" applyFont="1" applyFill="1" applyBorder="1" applyAlignment="1" applyProtection="1">
      <alignment horizontal="center" vertical="center"/>
      <protection locked="0" hidden="1"/>
    </xf>
    <xf numFmtId="0" fontId="21" fillId="0" borderId="7" xfId="0" applyFont="1" applyBorder="1" applyAlignment="1" applyProtection="1">
      <alignment vertical="center"/>
      <protection locked="0" hidden="1"/>
    </xf>
    <xf numFmtId="0" fontId="69" fillId="0" borderId="0" xfId="0" applyFont="1" applyAlignment="1" applyProtection="1">
      <alignment vertical="center"/>
      <protection hidden="1"/>
    </xf>
    <xf numFmtId="0" fontId="64" fillId="0" borderId="0" xfId="0" applyFont="1" applyAlignment="1" applyProtection="1">
      <alignment vertical="center"/>
      <protection hidden="1"/>
    </xf>
    <xf numFmtId="0" fontId="31" fillId="0" borderId="7" xfId="0" applyFont="1" applyBorder="1" applyAlignment="1">
      <alignment vertical="center"/>
    </xf>
    <xf numFmtId="0" fontId="31" fillId="0" borderId="7" xfId="0" applyFont="1" applyBorder="1" applyAlignment="1" applyProtection="1">
      <alignment horizontal="justify" vertical="center" wrapText="1"/>
      <protection locked="0" hidden="1"/>
    </xf>
    <xf numFmtId="0" fontId="21" fillId="0" borderId="7" xfId="0" applyFont="1" applyBorder="1" applyAlignment="1" applyProtection="1">
      <alignment vertical="center"/>
      <protection hidden="1"/>
    </xf>
    <xf numFmtId="168" fontId="21" fillId="0" borderId="7" xfId="0" applyNumberFormat="1" applyFont="1" applyBorder="1" applyAlignment="1" applyProtection="1">
      <alignment horizontal="left" vertical="center"/>
      <protection locked="0" hidden="1"/>
    </xf>
    <xf numFmtId="164" fontId="21" fillId="0" borderId="7" xfId="0" applyNumberFormat="1" applyFont="1" applyBorder="1" applyAlignment="1" applyProtection="1">
      <alignment vertical="center"/>
      <protection hidden="1"/>
    </xf>
    <xf numFmtId="0" fontId="31" fillId="0" borderId="7" xfId="0" applyFont="1" applyBorder="1" applyAlignment="1" applyProtection="1">
      <alignment horizontal="left" vertical="center"/>
      <protection locked="0" hidden="1"/>
    </xf>
    <xf numFmtId="0" fontId="64" fillId="0" borderId="7" xfId="0" applyFont="1" applyBorder="1" applyAlignment="1" applyProtection="1">
      <alignment horizontal="justify" vertical="center" wrapText="1"/>
      <protection locked="0" hidden="1"/>
    </xf>
    <xf numFmtId="0" fontId="64" fillId="0" borderId="7" xfId="0" applyFont="1" applyBorder="1" applyAlignment="1" applyProtection="1">
      <alignment vertical="center"/>
      <protection locked="0" hidden="1"/>
    </xf>
    <xf numFmtId="0" fontId="66" fillId="0" borderId="0" xfId="0" applyFont="1" applyAlignment="1" applyProtection="1">
      <alignment vertical="center"/>
      <protection hidden="1"/>
    </xf>
    <xf numFmtId="0" fontId="25" fillId="0" borderId="7" xfId="0" applyFont="1" applyBorder="1" applyAlignment="1" applyProtection="1">
      <alignment vertical="center"/>
      <protection hidden="1"/>
    </xf>
    <xf numFmtId="0" fontId="25" fillId="0" borderId="7" xfId="0" applyFont="1" applyBorder="1" applyAlignment="1" applyProtection="1">
      <alignment horizontal="center" vertical="center"/>
      <protection locked="0" hidden="1"/>
    </xf>
    <xf numFmtId="0" fontId="25" fillId="0" borderId="7" xfId="0" applyFont="1" applyBorder="1" applyAlignment="1" applyProtection="1">
      <alignment vertical="center"/>
      <protection locked="0" hidden="1"/>
    </xf>
    <xf numFmtId="0" fontId="25" fillId="4" borderId="7" xfId="0" applyFont="1" applyFill="1" applyBorder="1" applyAlignment="1" applyProtection="1">
      <alignment horizontal="center" vertical="center"/>
      <protection locked="0" hidden="1"/>
    </xf>
    <xf numFmtId="164" fontId="25" fillId="4" borderId="7" xfId="0" applyNumberFormat="1" applyFont="1" applyFill="1" applyBorder="1" applyAlignment="1" applyProtection="1">
      <alignment vertical="center"/>
      <protection locked="0" hidden="1"/>
    </xf>
    <xf numFmtId="164" fontId="25" fillId="0" borderId="7" xfId="0" applyNumberFormat="1" applyFont="1" applyBorder="1" applyAlignment="1" applyProtection="1">
      <alignment vertical="center"/>
      <protection locked="0" hidden="1"/>
    </xf>
    <xf numFmtId="0" fontId="70" fillId="0" borderId="7" xfId="0" applyFont="1" applyBorder="1" applyAlignment="1" applyProtection="1">
      <alignment horizontal="center" vertical="center"/>
      <protection hidden="1"/>
    </xf>
    <xf numFmtId="168" fontId="21" fillId="0" borderId="7" xfId="0" applyNumberFormat="1" applyFont="1" applyBorder="1" applyAlignment="1" applyProtection="1">
      <alignment vertical="center"/>
      <protection hidden="1"/>
    </xf>
    <xf numFmtId="43" fontId="21" fillId="4" borderId="7" xfId="0" applyNumberFormat="1" applyFont="1" applyFill="1" applyBorder="1" applyAlignment="1" applyProtection="1">
      <alignment vertical="center"/>
      <protection hidden="1"/>
    </xf>
    <xf numFmtId="168" fontId="31" fillId="0" borderId="7" xfId="0" applyNumberFormat="1" applyFont="1" applyBorder="1" applyAlignment="1" applyProtection="1">
      <alignment horizontal="center" vertical="center"/>
      <protection locked="0" hidden="1"/>
    </xf>
    <xf numFmtId="0" fontId="21" fillId="3" borderId="7" xfId="0" applyFont="1" applyFill="1" applyBorder="1" applyAlignment="1" applyProtection="1">
      <alignment vertical="center"/>
      <protection locked="0" hidden="1"/>
    </xf>
    <xf numFmtId="0" fontId="71" fillId="0" borderId="0" xfId="0" applyFont="1" applyAlignment="1" applyProtection="1">
      <alignment vertical="center"/>
      <protection hidden="1"/>
    </xf>
    <xf numFmtId="0" fontId="31" fillId="3" borderId="7" xfId="0" applyFont="1" applyFill="1" applyBorder="1" applyAlignment="1" applyProtection="1">
      <alignment vertical="center"/>
      <protection hidden="1"/>
    </xf>
    <xf numFmtId="0" fontId="31" fillId="4" borderId="7" xfId="0" applyFont="1" applyFill="1" applyBorder="1" applyAlignment="1" applyProtection="1">
      <alignment horizontal="center" vertical="center"/>
      <protection locked="0" hidden="1"/>
    </xf>
    <xf numFmtId="0" fontId="31" fillId="0" borderId="7" xfId="0" applyFont="1" applyBorder="1" applyAlignment="1" applyProtection="1">
      <alignment horizontal="center" vertical="center" wrapText="1"/>
      <protection locked="0" hidden="1"/>
    </xf>
    <xf numFmtId="0" fontId="31" fillId="3" borderId="7" xfId="0" applyFont="1" applyFill="1" applyBorder="1" applyAlignment="1" applyProtection="1">
      <alignment vertical="center"/>
      <protection locked="0" hidden="1"/>
    </xf>
    <xf numFmtId="164" fontId="31" fillId="0" borderId="7" xfId="0" applyNumberFormat="1" applyFont="1" applyBorder="1" applyAlignment="1" applyProtection="1">
      <alignment vertical="center"/>
      <protection locked="0" hidden="1"/>
    </xf>
    <xf numFmtId="164" fontId="31" fillId="4" borderId="7" xfId="0" applyNumberFormat="1" applyFont="1" applyFill="1" applyBorder="1" applyAlignment="1" applyProtection="1">
      <alignment vertical="center"/>
      <protection locked="0" hidden="1"/>
    </xf>
    <xf numFmtId="164" fontId="31" fillId="4" borderId="7" xfId="0" applyNumberFormat="1" applyFont="1" applyFill="1" applyBorder="1" applyAlignment="1" applyProtection="1">
      <alignment vertical="center"/>
      <protection hidden="1"/>
    </xf>
    <xf numFmtId="164" fontId="31" fillId="3" borderId="7" xfId="0" applyNumberFormat="1" applyFont="1" applyFill="1" applyBorder="1" applyAlignment="1" applyProtection="1">
      <alignment vertical="center"/>
      <protection hidden="1"/>
    </xf>
    <xf numFmtId="0" fontId="31" fillId="0" borderId="7" xfId="0" applyFont="1" applyBorder="1" applyAlignment="1" applyProtection="1">
      <alignment vertical="center"/>
      <protection hidden="1"/>
    </xf>
    <xf numFmtId="164" fontId="31" fillId="0" borderId="7" xfId="0" applyNumberFormat="1" applyFont="1" applyBorder="1" applyAlignment="1" applyProtection="1">
      <alignment vertical="center"/>
      <protection hidden="1"/>
    </xf>
    <xf numFmtId="168" fontId="28" fillId="0" borderId="7" xfId="0" applyNumberFormat="1" applyFont="1" applyBorder="1" applyAlignment="1" applyProtection="1">
      <alignment horizontal="center" vertical="center"/>
      <protection locked="0" hidden="1"/>
    </xf>
    <xf numFmtId="164" fontId="25" fillId="4" borderId="7" xfId="0" applyNumberFormat="1" applyFont="1" applyFill="1" applyBorder="1" applyAlignment="1" applyProtection="1">
      <alignment vertical="center"/>
      <protection hidden="1"/>
    </xf>
    <xf numFmtId="0" fontId="21" fillId="0" borderId="0" xfId="0" applyFont="1" applyAlignment="1" applyProtection="1">
      <alignment horizontal="center" vertical="center"/>
      <protection hidden="1"/>
    </xf>
    <xf numFmtId="0" fontId="21" fillId="4" borderId="7" xfId="0" applyFont="1" applyFill="1" applyBorder="1" applyAlignment="1" applyProtection="1">
      <alignment horizontal="center" vertical="center"/>
      <protection hidden="1"/>
    </xf>
    <xf numFmtId="0" fontId="21" fillId="0" borderId="0" xfId="0" applyFont="1" applyAlignment="1" applyProtection="1">
      <alignment vertical="center"/>
      <protection locked="0" hidden="1"/>
    </xf>
    <xf numFmtId="9" fontId="72" fillId="3" borderId="0" xfId="0" applyNumberFormat="1" applyFont="1" applyFill="1" applyAlignment="1" applyProtection="1">
      <alignment horizontal="center" vertical="center"/>
      <protection hidden="1"/>
    </xf>
    <xf numFmtId="9" fontId="72" fillId="0" borderId="0" xfId="0" applyNumberFormat="1" applyFont="1" applyAlignment="1" applyProtection="1">
      <alignment horizontal="center" vertical="center"/>
      <protection hidden="1"/>
    </xf>
    <xf numFmtId="0" fontId="70" fillId="0" borderId="0" xfId="0" applyFont="1" applyAlignment="1" applyProtection="1">
      <alignment vertical="center"/>
      <protection hidden="1"/>
    </xf>
    <xf numFmtId="164" fontId="21" fillId="0" borderId="0" xfId="0" applyNumberFormat="1" applyFont="1" applyAlignment="1" applyProtection="1">
      <alignment vertical="center"/>
      <protection hidden="1"/>
    </xf>
    <xf numFmtId="0" fontId="21" fillId="0" borderId="0" xfId="0" applyFont="1" applyAlignment="1" applyProtection="1">
      <alignment horizontal="center" vertical="center"/>
      <protection locked="0" hidden="1"/>
    </xf>
    <xf numFmtId="0" fontId="21" fillId="0" borderId="0" xfId="0" applyFont="1" applyAlignment="1" applyProtection="1">
      <alignment horizontal="center" vertical="center" wrapText="1"/>
      <protection locked="0" hidden="1"/>
    </xf>
    <xf numFmtId="0" fontId="25" fillId="0" borderId="23" xfId="0" applyFont="1" applyBorder="1" applyAlignment="1" applyProtection="1">
      <alignment vertical="center"/>
      <protection locked="0" hidden="1"/>
    </xf>
    <xf numFmtId="164" fontId="25" fillId="0" borderId="0" xfId="0" applyNumberFormat="1" applyFont="1" applyAlignment="1" applyProtection="1">
      <alignment vertical="center"/>
      <protection locked="0" hidden="1"/>
    </xf>
    <xf numFmtId="0" fontId="21" fillId="4" borderId="0" xfId="0" applyFont="1" applyFill="1" applyAlignment="1" applyProtection="1">
      <alignment horizontal="center" vertical="center"/>
      <protection hidden="1"/>
    </xf>
    <xf numFmtId="0" fontId="25" fillId="0" borderId="24" xfId="0" applyFont="1" applyBorder="1" applyAlignment="1" applyProtection="1">
      <alignment vertical="center"/>
      <protection hidden="1"/>
    </xf>
    <xf numFmtId="43" fontId="21" fillId="0" borderId="7" xfId="0" applyNumberFormat="1" applyFont="1" applyBorder="1" applyAlignment="1" applyProtection="1">
      <alignment vertical="center"/>
      <protection hidden="1"/>
    </xf>
    <xf numFmtId="0" fontId="25" fillId="0" borderId="0" xfId="0" applyFont="1" applyAlignment="1" applyProtection="1">
      <alignment vertical="center"/>
      <protection hidden="1"/>
    </xf>
    <xf numFmtId="0" fontId="25" fillId="4" borderId="0" xfId="0" applyFont="1" applyFill="1" applyAlignment="1" applyProtection="1">
      <alignment horizontal="center" vertical="center"/>
      <protection hidden="1"/>
    </xf>
    <xf numFmtId="0" fontId="25" fillId="0" borderId="0" xfId="0" applyFont="1" applyAlignment="1" applyProtection="1">
      <alignment horizontal="center" vertical="center"/>
      <protection hidden="1"/>
    </xf>
    <xf numFmtId="43" fontId="25" fillId="4" borderId="7" xfId="0" applyNumberFormat="1" applyFont="1" applyFill="1" applyBorder="1" applyAlignment="1" applyProtection="1">
      <alignment vertical="center"/>
      <protection hidden="1"/>
    </xf>
    <xf numFmtId="0" fontId="23" fillId="0" borderId="0" xfId="0" applyFont="1" applyAlignment="1" applyProtection="1">
      <alignment vertical="center"/>
      <protection hidden="1"/>
    </xf>
    <xf numFmtId="0" fontId="24" fillId="3" borderId="31" xfId="0" applyFont="1" applyFill="1" applyBorder="1"/>
    <xf numFmtId="0" fontId="73" fillId="0" borderId="0" xfId="0" applyFont="1" applyAlignment="1" applyProtection="1">
      <alignment horizontal="left" vertical="center"/>
      <protection hidden="1"/>
    </xf>
    <xf numFmtId="175" fontId="74" fillId="0" borderId="0" xfId="0" applyNumberFormat="1" applyFont="1" applyAlignment="1" applyProtection="1">
      <alignment vertical="center"/>
      <protection hidden="1"/>
    </xf>
    <xf numFmtId="175" fontId="74" fillId="0" borderId="0" xfId="0" applyNumberFormat="1" applyFont="1" applyAlignment="1" applyProtection="1">
      <alignment horizontal="center" vertical="center"/>
      <protection hidden="1"/>
    </xf>
    <xf numFmtId="0" fontId="75" fillId="0" borderId="0" xfId="0" applyFont="1" applyAlignment="1" applyProtection="1">
      <alignment horizontal="left" vertical="center"/>
      <protection hidden="1"/>
    </xf>
    <xf numFmtId="0" fontId="24" fillId="3" borderId="0" xfId="0" applyFont="1" applyFill="1" applyAlignment="1">
      <alignment horizontal="center" vertical="center"/>
    </xf>
    <xf numFmtId="0" fontId="67" fillId="0" borderId="0" xfId="0" applyFont="1" applyAlignment="1">
      <alignment vertical="center"/>
    </xf>
    <xf numFmtId="15" fontId="76" fillId="20" borderId="32" xfId="0" applyNumberFormat="1" applyFont="1" applyFill="1" applyBorder="1" applyAlignment="1" applyProtection="1">
      <alignment horizontal="center" vertical="center"/>
      <protection hidden="1"/>
    </xf>
    <xf numFmtId="15" fontId="76" fillId="6" borderId="32" xfId="0" applyNumberFormat="1" applyFont="1" applyFill="1" applyBorder="1" applyAlignment="1" applyProtection="1">
      <alignment horizontal="center" vertical="center"/>
      <protection hidden="1"/>
    </xf>
    <xf numFmtId="15" fontId="76" fillId="21" borderId="32" xfId="0" applyNumberFormat="1" applyFont="1" applyFill="1" applyBorder="1" applyAlignment="1" applyProtection="1">
      <alignment horizontal="center" vertical="center"/>
      <protection hidden="1"/>
    </xf>
    <xf numFmtId="0" fontId="66" fillId="0" borderId="0" xfId="0" applyFont="1" applyAlignment="1">
      <alignment vertical="center"/>
    </xf>
    <xf numFmtId="0" fontId="76" fillId="8" borderId="33" xfId="0" applyFont="1" applyFill="1" applyBorder="1" applyAlignment="1" applyProtection="1">
      <alignment horizontal="left" vertical="center"/>
      <protection hidden="1"/>
    </xf>
    <xf numFmtId="169" fontId="76" fillId="4" borderId="33" xfId="0" applyNumberFormat="1" applyFont="1" applyFill="1" applyBorder="1" applyAlignment="1" applyProtection="1">
      <alignment horizontal="right" vertical="center"/>
      <protection hidden="1"/>
    </xf>
    <xf numFmtId="0" fontId="76" fillId="0" borderId="33" xfId="0" applyFont="1" applyBorder="1" applyAlignment="1" applyProtection="1">
      <alignment horizontal="left" vertical="center"/>
      <protection hidden="1"/>
    </xf>
    <xf numFmtId="169" fontId="71" fillId="0" borderId="33" xfId="0" applyNumberFormat="1" applyFont="1" applyBorder="1" applyAlignment="1" applyProtection="1">
      <alignment horizontal="right" vertical="center"/>
      <protection hidden="1"/>
    </xf>
    <xf numFmtId="169" fontId="71" fillId="4" borderId="33" xfId="0" applyNumberFormat="1" applyFont="1" applyFill="1" applyBorder="1" applyAlignment="1" applyProtection="1">
      <alignment horizontal="right" vertical="center"/>
      <protection hidden="1"/>
    </xf>
    <xf numFmtId="169" fontId="71" fillId="3" borderId="33" xfId="0" applyNumberFormat="1" applyFont="1" applyFill="1" applyBorder="1" applyAlignment="1" applyProtection="1">
      <alignment horizontal="right" vertical="center"/>
      <protection hidden="1"/>
    </xf>
    <xf numFmtId="169" fontId="76" fillId="8" borderId="33" xfId="0" applyNumberFormat="1" applyFont="1" applyFill="1" applyBorder="1" applyAlignment="1" applyProtection="1">
      <alignment horizontal="right" vertical="center"/>
      <protection hidden="1"/>
    </xf>
    <xf numFmtId="169" fontId="76" fillId="3" borderId="33" xfId="0" applyNumberFormat="1" applyFont="1" applyFill="1" applyBorder="1" applyAlignment="1" applyProtection="1">
      <alignment horizontal="right" vertical="center"/>
      <protection hidden="1"/>
    </xf>
    <xf numFmtId="0" fontId="76" fillId="22" borderId="32" xfId="0" applyFont="1" applyFill="1" applyBorder="1" applyAlignment="1" applyProtection="1">
      <alignment horizontal="center" vertical="center"/>
      <protection hidden="1"/>
    </xf>
    <xf numFmtId="169" fontId="76" fillId="4" borderId="32" xfId="0" applyNumberFormat="1" applyFont="1" applyFill="1" applyBorder="1" applyAlignment="1" applyProtection="1">
      <alignment horizontal="right" vertical="center"/>
      <protection hidden="1"/>
    </xf>
    <xf numFmtId="0" fontId="75" fillId="4" borderId="0" xfId="0" applyFont="1" applyFill="1" applyAlignment="1" applyProtection="1">
      <alignment horizontal="left" vertical="center"/>
      <protection hidden="1"/>
    </xf>
    <xf numFmtId="0" fontId="24" fillId="4" borderId="0" xfId="0" applyFont="1" applyFill="1" applyAlignment="1">
      <alignment horizontal="center" vertical="center"/>
    </xf>
    <xf numFmtId="15" fontId="76" fillId="4" borderId="32" xfId="0" applyNumberFormat="1" applyFont="1" applyFill="1" applyBorder="1" applyAlignment="1" applyProtection="1">
      <alignment horizontal="center" vertical="center"/>
      <protection hidden="1"/>
    </xf>
    <xf numFmtId="0" fontId="76" fillId="4" borderId="33" xfId="0" applyFont="1" applyFill="1" applyBorder="1" applyAlignment="1" applyProtection="1">
      <alignment horizontal="left" vertical="center"/>
      <protection hidden="1"/>
    </xf>
    <xf numFmtId="175" fontId="74" fillId="4" borderId="0" xfId="0" applyNumberFormat="1" applyFont="1" applyFill="1" applyAlignment="1" applyProtection="1">
      <alignment horizontal="center" vertical="center"/>
      <protection hidden="1"/>
    </xf>
    <xf numFmtId="0" fontId="73" fillId="4" borderId="0" xfId="0" applyFont="1" applyFill="1" applyAlignment="1" applyProtection="1">
      <alignment horizontal="left" vertical="center"/>
      <protection hidden="1"/>
    </xf>
    <xf numFmtId="10" fontId="76" fillId="4" borderId="33" xfId="0" applyNumberFormat="1" applyFont="1" applyFill="1" applyBorder="1" applyAlignment="1" applyProtection="1">
      <alignment horizontal="left" vertical="center"/>
      <protection hidden="1"/>
    </xf>
    <xf numFmtId="10" fontId="71" fillId="4" borderId="33" xfId="0" applyNumberFormat="1" applyFont="1" applyFill="1" applyBorder="1" applyAlignment="1" applyProtection="1">
      <alignment horizontal="center" vertical="center"/>
      <protection hidden="1"/>
    </xf>
    <xf numFmtId="10" fontId="76" fillId="4" borderId="32" xfId="0" applyNumberFormat="1" applyFont="1" applyFill="1" applyBorder="1" applyAlignment="1" applyProtection="1">
      <alignment horizontal="center" vertical="center"/>
      <protection hidden="1"/>
    </xf>
    <xf numFmtId="0" fontId="77" fillId="0" borderId="0" xfId="0" applyFont="1" applyAlignment="1">
      <alignment vertical="center"/>
    </xf>
    <xf numFmtId="0" fontId="77" fillId="0" borderId="0" xfId="0" applyFont="1" applyAlignment="1" applyProtection="1">
      <alignment horizontal="center" vertical="center"/>
      <protection hidden="1"/>
    </xf>
    <xf numFmtId="0" fontId="77" fillId="0" borderId="0" xfId="0" applyFont="1" applyAlignment="1" applyProtection="1">
      <alignment vertical="center"/>
      <protection hidden="1"/>
    </xf>
    <xf numFmtId="10" fontId="76" fillId="4" borderId="33" xfId="0" applyNumberFormat="1" applyFont="1" applyFill="1" applyBorder="1" applyAlignment="1" applyProtection="1">
      <alignment vertical="center"/>
      <protection hidden="1"/>
    </xf>
    <xf numFmtId="40" fontId="71" fillId="5" borderId="33" xfId="0" applyNumberFormat="1" applyFont="1" applyFill="1" applyBorder="1" applyAlignment="1" applyProtection="1">
      <alignment horizontal="right" vertical="center"/>
      <protection hidden="1"/>
    </xf>
    <xf numFmtId="10" fontId="76" fillId="20" borderId="33" xfId="0" applyNumberFormat="1" applyFont="1" applyFill="1" applyBorder="1" applyAlignment="1" applyProtection="1">
      <alignment vertical="center"/>
      <protection hidden="1"/>
    </xf>
    <xf numFmtId="0" fontId="76" fillId="20" borderId="33" xfId="0" applyFont="1" applyFill="1" applyBorder="1" applyAlignment="1" applyProtection="1">
      <alignment vertical="center"/>
      <protection hidden="1"/>
    </xf>
    <xf numFmtId="40" fontId="76" fillId="4" borderId="32" xfId="0" applyNumberFormat="1" applyFont="1" applyFill="1" applyBorder="1" applyAlignment="1" applyProtection="1">
      <alignment horizontal="right" vertical="center"/>
      <protection hidden="1"/>
    </xf>
    <xf numFmtId="175" fontId="74" fillId="0" borderId="34" xfId="0" applyNumberFormat="1" applyFont="1" applyBorder="1" applyAlignment="1" applyProtection="1">
      <alignment horizontal="center" vertical="center"/>
      <protection hidden="1"/>
    </xf>
    <xf numFmtId="0" fontId="77" fillId="3" borderId="0" xfId="0" applyFont="1" applyFill="1" applyAlignment="1" applyProtection="1">
      <alignment horizontal="center" vertical="center"/>
      <protection hidden="1"/>
    </xf>
    <xf numFmtId="0" fontId="77" fillId="4" borderId="0" xfId="0" applyFont="1" applyFill="1" applyAlignment="1" applyProtection="1">
      <alignment horizontal="center" vertical="center"/>
      <protection hidden="1"/>
    </xf>
    <xf numFmtId="40" fontId="71" fillId="4" borderId="33" xfId="0" applyNumberFormat="1" applyFont="1" applyFill="1" applyBorder="1" applyAlignment="1" applyProtection="1">
      <alignment horizontal="right" vertical="center"/>
      <protection hidden="1"/>
    </xf>
    <xf numFmtId="0" fontId="76" fillId="20" borderId="33" xfId="0" applyFont="1" applyFill="1" applyBorder="1" applyAlignment="1" applyProtection="1">
      <alignment horizontal="left" vertical="center"/>
      <protection hidden="1"/>
    </xf>
    <xf numFmtId="40" fontId="71" fillId="0" borderId="33" xfId="0" applyNumberFormat="1" applyFont="1" applyBorder="1" applyAlignment="1" applyProtection="1">
      <alignment horizontal="right" vertical="center"/>
      <protection hidden="1"/>
    </xf>
    <xf numFmtId="10" fontId="74" fillId="0" borderId="34" xfId="0" applyNumberFormat="1" applyFont="1" applyBorder="1" applyAlignment="1" applyProtection="1">
      <alignment vertical="center"/>
      <protection hidden="1"/>
    </xf>
    <xf numFmtId="10" fontId="74" fillId="0" borderId="0" xfId="0" applyNumberFormat="1" applyFont="1" applyAlignment="1" applyProtection="1">
      <alignment horizontal="center" vertical="center"/>
      <protection hidden="1"/>
    </xf>
    <xf numFmtId="0" fontId="11" fillId="0" borderId="0" xfId="0" applyFont="1" applyAlignment="1">
      <alignment vertical="center"/>
    </xf>
    <xf numFmtId="0" fontId="73" fillId="0" borderId="35" xfId="0" applyFont="1" applyBorder="1" applyAlignment="1" applyProtection="1">
      <alignment horizontal="left" vertical="center" wrapText="1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4" borderId="0" xfId="0" applyFont="1" applyFill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vertical="center"/>
      <protection hidden="1"/>
    </xf>
    <xf numFmtId="40" fontId="71" fillId="3" borderId="33" xfId="0" applyNumberFormat="1" applyFont="1" applyFill="1" applyBorder="1" applyAlignment="1" applyProtection="1">
      <alignment horizontal="right" vertical="center"/>
      <protection hidden="1"/>
    </xf>
    <xf numFmtId="0" fontId="66" fillId="0" borderId="0" xfId="0" applyFont="1" applyAlignment="1">
      <alignment horizontal="left" vertical="center"/>
    </xf>
    <xf numFmtId="164" fontId="66" fillId="4" borderId="0" xfId="0" applyNumberFormat="1" applyFont="1" applyFill="1" applyAlignment="1">
      <alignment vertical="center"/>
    </xf>
    <xf numFmtId="0" fontId="67" fillId="0" borderId="0" xfId="0" applyFont="1" applyAlignment="1">
      <alignment horizontal="left" vertical="center"/>
    </xf>
    <xf numFmtId="164" fontId="67" fillId="5" borderId="0" xfId="0" applyNumberFormat="1" applyFont="1" applyFill="1" applyAlignment="1">
      <alignment vertical="center"/>
    </xf>
    <xf numFmtId="165" fontId="66" fillId="4" borderId="0" xfId="0" applyNumberFormat="1" applyFont="1" applyFill="1" applyAlignment="1">
      <alignment vertical="center"/>
    </xf>
    <xf numFmtId="0" fontId="67" fillId="4" borderId="0" xfId="0" applyFont="1" applyFill="1" applyAlignment="1">
      <alignment horizontal="left" vertical="center"/>
    </xf>
    <xf numFmtId="165" fontId="67" fillId="4" borderId="0" xfId="0" applyNumberFormat="1" applyFont="1" applyFill="1" applyAlignment="1">
      <alignment vertical="center"/>
    </xf>
    <xf numFmtId="0" fontId="24" fillId="0" borderId="0" xfId="0" applyFont="1" applyAlignment="1">
      <alignment horizontal="left" vertical="center"/>
    </xf>
    <xf numFmtId="0" fontId="24" fillId="3" borderId="0" xfId="0" applyFont="1" applyFill="1" applyAlignment="1">
      <alignment horizontal="left" vertical="center"/>
    </xf>
    <xf numFmtId="15" fontId="76" fillId="21" borderId="36" xfId="0" applyNumberFormat="1" applyFont="1" applyFill="1" applyBorder="1" applyAlignment="1" applyProtection="1">
      <alignment horizontal="center" vertical="center"/>
      <protection hidden="1"/>
    </xf>
    <xf numFmtId="40" fontId="71" fillId="0" borderId="25" xfId="0" applyNumberFormat="1" applyFont="1" applyBorder="1" applyAlignment="1" applyProtection="1">
      <alignment horizontal="right" vertical="center"/>
      <protection hidden="1"/>
    </xf>
    <xf numFmtId="40" fontId="71" fillId="4" borderId="25" xfId="0" applyNumberFormat="1" applyFont="1" applyFill="1" applyBorder="1" applyAlignment="1" applyProtection="1">
      <alignment horizontal="right" vertical="center"/>
      <protection hidden="1"/>
    </xf>
    <xf numFmtId="164" fontId="71" fillId="3" borderId="25" xfId="0" applyNumberFormat="1" applyFont="1" applyFill="1" applyBorder="1" applyAlignment="1">
      <alignment horizontal="right" vertical="center"/>
    </xf>
    <xf numFmtId="164" fontId="71" fillId="7" borderId="25" xfId="0" applyNumberFormat="1" applyFont="1" applyFill="1" applyBorder="1" applyAlignment="1">
      <alignment horizontal="center" vertical="center"/>
    </xf>
    <xf numFmtId="164" fontId="71" fillId="3" borderId="25" xfId="0" applyNumberFormat="1" applyFont="1" applyFill="1" applyBorder="1" applyAlignment="1">
      <alignment horizontal="center" vertical="center"/>
    </xf>
    <xf numFmtId="164" fontId="71" fillId="7" borderId="25" xfId="0" applyNumberFormat="1" applyFont="1" applyFill="1" applyBorder="1" applyAlignment="1">
      <alignment horizontal="right" vertical="center"/>
    </xf>
    <xf numFmtId="0" fontId="78" fillId="23" borderId="32" xfId="0" applyFont="1" applyFill="1" applyBorder="1" applyAlignment="1" applyProtection="1">
      <alignment horizontal="center" vertical="center"/>
      <protection hidden="1"/>
    </xf>
    <xf numFmtId="169" fontId="78" fillId="4" borderId="37" xfId="0" applyNumberFormat="1" applyFont="1" applyFill="1" applyBorder="1" applyAlignment="1" applyProtection="1">
      <alignment horizontal="right" vertical="center"/>
      <protection hidden="1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175" fontId="71" fillId="5" borderId="33" xfId="0" applyNumberFormat="1" applyFont="1" applyFill="1" applyBorder="1" applyAlignment="1" applyProtection="1">
      <alignment horizontal="right" vertical="center"/>
      <protection hidden="1"/>
    </xf>
    <xf numFmtId="175" fontId="71" fillId="4" borderId="33" xfId="0" applyNumberFormat="1" applyFont="1" applyFill="1" applyBorder="1" applyAlignment="1" applyProtection="1">
      <alignment horizontal="right" vertical="center"/>
      <protection hidden="1"/>
    </xf>
    <xf numFmtId="175" fontId="78" fillId="4" borderId="32" xfId="0" applyNumberFormat="1" applyFont="1" applyFill="1" applyBorder="1" applyAlignment="1" applyProtection="1">
      <alignment horizontal="right" vertical="center"/>
      <protection hidden="1"/>
    </xf>
    <xf numFmtId="0" fontId="67" fillId="0" borderId="0" xfId="0" applyFont="1" applyAlignment="1">
      <alignment horizontal="center" vertical="center"/>
    </xf>
    <xf numFmtId="0" fontId="79" fillId="5" borderId="38" xfId="0" applyFont="1" applyFill="1" applyBorder="1" applyAlignment="1">
      <alignment vertical="center" wrapText="1" readingOrder="1"/>
    </xf>
    <xf numFmtId="40" fontId="79" fillId="5" borderId="22" xfId="0" applyNumberFormat="1" applyFont="1" applyFill="1" applyBorder="1" applyAlignment="1">
      <alignment vertical="center" wrapText="1" readingOrder="1"/>
    </xf>
    <xf numFmtId="40" fontId="79" fillId="4" borderId="22" xfId="0" applyNumberFormat="1" applyFont="1" applyFill="1" applyBorder="1" applyAlignment="1">
      <alignment vertical="center" wrapText="1" readingOrder="1"/>
    </xf>
    <xf numFmtId="40" fontId="80" fillId="5" borderId="22" xfId="0" applyNumberFormat="1" applyFont="1" applyFill="1" applyBorder="1" applyAlignment="1">
      <alignment vertical="center" wrapText="1" readingOrder="1"/>
    </xf>
    <xf numFmtId="40" fontId="80" fillId="4" borderId="22" xfId="0" applyNumberFormat="1" applyFont="1" applyFill="1" applyBorder="1" applyAlignment="1">
      <alignment vertical="center" wrapText="1" readingOrder="1"/>
    </xf>
    <xf numFmtId="40" fontId="80" fillId="0" borderId="22" xfId="0" applyNumberFormat="1" applyFont="1" applyBorder="1" applyAlignment="1">
      <alignment vertical="center" wrapText="1" readingOrder="1"/>
    </xf>
    <xf numFmtId="40" fontId="81" fillId="4" borderId="22" xfId="0" applyNumberFormat="1" applyFont="1" applyFill="1" applyBorder="1" applyAlignment="1">
      <alignment vertical="center" wrapText="1" readingOrder="1"/>
    </xf>
    <xf numFmtId="40" fontId="82" fillId="4" borderId="22" xfId="0" applyNumberFormat="1" applyFont="1" applyFill="1" applyBorder="1" applyAlignment="1">
      <alignment vertical="center" wrapText="1" readingOrder="1"/>
    </xf>
    <xf numFmtId="40" fontId="83" fillId="5" borderId="0" xfId="0" applyNumberFormat="1" applyFont="1" applyFill="1" applyAlignment="1" applyProtection="1">
      <alignment horizontal="left" vertical="center"/>
      <protection hidden="1"/>
    </xf>
    <xf numFmtId="40" fontId="84" fillId="5" borderId="0" xfId="0" applyNumberFormat="1" applyFont="1" applyFill="1" applyAlignment="1" applyProtection="1">
      <alignment horizontal="left" vertical="center"/>
      <protection hidden="1"/>
    </xf>
    <xf numFmtId="164" fontId="0" fillId="0" borderId="0" xfId="0" applyNumberFormat="1" applyAlignment="1" applyProtection="1">
      <alignment vertical="center"/>
      <protection hidden="1"/>
    </xf>
    <xf numFmtId="0" fontId="21" fillId="0" borderId="0" xfId="0" applyFont="1" applyAlignment="1">
      <alignment horizontal="center" vertical="center" wrapText="1"/>
    </xf>
    <xf numFmtId="0" fontId="85" fillId="0" borderId="0" xfId="0" applyFont="1" applyAlignment="1">
      <alignment vertical="center"/>
    </xf>
    <xf numFmtId="0" fontId="23" fillId="3" borderId="0" xfId="0" applyFont="1" applyFill="1" applyAlignment="1" applyProtection="1">
      <alignment horizontal="center" vertical="center"/>
      <protection hidden="1"/>
    </xf>
    <xf numFmtId="0" fontId="24" fillId="0" borderId="0" xfId="0" applyFont="1" applyAlignment="1" applyProtection="1">
      <alignment horizontal="left" vertical="center"/>
      <protection hidden="1"/>
    </xf>
    <xf numFmtId="0" fontId="86" fillId="24" borderId="7" xfId="0" applyFont="1" applyFill="1" applyBorder="1" applyAlignment="1">
      <alignment horizontal="center" vertical="center" wrapText="1"/>
    </xf>
    <xf numFmtId="0" fontId="86" fillId="16" borderId="7" xfId="0" applyFont="1" applyFill="1" applyBorder="1" applyAlignment="1">
      <alignment horizontal="center" vertical="center" wrapText="1"/>
    </xf>
    <xf numFmtId="0" fontId="67" fillId="0" borderId="0" xfId="0" applyFont="1" applyAlignment="1">
      <alignment horizontal="center" vertical="center" wrapText="1"/>
    </xf>
    <xf numFmtId="0" fontId="86" fillId="24" borderId="23" xfId="0" applyFont="1" applyFill="1" applyBorder="1" applyAlignment="1">
      <alignment horizontal="center" vertical="center" wrapText="1"/>
    </xf>
    <xf numFmtId="0" fontId="87" fillId="24" borderId="23" xfId="0" applyFont="1" applyFill="1" applyBorder="1" applyAlignment="1">
      <alignment horizontal="center" vertical="center" wrapText="1"/>
    </xf>
    <xf numFmtId="17" fontId="88" fillId="19" borderId="7" xfId="0" applyNumberFormat="1" applyFont="1" applyFill="1" applyBorder="1" applyAlignment="1">
      <alignment horizontal="center" vertical="center"/>
    </xf>
    <xf numFmtId="9" fontId="88" fillId="3" borderId="7" xfId="0" applyNumberFormat="1" applyFont="1" applyFill="1" applyBorder="1" applyAlignment="1" applyProtection="1">
      <alignment horizontal="center" vertical="center"/>
      <protection hidden="1"/>
    </xf>
    <xf numFmtId="167" fontId="88" fillId="5" borderId="7" xfId="0" applyNumberFormat="1" applyFont="1" applyFill="1" applyBorder="1" applyAlignment="1" applyProtection="1">
      <alignment vertical="center"/>
      <protection hidden="1"/>
    </xf>
    <xf numFmtId="167" fontId="70" fillId="4" borderId="7" xfId="0" applyNumberFormat="1" applyFont="1" applyFill="1" applyBorder="1" applyAlignment="1" applyProtection="1">
      <alignment vertical="center"/>
      <protection hidden="1"/>
    </xf>
    <xf numFmtId="167" fontId="70" fillId="5" borderId="7" xfId="0" applyNumberFormat="1" applyFont="1" applyFill="1" applyBorder="1" applyAlignment="1" applyProtection="1">
      <alignment vertical="center"/>
      <protection hidden="1"/>
    </xf>
    <xf numFmtId="167" fontId="89" fillId="5" borderId="7" xfId="0" applyNumberFormat="1" applyFont="1" applyFill="1" applyBorder="1" applyAlignment="1" applyProtection="1">
      <alignment horizontal="right" vertical="center"/>
      <protection hidden="1"/>
    </xf>
    <xf numFmtId="167" fontId="89" fillId="4" borderId="7" xfId="0" applyNumberFormat="1" applyFont="1" applyFill="1" applyBorder="1" applyAlignment="1" applyProtection="1">
      <alignment horizontal="right" vertical="center"/>
      <protection hidden="1"/>
    </xf>
    <xf numFmtId="168" fontId="88" fillId="0" borderId="0" xfId="0" applyNumberFormat="1" applyFont="1" applyAlignment="1">
      <alignment vertical="center"/>
    </xf>
    <xf numFmtId="168" fontId="88" fillId="0" borderId="0" xfId="0" applyNumberFormat="1" applyFont="1" applyAlignment="1">
      <alignment horizontal="center" vertical="center"/>
    </xf>
    <xf numFmtId="167" fontId="88" fillId="4" borderId="7" xfId="0" applyNumberFormat="1" applyFont="1" applyFill="1" applyBorder="1" applyAlignment="1" applyProtection="1">
      <alignment vertical="center"/>
      <protection hidden="1"/>
    </xf>
    <xf numFmtId="10" fontId="88" fillId="4" borderId="7" xfId="0" applyNumberFormat="1" applyFont="1" applyFill="1" applyBorder="1" applyAlignment="1" applyProtection="1">
      <alignment vertical="center"/>
      <protection hidden="1"/>
    </xf>
    <xf numFmtId="167" fontId="88" fillId="3" borderId="7" xfId="0" applyNumberFormat="1" applyFont="1" applyFill="1" applyBorder="1" applyAlignment="1" applyProtection="1">
      <alignment vertical="center"/>
      <protection hidden="1"/>
    </xf>
    <xf numFmtId="167" fontId="70" fillId="3" borderId="7" xfId="0" applyNumberFormat="1" applyFont="1" applyFill="1" applyBorder="1" applyAlignment="1" applyProtection="1">
      <alignment vertical="center"/>
      <protection hidden="1"/>
    </xf>
    <xf numFmtId="10" fontId="88" fillId="3" borderId="7" xfId="0" applyNumberFormat="1" applyFont="1" applyFill="1" applyBorder="1" applyAlignment="1" applyProtection="1">
      <alignment vertical="center"/>
      <protection hidden="1"/>
    </xf>
    <xf numFmtId="164" fontId="21" fillId="4" borderId="7" xfId="0" applyNumberFormat="1" applyFont="1" applyFill="1" applyBorder="1" applyAlignment="1">
      <alignment vertical="center"/>
    </xf>
    <xf numFmtId="164" fontId="25" fillId="4" borderId="7" xfId="0" applyNumberFormat="1" applyFont="1" applyFill="1" applyBorder="1" applyAlignment="1">
      <alignment vertical="center"/>
    </xf>
    <xf numFmtId="164" fontId="21" fillId="0" borderId="0" xfId="0" applyNumberFormat="1" applyFont="1" applyAlignment="1">
      <alignment vertical="center"/>
    </xf>
    <xf numFmtId="0" fontId="0" fillId="0" borderId="7" xfId="0" applyBorder="1" applyAlignment="1">
      <alignment vertical="center"/>
    </xf>
    <xf numFmtId="9" fontId="24" fillId="4" borderId="7" xfId="0" applyNumberFormat="1" applyFont="1" applyFill="1" applyBorder="1" applyAlignment="1">
      <alignment horizontal="center" vertical="center"/>
    </xf>
    <xf numFmtId="167" fontId="24" fillId="4" borderId="7" xfId="0" applyNumberFormat="1" applyFont="1" applyFill="1" applyBorder="1" applyAlignment="1">
      <alignment vertical="center"/>
    </xf>
    <xf numFmtId="167" fontId="24" fillId="25" borderId="7" xfId="0" applyNumberFormat="1" applyFont="1" applyFill="1" applyBorder="1" applyAlignment="1">
      <alignment vertical="center"/>
    </xf>
    <xf numFmtId="10" fontId="70" fillId="4" borderId="7" xfId="0" applyNumberFormat="1" applyFont="1" applyFill="1" applyBorder="1" applyAlignment="1" applyProtection="1">
      <alignment vertical="center"/>
      <protection hidden="1"/>
    </xf>
    <xf numFmtId="167" fontId="24" fillId="3" borderId="7" xfId="0" applyNumberFormat="1" applyFont="1" applyFill="1" applyBorder="1" applyAlignment="1">
      <alignment vertical="center"/>
    </xf>
    <xf numFmtId="10" fontId="70" fillId="3" borderId="7" xfId="0" applyNumberFormat="1" applyFont="1" applyFill="1" applyBorder="1" applyAlignment="1" applyProtection="1">
      <alignment vertical="center"/>
      <protection hidden="1"/>
    </xf>
    <xf numFmtId="0" fontId="0" fillId="5" borderId="0" xfId="0" applyFill="1" applyAlignment="1">
      <alignment vertical="center"/>
    </xf>
    <xf numFmtId="167" fontId="0" fillId="0" borderId="0" xfId="0" applyNumberFormat="1" applyAlignment="1">
      <alignment vertical="center"/>
    </xf>
    <xf numFmtId="167" fontId="0" fillId="4" borderId="0" xfId="0" applyNumberFormat="1" applyFill="1" applyAlignment="1">
      <alignment vertical="center"/>
    </xf>
    <xf numFmtId="176" fontId="0" fillId="0" borderId="0" xfId="0" applyNumberFormat="1" applyAlignment="1">
      <alignment vertical="center"/>
    </xf>
    <xf numFmtId="176" fontId="0" fillId="4" borderId="0" xfId="0" applyNumberFormat="1" applyFill="1" applyAlignment="1">
      <alignment vertical="center"/>
    </xf>
    <xf numFmtId="0" fontId="85" fillId="0" borderId="0" xfId="0" applyFont="1" applyAlignment="1">
      <alignment horizontal="center" vertical="center"/>
    </xf>
    <xf numFmtId="0" fontId="90" fillId="6" borderId="25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91" fillId="0" borderId="25" xfId="0" applyFont="1" applyBorder="1" applyAlignment="1">
      <alignment horizontal="center" vertical="center" wrapText="1"/>
    </xf>
    <xf numFmtId="40" fontId="91" fillId="5" borderId="25" xfId="0" applyNumberFormat="1" applyFont="1" applyFill="1" applyBorder="1" applyAlignment="1">
      <alignment horizontal="right" vertical="center" wrapText="1"/>
    </xf>
    <xf numFmtId="40" fontId="91" fillId="4" borderId="25" xfId="0" applyNumberFormat="1" applyFont="1" applyFill="1" applyBorder="1" applyAlignment="1">
      <alignment horizontal="right" vertical="center" wrapText="1"/>
    </xf>
    <xf numFmtId="169" fontId="0" fillId="0" borderId="0" xfId="0" applyNumberFormat="1" applyAlignment="1">
      <alignment vertical="center"/>
    </xf>
    <xf numFmtId="40" fontId="91" fillId="0" borderId="25" xfId="0" applyNumberFormat="1" applyFont="1" applyBorder="1" applyAlignment="1">
      <alignment horizontal="center" vertical="center" wrapText="1"/>
    </xf>
    <xf numFmtId="0" fontId="90" fillId="4" borderId="25" xfId="0" applyFont="1" applyFill="1" applyBorder="1" applyAlignment="1">
      <alignment horizontal="center" vertical="center" wrapText="1"/>
    </xf>
    <xf numFmtId="0" fontId="70" fillId="0" borderId="25" xfId="0" applyFont="1" applyBorder="1" applyAlignment="1">
      <alignment horizontal="center" vertical="center"/>
    </xf>
    <xf numFmtId="17" fontId="88" fillId="19" borderId="39" xfId="0" applyNumberFormat="1" applyFont="1" applyFill="1" applyBorder="1" applyAlignment="1">
      <alignment horizontal="center" vertical="center"/>
    </xf>
    <xf numFmtId="40" fontId="88" fillId="5" borderId="40" xfId="0" applyNumberFormat="1" applyFont="1" applyFill="1" applyBorder="1" applyAlignment="1" applyProtection="1">
      <alignment horizontal="right" vertical="center"/>
      <protection hidden="1"/>
    </xf>
    <xf numFmtId="40" fontId="88" fillId="4" borderId="41" xfId="0" applyNumberFormat="1" applyFont="1" applyFill="1" applyBorder="1" applyAlignment="1" applyProtection="1">
      <alignment horizontal="right" vertical="center"/>
      <protection hidden="1"/>
    </xf>
    <xf numFmtId="164" fontId="88" fillId="5" borderId="7" xfId="0" applyNumberFormat="1" applyFont="1" applyFill="1" applyBorder="1" applyAlignment="1">
      <alignment vertical="center"/>
    </xf>
    <xf numFmtId="164" fontId="88" fillId="4" borderId="24" xfId="0" applyNumberFormat="1" applyFont="1" applyFill="1" applyBorder="1" applyAlignment="1">
      <alignment vertical="center"/>
    </xf>
    <xf numFmtId="17" fontId="88" fillId="19" borderId="42" xfId="0" applyNumberFormat="1" applyFont="1" applyFill="1" applyBorder="1" applyAlignment="1">
      <alignment horizontal="center" vertical="center"/>
    </xf>
    <xf numFmtId="164" fontId="88" fillId="4" borderId="7" xfId="0" applyNumberFormat="1" applyFont="1" applyFill="1" applyBorder="1" applyAlignment="1">
      <alignment vertical="center"/>
    </xf>
    <xf numFmtId="43" fontId="0" fillId="4" borderId="0" xfId="0" applyNumberFormat="1" applyFill="1" applyAlignment="1">
      <alignment vertical="center"/>
    </xf>
    <xf numFmtId="43" fontId="0" fillId="0" borderId="0" xfId="0" applyNumberFormat="1" applyAlignment="1">
      <alignment vertical="center"/>
    </xf>
    <xf numFmtId="17" fontId="88" fillId="19" borderId="43" xfId="0" applyNumberFormat="1" applyFont="1" applyFill="1" applyBorder="1" applyAlignment="1">
      <alignment horizontal="center" vertical="center"/>
    </xf>
    <xf numFmtId="40" fontId="88" fillId="4" borderId="13" xfId="0" applyNumberFormat="1" applyFont="1" applyFill="1" applyBorder="1" applyAlignment="1" applyProtection="1">
      <alignment horizontal="right" vertical="center"/>
      <protection hidden="1"/>
    </xf>
    <xf numFmtId="164" fontId="88" fillId="5" borderId="23" xfId="0" applyNumberFormat="1" applyFont="1" applyFill="1" applyBorder="1" applyAlignment="1">
      <alignment vertical="center"/>
    </xf>
    <xf numFmtId="164" fontId="70" fillId="4" borderId="7" xfId="0" applyNumberFormat="1" applyFont="1" applyFill="1" applyBorder="1" applyAlignment="1">
      <alignment vertical="center"/>
    </xf>
    <xf numFmtId="40" fontId="24" fillId="4" borderId="25" xfId="0" applyNumberFormat="1" applyFont="1" applyFill="1" applyBorder="1" applyAlignment="1">
      <alignment horizontal="right" vertical="center"/>
    </xf>
    <xf numFmtId="169" fontId="0" fillId="4" borderId="0" xfId="0" applyNumberFormat="1" applyFill="1" applyAlignment="1">
      <alignment vertical="center"/>
    </xf>
    <xf numFmtId="40" fontId="92" fillId="5" borderId="0" xfId="0" applyNumberFormat="1" applyFont="1" applyFill="1" applyAlignment="1">
      <alignment vertical="center"/>
    </xf>
    <xf numFmtId="40" fontId="17" fillId="0" borderId="7" xfId="0" applyNumberFormat="1" applyFont="1" applyBorder="1" applyAlignment="1">
      <alignment vertical="center"/>
    </xf>
    <xf numFmtId="40" fontId="6" fillId="5" borderId="7" xfId="0" applyNumberFormat="1" applyFont="1" applyFill="1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93" fillId="0" borderId="0" xfId="0" applyFont="1" applyAlignment="1" applyProtection="1">
      <alignment horizontal="left" vertical="center"/>
      <protection hidden="1"/>
    </xf>
    <xf numFmtId="0" fontId="0" fillId="0" borderId="0" xfId="0" applyAlignment="1">
      <alignment vertical="center" wrapText="1"/>
    </xf>
    <xf numFmtId="15" fontId="94" fillId="20" borderId="7" xfId="0" applyNumberFormat="1" applyFont="1" applyFill="1" applyBorder="1" applyAlignment="1" applyProtection="1">
      <alignment horizontal="center" vertical="center" wrapText="1"/>
      <protection hidden="1"/>
    </xf>
    <xf numFmtId="15" fontId="94" fillId="10" borderId="7" xfId="0" applyNumberFormat="1" applyFont="1" applyFill="1" applyBorder="1" applyAlignment="1" applyProtection="1">
      <alignment horizontal="center" vertical="center" wrapText="1"/>
      <protection hidden="1"/>
    </xf>
    <xf numFmtId="0" fontId="24" fillId="0" borderId="7" xfId="0" applyFont="1" applyBorder="1" applyAlignment="1">
      <alignment horizontal="center" vertical="center" textRotation="90" wrapText="1"/>
    </xf>
    <xf numFmtId="0" fontId="94" fillId="0" borderId="7" xfId="0" applyFont="1" applyBorder="1" applyAlignment="1" applyProtection="1">
      <alignment horizontal="left" vertical="center"/>
      <protection hidden="1"/>
    </xf>
    <xf numFmtId="167" fontId="95" fillId="5" borderId="7" xfId="0" applyNumberFormat="1" applyFont="1" applyFill="1" applyBorder="1" applyAlignment="1" applyProtection="1">
      <alignment horizontal="right" vertical="center"/>
      <protection hidden="1"/>
    </xf>
    <xf numFmtId="10" fontId="95" fillId="4" borderId="7" xfId="0" applyNumberFormat="1" applyFont="1" applyFill="1" applyBorder="1" applyAlignment="1" applyProtection="1">
      <alignment horizontal="right" vertical="center"/>
      <protection hidden="1"/>
    </xf>
    <xf numFmtId="167" fontId="95" fillId="4" borderId="7" xfId="0" applyNumberFormat="1" applyFont="1" applyFill="1" applyBorder="1" applyAlignment="1" applyProtection="1">
      <alignment horizontal="right" vertical="center"/>
      <protection hidden="1"/>
    </xf>
    <xf numFmtId="167" fontId="95" fillId="0" borderId="7" xfId="0" applyNumberFormat="1" applyFont="1" applyBorder="1" applyAlignment="1" applyProtection="1">
      <alignment horizontal="right" vertical="center"/>
      <protection hidden="1"/>
    </xf>
    <xf numFmtId="38" fontId="95" fillId="4" borderId="7" xfId="0" applyNumberFormat="1" applyFont="1" applyFill="1" applyBorder="1" applyAlignment="1" applyProtection="1">
      <alignment horizontal="right" vertical="center"/>
      <protection hidden="1"/>
    </xf>
    <xf numFmtId="176" fontId="0" fillId="4" borderId="7" xfId="0" applyNumberFormat="1" applyFill="1" applyBorder="1" applyAlignment="1">
      <alignment vertical="center"/>
    </xf>
    <xf numFmtId="1" fontId="0" fillId="4" borderId="7" xfId="0" applyNumberFormat="1" applyFill="1" applyBorder="1" applyAlignment="1">
      <alignment vertical="center"/>
    </xf>
    <xf numFmtId="9" fontId="0" fillId="3" borderId="0" xfId="0" applyNumberFormat="1" applyFill="1" applyAlignment="1">
      <alignment vertical="center"/>
    </xf>
    <xf numFmtId="176" fontId="0" fillId="0" borderId="7" xfId="0" applyNumberFormat="1" applyBorder="1" applyAlignment="1">
      <alignment vertical="center"/>
    </xf>
    <xf numFmtId="0" fontId="94" fillId="13" borderId="7" xfId="0" applyFont="1" applyFill="1" applyBorder="1" applyAlignment="1" applyProtection="1">
      <alignment horizontal="center" vertical="center"/>
      <protection hidden="1"/>
    </xf>
    <xf numFmtId="176" fontId="24" fillId="4" borderId="7" xfId="0" applyNumberFormat="1" applyFont="1" applyFill="1" applyBorder="1" applyAlignment="1">
      <alignment vertical="center"/>
    </xf>
    <xf numFmtId="0" fontId="9" fillId="0" borderId="0" xfId="0" applyFont="1" applyAlignment="1">
      <alignment vertical="center"/>
    </xf>
    <xf numFmtId="40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40" fontId="6" fillId="0" borderId="0" xfId="0" applyNumberFormat="1" applyFont="1" applyAlignment="1">
      <alignment vertical="center"/>
    </xf>
    <xf numFmtId="0" fontId="6" fillId="3" borderId="0" xfId="0" applyFont="1" applyFill="1" applyAlignment="1">
      <alignment vertical="center"/>
    </xf>
    <xf numFmtId="0" fontId="96" fillId="0" borderId="0" xfId="0" applyFont="1" applyAlignment="1" applyProtection="1">
      <alignment vertical="center"/>
      <protection hidden="1"/>
    </xf>
    <xf numFmtId="0" fontId="96" fillId="0" borderId="0" xfId="0" applyFont="1" applyAlignment="1" applyProtection="1">
      <alignment horizontal="center" vertical="center"/>
      <protection hidden="1"/>
    </xf>
    <xf numFmtId="0" fontId="86" fillId="0" borderId="0" xfId="0" applyFont="1" applyAlignment="1" applyProtection="1">
      <alignment horizontal="left" vertical="center"/>
      <protection hidden="1"/>
    </xf>
    <xf numFmtId="9" fontId="67" fillId="0" borderId="0" xfId="0" applyNumberFormat="1" applyFont="1" applyAlignment="1" applyProtection="1">
      <alignment vertical="center"/>
      <protection hidden="1"/>
    </xf>
    <xf numFmtId="0" fontId="76" fillId="5" borderId="33" xfId="0" applyFont="1" applyFill="1" applyBorder="1" applyAlignment="1" applyProtection="1">
      <alignment horizontal="center" vertical="center"/>
      <protection hidden="1"/>
    </xf>
    <xf numFmtId="10" fontId="76" fillId="20" borderId="33" xfId="0" applyNumberFormat="1" applyFont="1" applyFill="1" applyBorder="1" applyAlignment="1" applyProtection="1">
      <alignment horizontal="center" vertical="center"/>
      <protection hidden="1"/>
    </xf>
    <xf numFmtId="175" fontId="67" fillId="0" borderId="0" xfId="0" applyNumberFormat="1" applyFont="1" applyAlignment="1">
      <alignment vertical="center"/>
    </xf>
    <xf numFmtId="10" fontId="78" fillId="23" borderId="32" xfId="0" applyNumberFormat="1" applyFont="1" applyFill="1" applyBorder="1" applyAlignment="1" applyProtection="1">
      <alignment horizontal="center" vertical="center"/>
      <protection hidden="1"/>
    </xf>
    <xf numFmtId="0" fontId="97" fillId="0" borderId="0" xfId="0" applyFont="1" applyAlignment="1" applyProtection="1">
      <alignment horizontal="left" vertical="center"/>
      <protection hidden="1"/>
    </xf>
    <xf numFmtId="0" fontId="97" fillId="0" borderId="0" xfId="0" applyFont="1" applyAlignment="1" applyProtection="1">
      <alignment horizontal="center" vertical="center"/>
      <protection hidden="1"/>
    </xf>
    <xf numFmtId="175" fontId="97" fillId="0" borderId="0" xfId="0" applyNumberFormat="1" applyFont="1" applyAlignment="1" applyProtection="1">
      <alignment vertical="center"/>
      <protection hidden="1"/>
    </xf>
    <xf numFmtId="175" fontId="78" fillId="23" borderId="32" xfId="0" applyNumberFormat="1" applyFont="1" applyFill="1" applyBorder="1" applyAlignment="1" applyProtection="1">
      <alignment vertical="center"/>
      <protection hidden="1"/>
    </xf>
    <xf numFmtId="167" fontId="78" fillId="4" borderId="32" xfId="0" applyNumberFormat="1" applyFont="1" applyFill="1" applyBorder="1" applyAlignment="1" applyProtection="1">
      <alignment horizontal="right" vertical="center"/>
      <protection hidden="1"/>
    </xf>
    <xf numFmtId="175" fontId="78" fillId="5" borderId="32" xfId="0" applyNumberFormat="1" applyFont="1" applyFill="1" applyBorder="1" applyAlignment="1" applyProtection="1">
      <alignment vertical="center"/>
      <protection hidden="1"/>
    </xf>
    <xf numFmtId="0" fontId="67" fillId="0" borderId="0" xfId="0" applyFont="1" applyAlignment="1" applyProtection="1">
      <alignment horizontal="right" vertical="center"/>
      <protection hidden="1"/>
    </xf>
    <xf numFmtId="10" fontId="76" fillId="0" borderId="0" xfId="0" applyNumberFormat="1" applyFont="1" applyAlignment="1" applyProtection="1">
      <alignment horizontal="center" vertical="center"/>
      <protection hidden="1"/>
    </xf>
    <xf numFmtId="10" fontId="66" fillId="0" borderId="0" xfId="0" applyNumberFormat="1" applyFont="1" applyAlignment="1">
      <alignment horizontal="center" vertical="center"/>
    </xf>
    <xf numFmtId="0" fontId="88" fillId="0" borderId="0" xfId="0" applyFont="1" applyAlignment="1">
      <alignment vertical="center"/>
    </xf>
    <xf numFmtId="0" fontId="70" fillId="0" borderId="7" xfId="0" applyFont="1" applyBorder="1" applyAlignment="1">
      <alignment horizontal="left" vertical="center"/>
    </xf>
    <xf numFmtId="0" fontId="88" fillId="0" borderId="0" xfId="0" applyFont="1" applyAlignment="1">
      <alignment horizontal="center" vertical="center"/>
    </xf>
    <xf numFmtId="15" fontId="70" fillId="4" borderId="7" xfId="0" applyNumberFormat="1" applyFont="1" applyFill="1" applyBorder="1" applyAlignment="1">
      <alignment horizontal="center" vertical="center"/>
    </xf>
    <xf numFmtId="0" fontId="88" fillId="0" borderId="7" xfId="0" applyFont="1" applyBorder="1" applyAlignment="1">
      <alignment vertical="center"/>
    </xf>
    <xf numFmtId="10" fontId="76" fillId="4" borderId="24" xfId="0" applyNumberFormat="1" applyFont="1" applyFill="1" applyBorder="1" applyAlignment="1" applyProtection="1">
      <alignment horizontal="right" vertical="center"/>
      <protection hidden="1"/>
    </xf>
    <xf numFmtId="10" fontId="76" fillId="4" borderId="7" xfId="0" applyNumberFormat="1" applyFont="1" applyFill="1" applyBorder="1" applyAlignment="1" applyProtection="1">
      <alignment horizontal="right" vertical="center"/>
      <protection hidden="1"/>
    </xf>
    <xf numFmtId="0" fontId="70" fillId="0" borderId="7" xfId="0" applyFont="1" applyBorder="1" applyAlignment="1">
      <alignment vertical="center"/>
    </xf>
    <xf numFmtId="0" fontId="67" fillId="0" borderId="0" xfId="0" applyFont="1" applyAlignment="1">
      <alignment horizontal="right" vertical="center"/>
    </xf>
    <xf numFmtId="40" fontId="98" fillId="5" borderId="0" xfId="0" applyNumberFormat="1" applyFont="1" applyFill="1" applyAlignment="1" applyProtection="1">
      <alignment horizontal="left" vertical="center"/>
      <protection hidden="1"/>
    </xf>
    <xf numFmtId="0" fontId="6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40" fontId="70" fillId="0" borderId="0" xfId="0" applyNumberFormat="1" applyFont="1" applyAlignment="1">
      <alignment vertical="center"/>
    </xf>
    <xf numFmtId="0" fontId="67" fillId="4" borderId="0" xfId="0" applyFont="1" applyFill="1" applyAlignment="1">
      <alignment horizontal="center" vertical="center"/>
    </xf>
    <xf numFmtId="0" fontId="90" fillId="0" borderId="0" xfId="0" applyFont="1" applyAlignment="1">
      <alignment vertical="center"/>
    </xf>
    <xf numFmtId="0" fontId="67" fillId="3" borderId="0" xfId="0" applyFont="1" applyFill="1" applyAlignment="1">
      <alignment horizontal="center" vertical="center"/>
    </xf>
    <xf numFmtId="0" fontId="76" fillId="0" borderId="44" xfId="0" applyFont="1" applyBorder="1" applyAlignment="1" applyProtection="1">
      <alignment horizontal="center" vertical="center"/>
      <protection hidden="1"/>
    </xf>
    <xf numFmtId="0" fontId="76" fillId="0" borderId="45" xfId="0" applyFont="1" applyBorder="1" applyAlignment="1" applyProtection="1">
      <alignment horizontal="center" vertical="center"/>
      <protection hidden="1"/>
    </xf>
    <xf numFmtId="14" fontId="76" fillId="0" borderId="45" xfId="0" applyNumberFormat="1" applyFont="1" applyBorder="1" applyAlignment="1" applyProtection="1">
      <alignment horizontal="center" vertical="center"/>
      <protection hidden="1"/>
    </xf>
    <xf numFmtId="17" fontId="76" fillId="0" borderId="45" xfId="0" applyNumberFormat="1" applyFont="1" applyBorder="1" applyAlignment="1" applyProtection="1">
      <alignment horizontal="right" vertical="center"/>
      <protection hidden="1"/>
    </xf>
    <xf numFmtId="164" fontId="76" fillId="0" borderId="45" xfId="0" applyNumberFormat="1" applyFont="1" applyBorder="1" applyAlignment="1" applyProtection="1">
      <alignment horizontal="center" vertical="center"/>
      <protection hidden="1"/>
    </xf>
    <xf numFmtId="164" fontId="76" fillId="0" borderId="46" xfId="0" applyNumberFormat="1" applyFont="1" applyBorder="1" applyAlignment="1" applyProtection="1">
      <alignment horizontal="center" vertical="center"/>
      <protection hidden="1"/>
    </xf>
    <xf numFmtId="0" fontId="91" fillId="0" borderId="25" xfId="0" applyFont="1" applyBorder="1" applyAlignment="1" applyProtection="1">
      <alignment horizontal="center" vertical="center"/>
      <protection hidden="1"/>
    </xf>
    <xf numFmtId="0" fontId="71" fillId="0" borderId="25" xfId="0" applyFont="1" applyBorder="1" applyAlignment="1" applyProtection="1">
      <alignment horizontal="left" vertical="center"/>
      <protection hidden="1"/>
    </xf>
    <xf numFmtId="40" fontId="71" fillId="5" borderId="25" xfId="0" applyNumberFormat="1" applyFont="1" applyFill="1" applyBorder="1" applyAlignment="1" applyProtection="1">
      <alignment horizontal="right" vertical="center"/>
      <protection hidden="1"/>
    </xf>
    <xf numFmtId="40" fontId="71" fillId="19" borderId="25" xfId="0" applyNumberFormat="1" applyFont="1" applyFill="1" applyBorder="1" applyAlignment="1" applyProtection="1">
      <alignment horizontal="right" vertical="center"/>
      <protection hidden="1"/>
    </xf>
    <xf numFmtId="10" fontId="67" fillId="0" borderId="25" xfId="0" applyNumberFormat="1" applyFont="1" applyBorder="1" applyAlignment="1">
      <alignment horizontal="center" vertical="center"/>
    </xf>
    <xf numFmtId="10" fontId="67" fillId="0" borderId="25" xfId="0" applyNumberFormat="1" applyFont="1" applyBorder="1" applyAlignment="1">
      <alignment horizontal="right" vertical="center"/>
    </xf>
    <xf numFmtId="0" fontId="0" fillId="0" borderId="25" xfId="0" applyBorder="1" applyAlignment="1">
      <alignment vertical="center"/>
    </xf>
    <xf numFmtId="10" fontId="67" fillId="5" borderId="25" xfId="0" applyNumberFormat="1" applyFont="1" applyFill="1" applyBorder="1" applyAlignment="1">
      <alignment horizontal="center" vertical="center"/>
    </xf>
    <xf numFmtId="40" fontId="66" fillId="4" borderId="25" xfId="0" applyNumberFormat="1" applyFont="1" applyFill="1" applyBorder="1" applyAlignment="1">
      <alignment horizontal="right" vertical="center"/>
    </xf>
    <xf numFmtId="0" fontId="99" fillId="0" borderId="0" xfId="0" applyFont="1" applyAlignment="1">
      <alignment vertical="center"/>
    </xf>
    <xf numFmtId="10" fontId="67" fillId="0" borderId="0" xfId="0" applyNumberFormat="1" applyFont="1" applyAlignment="1">
      <alignment vertical="center"/>
    </xf>
    <xf numFmtId="164" fontId="67" fillId="0" borderId="0" xfId="0" applyNumberFormat="1" applyFont="1" applyAlignment="1">
      <alignment vertical="center"/>
    </xf>
    <xf numFmtId="14" fontId="76" fillId="4" borderId="45" xfId="0" applyNumberFormat="1" applyFont="1" applyFill="1" applyBorder="1" applyAlignment="1" applyProtection="1">
      <alignment horizontal="center" vertical="center"/>
      <protection hidden="1"/>
    </xf>
    <xf numFmtId="10" fontId="67" fillId="4" borderId="25" xfId="0" applyNumberFormat="1" applyFont="1" applyFill="1" applyBorder="1" applyAlignment="1">
      <alignment horizontal="right" vertical="center"/>
    </xf>
    <xf numFmtId="0" fontId="99" fillId="4" borderId="0" xfId="0" applyFont="1" applyFill="1" applyAlignment="1">
      <alignment vertical="center"/>
    </xf>
    <xf numFmtId="164" fontId="67" fillId="4" borderId="0" xfId="0" applyNumberFormat="1" applyFont="1" applyFill="1" applyAlignment="1">
      <alignment vertical="center"/>
    </xf>
    <xf numFmtId="40" fontId="67" fillId="0" borderId="0" xfId="0" applyNumberFormat="1" applyFont="1" applyAlignment="1">
      <alignment horizontal="right" vertical="center"/>
    </xf>
    <xf numFmtId="0" fontId="76" fillId="4" borderId="44" xfId="0" applyFont="1" applyFill="1" applyBorder="1" applyAlignment="1" applyProtection="1">
      <alignment horizontal="center" vertical="center"/>
      <protection hidden="1"/>
    </xf>
    <xf numFmtId="10" fontId="0" fillId="0" borderId="25" xfId="0" applyNumberFormat="1" applyBorder="1" applyAlignment="1">
      <alignment vertical="center"/>
    </xf>
    <xf numFmtId="174" fontId="67" fillId="0" borderId="0" xfId="0" applyNumberFormat="1" applyFont="1" applyAlignment="1">
      <alignment vertical="center"/>
    </xf>
    <xf numFmtId="0" fontId="76" fillId="14" borderId="25" xfId="0" applyFont="1" applyFill="1" applyBorder="1" applyAlignment="1" applyProtection="1">
      <alignment horizontal="left" vertical="center"/>
      <protection hidden="1"/>
    </xf>
    <xf numFmtId="0" fontId="76" fillId="0" borderId="25" xfId="0" applyFont="1" applyBorder="1" applyAlignment="1" applyProtection="1">
      <alignment horizontal="left" vertical="center"/>
      <protection hidden="1"/>
    </xf>
    <xf numFmtId="0" fontId="76" fillId="0" borderId="25" xfId="0" applyFont="1" applyBorder="1" applyAlignment="1" applyProtection="1">
      <alignment horizontal="right" vertical="center"/>
      <protection hidden="1"/>
    </xf>
    <xf numFmtId="40" fontId="76" fillId="4" borderId="25" xfId="0" applyNumberFormat="1" applyFont="1" applyFill="1" applyBorder="1" applyAlignment="1" applyProtection="1">
      <alignment horizontal="right" vertical="center"/>
      <protection hidden="1"/>
    </xf>
    <xf numFmtId="40" fontId="76" fillId="19" borderId="25" xfId="0" applyNumberFormat="1" applyFont="1" applyFill="1" applyBorder="1" applyAlignment="1" applyProtection="1">
      <alignment horizontal="right" vertical="center"/>
      <protection hidden="1"/>
    </xf>
    <xf numFmtId="0" fontId="76" fillId="0" borderId="7" xfId="0" applyFont="1" applyBorder="1" applyAlignment="1" applyProtection="1">
      <alignment horizontal="center" vertical="center"/>
      <protection hidden="1"/>
    </xf>
    <xf numFmtId="14" fontId="76" fillId="4" borderId="7" xfId="0" applyNumberFormat="1" applyFont="1" applyFill="1" applyBorder="1" applyAlignment="1" applyProtection="1">
      <alignment horizontal="center" vertical="center"/>
      <protection hidden="1"/>
    </xf>
    <xf numFmtId="17" fontId="76" fillId="0" borderId="7" xfId="0" applyNumberFormat="1" applyFont="1" applyBorder="1" applyAlignment="1" applyProtection="1">
      <alignment horizontal="right" vertical="center"/>
      <protection hidden="1"/>
    </xf>
    <xf numFmtId="164" fontId="76" fillId="0" borderId="7" xfId="0" applyNumberFormat="1" applyFont="1" applyBorder="1" applyAlignment="1" applyProtection="1">
      <alignment horizontal="center" vertical="center"/>
      <protection hidden="1"/>
    </xf>
    <xf numFmtId="0" fontId="91" fillId="0" borderId="7" xfId="0" applyFont="1" applyBorder="1" applyAlignment="1" applyProtection="1">
      <alignment horizontal="center" vertical="center"/>
      <protection hidden="1"/>
    </xf>
    <xf numFmtId="0" fontId="71" fillId="0" borderId="7" xfId="0" applyFont="1" applyBorder="1" applyAlignment="1" applyProtection="1">
      <alignment horizontal="left" vertical="center"/>
      <protection hidden="1"/>
    </xf>
    <xf numFmtId="40" fontId="71" fillId="5" borderId="7" xfId="0" applyNumberFormat="1" applyFont="1" applyFill="1" applyBorder="1" applyAlignment="1" applyProtection="1">
      <alignment horizontal="right" vertical="center"/>
      <protection hidden="1"/>
    </xf>
    <xf numFmtId="40" fontId="71" fillId="19" borderId="7" xfId="0" applyNumberFormat="1" applyFont="1" applyFill="1" applyBorder="1" applyAlignment="1" applyProtection="1">
      <alignment horizontal="right" vertical="center"/>
      <protection hidden="1"/>
    </xf>
    <xf numFmtId="40" fontId="71" fillId="4" borderId="7" xfId="0" applyNumberFormat="1" applyFont="1" applyFill="1" applyBorder="1" applyAlignment="1" applyProtection="1">
      <alignment horizontal="right" vertical="center"/>
      <protection hidden="1"/>
    </xf>
    <xf numFmtId="40" fontId="67" fillId="0" borderId="7" xfId="0" applyNumberFormat="1" applyFont="1" applyBorder="1" applyAlignment="1">
      <alignment horizontal="right" vertical="center"/>
    </xf>
    <xf numFmtId="0" fontId="24" fillId="0" borderId="7" xfId="0" applyFont="1" applyBorder="1" applyAlignment="1">
      <alignment vertical="center"/>
    </xf>
    <xf numFmtId="0" fontId="76" fillId="0" borderId="7" xfId="0" applyFont="1" applyBorder="1" applyAlignment="1" applyProtection="1">
      <alignment horizontal="left" vertical="center"/>
      <protection hidden="1"/>
    </xf>
    <xf numFmtId="40" fontId="76" fillId="19" borderId="7" xfId="0" applyNumberFormat="1" applyFont="1" applyFill="1" applyBorder="1" applyAlignment="1" applyProtection="1">
      <alignment horizontal="right" vertical="center"/>
      <protection hidden="1"/>
    </xf>
    <xf numFmtId="40" fontId="66" fillId="0" borderId="7" xfId="0" applyNumberFormat="1" applyFont="1" applyBorder="1" applyAlignment="1">
      <alignment horizontal="right" vertical="center"/>
    </xf>
    <xf numFmtId="40" fontId="76" fillId="4" borderId="7" xfId="0" applyNumberFormat="1" applyFont="1" applyFill="1" applyBorder="1" applyAlignment="1" applyProtection="1">
      <alignment horizontal="right" vertical="center"/>
      <protection hidden="1"/>
    </xf>
    <xf numFmtId="40" fontId="66" fillId="4" borderId="21" xfId="0" applyNumberFormat="1" applyFont="1" applyFill="1" applyBorder="1" applyAlignment="1">
      <alignment horizontal="right" vertical="center"/>
    </xf>
    <xf numFmtId="10" fontId="71" fillId="4" borderId="7" xfId="0" applyNumberFormat="1" applyFont="1" applyFill="1" applyBorder="1" applyAlignment="1" applyProtection="1">
      <alignment horizontal="center" vertical="center"/>
      <protection hidden="1"/>
    </xf>
    <xf numFmtId="10" fontId="67" fillId="0" borderId="7" xfId="0" applyNumberFormat="1" applyFont="1" applyBorder="1" applyAlignment="1">
      <alignment horizontal="right" vertical="center"/>
    </xf>
    <xf numFmtId="10" fontId="71" fillId="19" borderId="7" xfId="0" applyNumberFormat="1" applyFont="1" applyFill="1" applyBorder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40" fontId="6" fillId="0" borderId="0" xfId="0" applyNumberFormat="1" applyFont="1" applyAlignment="1" applyProtection="1">
      <alignment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93" fillId="0" borderId="0" xfId="0" applyFont="1" applyProtection="1">
      <protection hidden="1"/>
    </xf>
    <xf numFmtId="39" fontId="73" fillId="0" borderId="0" xfId="0" applyNumberFormat="1" applyFont="1" applyAlignment="1" applyProtection="1">
      <alignment horizontal="center" vertical="center" shrinkToFit="1"/>
      <protection hidden="1"/>
    </xf>
    <xf numFmtId="0" fontId="75" fillId="24" borderId="25" xfId="0" applyFont="1" applyFill="1" applyBorder="1" applyAlignment="1" applyProtection="1">
      <alignment horizontal="center" vertical="center" wrapText="1"/>
      <protection hidden="1"/>
    </xf>
    <xf numFmtId="0" fontId="75" fillId="24" borderId="25" xfId="0" applyFont="1" applyFill="1" applyBorder="1" applyAlignment="1">
      <alignment horizontal="center" vertical="center" wrapText="1"/>
    </xf>
    <xf numFmtId="0" fontId="77" fillId="3" borderId="25" xfId="0" applyFont="1" applyFill="1" applyBorder="1" applyAlignment="1" applyProtection="1">
      <alignment horizontal="center" vertical="center"/>
      <protection hidden="1"/>
    </xf>
    <xf numFmtId="0" fontId="77" fillId="0" borderId="25" xfId="0" applyFont="1" applyBorder="1" applyAlignment="1">
      <alignment vertical="center"/>
    </xf>
    <xf numFmtId="164" fontId="77" fillId="5" borderId="25" xfId="0" applyNumberFormat="1" applyFont="1" applyFill="1" applyBorder="1" applyAlignment="1" applyProtection="1">
      <alignment horizontal="right" vertical="center"/>
      <protection locked="0" hidden="1"/>
    </xf>
    <xf numFmtId="10" fontId="77" fillId="4" borderId="25" xfId="0" applyNumberFormat="1" applyFont="1" applyFill="1" applyBorder="1" applyAlignment="1" applyProtection="1">
      <alignment horizontal="right" vertical="center"/>
      <protection hidden="1"/>
    </xf>
    <xf numFmtId="164" fontId="77" fillId="0" borderId="25" xfId="0" applyNumberFormat="1" applyFont="1" applyBorder="1" applyAlignment="1" applyProtection="1">
      <alignment horizontal="right" vertical="center"/>
      <protection hidden="1"/>
    </xf>
    <xf numFmtId="164" fontId="77" fillId="4" borderId="25" xfId="0" applyNumberFormat="1" applyFont="1" applyFill="1" applyBorder="1" applyAlignment="1" applyProtection="1">
      <alignment horizontal="right" vertical="center"/>
      <protection hidden="1"/>
    </xf>
    <xf numFmtId="164" fontId="77" fillId="3" borderId="25" xfId="0" applyNumberFormat="1" applyFont="1" applyFill="1" applyBorder="1" applyAlignment="1" applyProtection="1">
      <alignment horizontal="right" vertical="center"/>
      <protection hidden="1"/>
    </xf>
    <xf numFmtId="0" fontId="100" fillId="0" borderId="25" xfId="0" applyFont="1" applyBorder="1" applyAlignment="1">
      <alignment horizontal="center" vertical="center"/>
    </xf>
    <xf numFmtId="164" fontId="100" fillId="4" borderId="25" xfId="0" applyNumberFormat="1" applyFont="1" applyFill="1" applyBorder="1" applyAlignment="1" applyProtection="1">
      <alignment horizontal="right" vertical="center"/>
      <protection hidden="1"/>
    </xf>
    <xf numFmtId="10" fontId="100" fillId="4" borderId="25" xfId="0" applyNumberFormat="1" applyFont="1" applyFill="1" applyBorder="1" applyAlignment="1" applyProtection="1">
      <alignment horizontal="right" vertical="center"/>
      <protection hidden="1"/>
    </xf>
    <xf numFmtId="40" fontId="6" fillId="5" borderId="0" xfId="0" applyNumberFormat="1" applyFont="1" applyFill="1" applyAlignment="1" applyProtection="1">
      <alignment vertical="center"/>
      <protection hidden="1"/>
    </xf>
    <xf numFmtId="164" fontId="77" fillId="5" borderId="25" xfId="0" applyNumberFormat="1" applyFont="1" applyFill="1" applyBorder="1" applyAlignment="1" applyProtection="1">
      <alignment horizontal="right" vertical="center"/>
      <protection hidden="1"/>
    </xf>
    <xf numFmtId="0" fontId="9" fillId="0" borderId="0" xfId="0" applyFont="1"/>
    <xf numFmtId="0" fontId="9" fillId="0" borderId="0" xfId="0" applyFont="1" applyProtection="1">
      <protection hidden="1"/>
    </xf>
    <xf numFmtId="0" fontId="6" fillId="3" borderId="0" xfId="0" applyFont="1" applyFill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101" fillId="0" borderId="0" xfId="0" applyFont="1" applyAlignment="1" applyProtection="1">
      <alignment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13" fillId="0" borderId="0" xfId="0" applyFont="1"/>
    <xf numFmtId="0" fontId="93" fillId="0" borderId="0" xfId="0" applyFont="1" applyAlignment="1">
      <alignment vertical="center"/>
    </xf>
    <xf numFmtId="0" fontId="90" fillId="24" borderId="47" xfId="0" applyFont="1" applyFill="1" applyBorder="1" applyAlignment="1">
      <alignment horizontal="center" vertical="center" wrapText="1"/>
    </xf>
    <xf numFmtId="0" fontId="90" fillId="24" borderId="48" xfId="0" applyFont="1" applyFill="1" applyBorder="1" applyAlignment="1">
      <alignment horizontal="center" vertical="center" wrapText="1"/>
    </xf>
    <xf numFmtId="0" fontId="90" fillId="24" borderId="49" xfId="0" applyFont="1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17" fontId="88" fillId="19" borderId="39" xfId="0" applyNumberFormat="1" applyFont="1" applyFill="1" applyBorder="1" applyAlignment="1">
      <alignment horizontal="center"/>
    </xf>
    <xf numFmtId="0" fontId="88" fillId="4" borderId="51" xfId="0" applyFont="1" applyFill="1" applyBorder="1" applyAlignment="1" applyProtection="1">
      <alignment horizontal="center"/>
      <protection hidden="1"/>
    </xf>
    <xf numFmtId="9" fontId="88" fillId="3" borderId="27" xfId="0" applyNumberFormat="1" applyFont="1" applyFill="1" applyBorder="1" applyAlignment="1" applyProtection="1">
      <alignment horizontal="center"/>
      <protection hidden="1"/>
    </xf>
    <xf numFmtId="4" fontId="88" fillId="4" borderId="42" xfId="0" applyNumberFormat="1" applyFont="1" applyFill="1" applyBorder="1" applyAlignment="1" applyProtection="1">
      <alignment horizontal="right"/>
      <protection hidden="1"/>
    </xf>
    <xf numFmtId="4" fontId="88" fillId="5" borderId="51" xfId="0" applyNumberFormat="1" applyFont="1" applyFill="1" applyBorder="1" applyAlignment="1" applyProtection="1">
      <alignment horizontal="right"/>
      <protection hidden="1"/>
    </xf>
    <xf numFmtId="4" fontId="0" fillId="0" borderId="0" xfId="0" applyNumberFormat="1" applyAlignment="1">
      <alignment horizontal="right"/>
    </xf>
    <xf numFmtId="4" fontId="88" fillId="4" borderId="39" xfId="0" applyNumberFormat="1" applyFont="1" applyFill="1" applyBorder="1" applyAlignment="1" applyProtection="1">
      <alignment horizontal="right"/>
      <protection hidden="1"/>
    </xf>
    <xf numFmtId="4" fontId="88" fillId="4" borderId="51" xfId="0" applyNumberFormat="1" applyFont="1" applyFill="1" applyBorder="1" applyAlignment="1" applyProtection="1">
      <alignment horizontal="right"/>
      <protection hidden="1"/>
    </xf>
    <xf numFmtId="168" fontId="88" fillId="0" borderId="50" xfId="0" applyNumberFormat="1" applyFont="1" applyBorder="1" applyAlignment="1">
      <alignment horizontal="center"/>
    </xf>
    <xf numFmtId="168" fontId="88" fillId="4" borderId="50" xfId="0" applyNumberFormat="1" applyFont="1" applyFill="1" applyBorder="1" applyAlignment="1">
      <alignment horizontal="center"/>
    </xf>
    <xf numFmtId="17" fontId="88" fillId="19" borderId="42" xfId="0" applyNumberFormat="1" applyFont="1" applyFill="1" applyBorder="1" applyAlignment="1">
      <alignment horizontal="center"/>
    </xf>
    <xf numFmtId="4" fontId="88" fillId="5" borderId="52" xfId="0" applyNumberFormat="1" applyFont="1" applyFill="1" applyBorder="1" applyAlignment="1" applyProtection="1">
      <alignment horizontal="right"/>
      <protection hidden="1"/>
    </xf>
    <xf numFmtId="17" fontId="88" fillId="19" borderId="43" xfId="0" applyNumberFormat="1" applyFont="1" applyFill="1" applyBorder="1" applyAlignment="1">
      <alignment horizontal="center"/>
    </xf>
    <xf numFmtId="4" fontId="88" fillId="5" borderId="53" xfId="0" applyNumberFormat="1" applyFont="1" applyFill="1" applyBorder="1" applyAlignment="1" applyProtection="1">
      <alignment horizontal="right"/>
      <protection hidden="1"/>
    </xf>
    <xf numFmtId="4" fontId="88" fillId="4" borderId="53" xfId="0" applyNumberFormat="1" applyFont="1" applyFill="1" applyBorder="1" applyAlignment="1" applyProtection="1">
      <alignment horizontal="right"/>
      <protection hidden="1"/>
    </xf>
    <xf numFmtId="0" fontId="24" fillId="4" borderId="32" xfId="0" applyFont="1" applyFill="1" applyBorder="1" applyAlignment="1">
      <alignment horizontal="center" vertical="center"/>
    </xf>
    <xf numFmtId="9" fontId="24" fillId="4" borderId="54" xfId="0" applyNumberFormat="1" applyFont="1" applyFill="1" applyBorder="1" applyAlignment="1">
      <alignment horizontal="center" vertical="center"/>
    </xf>
    <xf numFmtId="4" fontId="24" fillId="5" borderId="55" xfId="0" applyNumberFormat="1" applyFont="1" applyFill="1" applyBorder="1" applyAlignment="1">
      <alignment horizontal="right" vertical="center"/>
    </xf>
    <xf numFmtId="4" fontId="24" fillId="3" borderId="55" xfId="0" applyNumberFormat="1" applyFont="1" applyFill="1" applyBorder="1" applyAlignment="1">
      <alignment horizontal="right" vertical="center"/>
    </xf>
    <xf numFmtId="4" fontId="24" fillId="19" borderId="56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102" fillId="0" borderId="0" xfId="0" applyFont="1"/>
    <xf numFmtId="0" fontId="77" fillId="0" borderId="0" xfId="0" applyFont="1"/>
    <xf numFmtId="0" fontId="100" fillId="0" borderId="0" xfId="0" applyFont="1"/>
    <xf numFmtId="4" fontId="100" fillId="4" borderId="25" xfId="0" applyNumberFormat="1" applyFont="1" applyFill="1" applyBorder="1" applyAlignment="1">
      <alignment horizontal="right" vertical="center"/>
    </xf>
    <xf numFmtId="0" fontId="38" fillId="0" borderId="0" xfId="0" applyFont="1" applyAlignment="1">
      <alignment vertical="center"/>
    </xf>
    <xf numFmtId="40" fontId="103" fillId="5" borderId="3" xfId="0" applyNumberFormat="1" applyFont="1" applyFill="1" applyBorder="1" applyAlignment="1" applyProtection="1">
      <alignment vertical="center"/>
      <protection hidden="1"/>
    </xf>
    <xf numFmtId="40" fontId="103" fillId="0" borderId="4" xfId="0" applyNumberFormat="1" applyFont="1" applyBorder="1" applyAlignment="1" applyProtection="1">
      <alignment vertical="center"/>
      <protection hidden="1"/>
    </xf>
    <xf numFmtId="40" fontId="103" fillId="0" borderId="5" xfId="0" applyNumberFormat="1" applyFont="1" applyBorder="1" applyAlignment="1" applyProtection="1">
      <alignment vertical="center"/>
      <protection hidden="1"/>
    </xf>
    <xf numFmtId="0" fontId="38" fillId="0" borderId="0" xfId="0" applyFont="1" applyAlignment="1">
      <alignment horizontal="center" vertical="center"/>
    </xf>
    <xf numFmtId="1" fontId="38" fillId="3" borderId="0" xfId="0" applyNumberFormat="1" applyFont="1" applyFill="1" applyAlignment="1">
      <alignment horizontal="center" vertical="center"/>
    </xf>
    <xf numFmtId="0" fontId="104" fillId="0" borderId="25" xfId="0" applyFont="1" applyBorder="1" applyAlignment="1">
      <alignment horizontal="center" vertical="center"/>
    </xf>
    <xf numFmtId="17" fontId="105" fillId="0" borderId="25" xfId="0" applyNumberFormat="1" applyFont="1" applyBorder="1" applyAlignment="1">
      <alignment horizontal="center" vertical="center"/>
    </xf>
    <xf numFmtId="0" fontId="38" fillId="0" borderId="25" xfId="0" applyFont="1" applyBorder="1" applyAlignment="1">
      <alignment vertical="center"/>
    </xf>
    <xf numFmtId="4" fontId="38" fillId="5" borderId="25" xfId="0" applyNumberFormat="1" applyFont="1" applyFill="1" applyBorder="1" applyAlignment="1">
      <alignment vertical="center"/>
    </xf>
    <xf numFmtId="0" fontId="104" fillId="0" borderId="0" xfId="0" applyFont="1" applyAlignment="1">
      <alignment vertical="center"/>
    </xf>
    <xf numFmtId="4" fontId="104" fillId="4" borderId="25" xfId="0" applyNumberFormat="1" applyFont="1" applyFill="1" applyBorder="1" applyAlignment="1">
      <alignment vertical="center"/>
    </xf>
    <xf numFmtId="4" fontId="38" fillId="0" borderId="0" xfId="0" applyNumberFormat="1" applyFont="1" applyAlignment="1">
      <alignment vertical="center"/>
    </xf>
    <xf numFmtId="164" fontId="104" fillId="0" borderId="25" xfId="0" applyNumberFormat="1" applyFont="1" applyBorder="1" applyAlignment="1">
      <alignment vertical="center"/>
    </xf>
    <xf numFmtId="164" fontId="38" fillId="3" borderId="25" xfId="0" applyNumberFormat="1" applyFont="1" applyFill="1" applyBorder="1" applyAlignment="1">
      <alignment vertical="center"/>
    </xf>
    <xf numFmtId="164" fontId="38" fillId="0" borderId="25" xfId="0" applyNumberFormat="1" applyFont="1" applyBorder="1" applyAlignment="1">
      <alignment vertical="center"/>
    </xf>
    <xf numFmtId="0" fontId="106" fillId="0" borderId="0" xfId="0" applyFont="1" applyAlignment="1" applyProtection="1">
      <alignment horizontal="left" vertical="center"/>
      <protection hidden="1"/>
    </xf>
    <xf numFmtId="0" fontId="73" fillId="0" borderId="0" xfId="0" applyFont="1" applyAlignment="1">
      <alignment horizontal="left" vertical="center"/>
    </xf>
    <xf numFmtId="0" fontId="73" fillId="0" borderId="0" xfId="0" applyFont="1" applyAlignment="1">
      <alignment horizontal="center" vertical="center"/>
    </xf>
    <xf numFmtId="0" fontId="88" fillId="0" borderId="0" xfId="0" applyFont="1" applyAlignment="1">
      <alignment vertical="center" wrapText="1"/>
    </xf>
    <xf numFmtId="15" fontId="94" fillId="20" borderId="32" xfId="0" applyNumberFormat="1" applyFont="1" applyFill="1" applyBorder="1" applyAlignment="1" applyProtection="1">
      <alignment horizontal="center" vertical="center" wrapText="1"/>
      <protection hidden="1"/>
    </xf>
    <xf numFmtId="15" fontId="94" fillId="21" borderId="32" xfId="0" applyNumberFormat="1" applyFont="1" applyFill="1" applyBorder="1" applyAlignment="1" applyProtection="1">
      <alignment horizontal="center" vertical="center" wrapText="1"/>
      <protection hidden="1"/>
    </xf>
    <xf numFmtId="0" fontId="94" fillId="20" borderId="36" xfId="0" applyFont="1" applyFill="1" applyBorder="1" applyAlignment="1" applyProtection="1">
      <alignment horizontal="center" vertical="center"/>
      <protection hidden="1"/>
    </xf>
    <xf numFmtId="10" fontId="94" fillId="5" borderId="36" xfId="0" applyNumberFormat="1" applyFont="1" applyFill="1" applyBorder="1" applyAlignment="1" applyProtection="1">
      <alignment horizontal="center" vertical="center"/>
      <protection locked="0" hidden="1"/>
    </xf>
    <xf numFmtId="10" fontId="94" fillId="4" borderId="36" xfId="0" applyNumberFormat="1" applyFont="1" applyFill="1" applyBorder="1" applyAlignment="1" applyProtection="1">
      <alignment horizontal="center" vertical="center"/>
      <protection locked="0" hidden="1"/>
    </xf>
    <xf numFmtId="164" fontId="89" fillId="5" borderId="36" xfId="0" applyNumberFormat="1" applyFont="1" applyFill="1" applyBorder="1" applyAlignment="1" applyProtection="1">
      <alignment horizontal="right" vertical="center"/>
      <protection hidden="1"/>
    </xf>
    <xf numFmtId="164" fontId="89" fillId="4" borderId="36" xfId="0" applyNumberFormat="1" applyFont="1" applyFill="1" applyBorder="1" applyAlignment="1" applyProtection="1">
      <alignment horizontal="right" vertical="center"/>
      <protection hidden="1"/>
    </xf>
    <xf numFmtId="0" fontId="94" fillId="20" borderId="33" xfId="0" applyFont="1" applyFill="1" applyBorder="1" applyAlignment="1" applyProtection="1">
      <alignment horizontal="center" vertical="center"/>
      <protection hidden="1"/>
    </xf>
    <xf numFmtId="0" fontId="107" fillId="23" borderId="32" xfId="0" applyFont="1" applyFill="1" applyBorder="1" applyAlignment="1" applyProtection="1">
      <alignment horizontal="center" vertical="center"/>
      <protection hidden="1"/>
    </xf>
    <xf numFmtId="164" fontId="107" fillId="4" borderId="32" xfId="0" applyNumberFormat="1" applyFont="1" applyFill="1" applyBorder="1" applyAlignment="1" applyProtection="1">
      <alignment horizontal="right" vertical="center"/>
      <protection hidden="1"/>
    </xf>
    <xf numFmtId="0" fontId="94" fillId="20" borderId="25" xfId="0" applyFont="1" applyFill="1" applyBorder="1" applyAlignment="1" applyProtection="1">
      <alignment horizontal="center" vertical="center"/>
      <protection hidden="1"/>
    </xf>
    <xf numFmtId="10" fontId="94" fillId="26" borderId="25" xfId="0" applyNumberFormat="1" applyFont="1" applyFill="1" applyBorder="1" applyAlignment="1" applyProtection="1">
      <alignment horizontal="center" vertical="center"/>
      <protection locked="0" hidden="1"/>
    </xf>
    <xf numFmtId="164" fontId="89" fillId="0" borderId="25" xfId="0" applyNumberFormat="1" applyFont="1" applyBorder="1" applyAlignment="1" applyProtection="1">
      <alignment horizontal="right" vertical="center"/>
      <protection hidden="1"/>
    </xf>
    <xf numFmtId="10" fontId="24" fillId="0" borderId="0" xfId="0" applyNumberFormat="1" applyFont="1" applyAlignment="1" applyProtection="1">
      <alignment horizontal="center" vertical="center"/>
      <protection hidden="1"/>
    </xf>
    <xf numFmtId="40" fontId="108" fillId="5" borderId="0" xfId="0" applyNumberFormat="1" applyFont="1" applyFill="1" applyAlignment="1" applyProtection="1">
      <alignment horizontal="left" vertical="center"/>
      <protection hidden="1"/>
    </xf>
    <xf numFmtId="40" fontId="109" fillId="0" borderId="0" xfId="0" applyNumberFormat="1" applyFont="1" applyAlignment="1" applyProtection="1">
      <alignment horizontal="left" vertical="center"/>
      <protection hidden="1"/>
    </xf>
    <xf numFmtId="168" fontId="24" fillId="0" borderId="0" xfId="0" applyNumberFormat="1" applyFont="1" applyAlignment="1">
      <alignment horizontal="center" vertical="center"/>
    </xf>
    <xf numFmtId="0" fontId="94" fillId="27" borderId="7" xfId="0" applyFont="1" applyFill="1" applyBorder="1" applyAlignment="1" applyProtection="1">
      <alignment horizontal="center" vertical="center"/>
      <protection hidden="1"/>
    </xf>
    <xf numFmtId="15" fontId="94" fillId="21" borderId="7" xfId="0" applyNumberFormat="1" applyFont="1" applyFill="1" applyBorder="1" applyAlignment="1" applyProtection="1">
      <alignment horizontal="center" vertical="center" wrapText="1"/>
      <protection hidden="1"/>
    </xf>
    <xf numFmtId="15" fontId="94" fillId="9" borderId="7" xfId="0" applyNumberFormat="1" applyFont="1" applyFill="1" applyBorder="1" applyAlignment="1" applyProtection="1">
      <alignment horizontal="center" vertical="center" wrapText="1"/>
      <protection hidden="1"/>
    </xf>
    <xf numFmtId="0" fontId="94" fillId="20" borderId="7" xfId="0" applyFont="1" applyFill="1" applyBorder="1" applyAlignment="1" applyProtection="1">
      <alignment horizontal="center" vertical="center"/>
      <protection hidden="1"/>
    </xf>
    <xf numFmtId="1" fontId="94" fillId="3" borderId="7" xfId="0" applyNumberFormat="1" applyFont="1" applyFill="1" applyBorder="1" applyAlignment="1" applyProtection="1">
      <alignment horizontal="center" vertical="center"/>
      <protection locked="0" hidden="1"/>
    </xf>
    <xf numFmtId="164" fontId="89" fillId="3" borderId="7" xfId="0" applyNumberFormat="1" applyFont="1" applyFill="1" applyBorder="1" applyAlignment="1" applyProtection="1">
      <alignment horizontal="right" vertical="center"/>
      <protection hidden="1"/>
    </xf>
    <xf numFmtId="164" fontId="89" fillId="4" borderId="7" xfId="0" applyNumberFormat="1" applyFont="1" applyFill="1" applyBorder="1" applyAlignment="1" applyProtection="1">
      <alignment horizontal="right" vertical="center"/>
      <protection hidden="1"/>
    </xf>
    <xf numFmtId="10" fontId="94" fillId="3" borderId="7" xfId="0" applyNumberFormat="1" applyFont="1" applyFill="1" applyBorder="1" applyAlignment="1" applyProtection="1">
      <alignment horizontal="center" vertical="center"/>
      <protection locked="0" hidden="1"/>
    </xf>
    <xf numFmtId="0" fontId="94" fillId="9" borderId="7" xfId="0" applyFont="1" applyFill="1" applyBorder="1" applyAlignment="1" applyProtection="1">
      <alignment horizontal="center" vertical="center"/>
      <protection hidden="1"/>
    </xf>
    <xf numFmtId="164" fontId="94" fillId="4" borderId="7" xfId="0" applyNumberFormat="1" applyFont="1" applyFill="1" applyBorder="1" applyAlignment="1" applyProtection="1">
      <alignment horizontal="right" vertical="center"/>
      <protection hidden="1"/>
    </xf>
    <xf numFmtId="176" fontId="21" fillId="5" borderId="0" xfId="0" applyNumberFormat="1" applyFont="1" applyFill="1" applyAlignment="1">
      <alignment horizontal="right" vertical="center"/>
    </xf>
    <xf numFmtId="176" fontId="110" fillId="5" borderId="0" xfId="0" applyNumberFormat="1" applyFont="1" applyFill="1" applyAlignment="1">
      <alignment horizontal="right" vertical="center"/>
    </xf>
    <xf numFmtId="176" fontId="110" fillId="4" borderId="0" xfId="0" applyNumberFormat="1" applyFont="1" applyFill="1" applyAlignment="1">
      <alignment horizontal="right" vertical="center"/>
    </xf>
    <xf numFmtId="164" fontId="94" fillId="5" borderId="7" xfId="0" applyNumberFormat="1" applyFont="1" applyFill="1" applyBorder="1" applyAlignment="1" applyProtection="1">
      <alignment horizontal="right" vertical="center"/>
      <protection hidden="1"/>
    </xf>
    <xf numFmtId="9" fontId="0" fillId="3" borderId="0" xfId="0" applyNumberFormat="1" applyFill="1" applyAlignment="1" applyProtection="1">
      <alignment vertical="center"/>
      <protection hidden="1"/>
    </xf>
    <xf numFmtId="40" fontId="21" fillId="0" borderId="0" xfId="0" applyNumberFormat="1" applyFont="1" applyAlignment="1" applyProtection="1">
      <alignment vertical="center"/>
      <protection hidden="1"/>
    </xf>
    <xf numFmtId="40" fontId="0" fillId="0" borderId="0" xfId="0" applyNumberFormat="1" applyAlignment="1" applyProtection="1">
      <alignment vertical="center"/>
      <protection hidden="1"/>
    </xf>
    <xf numFmtId="40" fontId="94" fillId="4" borderId="7" xfId="0" applyNumberFormat="1" applyFont="1" applyFill="1" applyBorder="1" applyAlignment="1" applyProtection="1">
      <alignment horizontal="right" vertical="center"/>
      <protection hidden="1"/>
    </xf>
    <xf numFmtId="1" fontId="94" fillId="26" borderId="7" xfId="0" applyNumberFormat="1" applyFont="1" applyFill="1" applyBorder="1" applyAlignment="1" applyProtection="1">
      <alignment horizontal="center" vertical="center"/>
      <protection locked="0" hidden="1"/>
    </xf>
    <xf numFmtId="164" fontId="89" fillId="0" borderId="7" xfId="0" applyNumberFormat="1" applyFont="1" applyBorder="1" applyAlignment="1" applyProtection="1">
      <alignment horizontal="right" vertical="center"/>
      <protection hidden="1"/>
    </xf>
    <xf numFmtId="10" fontId="94" fillId="26" borderId="7" xfId="0" applyNumberFormat="1" applyFont="1" applyFill="1" applyBorder="1" applyAlignment="1" applyProtection="1">
      <alignment horizontal="center" vertical="center"/>
      <protection locked="0" hidden="1"/>
    </xf>
    <xf numFmtId="164" fontId="94" fillId="0" borderId="7" xfId="0" applyNumberFormat="1" applyFont="1" applyBorder="1" applyAlignment="1" applyProtection="1">
      <alignment horizontal="right" vertical="center"/>
      <protection hidden="1"/>
    </xf>
    <xf numFmtId="0" fontId="111" fillId="0" borderId="0" xfId="0" applyFont="1"/>
    <xf numFmtId="0" fontId="0" fillId="3" borderId="0" xfId="0" applyFill="1"/>
    <xf numFmtId="0" fontId="0" fillId="5" borderId="0" xfId="0" applyFill="1"/>
    <xf numFmtId="0" fontId="0" fillId="4" borderId="0" xfId="0" applyFill="1"/>
    <xf numFmtId="40" fontId="4" fillId="0" borderId="2" xfId="0" applyNumberFormat="1" applyFont="1" applyBorder="1" applyAlignment="1">
      <alignment horizontal="center" vertical="center" wrapText="1"/>
    </xf>
    <xf numFmtId="40" fontId="4" fillId="0" borderId="2" xfId="0" applyNumberFormat="1" applyFont="1" applyBorder="1" applyAlignment="1">
      <alignment horizontal="center" vertical="center"/>
    </xf>
    <xf numFmtId="40" fontId="5" fillId="0" borderId="3" xfId="0" applyNumberFormat="1" applyFont="1" applyBorder="1" applyAlignment="1" applyProtection="1">
      <alignment horizontal="center" vertical="center"/>
      <protection hidden="1"/>
    </xf>
    <xf numFmtId="40" fontId="5" fillId="0" borderId="4" xfId="0" applyNumberFormat="1" applyFont="1" applyBorder="1" applyAlignment="1" applyProtection="1">
      <alignment horizontal="center" vertical="center"/>
      <protection hidden="1"/>
    </xf>
    <xf numFmtId="40" fontId="5" fillId="0" borderId="5" xfId="0" applyNumberFormat="1" applyFont="1" applyBorder="1" applyAlignment="1" applyProtection="1">
      <alignment horizontal="center" vertical="center"/>
      <protection hidden="1"/>
    </xf>
    <xf numFmtId="165" fontId="11" fillId="0" borderId="9" xfId="0" applyNumberFormat="1" applyFont="1" applyBorder="1" applyAlignment="1">
      <alignment horizontal="justify" vertical="center"/>
    </xf>
    <xf numFmtId="165" fontId="11" fillId="0" borderId="10" xfId="0" applyNumberFormat="1" applyFont="1" applyBorder="1" applyAlignment="1">
      <alignment horizontal="justify" vertical="center"/>
    </xf>
    <xf numFmtId="165" fontId="11" fillId="0" borderId="11" xfId="0" applyNumberFormat="1" applyFont="1" applyBorder="1" applyAlignment="1">
      <alignment horizontal="justify" vertical="center"/>
    </xf>
    <xf numFmtId="0" fontId="6" fillId="0" borderId="10" xfId="0" applyFont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164" fontId="66" fillId="0" borderId="20" xfId="0" applyNumberFormat="1" applyFont="1" applyBorder="1" applyAlignment="1" applyProtection="1">
      <alignment horizontal="center" vertical="center" wrapText="1"/>
      <protection hidden="1"/>
    </xf>
    <xf numFmtId="164" fontId="66" fillId="0" borderId="21" xfId="0" applyNumberFormat="1" applyFont="1" applyBorder="1" applyAlignment="1" applyProtection="1">
      <alignment horizontal="center" vertical="center" wrapText="1"/>
      <protection hidden="1"/>
    </xf>
    <xf numFmtId="164" fontId="66" fillId="4" borderId="20" xfId="0" applyNumberFormat="1" applyFont="1" applyFill="1" applyBorder="1" applyAlignment="1" applyProtection="1">
      <alignment horizontal="center" vertical="center" wrapText="1"/>
      <protection hidden="1"/>
    </xf>
    <xf numFmtId="0" fontId="24" fillId="0" borderId="9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14" fontId="59" fillId="0" borderId="25" xfId="0" applyNumberFormat="1" applyFont="1" applyBorder="1" applyAlignment="1">
      <alignment horizontal="center" vertical="center"/>
    </xf>
    <xf numFmtId="14" fontId="61" fillId="3" borderId="25" xfId="0" applyNumberFormat="1" applyFont="1" applyFill="1" applyBorder="1" applyAlignment="1">
      <alignment horizontal="center" vertical="center" wrapText="1"/>
    </xf>
    <xf numFmtId="14" fontId="61" fillId="0" borderId="25" xfId="0" applyNumberFormat="1" applyFont="1" applyBorder="1" applyAlignment="1">
      <alignment horizontal="center" vertical="center" wrapText="1"/>
    </xf>
    <xf numFmtId="14" fontId="59" fillId="7" borderId="25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115" fillId="28" borderId="0" xfId="0" applyFont="1" applyFill="1" applyAlignment="1">
      <alignment horizontal="center" vertical="center"/>
    </xf>
    <xf numFmtId="0" fontId="116" fillId="29" borderId="0" xfId="0" applyFont="1" applyFill="1"/>
    <xf numFmtId="0" fontId="114" fillId="32" borderId="0" xfId="0" applyFont="1" applyFill="1"/>
    <xf numFmtId="0" fontId="0" fillId="0" borderId="0" xfId="0" applyAlignment="1">
      <alignment wrapText="1"/>
    </xf>
    <xf numFmtId="0" fontId="24" fillId="0" borderId="0" xfId="0" applyFont="1" applyAlignment="1">
      <alignment wrapText="1"/>
    </xf>
    <xf numFmtId="0" fontId="114" fillId="33" borderId="0" xfId="0" applyFont="1" applyFill="1"/>
    <xf numFmtId="0" fontId="114" fillId="35" borderId="0" xfId="0" applyFont="1" applyFill="1"/>
    <xf numFmtId="0" fontId="114" fillId="37" borderId="0" xfId="0" applyFont="1" applyFill="1"/>
    <xf numFmtId="0" fontId="114" fillId="39" borderId="0" xfId="0" applyFont="1" applyFill="1"/>
    <xf numFmtId="0" fontId="114" fillId="41" borderId="0" xfId="0" applyFont="1" applyFill="1"/>
    <xf numFmtId="0" fontId="24" fillId="30" borderId="57" xfId="0" applyFont="1" applyFill="1" applyBorder="1" applyAlignment="1">
      <alignment horizontal="center"/>
    </xf>
    <xf numFmtId="166" fontId="24" fillId="31" borderId="27" xfId="0" applyNumberFormat="1" applyFont="1" applyFill="1" applyBorder="1" applyAlignment="1">
      <alignment horizontal="center"/>
    </xf>
    <xf numFmtId="165" fontId="24" fillId="31" borderId="27" xfId="0" applyNumberFormat="1" applyFont="1" applyFill="1" applyBorder="1" applyAlignment="1">
      <alignment horizontal="center"/>
    </xf>
    <xf numFmtId="0" fontId="24" fillId="30" borderId="58" xfId="0" applyFont="1" applyFill="1" applyBorder="1" applyAlignment="1">
      <alignment horizontal="center"/>
    </xf>
    <xf numFmtId="166" fontId="24" fillId="31" borderId="41" xfId="0" applyNumberFormat="1" applyFont="1" applyFill="1" applyBorder="1" applyAlignment="1">
      <alignment horizontal="center"/>
    </xf>
    <xf numFmtId="0" fontId="24" fillId="30" borderId="59" xfId="0" applyFont="1" applyFill="1" applyBorder="1" applyAlignment="1">
      <alignment horizontal="center"/>
    </xf>
    <xf numFmtId="165" fontId="24" fillId="31" borderId="60" xfId="0" applyNumberFormat="1" applyFont="1" applyFill="1" applyBorder="1" applyAlignment="1">
      <alignment horizontal="center"/>
    </xf>
    <xf numFmtId="0" fontId="24" fillId="34" borderId="57" xfId="0" applyFont="1" applyFill="1" applyBorder="1"/>
    <xf numFmtId="166" fontId="0" fillId="0" borderId="0" xfId="0" applyNumberFormat="1" applyBorder="1"/>
    <xf numFmtId="166" fontId="0" fillId="0" borderId="27" xfId="0" applyNumberFormat="1" applyBorder="1"/>
    <xf numFmtId="0" fontId="24" fillId="34" borderId="58" xfId="0" applyFont="1" applyFill="1" applyBorder="1"/>
    <xf numFmtId="0" fontId="0" fillId="0" borderId="13" xfId="0" applyBorder="1"/>
    <xf numFmtId="0" fontId="0" fillId="0" borderId="41" xfId="0" applyBorder="1"/>
    <xf numFmtId="0" fontId="24" fillId="34" borderId="59" xfId="0" applyFont="1" applyFill="1" applyBorder="1"/>
    <xf numFmtId="166" fontId="0" fillId="0" borderId="12" xfId="0" applyNumberFormat="1" applyBorder="1"/>
    <xf numFmtId="166" fontId="0" fillId="0" borderId="60" xfId="0" applyNumberFormat="1" applyBorder="1"/>
    <xf numFmtId="0" fontId="24" fillId="36" borderId="57" xfId="0" applyFont="1" applyFill="1" applyBorder="1"/>
    <xf numFmtId="0" fontId="24" fillId="36" borderId="58" xfId="0" applyFont="1" applyFill="1" applyBorder="1"/>
    <xf numFmtId="0" fontId="24" fillId="36" borderId="59" xfId="0" applyFont="1" applyFill="1" applyBorder="1"/>
    <xf numFmtId="165" fontId="0" fillId="0" borderId="12" xfId="0" applyNumberFormat="1" applyBorder="1"/>
    <xf numFmtId="165" fontId="0" fillId="0" borderId="60" xfId="0" applyNumberFormat="1" applyBorder="1"/>
    <xf numFmtId="0" fontId="24" fillId="38" borderId="57" xfId="0" applyFont="1" applyFill="1" applyBorder="1"/>
    <xf numFmtId="0" fontId="24" fillId="38" borderId="58" xfId="0" applyFont="1" applyFill="1" applyBorder="1"/>
    <xf numFmtId="0" fontId="24" fillId="38" borderId="59" xfId="0" applyFont="1" applyFill="1" applyBorder="1"/>
    <xf numFmtId="0" fontId="24" fillId="40" borderId="58" xfId="0" applyFont="1" applyFill="1" applyBorder="1"/>
    <xf numFmtId="0" fontId="24" fillId="40" borderId="59" xfId="0" applyFont="1" applyFill="1" applyBorder="1"/>
    <xf numFmtId="0" fontId="24" fillId="30" borderId="58" xfId="0" applyFont="1" applyFill="1" applyBorder="1"/>
    <xf numFmtId="0" fontId="24" fillId="30" borderId="59" xfId="0" applyFont="1" applyFill="1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Recuperación mensual: capital, intereses y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BGresu!$B$16</c:f>
              <c:strCache>
                <c:ptCount val="1"/>
                <c:pt idx="0">
                  <c:v>Capital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BGresu!$A$17:$A$28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BGresu!$B$17:$B$28</c:f>
              <c:numCache>
                <c:formatCode>"$"#,##0.00</c:formatCode>
                <c:ptCount val="12"/>
                <c:pt idx="0">
                  <c:v>653294.64999999979</c:v>
                </c:pt>
                <c:pt idx="1">
                  <c:v>654499.51999999909</c:v>
                </c:pt>
                <c:pt idx="2">
                  <c:v>714310.42999999889</c:v>
                </c:pt>
                <c:pt idx="3">
                  <c:v>981352.92999999993</c:v>
                </c:pt>
                <c:pt idx="4">
                  <c:v>706418.77999999956</c:v>
                </c:pt>
                <c:pt idx="5">
                  <c:v>668712.15000000037</c:v>
                </c:pt>
                <c:pt idx="6">
                  <c:v>664873.69999999949</c:v>
                </c:pt>
                <c:pt idx="7">
                  <c:v>653222.27999999968</c:v>
                </c:pt>
                <c:pt idx="8">
                  <c:v>641504.56000000006</c:v>
                </c:pt>
                <c:pt idx="9">
                  <c:v>646112.5499999997</c:v>
                </c:pt>
                <c:pt idx="10">
                  <c:v>625184.00999999989</c:v>
                </c:pt>
                <c:pt idx="11">
                  <c:v>632338.85999999929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1E-4796-95F5-2FEB2C68B14C}"/>
            </c:ext>
          </c:extLst>
        </c:ser>
        <c:ser>
          <c:idx val="1"/>
          <c:order val="1"/>
          <c:tx>
            <c:strRef>
              <c:f>BGresu!$C$16</c:f>
              <c:strCache>
                <c:ptCount val="1"/>
                <c:pt idx="0">
                  <c:v>Intereses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BGresu!$A$17:$A$28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BGresu!$C$17:$C$28</c:f>
              <c:numCache>
                <c:formatCode>"$"#,##0.00</c:formatCode>
                <c:ptCount val="12"/>
                <c:pt idx="0">
                  <c:v>281063.44999999984</c:v>
                </c:pt>
                <c:pt idx="1">
                  <c:v>327572.50999999995</c:v>
                </c:pt>
                <c:pt idx="2">
                  <c:v>264660.71999999974</c:v>
                </c:pt>
                <c:pt idx="3">
                  <c:v>311606.02999999974</c:v>
                </c:pt>
                <c:pt idx="4">
                  <c:v>270190.82000000012</c:v>
                </c:pt>
                <c:pt idx="5">
                  <c:v>272112.49999999971</c:v>
                </c:pt>
                <c:pt idx="6">
                  <c:v>257650.41000000024</c:v>
                </c:pt>
                <c:pt idx="7">
                  <c:v>260499.19000000009</c:v>
                </c:pt>
                <c:pt idx="8">
                  <c:v>252911.21999999986</c:v>
                </c:pt>
                <c:pt idx="9">
                  <c:v>239459.25000000003</c:v>
                </c:pt>
                <c:pt idx="10">
                  <c:v>241047.20999999996</c:v>
                </c:pt>
                <c:pt idx="11">
                  <c:v>228928.98999999993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1E-4796-95F5-2FEB2C68B14C}"/>
            </c:ext>
          </c:extLst>
        </c:ser>
        <c:ser>
          <c:idx val="2"/>
          <c:order val="2"/>
          <c:tx>
            <c:strRef>
              <c:f>BGresu!$D$16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BGresu!$A$17:$A$28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BGresu!$D$17:$D$28</c:f>
              <c:numCache>
                <c:formatCode>"$"#,##0.00</c:formatCode>
                <c:ptCount val="12"/>
                <c:pt idx="0">
                  <c:v>934358.09999999963</c:v>
                </c:pt>
                <c:pt idx="1">
                  <c:v>982072.0299999991</c:v>
                </c:pt>
                <c:pt idx="2">
                  <c:v>978971.14999999863</c:v>
                </c:pt>
                <c:pt idx="3">
                  <c:v>1292958.9599999997</c:v>
                </c:pt>
                <c:pt idx="4">
                  <c:v>976609.59999999963</c:v>
                </c:pt>
                <c:pt idx="5">
                  <c:v>940824.65000000014</c:v>
                </c:pt>
                <c:pt idx="6">
                  <c:v>922524.10999999975</c:v>
                </c:pt>
                <c:pt idx="7">
                  <c:v>913721.46999999974</c:v>
                </c:pt>
                <c:pt idx="8">
                  <c:v>894415.77999999991</c:v>
                </c:pt>
                <c:pt idx="9">
                  <c:v>885571.7999999997</c:v>
                </c:pt>
                <c:pt idx="10">
                  <c:v>866231.21999999986</c:v>
                </c:pt>
                <c:pt idx="11">
                  <c:v>861267.84999999916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1E-4796-95F5-2FEB2C68B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8688159"/>
        <c:axId val="558704959"/>
      </c:lineChart>
      <c:catAx>
        <c:axId val="55868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558704959"/>
        <c:crosses val="autoZero"/>
        <c:auto val="1"/>
        <c:lblAlgn val="ctr"/>
        <c:lblOffset val="100"/>
        <c:noMultiLvlLbl val="0"/>
      </c:catAx>
      <c:valAx>
        <c:axId val="55870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558688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Mix de recuperación de capital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BGresu!$I$6</c:f>
              <c:strCache>
                <c:ptCount val="1"/>
                <c:pt idx="0">
                  <c:v>Capital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BGresu!$H$7:$H$11</c:f>
              <c:strCache>
                <c:ptCount val="5"/>
                <c:pt idx="0">
                  <c:v>Productivo</c:v>
                </c:pt>
                <c:pt idx="1">
                  <c:v>Consumo</c:v>
                </c:pt>
                <c:pt idx="2">
                  <c:v>Microcrédito</c:v>
                </c:pt>
                <c:pt idx="3">
                  <c:v>Refinanciada</c:v>
                </c:pt>
                <c:pt idx="4">
                  <c:v>Reestructurada</c:v>
                </c:pt>
              </c:strCache>
            </c:strRef>
          </c:cat>
          <c:val>
            <c:numRef>
              <c:f>BGresu!$I$7:$I$11</c:f>
              <c:numCache>
                <c:formatCode>"$"#,##0.00</c:formatCode>
                <c:ptCount val="5"/>
                <c:pt idx="0">
                  <c:v>182676.18000000002</c:v>
                </c:pt>
                <c:pt idx="1">
                  <c:v>6488683.8899999959</c:v>
                </c:pt>
                <c:pt idx="2">
                  <c:v>1332189.9400000004</c:v>
                </c:pt>
                <c:pt idx="3">
                  <c:v>99983.89</c:v>
                </c:pt>
                <c:pt idx="4">
                  <c:v>138290.51999999999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32-44E0-B614-0C882B1E9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Riesgo, provisión y cobertura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BGresu!$I$16</c:f>
              <c:strCache>
                <c:ptCount val="1"/>
                <c:pt idx="0">
                  <c:v>Riesgo cartera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BGresu!$H$17:$H$28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BGresu!$I$17:$I$28</c:f>
              <c:numCache>
                <c:formatCode>"$"#,##0.00</c:formatCode>
                <c:ptCount val="12"/>
                <c:pt idx="0">
                  <c:v>1039490.2143943056</c:v>
                </c:pt>
                <c:pt idx="1">
                  <c:v>1138697.0355138888</c:v>
                </c:pt>
                <c:pt idx="2">
                  <c:v>1234770.0873587499</c:v>
                </c:pt>
                <c:pt idx="3">
                  <c:v>1323564.7381288889</c:v>
                </c:pt>
                <c:pt idx="4">
                  <c:v>1415920.5208243052</c:v>
                </c:pt>
                <c:pt idx="5">
                  <c:v>1507092.8850449999</c:v>
                </c:pt>
                <c:pt idx="6">
                  <c:v>1596404.4671909721</c:v>
                </c:pt>
                <c:pt idx="7">
                  <c:v>1683886.4804622221</c:v>
                </c:pt>
                <c:pt idx="8">
                  <c:v>1769202.5172587498</c:v>
                </c:pt>
                <c:pt idx="9">
                  <c:v>1851467.7881805552</c:v>
                </c:pt>
                <c:pt idx="10">
                  <c:v>1933067.9882276391</c:v>
                </c:pt>
                <c:pt idx="11">
                  <c:v>2012993.7448000002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E2-4A44-8B52-DACC93CF3641}"/>
            </c:ext>
          </c:extLst>
        </c:ser>
        <c:ser>
          <c:idx val="1"/>
          <c:order val="1"/>
          <c:tx>
            <c:strRef>
              <c:f>BGresu!$J$16</c:f>
              <c:strCache>
                <c:ptCount val="1"/>
                <c:pt idx="0">
                  <c:v>Provisión proyectada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BGresu!$H$17:$H$28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BGresu!$J$17:$J$28</c:f>
              <c:numCache>
                <c:formatCode>"$"#,##0.00</c:formatCode>
                <c:ptCount val="12"/>
                <c:pt idx="0">
                  <c:v>1172422.4867143782</c:v>
                </c:pt>
                <c:pt idx="1">
                  <c:v>1253370.7209947878</c:v>
                </c:pt>
                <c:pt idx="2">
                  <c:v>1331580.039301587</c:v>
                </c:pt>
                <c:pt idx="3">
                  <c:v>1403593.2560028466</c:v>
                </c:pt>
                <c:pt idx="4">
                  <c:v>1478689.9712589432</c:v>
                </c:pt>
                <c:pt idx="5">
                  <c:v>1552801.4693161289</c:v>
                </c:pt>
                <c:pt idx="6">
                  <c:v>1625319.9150321614</c:v>
                </c:pt>
                <c:pt idx="7">
                  <c:v>1669409.0761672717</c:v>
                </c:pt>
                <c:pt idx="8">
                  <c:v>1697345.1651061012</c:v>
                </c:pt>
                <c:pt idx="9">
                  <c:v>1698191.4562759202</c:v>
                </c:pt>
                <c:pt idx="10">
                  <c:v>1686449.1683592827</c:v>
                </c:pt>
                <c:pt idx="11">
                  <c:v>1681867.9039768125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E2-4A44-8B52-DACC93CF3641}"/>
            </c:ext>
          </c:extLst>
        </c:ser>
        <c:ser>
          <c:idx val="2"/>
          <c:order val="2"/>
          <c:tx>
            <c:strRef>
              <c:f>BGresu!$K$16</c:f>
              <c:strCache>
                <c:ptCount val="1"/>
                <c:pt idx="0">
                  <c:v>Cobertura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BGresu!$H$17:$H$28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BGresu!$K$17:$K$28</c:f>
              <c:numCache>
                <c:formatCode>0.0%</c:formatCode>
                <c:ptCount val="12"/>
                <c:pt idx="0">
                  <c:v>1.1278821777052803</c:v>
                </c:pt>
                <c:pt idx="1">
                  <c:v>1.1007060542922615</c:v>
                </c:pt>
                <c:pt idx="2">
                  <c:v>1.0784032209185757</c:v>
                </c:pt>
                <c:pt idx="3">
                  <c:v>1.0604643774259908</c:v>
                </c:pt>
                <c:pt idx="4">
                  <c:v>1.0443311962157986</c:v>
                </c:pt>
                <c:pt idx="5">
                  <c:v>1.0303289762195142</c:v>
                </c:pt>
                <c:pt idx="6">
                  <c:v>1.0181128582608321</c:v>
                </c:pt>
                <c:pt idx="7">
                  <c:v>0.9914023869999975</c:v>
                </c:pt>
                <c:pt idx="8">
                  <c:v>0.95938432629861603</c:v>
                </c:pt>
                <c:pt idx="9">
                  <c:v>0.91721361133954138</c:v>
                </c:pt>
                <c:pt idx="10">
                  <c:v>0.87242103155695394</c:v>
                </c:pt>
                <c:pt idx="11">
                  <c:v>0.8355057775621223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E2-4A44-8B52-DACC93CF3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8709279"/>
        <c:axId val="558712159"/>
      </c:lineChart>
      <c:catAx>
        <c:axId val="558709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558712159"/>
        <c:crosses val="autoZero"/>
        <c:auto val="1"/>
        <c:lblAlgn val="ctr"/>
        <c:lblOffset val="100"/>
        <c:noMultiLvlLbl val="0"/>
      </c:catAx>
      <c:valAx>
        <c:axId val="55871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558709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Castigos proyectados por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BGresu!$B$32</c:f>
              <c:strCache>
                <c:ptCount val="1"/>
                <c:pt idx="0">
                  <c:v>Castigos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BGresu!$A$33:$A$44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BGresu!$B$33:$B$44</c:f>
              <c:numCache>
                <c:formatCode>"$"#,##0.00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6252.31</c:v>
                </c:pt>
                <c:pt idx="8">
                  <c:v>29391.3</c:v>
                </c:pt>
                <c:pt idx="9">
                  <c:v>80444.05</c:v>
                </c:pt>
                <c:pt idx="10">
                  <c:v>37748.58</c:v>
                </c:pt>
                <c:pt idx="11">
                  <c:v>17438.349999999999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15-47ED-9963-D287F4EF7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8715039"/>
        <c:axId val="558716959"/>
      </c:barChart>
      <c:catAx>
        <c:axId val="55871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558716959"/>
        <c:crosses val="autoZero"/>
        <c:auto val="1"/>
        <c:lblAlgn val="ctr"/>
        <c:lblOffset val="100"/>
        <c:noMultiLvlLbl val="0"/>
      </c:catAx>
      <c:valAx>
        <c:axId val="55871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558715039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15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95AC6B6-D4F5-85D7-3D01-5162FEF27F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</xdr:row>
      <xdr:rowOff>0</xdr:rowOff>
    </xdr:from>
    <xdr:to>
      <xdr:col>17</xdr:col>
      <xdr:colOff>0</xdr:colOff>
      <xdr:row>14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F9DB0A8-A8E4-DC61-B5D1-546F466B08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17</xdr:col>
      <xdr:colOff>0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370FD9A-CFE3-DBEB-D2D8-8762D54A73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30</xdr:row>
      <xdr:rowOff>0</xdr:rowOff>
    </xdr:from>
    <xdr:to>
      <xdr:col>7</xdr:col>
      <xdr:colOff>0</xdr:colOff>
      <xdr:row>44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3459382-233F-212D-31E1-8B85079DE9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42"/>
  <sheetViews>
    <sheetView zoomScale="70" zoomScaleNormal="70" workbookViewId="0">
      <pane xSplit="1" ySplit="2" topLeftCell="B3" activePane="bottomRight" state="frozen"/>
      <selection pane="topRight"/>
      <selection pane="bottomLeft"/>
      <selection pane="bottomRight" activeCell="F4" sqref="F4"/>
    </sheetView>
  </sheetViews>
  <sheetFormatPr baseColWidth="10" defaultColWidth="11.42578125" defaultRowHeight="15" x14ac:dyDescent="0.25"/>
  <cols>
    <col min="1" max="1" width="65" style="1" customWidth="1"/>
    <col min="2" max="2" width="19.5703125" style="2" bestFit="1" customWidth="1"/>
    <col min="3" max="3" width="15" style="2" customWidth="1"/>
    <col min="4" max="4" width="25" style="3" customWidth="1"/>
    <col min="5" max="5" width="32.42578125" style="1" bestFit="1" customWidth="1"/>
    <col min="6" max="6" width="28.140625" style="1" bestFit="1" customWidth="1"/>
    <col min="7" max="7" width="24" style="1" bestFit="1" customWidth="1"/>
    <col min="8" max="8" width="13.140625" style="4" customWidth="1"/>
    <col min="9" max="9" width="13.28515625" style="1" customWidth="1"/>
    <col min="10" max="10" width="13.140625" style="4" customWidth="1"/>
    <col min="11" max="11" width="11.42578125" style="1" customWidth="1"/>
    <col min="12" max="16384" width="11.42578125" style="1"/>
  </cols>
  <sheetData>
    <row r="1" spans="1:7" s="5" customFormat="1" ht="39.950000000000003" customHeight="1" x14ac:dyDescent="0.25">
      <c r="A1" s="6" t="s">
        <v>0</v>
      </c>
      <c r="B1" s="991"/>
      <c r="C1" s="992"/>
      <c r="D1" s="993" t="s">
        <v>1</v>
      </c>
      <c r="E1" s="994"/>
      <c r="F1" s="994"/>
      <c r="G1" s="995"/>
    </row>
    <row r="2" spans="1:7" s="7" customFormat="1" ht="24.95" customHeight="1" x14ac:dyDescent="0.25">
      <c r="A2" s="8" t="s">
        <v>2</v>
      </c>
      <c r="B2" s="9"/>
      <c r="C2" s="10" t="s">
        <v>3</v>
      </c>
      <c r="D2" s="11"/>
      <c r="E2" s="12"/>
      <c r="F2" s="12"/>
      <c r="G2" s="13" t="s">
        <v>4</v>
      </c>
    </row>
    <row r="3" spans="1:7" ht="15" customHeight="1" x14ac:dyDescent="0.25">
      <c r="A3" s="14"/>
      <c r="B3" s="15"/>
      <c r="C3" s="15"/>
      <c r="D3" s="16"/>
      <c r="E3" s="17"/>
      <c r="F3" s="18"/>
      <c r="G3" s="19"/>
    </row>
    <row r="4" spans="1:7" ht="26.25" customHeight="1" x14ac:dyDescent="0.25">
      <c r="A4" s="20" t="s">
        <v>5</v>
      </c>
      <c r="B4" s="21">
        <v>2026</v>
      </c>
      <c r="C4" s="21">
        <v>12</v>
      </c>
      <c r="D4" s="22">
        <f>SUM(F4:F8)</f>
        <v>87703148.201416656</v>
      </c>
      <c r="E4" s="12" t="s">
        <v>6</v>
      </c>
      <c r="F4" s="23">
        <f>ProyCartCre!I6</f>
        <v>232150.97875000004</v>
      </c>
      <c r="G4" s="24"/>
    </row>
    <row r="5" spans="1:7" ht="26.25" customHeight="1" x14ac:dyDescent="0.25">
      <c r="A5" s="25" t="s">
        <v>7</v>
      </c>
      <c r="B5" s="9"/>
      <c r="C5" s="9"/>
      <c r="D5" s="26"/>
      <c r="E5" s="12" t="s">
        <v>8</v>
      </c>
      <c r="F5" s="23">
        <f>ProyCartCre!I7</f>
        <v>66796619.264749996</v>
      </c>
      <c r="G5" s="27">
        <f>F5/B115</f>
        <v>3710.9232924861108</v>
      </c>
    </row>
    <row r="6" spans="1:7" ht="26.25" customHeight="1" x14ac:dyDescent="0.25">
      <c r="A6" s="20"/>
      <c r="B6" s="9"/>
      <c r="C6" s="9"/>
      <c r="D6" s="28"/>
      <c r="E6" s="12" t="s">
        <v>9</v>
      </c>
      <c r="F6" s="23">
        <f>ProyCartCre!I8</f>
        <v>20410290.486833334</v>
      </c>
      <c r="G6" s="27">
        <f>F6/B115</f>
        <v>1133.9050270462963</v>
      </c>
    </row>
    <row r="7" spans="1:7" ht="26.25" customHeight="1" x14ac:dyDescent="0.25">
      <c r="A7" s="20"/>
      <c r="B7" s="9"/>
      <c r="C7" s="9"/>
      <c r="D7" s="28"/>
      <c r="E7" s="12" t="s">
        <v>10</v>
      </c>
      <c r="F7" s="23">
        <f>ProyCartCre!I9</f>
        <v>110815.47808333334</v>
      </c>
      <c r="G7" s="24"/>
    </row>
    <row r="8" spans="1:7" ht="26.25" customHeight="1" x14ac:dyDescent="0.25">
      <c r="A8" s="20"/>
      <c r="B8" s="9"/>
      <c r="C8" s="9"/>
      <c r="D8" s="28"/>
      <c r="E8" s="12" t="s">
        <v>11</v>
      </c>
      <c r="F8" s="23">
        <f>ProyCartCre!I10</f>
        <v>153271.99299999999</v>
      </c>
      <c r="G8" s="24"/>
    </row>
    <row r="9" spans="1:7" ht="15" customHeight="1" x14ac:dyDescent="0.25">
      <c r="A9" s="14"/>
      <c r="B9" s="15"/>
      <c r="C9" s="15"/>
      <c r="D9" s="16"/>
      <c r="E9" s="17"/>
      <c r="F9" s="18"/>
      <c r="G9" s="19"/>
    </row>
    <row r="10" spans="1:7" ht="26.25" customHeight="1" x14ac:dyDescent="0.25">
      <c r="A10" s="20" t="s">
        <v>12</v>
      </c>
      <c r="B10" s="21">
        <v>2026</v>
      </c>
      <c r="C10" s="21">
        <v>12</v>
      </c>
      <c r="D10" s="22">
        <f>SUM(F10:F14)</f>
        <v>15969548.201416664</v>
      </c>
      <c r="E10" s="12" t="s">
        <v>6</v>
      </c>
      <c r="F10" s="23">
        <f>ProyCartCre!E6+ProyCartCre!F6</f>
        <v>232150.97875000004</v>
      </c>
      <c r="G10" s="24"/>
    </row>
    <row r="11" spans="1:7" ht="26.25" customHeight="1" x14ac:dyDescent="0.25">
      <c r="A11" s="25" t="s">
        <v>7</v>
      </c>
      <c r="B11" s="9"/>
      <c r="C11" s="9"/>
      <c r="D11" s="26"/>
      <c r="E11" s="12" t="s">
        <v>8</v>
      </c>
      <c r="F11" s="23">
        <f>ProyCartCre!E7+ProyCartCre!F7</f>
        <v>12559019.264749996</v>
      </c>
      <c r="G11" s="27">
        <f>F11/B115</f>
        <v>697.72329248611095</v>
      </c>
    </row>
    <row r="12" spans="1:7" ht="26.25" customHeight="1" x14ac:dyDescent="0.25">
      <c r="A12" s="20"/>
      <c r="B12" s="9"/>
      <c r="C12" s="9"/>
      <c r="D12" s="28"/>
      <c r="E12" s="12" t="s">
        <v>9</v>
      </c>
      <c r="F12" s="23">
        <f>ProyCartCre!E8+ProyCartCre!F8</f>
        <v>2914290.486833334</v>
      </c>
      <c r="G12" s="27">
        <f>F12/B115</f>
        <v>161.90502704629634</v>
      </c>
    </row>
    <row r="13" spans="1:7" ht="26.25" customHeight="1" x14ac:dyDescent="0.25">
      <c r="A13" s="20"/>
      <c r="B13" s="9"/>
      <c r="C13" s="9"/>
      <c r="D13" s="28"/>
      <c r="E13" s="12" t="s">
        <v>10</v>
      </c>
      <c r="F13" s="23">
        <f>ProyCartCre!E9+ProyCartCre!F9</f>
        <v>110815.47808333334</v>
      </c>
      <c r="G13" s="24"/>
    </row>
    <row r="14" spans="1:7" ht="26.25" customHeight="1" x14ac:dyDescent="0.25">
      <c r="A14" s="20"/>
      <c r="B14" s="9"/>
      <c r="C14" s="9"/>
      <c r="D14" s="28"/>
      <c r="E14" s="12" t="s">
        <v>11</v>
      </c>
      <c r="F14" s="23">
        <f>ProyCartCre!E10+ProyCartCre!F10</f>
        <v>153271.99299999999</v>
      </c>
      <c r="G14" s="24"/>
    </row>
    <row r="15" spans="1:7" ht="15" customHeight="1" x14ac:dyDescent="0.25">
      <c r="A15" s="14"/>
      <c r="B15" s="15"/>
      <c r="C15" s="15"/>
      <c r="D15" s="16"/>
      <c r="E15" s="17"/>
      <c r="F15" s="18"/>
      <c r="G15" s="19"/>
    </row>
    <row r="16" spans="1:7" ht="26.25" customHeight="1" x14ac:dyDescent="0.25">
      <c r="A16" s="20" t="s">
        <v>13</v>
      </c>
      <c r="B16" s="21">
        <v>2026</v>
      </c>
      <c r="C16" s="21">
        <v>12</v>
      </c>
      <c r="D16" s="22">
        <f>SUM(F16:F20)</f>
        <v>53733600</v>
      </c>
      <c r="E16" s="12" t="s">
        <v>6</v>
      </c>
      <c r="F16" s="23">
        <f>ProyCartCre!M6</f>
        <v>0</v>
      </c>
      <c r="G16" s="24"/>
    </row>
    <row r="17" spans="1:7" ht="26.25" customHeight="1" x14ac:dyDescent="0.25">
      <c r="A17" s="25" t="s">
        <v>7</v>
      </c>
      <c r="B17" s="9"/>
      <c r="C17" s="9"/>
      <c r="D17" s="26"/>
      <c r="E17" s="12" t="s">
        <v>8</v>
      </c>
      <c r="F17" s="23">
        <f>ProyCartCre!M7</f>
        <v>36237599.999999993</v>
      </c>
      <c r="G17" s="27">
        <f>F17/B115</f>
        <v>2013.1999999999996</v>
      </c>
    </row>
    <row r="18" spans="1:7" ht="26.25" customHeight="1" x14ac:dyDescent="0.25">
      <c r="A18" s="20"/>
      <c r="B18" s="9"/>
      <c r="C18" s="9"/>
      <c r="D18" s="28"/>
      <c r="E18" s="12" t="s">
        <v>9</v>
      </c>
      <c r="F18" s="23">
        <f>ProyCartCre!M8</f>
        <v>17496000.000000007</v>
      </c>
      <c r="G18" s="27">
        <f>F18/B115</f>
        <v>972.00000000000045</v>
      </c>
    </row>
    <row r="19" spans="1:7" ht="26.25" customHeight="1" x14ac:dyDescent="0.25">
      <c r="A19" s="20"/>
      <c r="B19" s="9"/>
      <c r="C19" s="9"/>
      <c r="D19" s="28"/>
      <c r="E19" s="12" t="s">
        <v>10</v>
      </c>
      <c r="F19" s="23">
        <f>ProyCartCre!M9</f>
        <v>0</v>
      </c>
      <c r="G19" s="24"/>
    </row>
    <row r="20" spans="1:7" ht="26.25" customHeight="1" x14ac:dyDescent="0.25">
      <c r="A20" s="20"/>
      <c r="B20" s="9"/>
      <c r="C20" s="9"/>
      <c r="D20" s="28"/>
      <c r="E20" s="12" t="s">
        <v>11</v>
      </c>
      <c r="F20" s="23">
        <f>ProyCartCre!M10</f>
        <v>0</v>
      </c>
      <c r="G20" s="24"/>
    </row>
    <row r="21" spans="1:7" ht="15" customHeight="1" x14ac:dyDescent="0.25">
      <c r="A21" s="14"/>
      <c r="B21" s="15"/>
      <c r="C21" s="15"/>
      <c r="D21" s="16"/>
      <c r="E21" s="17"/>
      <c r="F21" s="18"/>
      <c r="G21" s="19"/>
    </row>
    <row r="22" spans="1:7" ht="26.25" customHeight="1" x14ac:dyDescent="0.25">
      <c r="A22" s="20" t="s">
        <v>14</v>
      </c>
      <c r="B22" s="21">
        <v>2026</v>
      </c>
      <c r="C22" s="21">
        <v>12</v>
      </c>
      <c r="D22" s="29">
        <f>F22</f>
        <v>18000000</v>
      </c>
      <c r="E22" s="12" t="s">
        <v>8</v>
      </c>
      <c r="F22" s="23">
        <f>OVA!P6</f>
        <v>18000000</v>
      </c>
      <c r="G22" s="27">
        <f>F22/B115</f>
        <v>1000</v>
      </c>
    </row>
    <row r="23" spans="1:7" ht="26.25" customHeight="1" x14ac:dyDescent="0.25">
      <c r="A23" s="30" t="str">
        <f>A17</f>
        <v>2026: enero a diciembre</v>
      </c>
      <c r="B23" s="9"/>
      <c r="C23" s="9"/>
      <c r="D23" s="31">
        <f>ROUND(D22/B115,0)</f>
        <v>1000</v>
      </c>
      <c r="E23" s="12" t="s">
        <v>15</v>
      </c>
      <c r="F23" s="26"/>
      <c r="G23" s="24"/>
    </row>
    <row r="24" spans="1:7" ht="26.25" customHeight="1" x14ac:dyDescent="0.25">
      <c r="A24" s="25" t="s">
        <v>16</v>
      </c>
      <c r="B24" s="32"/>
      <c r="C24" s="32"/>
      <c r="D24" s="33">
        <f>D23/C22</f>
        <v>83.333333333333329</v>
      </c>
      <c r="E24" s="12" t="s">
        <v>15</v>
      </c>
      <c r="F24" s="34"/>
      <c r="G24" s="35"/>
    </row>
    <row r="25" spans="1:7" ht="42.75" customHeight="1" x14ac:dyDescent="0.25">
      <c r="A25" s="20" t="s">
        <v>17</v>
      </c>
      <c r="B25" s="32"/>
      <c r="C25" s="32"/>
      <c r="D25" s="996" t="s">
        <v>18</v>
      </c>
      <c r="E25" s="997"/>
      <c r="F25" s="997"/>
      <c r="G25" s="998"/>
    </row>
    <row r="26" spans="1:7" ht="26.25" hidden="1" customHeight="1" x14ac:dyDescent="0.25">
      <c r="A26" s="20" t="s">
        <v>19</v>
      </c>
      <c r="B26" s="9" t="s">
        <v>20</v>
      </c>
      <c r="C26" s="21">
        <v>1</v>
      </c>
      <c r="D26" s="29">
        <f t="shared" ref="D26:D33" si="0">F26/C26</f>
        <v>10000</v>
      </c>
      <c r="E26" s="9" t="s">
        <v>21</v>
      </c>
      <c r="F26" s="36">
        <v>10000</v>
      </c>
      <c r="G26" s="37" t="s">
        <v>22</v>
      </c>
    </row>
    <row r="27" spans="1:7" ht="26.25" hidden="1" customHeight="1" x14ac:dyDescent="0.25">
      <c r="A27" s="20" t="s">
        <v>23</v>
      </c>
      <c r="B27" s="9" t="s">
        <v>20</v>
      </c>
      <c r="C27" s="21">
        <v>1</v>
      </c>
      <c r="D27" s="29">
        <f t="shared" si="0"/>
        <v>-500000</v>
      </c>
      <c r="E27" s="9" t="s">
        <v>21</v>
      </c>
      <c r="F27" s="36">
        <v>-500000</v>
      </c>
      <c r="G27" s="37" t="s">
        <v>22</v>
      </c>
    </row>
    <row r="28" spans="1:7" ht="15" customHeight="1" x14ac:dyDescent="0.25">
      <c r="A28" s="14"/>
      <c r="B28" s="15"/>
      <c r="C28" s="15"/>
      <c r="D28" s="16"/>
      <c r="E28" s="17"/>
      <c r="F28" s="18"/>
      <c r="G28" s="19"/>
    </row>
    <row r="29" spans="1:7" ht="26.25" customHeight="1" x14ac:dyDescent="0.25">
      <c r="A29" s="20" t="s">
        <v>19</v>
      </c>
      <c r="B29" s="21">
        <v>2026</v>
      </c>
      <c r="C29" s="21">
        <v>12</v>
      </c>
      <c r="D29" s="29">
        <f t="shared" si="0"/>
        <v>200000</v>
      </c>
      <c r="E29" s="9" t="s">
        <v>21</v>
      </c>
      <c r="F29" s="36">
        <v>2400000</v>
      </c>
      <c r="G29" s="38" t="s">
        <v>24</v>
      </c>
    </row>
    <row r="30" spans="1:7" ht="26.25" customHeight="1" x14ac:dyDescent="0.25">
      <c r="A30" s="20" t="s">
        <v>23</v>
      </c>
      <c r="B30" s="21">
        <v>2026</v>
      </c>
      <c r="C30" s="21">
        <v>12</v>
      </c>
      <c r="D30" s="29">
        <f t="shared" si="0"/>
        <v>6196500</v>
      </c>
      <c r="E30" s="9" t="s">
        <v>21</v>
      </c>
      <c r="F30" s="39">
        <f>B117*85%</f>
        <v>74358000</v>
      </c>
      <c r="G30" s="38" t="s">
        <v>24</v>
      </c>
    </row>
    <row r="31" spans="1:7" ht="46.5" hidden="1" customHeight="1" x14ac:dyDescent="0.25">
      <c r="A31" s="40" t="s">
        <v>25</v>
      </c>
      <c r="B31" s="21">
        <v>2026</v>
      </c>
      <c r="C31" s="21">
        <v>12</v>
      </c>
      <c r="D31" s="29">
        <f t="shared" si="0"/>
        <v>12136.004166666666</v>
      </c>
      <c r="E31" s="9" t="s">
        <v>21</v>
      </c>
      <c r="F31" s="41">
        <f>SUM(BRhoriz!I194:P194)</f>
        <v>145632.04999999999</v>
      </c>
      <c r="G31" s="38" t="s">
        <v>24</v>
      </c>
    </row>
    <row r="32" spans="1:7" ht="46.5" customHeight="1" x14ac:dyDescent="0.25">
      <c r="A32" s="40" t="s">
        <v>25</v>
      </c>
      <c r="B32" s="21">
        <v>2026</v>
      </c>
      <c r="C32" s="21">
        <v>12</v>
      </c>
      <c r="D32" s="29">
        <f t="shared" si="0"/>
        <v>20833.333333333332</v>
      </c>
      <c r="E32" s="9" t="s">
        <v>21</v>
      </c>
      <c r="F32" s="36">
        <v>250000</v>
      </c>
      <c r="G32" s="38" t="s">
        <v>24</v>
      </c>
    </row>
    <row r="33" spans="1:7" ht="46.5" customHeight="1" x14ac:dyDescent="0.25">
      <c r="A33" s="40" t="s">
        <v>26</v>
      </c>
      <c r="B33" s="21">
        <v>2026</v>
      </c>
      <c r="C33" s="21">
        <v>12</v>
      </c>
      <c r="D33" s="29">
        <f t="shared" si="0"/>
        <v>24198.258333333331</v>
      </c>
      <c r="E33" s="9" t="s">
        <v>21</v>
      </c>
      <c r="F33" s="41">
        <f>SUM(BRhoriz!BE195:BJ195)</f>
        <v>290379.09999999998</v>
      </c>
      <c r="G33" s="38" t="s">
        <v>24</v>
      </c>
    </row>
    <row r="34" spans="1:7" ht="26.25" hidden="1" customHeight="1" x14ac:dyDescent="0.25">
      <c r="A34" s="40" t="s">
        <v>27</v>
      </c>
      <c r="B34" s="21">
        <v>2026</v>
      </c>
      <c r="C34" s="21">
        <v>12</v>
      </c>
      <c r="D34" s="36">
        <v>10000</v>
      </c>
      <c r="E34" s="9" t="s">
        <v>21</v>
      </c>
      <c r="F34" s="39">
        <f>C34*D34</f>
        <v>120000</v>
      </c>
      <c r="G34" s="38" t="s">
        <v>24</v>
      </c>
    </row>
    <row r="35" spans="1:7" ht="26.25" customHeight="1" x14ac:dyDescent="0.25">
      <c r="A35" s="40" t="s">
        <v>27</v>
      </c>
      <c r="B35" s="21">
        <v>2026</v>
      </c>
      <c r="C35" s="21">
        <v>12</v>
      </c>
      <c r="D35" s="29">
        <f t="shared" ref="D35:D36" si="1">F35/C35</f>
        <v>10000</v>
      </c>
      <c r="E35" s="9" t="s">
        <v>21</v>
      </c>
      <c r="F35" s="36">
        <v>120000</v>
      </c>
      <c r="G35" s="38" t="s">
        <v>24</v>
      </c>
    </row>
    <row r="36" spans="1:7" ht="26.25" customHeight="1" x14ac:dyDescent="0.25">
      <c r="A36" s="40" t="s">
        <v>28</v>
      </c>
      <c r="B36" s="21">
        <v>2026</v>
      </c>
      <c r="C36" s="21">
        <v>12</v>
      </c>
      <c r="D36" s="29">
        <f t="shared" si="1"/>
        <v>4166.666666666667</v>
      </c>
      <c r="E36" s="9" t="s">
        <v>21</v>
      </c>
      <c r="F36" s="42">
        <v>50000</v>
      </c>
      <c r="G36" s="38" t="s">
        <v>24</v>
      </c>
    </row>
    <row r="37" spans="1:7" ht="26.25" customHeight="1" x14ac:dyDescent="0.25">
      <c r="A37" s="40" t="s">
        <v>29</v>
      </c>
      <c r="B37" s="43">
        <v>2026</v>
      </c>
      <c r="C37" s="44"/>
      <c r="D37" s="36">
        <v>0</v>
      </c>
      <c r="E37" s="45"/>
      <c r="F37" s="46"/>
      <c r="G37" s="47"/>
    </row>
    <row r="38" spans="1:7" ht="26.25" customHeight="1" x14ac:dyDescent="0.25">
      <c r="A38" s="20" t="s">
        <v>30</v>
      </c>
      <c r="B38" s="43">
        <v>2026</v>
      </c>
      <c r="C38" s="44"/>
      <c r="D38" s="36">
        <v>0</v>
      </c>
      <c r="E38" s="45"/>
      <c r="F38" s="48"/>
      <c r="G38" s="49"/>
    </row>
    <row r="39" spans="1:7" ht="26.25" hidden="1" customHeight="1" x14ac:dyDescent="0.25">
      <c r="A39" s="50"/>
      <c r="B39" s="999" t="s">
        <v>31</v>
      </c>
      <c r="C39" s="999"/>
      <c r="G39" s="51"/>
    </row>
    <row r="40" spans="1:7" ht="15" customHeight="1" x14ac:dyDescent="0.25">
      <c r="A40" s="14"/>
      <c r="B40" s="15"/>
      <c r="C40" s="15"/>
      <c r="D40" s="16"/>
      <c r="E40" s="17"/>
      <c r="F40" s="18"/>
      <c r="G40" s="19"/>
    </row>
    <row r="41" spans="1:7" ht="46.5" customHeight="1" x14ac:dyDescent="0.25">
      <c r="A41" s="40" t="s">
        <v>32</v>
      </c>
      <c r="B41" s="52">
        <v>2024</v>
      </c>
      <c r="C41" s="53">
        <v>7.8100000000000003E-2</v>
      </c>
      <c r="D41" s="54" t="s">
        <v>33</v>
      </c>
      <c r="E41" s="55"/>
      <c r="G41" s="51"/>
    </row>
    <row r="42" spans="1:7" ht="46.5" customHeight="1" x14ac:dyDescent="0.25">
      <c r="A42" s="40" t="s">
        <v>34</v>
      </c>
      <c r="B42" s="52">
        <v>2024</v>
      </c>
      <c r="C42" s="53">
        <v>0.05</v>
      </c>
      <c r="D42" s="54" t="s">
        <v>35</v>
      </c>
      <c r="E42" s="55"/>
      <c r="G42" s="51"/>
    </row>
    <row r="43" spans="1:7" ht="23.25" customHeight="1" x14ac:dyDescent="0.25">
      <c r="A43" s="40" t="s">
        <v>36</v>
      </c>
      <c r="B43" s="52">
        <v>2024</v>
      </c>
      <c r="C43" s="56">
        <f>AVERAGE(BGhoriz!Q369:V369)</f>
        <v>9.8611865978158783E-2</v>
      </c>
      <c r="D43" s="54" t="s">
        <v>37</v>
      </c>
      <c r="E43" s="55"/>
      <c r="G43" s="51"/>
    </row>
    <row r="44" spans="1:7" ht="23.25" customHeight="1" x14ac:dyDescent="0.25">
      <c r="A44" s="40" t="s">
        <v>38</v>
      </c>
      <c r="B44" s="52">
        <v>2024</v>
      </c>
      <c r="C44" s="53">
        <v>0.15</v>
      </c>
      <c r="D44" s="54" t="s">
        <v>39</v>
      </c>
      <c r="E44" s="55"/>
      <c r="G44" s="51"/>
    </row>
    <row r="45" spans="1:7" ht="23.25" customHeight="1" x14ac:dyDescent="0.25">
      <c r="A45" s="40" t="s">
        <v>40</v>
      </c>
      <c r="B45" s="52">
        <v>2024</v>
      </c>
      <c r="C45" s="53">
        <v>0.15</v>
      </c>
      <c r="D45" s="57" t="str">
        <f>D44</f>
        <v>Tasa estimada</v>
      </c>
      <c r="E45" s="55"/>
      <c r="G45" s="51"/>
    </row>
    <row r="46" spans="1:7" ht="23.25" customHeight="1" x14ac:dyDescent="0.25">
      <c r="A46" s="40" t="s">
        <v>41</v>
      </c>
      <c r="B46" s="52">
        <v>2024</v>
      </c>
      <c r="C46" s="56">
        <f>AVERAGE(BGhoriz!Q376:V376)</f>
        <v>0.13468631557026337</v>
      </c>
      <c r="D46" s="54" t="s">
        <v>37</v>
      </c>
      <c r="E46" s="55"/>
      <c r="G46" s="51"/>
    </row>
    <row r="47" spans="1:7" ht="23.25" customHeight="1" x14ac:dyDescent="0.25">
      <c r="A47" s="40" t="s">
        <v>42</v>
      </c>
      <c r="B47" s="52">
        <v>2024</v>
      </c>
      <c r="C47" s="56">
        <f>AVERAGE(BGhoriz!Q377:V377)</f>
        <v>0.15543586586857608</v>
      </c>
      <c r="D47" s="57" t="str">
        <f>D46</f>
        <v>Tasa promedio ponderada Ene a Jun2024</v>
      </c>
      <c r="E47" s="55"/>
      <c r="G47" s="51"/>
    </row>
    <row r="48" spans="1:7" ht="23.25" customHeight="1" x14ac:dyDescent="0.25">
      <c r="A48" s="40" t="s">
        <v>43</v>
      </c>
      <c r="B48" s="52">
        <v>2024</v>
      </c>
      <c r="C48" s="53">
        <v>2.5000000000000001E-2</v>
      </c>
      <c r="D48" s="54" t="s">
        <v>44</v>
      </c>
      <c r="E48" s="55"/>
      <c r="G48" s="51"/>
    </row>
    <row r="49" spans="1:7" ht="23.25" customHeight="1" x14ac:dyDescent="0.25">
      <c r="A49" s="40" t="s">
        <v>45</v>
      </c>
      <c r="B49" s="52">
        <v>2024</v>
      </c>
      <c r="C49" s="53">
        <v>0.08</v>
      </c>
      <c r="D49" s="54" t="s">
        <v>44</v>
      </c>
      <c r="E49" s="55"/>
      <c r="G49" s="51"/>
    </row>
    <row r="50" spans="1:7" ht="26.25" hidden="1" customHeight="1" x14ac:dyDescent="0.25">
      <c r="A50" s="50"/>
      <c r="B50" s="1000" t="s">
        <v>31</v>
      </c>
      <c r="C50" s="1000"/>
      <c r="G50" s="51"/>
    </row>
    <row r="51" spans="1:7" ht="23.25" customHeight="1" x14ac:dyDescent="0.25">
      <c r="A51" s="40" t="s">
        <v>46</v>
      </c>
      <c r="B51" s="58">
        <v>46023</v>
      </c>
      <c r="C51" s="53">
        <v>0.02</v>
      </c>
      <c r="D51" s="54" t="s">
        <v>47</v>
      </c>
      <c r="E51" s="55"/>
      <c r="F51" s="59" t="s">
        <v>48</v>
      </c>
      <c r="G51" s="51"/>
    </row>
    <row r="52" spans="1:7" ht="23.25" customHeight="1" x14ac:dyDescent="0.25">
      <c r="A52" s="40"/>
      <c r="B52" s="58">
        <v>46054</v>
      </c>
      <c r="C52" s="53">
        <v>0.02</v>
      </c>
      <c r="D52" s="54" t="s">
        <v>49</v>
      </c>
      <c r="E52" s="55"/>
      <c r="F52" s="53">
        <v>5.0000000000000001E-3</v>
      </c>
      <c r="G52" s="51"/>
    </row>
    <row r="53" spans="1:7" ht="23.25" customHeight="1" x14ac:dyDescent="0.25">
      <c r="A53" s="40"/>
      <c r="B53" s="58">
        <v>46082</v>
      </c>
      <c r="C53" s="53">
        <v>0.02</v>
      </c>
      <c r="D53" s="54" t="s">
        <v>49</v>
      </c>
      <c r="E53" s="55"/>
      <c r="F53" s="53">
        <v>5.0000000000000001E-3</v>
      </c>
      <c r="G53" s="51"/>
    </row>
    <row r="54" spans="1:7" ht="23.25" customHeight="1" x14ac:dyDescent="0.25">
      <c r="A54" s="40"/>
      <c r="B54" s="58">
        <v>46113</v>
      </c>
      <c r="C54" s="53">
        <v>0.02</v>
      </c>
      <c r="D54" s="54" t="s">
        <v>49</v>
      </c>
      <c r="E54" s="55"/>
      <c r="F54" s="53">
        <v>5.0000000000000001E-3</v>
      </c>
      <c r="G54" s="51"/>
    </row>
    <row r="55" spans="1:7" ht="23.25" customHeight="1" x14ac:dyDescent="0.25">
      <c r="A55" s="40"/>
      <c r="B55" s="58">
        <v>46143</v>
      </c>
      <c r="C55" s="53">
        <v>0.02</v>
      </c>
      <c r="D55" s="54" t="s">
        <v>49</v>
      </c>
      <c r="E55" s="55"/>
      <c r="F55" s="53">
        <v>5.0000000000000001E-3</v>
      </c>
      <c r="G55" s="51"/>
    </row>
    <row r="56" spans="1:7" ht="23.25" customHeight="1" x14ac:dyDescent="0.25">
      <c r="A56" s="40"/>
      <c r="B56" s="58">
        <v>46174</v>
      </c>
      <c r="C56" s="53">
        <v>0.02</v>
      </c>
      <c r="D56" s="54" t="s">
        <v>49</v>
      </c>
      <c r="E56" s="55"/>
      <c r="F56" s="53">
        <v>5.0000000000000001E-3</v>
      </c>
      <c r="G56" s="51"/>
    </row>
    <row r="57" spans="1:7" ht="23.25" customHeight="1" x14ac:dyDescent="0.25">
      <c r="A57" s="40"/>
      <c r="B57" s="58">
        <v>46204</v>
      </c>
      <c r="C57" s="53">
        <v>0.02</v>
      </c>
      <c r="D57" s="54" t="s">
        <v>49</v>
      </c>
      <c r="E57" s="55"/>
      <c r="F57" s="53">
        <v>5.0000000000000001E-3</v>
      </c>
      <c r="G57" s="51"/>
    </row>
    <row r="58" spans="1:7" ht="23.25" customHeight="1" x14ac:dyDescent="0.25">
      <c r="A58" s="40"/>
      <c r="B58" s="58">
        <v>46235</v>
      </c>
      <c r="C58" s="53">
        <v>0.02</v>
      </c>
      <c r="D58" s="54" t="s">
        <v>49</v>
      </c>
      <c r="E58" s="55"/>
      <c r="F58" s="53">
        <v>5.0000000000000001E-3</v>
      </c>
      <c r="G58" s="51"/>
    </row>
    <row r="59" spans="1:7" ht="23.25" customHeight="1" x14ac:dyDescent="0.25">
      <c r="A59" s="40"/>
      <c r="B59" s="58">
        <v>46266</v>
      </c>
      <c r="C59" s="53">
        <v>0.02</v>
      </c>
      <c r="D59" s="54" t="s">
        <v>49</v>
      </c>
      <c r="E59" s="55"/>
      <c r="F59" s="60">
        <f>F57</f>
        <v>5.0000000000000001E-3</v>
      </c>
      <c r="G59" s="51"/>
    </row>
    <row r="60" spans="1:7" ht="23.25" customHeight="1" x14ac:dyDescent="0.25">
      <c r="A60" s="40"/>
      <c r="B60" s="58">
        <v>46296</v>
      </c>
      <c r="C60" s="53">
        <v>0.02</v>
      </c>
      <c r="D60" s="54" t="s">
        <v>49</v>
      </c>
      <c r="E60" s="55"/>
      <c r="F60" s="60">
        <f t="shared" ref="F60:F74" si="2">F59</f>
        <v>5.0000000000000001E-3</v>
      </c>
      <c r="G60" s="51"/>
    </row>
    <row r="61" spans="1:7" ht="23.25" customHeight="1" x14ac:dyDescent="0.25">
      <c r="A61" s="40"/>
      <c r="B61" s="58">
        <v>46327</v>
      </c>
      <c r="C61" s="53">
        <v>0.02</v>
      </c>
      <c r="D61" s="54" t="s">
        <v>49</v>
      </c>
      <c r="E61" s="55"/>
      <c r="F61" s="60">
        <f t="shared" si="2"/>
        <v>5.0000000000000001E-3</v>
      </c>
      <c r="G61" s="51"/>
    </row>
    <row r="62" spans="1:7" ht="23.25" customHeight="1" x14ac:dyDescent="0.25">
      <c r="A62" s="40"/>
      <c r="B62" s="58">
        <v>46357</v>
      </c>
      <c r="C62" s="53">
        <v>0.02</v>
      </c>
      <c r="D62" s="54" t="s">
        <v>49</v>
      </c>
      <c r="E62" s="55"/>
      <c r="F62" s="60">
        <f t="shared" si="2"/>
        <v>5.0000000000000001E-3</v>
      </c>
      <c r="G62" s="51"/>
    </row>
    <row r="63" spans="1:7" ht="23.25" customHeight="1" x14ac:dyDescent="0.25">
      <c r="A63" s="40" t="s">
        <v>50</v>
      </c>
      <c r="B63" s="58">
        <v>46023</v>
      </c>
      <c r="C63" s="53">
        <v>0.02</v>
      </c>
      <c r="D63" s="57" t="str">
        <f>D51</f>
        <v>Morosidad promedio ponderado Ene a Jun2024</v>
      </c>
      <c r="E63" s="55"/>
      <c r="G63" s="51"/>
    </row>
    <row r="64" spans="1:7" ht="23.25" customHeight="1" x14ac:dyDescent="0.25">
      <c r="A64" s="40"/>
      <c r="B64" s="58">
        <v>46054</v>
      </c>
      <c r="C64" s="53">
        <v>0.02</v>
      </c>
      <c r="D64" s="54"/>
      <c r="E64" s="55"/>
      <c r="G64" s="51"/>
    </row>
    <row r="65" spans="1:7" ht="23.25" customHeight="1" x14ac:dyDescent="0.25">
      <c r="A65" s="40"/>
      <c r="B65" s="58">
        <v>46082</v>
      </c>
      <c r="C65" s="53">
        <v>0.02</v>
      </c>
      <c r="D65" s="54"/>
      <c r="E65" s="55"/>
      <c r="G65" s="51"/>
    </row>
    <row r="66" spans="1:7" ht="23.25" customHeight="1" x14ac:dyDescent="0.25">
      <c r="A66" s="40"/>
      <c r="B66" s="58">
        <v>46113</v>
      </c>
      <c r="C66" s="53">
        <v>0.02</v>
      </c>
      <c r="D66" s="54"/>
      <c r="E66" s="55"/>
      <c r="G66" s="51"/>
    </row>
    <row r="67" spans="1:7" ht="23.25" customHeight="1" x14ac:dyDescent="0.25">
      <c r="A67" s="40"/>
      <c r="B67" s="58">
        <v>46143</v>
      </c>
      <c r="C67" s="53">
        <v>0.02</v>
      </c>
      <c r="D67" s="54"/>
      <c r="E67" s="55"/>
      <c r="G67" s="51"/>
    </row>
    <row r="68" spans="1:7" ht="23.25" customHeight="1" x14ac:dyDescent="0.25">
      <c r="A68" s="40"/>
      <c r="B68" s="58">
        <v>46174</v>
      </c>
      <c r="C68" s="53">
        <v>0.02</v>
      </c>
      <c r="D68" s="54"/>
      <c r="E68" s="55"/>
      <c r="G68" s="51"/>
    </row>
    <row r="69" spans="1:7" ht="23.25" customHeight="1" x14ac:dyDescent="0.25">
      <c r="A69" s="40"/>
      <c r="B69" s="58">
        <v>46204</v>
      </c>
      <c r="C69" s="53">
        <v>0.02</v>
      </c>
      <c r="D69" s="54"/>
      <c r="E69" s="55"/>
      <c r="G69" s="51"/>
    </row>
    <row r="70" spans="1:7" ht="23.25" customHeight="1" x14ac:dyDescent="0.25">
      <c r="A70" s="40"/>
      <c r="B70" s="58">
        <v>46235</v>
      </c>
      <c r="C70" s="53">
        <v>0.02</v>
      </c>
      <c r="D70" s="54"/>
      <c r="E70" s="55"/>
      <c r="G70" s="51"/>
    </row>
    <row r="71" spans="1:7" ht="23.25" customHeight="1" x14ac:dyDescent="0.25">
      <c r="A71" s="40"/>
      <c r="B71" s="58">
        <v>46266</v>
      </c>
      <c r="C71" s="53">
        <v>0.02</v>
      </c>
      <c r="D71" s="54" t="s">
        <v>49</v>
      </c>
      <c r="E71" s="55"/>
      <c r="F71" s="53">
        <v>1.4999999999999999E-2</v>
      </c>
      <c r="G71" s="51"/>
    </row>
    <row r="72" spans="1:7" ht="23.25" customHeight="1" x14ac:dyDescent="0.25">
      <c r="A72" s="40"/>
      <c r="B72" s="58">
        <v>46296</v>
      </c>
      <c r="C72" s="53">
        <v>0.02</v>
      </c>
      <c r="D72" s="54" t="s">
        <v>49</v>
      </c>
      <c r="E72" s="55"/>
      <c r="F72" s="60">
        <f t="shared" si="2"/>
        <v>1.4999999999999999E-2</v>
      </c>
      <c r="G72" s="51"/>
    </row>
    <row r="73" spans="1:7" ht="23.25" customHeight="1" x14ac:dyDescent="0.25">
      <c r="A73" s="40"/>
      <c r="B73" s="58">
        <v>46327</v>
      </c>
      <c r="C73" s="53">
        <v>0.02</v>
      </c>
      <c r="D73" s="54" t="s">
        <v>49</v>
      </c>
      <c r="E73" s="55"/>
      <c r="F73" s="60">
        <f t="shared" si="2"/>
        <v>1.4999999999999999E-2</v>
      </c>
      <c r="G73" s="51"/>
    </row>
    <row r="74" spans="1:7" ht="23.25" customHeight="1" x14ac:dyDescent="0.25">
      <c r="A74" s="40"/>
      <c r="B74" s="58">
        <v>46357</v>
      </c>
      <c r="C74" s="53">
        <v>0.02</v>
      </c>
      <c r="D74" s="54" t="s">
        <v>49</v>
      </c>
      <c r="E74" s="55"/>
      <c r="F74" s="60">
        <f t="shared" si="2"/>
        <v>1.4999999999999999E-2</v>
      </c>
      <c r="G74" s="51"/>
    </row>
    <row r="75" spans="1:7" ht="23.25" customHeight="1" x14ac:dyDescent="0.25">
      <c r="A75" s="40" t="s">
        <v>51</v>
      </c>
      <c r="B75" s="58">
        <v>46023</v>
      </c>
      <c r="C75" s="53">
        <v>0.02</v>
      </c>
      <c r="D75" s="57" t="str">
        <f>D63</f>
        <v>Morosidad promedio ponderado Ene a Jun2024</v>
      </c>
      <c r="E75" s="55"/>
      <c r="G75" s="51"/>
    </row>
    <row r="76" spans="1:7" ht="23.25" customHeight="1" x14ac:dyDescent="0.25">
      <c r="A76" s="40"/>
      <c r="B76" s="58">
        <v>46054</v>
      </c>
      <c r="C76" s="53">
        <v>0.02</v>
      </c>
      <c r="D76" s="54"/>
      <c r="E76" s="55"/>
      <c r="G76" s="51"/>
    </row>
    <row r="77" spans="1:7" ht="23.25" customHeight="1" x14ac:dyDescent="0.25">
      <c r="A77" s="40"/>
      <c r="B77" s="58">
        <v>46082</v>
      </c>
      <c r="C77" s="53">
        <v>0.02</v>
      </c>
      <c r="D77" s="54"/>
      <c r="E77" s="55"/>
      <c r="G77" s="51"/>
    </row>
    <row r="78" spans="1:7" ht="23.25" customHeight="1" x14ac:dyDescent="0.25">
      <c r="A78" s="40"/>
      <c r="B78" s="58">
        <v>46113</v>
      </c>
      <c r="C78" s="53">
        <v>0.02</v>
      </c>
      <c r="D78" s="54"/>
      <c r="E78" s="55"/>
      <c r="G78" s="51"/>
    </row>
    <row r="79" spans="1:7" ht="23.25" customHeight="1" x14ac:dyDescent="0.25">
      <c r="A79" s="40"/>
      <c r="B79" s="58">
        <v>46143</v>
      </c>
      <c r="C79" s="53">
        <v>0.02</v>
      </c>
      <c r="D79" s="54"/>
      <c r="E79" s="55"/>
      <c r="G79" s="51"/>
    </row>
    <row r="80" spans="1:7" ht="23.25" customHeight="1" x14ac:dyDescent="0.25">
      <c r="A80" s="40"/>
      <c r="B80" s="58">
        <v>46174</v>
      </c>
      <c r="C80" s="53">
        <v>0.02</v>
      </c>
      <c r="D80" s="54"/>
      <c r="E80" s="55"/>
      <c r="G80" s="51"/>
    </row>
    <row r="81" spans="1:7" ht="23.25" customHeight="1" x14ac:dyDescent="0.25">
      <c r="A81" s="40"/>
      <c r="B81" s="58">
        <v>46204</v>
      </c>
      <c r="C81" s="53">
        <v>0.02</v>
      </c>
      <c r="D81" s="54"/>
      <c r="E81" s="55"/>
      <c r="G81" s="51"/>
    </row>
    <row r="82" spans="1:7" ht="23.25" customHeight="1" x14ac:dyDescent="0.25">
      <c r="A82" s="40"/>
      <c r="B82" s="58">
        <v>46235</v>
      </c>
      <c r="C82" s="53">
        <v>0.02</v>
      </c>
      <c r="D82" s="54" t="s">
        <v>49</v>
      </c>
      <c r="E82" s="55"/>
      <c r="F82" s="53">
        <v>1.4999999999999999E-2</v>
      </c>
      <c r="G82" s="51"/>
    </row>
    <row r="83" spans="1:7" ht="23.25" customHeight="1" x14ac:dyDescent="0.25">
      <c r="A83" s="40"/>
      <c r="B83" s="58">
        <v>46266</v>
      </c>
      <c r="C83" s="53">
        <v>0.02</v>
      </c>
      <c r="D83" s="54" t="s">
        <v>49</v>
      </c>
      <c r="E83" s="55"/>
      <c r="F83" s="60">
        <f t="shared" ref="F83:F86" si="3">F82</f>
        <v>1.4999999999999999E-2</v>
      </c>
      <c r="G83" s="51"/>
    </row>
    <row r="84" spans="1:7" ht="23.25" customHeight="1" x14ac:dyDescent="0.25">
      <c r="A84" s="40"/>
      <c r="B84" s="58">
        <v>46296</v>
      </c>
      <c r="C84" s="53">
        <v>0.02</v>
      </c>
      <c r="D84" s="54" t="s">
        <v>49</v>
      </c>
      <c r="E84" s="55"/>
      <c r="F84" s="60">
        <f t="shared" si="3"/>
        <v>1.4999999999999999E-2</v>
      </c>
      <c r="G84" s="51"/>
    </row>
    <row r="85" spans="1:7" ht="23.25" customHeight="1" x14ac:dyDescent="0.25">
      <c r="A85" s="40"/>
      <c r="B85" s="58">
        <v>46327</v>
      </c>
      <c r="C85" s="53">
        <v>0.02</v>
      </c>
      <c r="D85" s="54" t="s">
        <v>49</v>
      </c>
      <c r="E85" s="55"/>
      <c r="F85" s="60">
        <f t="shared" si="3"/>
        <v>1.4999999999999999E-2</v>
      </c>
      <c r="G85" s="51"/>
    </row>
    <row r="86" spans="1:7" ht="23.25" customHeight="1" x14ac:dyDescent="0.25">
      <c r="A86" s="40"/>
      <c r="B86" s="58">
        <v>45627</v>
      </c>
      <c r="C86" s="53">
        <v>0.02</v>
      </c>
      <c r="D86" s="54" t="s">
        <v>49</v>
      </c>
      <c r="E86" s="55"/>
      <c r="F86" s="60">
        <f t="shared" si="3"/>
        <v>1.4999999999999999E-2</v>
      </c>
      <c r="G86" s="51"/>
    </row>
    <row r="87" spans="1:7" ht="23.25" customHeight="1" x14ac:dyDescent="0.25">
      <c r="A87" s="40" t="s">
        <v>52</v>
      </c>
      <c r="B87" s="58">
        <v>46023</v>
      </c>
      <c r="C87" s="53">
        <v>0.02</v>
      </c>
      <c r="D87" s="57" t="str">
        <f>D75</f>
        <v>Morosidad promedio ponderado Ene a Jun2024</v>
      </c>
      <c r="E87" s="55"/>
      <c r="G87" s="51"/>
    </row>
    <row r="88" spans="1:7" ht="23.25" customHeight="1" x14ac:dyDescent="0.25">
      <c r="A88" s="40"/>
      <c r="B88" s="58">
        <v>46054</v>
      </c>
      <c r="C88" s="53">
        <v>0.02</v>
      </c>
      <c r="D88" s="54"/>
      <c r="E88" s="55"/>
      <c r="G88" s="51"/>
    </row>
    <row r="89" spans="1:7" ht="23.25" customHeight="1" x14ac:dyDescent="0.25">
      <c r="A89" s="40"/>
      <c r="B89" s="58">
        <v>46082</v>
      </c>
      <c r="C89" s="53">
        <v>0.02</v>
      </c>
      <c r="D89" s="54"/>
      <c r="E89" s="55"/>
      <c r="G89" s="51"/>
    </row>
    <row r="90" spans="1:7" ht="23.25" customHeight="1" x14ac:dyDescent="0.25">
      <c r="A90" s="40"/>
      <c r="B90" s="58">
        <v>46113</v>
      </c>
      <c r="C90" s="53">
        <v>0.02</v>
      </c>
      <c r="D90" s="54"/>
      <c r="E90" s="55"/>
      <c r="G90" s="51"/>
    </row>
    <row r="91" spans="1:7" ht="23.25" customHeight="1" x14ac:dyDescent="0.25">
      <c r="A91" s="40"/>
      <c r="B91" s="58">
        <v>46143</v>
      </c>
      <c r="C91" s="53">
        <v>0.02</v>
      </c>
      <c r="D91" s="54"/>
      <c r="E91" s="55"/>
      <c r="G91" s="51"/>
    </row>
    <row r="92" spans="1:7" ht="23.25" customHeight="1" x14ac:dyDescent="0.25">
      <c r="A92" s="40"/>
      <c r="B92" s="58">
        <v>46174</v>
      </c>
      <c r="C92" s="53">
        <v>0.02</v>
      </c>
      <c r="D92" s="54"/>
      <c r="E92" s="55"/>
      <c r="G92" s="51"/>
    </row>
    <row r="93" spans="1:7" ht="23.25" customHeight="1" x14ac:dyDescent="0.25">
      <c r="A93" s="40"/>
      <c r="B93" s="58">
        <v>46204</v>
      </c>
      <c r="C93" s="53">
        <v>0.02</v>
      </c>
      <c r="D93" s="54"/>
      <c r="E93" s="55"/>
      <c r="G93" s="51"/>
    </row>
    <row r="94" spans="1:7" ht="23.25" customHeight="1" x14ac:dyDescent="0.25">
      <c r="A94" s="40"/>
      <c r="B94" s="58">
        <v>46235</v>
      </c>
      <c r="C94" s="53">
        <v>0.02</v>
      </c>
      <c r="D94" s="54" t="s">
        <v>49</v>
      </c>
      <c r="E94" s="55"/>
      <c r="F94" s="53">
        <v>0.02</v>
      </c>
      <c r="G94" s="51"/>
    </row>
    <row r="95" spans="1:7" ht="23.25" customHeight="1" x14ac:dyDescent="0.25">
      <c r="A95" s="40"/>
      <c r="B95" s="58">
        <v>46266</v>
      </c>
      <c r="C95" s="53">
        <v>0.02</v>
      </c>
      <c r="D95" s="54" t="s">
        <v>49</v>
      </c>
      <c r="E95" s="55"/>
      <c r="F95" s="60">
        <f t="shared" ref="F95:F98" si="4">F94</f>
        <v>0.02</v>
      </c>
      <c r="G95" s="51"/>
    </row>
    <row r="96" spans="1:7" ht="23.25" customHeight="1" x14ac:dyDescent="0.25">
      <c r="A96" s="40"/>
      <c r="B96" s="58">
        <v>46296</v>
      </c>
      <c r="C96" s="53">
        <v>0.02</v>
      </c>
      <c r="D96" s="54" t="s">
        <v>49</v>
      </c>
      <c r="E96" s="55"/>
      <c r="F96" s="60">
        <f t="shared" si="4"/>
        <v>0.02</v>
      </c>
      <c r="G96" s="51"/>
    </row>
    <row r="97" spans="1:7" ht="23.25" customHeight="1" x14ac:dyDescent="0.25">
      <c r="A97" s="40"/>
      <c r="B97" s="58">
        <v>46327</v>
      </c>
      <c r="C97" s="53">
        <v>0.02</v>
      </c>
      <c r="D97" s="54" t="s">
        <v>49</v>
      </c>
      <c r="E97" s="55"/>
      <c r="F97" s="60">
        <f t="shared" si="4"/>
        <v>0.02</v>
      </c>
      <c r="G97" s="51"/>
    </row>
    <row r="98" spans="1:7" ht="23.25" customHeight="1" x14ac:dyDescent="0.25">
      <c r="A98" s="40"/>
      <c r="B98" s="58">
        <v>45627</v>
      </c>
      <c r="C98" s="53">
        <v>0.02</v>
      </c>
      <c r="D98" s="54" t="s">
        <v>49</v>
      </c>
      <c r="E98" s="55"/>
      <c r="F98" s="60">
        <f t="shared" si="4"/>
        <v>0.02</v>
      </c>
      <c r="G98" s="51"/>
    </row>
    <row r="99" spans="1:7" ht="23.25" customHeight="1" x14ac:dyDescent="0.25">
      <c r="A99" s="40" t="s">
        <v>53</v>
      </c>
      <c r="B99" s="58">
        <v>46023</v>
      </c>
      <c r="C99" s="53">
        <v>0.02</v>
      </c>
      <c r="D99" s="57" t="str">
        <f>D87</f>
        <v>Morosidad promedio ponderado Ene a Jun2024</v>
      </c>
      <c r="E99" s="55"/>
      <c r="G99" s="51"/>
    </row>
    <row r="100" spans="1:7" ht="23.25" customHeight="1" x14ac:dyDescent="0.25">
      <c r="A100" s="61"/>
      <c r="B100" s="58">
        <v>46054</v>
      </c>
      <c r="C100" s="53">
        <v>0.02</v>
      </c>
      <c r="D100" s="54"/>
      <c r="E100" s="55"/>
      <c r="G100" s="51"/>
    </row>
    <row r="101" spans="1:7" ht="23.25" customHeight="1" x14ac:dyDescent="0.25">
      <c r="A101" s="61"/>
      <c r="B101" s="58">
        <v>46082</v>
      </c>
      <c r="C101" s="53">
        <v>0.02</v>
      </c>
      <c r="D101" s="54"/>
      <c r="E101" s="55"/>
      <c r="G101" s="51"/>
    </row>
    <row r="102" spans="1:7" ht="23.25" customHeight="1" x14ac:dyDescent="0.25">
      <c r="A102" s="61"/>
      <c r="B102" s="58">
        <v>46113</v>
      </c>
      <c r="C102" s="53">
        <v>0.02</v>
      </c>
      <c r="D102" s="54"/>
      <c r="E102" s="55"/>
      <c r="G102" s="51"/>
    </row>
    <row r="103" spans="1:7" ht="23.25" customHeight="1" x14ac:dyDescent="0.25">
      <c r="A103" s="61"/>
      <c r="B103" s="58">
        <v>46143</v>
      </c>
      <c r="C103" s="53">
        <v>0.02</v>
      </c>
      <c r="D103" s="54"/>
      <c r="E103" s="55"/>
      <c r="G103" s="51"/>
    </row>
    <row r="104" spans="1:7" ht="23.25" customHeight="1" x14ac:dyDescent="0.25">
      <c r="A104" s="61"/>
      <c r="B104" s="58">
        <v>46174</v>
      </c>
      <c r="C104" s="53">
        <v>0.02</v>
      </c>
      <c r="D104" s="54"/>
      <c r="E104" s="55"/>
      <c r="G104" s="51"/>
    </row>
    <row r="105" spans="1:7" ht="23.25" customHeight="1" x14ac:dyDescent="0.25">
      <c r="A105" s="61"/>
      <c r="B105" s="58">
        <v>46204</v>
      </c>
      <c r="C105" s="53">
        <v>0.02</v>
      </c>
      <c r="D105" s="54"/>
      <c r="E105" s="55"/>
      <c r="G105" s="51"/>
    </row>
    <row r="106" spans="1:7" ht="23.25" customHeight="1" x14ac:dyDescent="0.25">
      <c r="A106" s="61"/>
      <c r="B106" s="58">
        <v>46235</v>
      </c>
      <c r="C106" s="53">
        <v>0.02</v>
      </c>
      <c r="D106" s="54" t="s">
        <v>49</v>
      </c>
      <c r="E106" s="55"/>
      <c r="F106" s="53">
        <v>0.02</v>
      </c>
      <c r="G106" s="51"/>
    </row>
    <row r="107" spans="1:7" ht="23.25" customHeight="1" x14ac:dyDescent="0.25">
      <c r="A107" s="61"/>
      <c r="B107" s="58">
        <v>46266</v>
      </c>
      <c r="C107" s="53">
        <v>0.02</v>
      </c>
      <c r="D107" s="54" t="s">
        <v>49</v>
      </c>
      <c r="E107" s="55"/>
      <c r="F107" s="60">
        <f t="shared" ref="F107:F110" si="5">F106</f>
        <v>0.02</v>
      </c>
      <c r="G107" s="51"/>
    </row>
    <row r="108" spans="1:7" ht="23.25" customHeight="1" x14ac:dyDescent="0.25">
      <c r="A108" s="61"/>
      <c r="B108" s="58">
        <v>46296</v>
      </c>
      <c r="C108" s="53">
        <v>0.02</v>
      </c>
      <c r="D108" s="54" t="s">
        <v>49</v>
      </c>
      <c r="E108" s="55"/>
      <c r="F108" s="60">
        <f t="shared" si="5"/>
        <v>0.02</v>
      </c>
      <c r="G108" s="51"/>
    </row>
    <row r="109" spans="1:7" ht="23.25" customHeight="1" x14ac:dyDescent="0.25">
      <c r="A109" s="61"/>
      <c r="B109" s="58">
        <v>46327</v>
      </c>
      <c r="C109" s="53">
        <v>0.02</v>
      </c>
      <c r="D109" s="54" t="s">
        <v>49</v>
      </c>
      <c r="E109" s="55"/>
      <c r="F109" s="60">
        <f t="shared" si="5"/>
        <v>0.02</v>
      </c>
      <c r="G109" s="51"/>
    </row>
    <row r="110" spans="1:7" ht="23.25" customHeight="1" x14ac:dyDescent="0.25">
      <c r="A110" s="61"/>
      <c r="B110" s="58">
        <v>45627</v>
      </c>
      <c r="C110" s="53">
        <v>0.02</v>
      </c>
      <c r="D110" s="54" t="s">
        <v>49</v>
      </c>
      <c r="E110" s="55"/>
      <c r="F110" s="60">
        <f t="shared" si="5"/>
        <v>0.02</v>
      </c>
      <c r="G110" s="51"/>
    </row>
    <row r="111" spans="1:7" ht="15" customHeight="1" x14ac:dyDescent="0.25">
      <c r="A111" s="14"/>
      <c r="B111" s="15"/>
      <c r="C111" s="15"/>
      <c r="D111" s="16"/>
      <c r="E111" s="17"/>
      <c r="F111" s="18"/>
      <c r="G111" s="19"/>
    </row>
    <row r="112" spans="1:7" ht="57" customHeight="1" x14ac:dyDescent="0.25">
      <c r="A112" s="62" t="s">
        <v>54</v>
      </c>
      <c r="B112" s="63" t="s">
        <v>55</v>
      </c>
      <c r="C112" s="64" t="s">
        <v>3</v>
      </c>
      <c r="D112" s="65" t="s">
        <v>56</v>
      </c>
      <c r="E112" s="66" t="s">
        <v>57</v>
      </c>
      <c r="G112" s="51"/>
    </row>
    <row r="113" spans="1:7" ht="21" customHeight="1" x14ac:dyDescent="0.25">
      <c r="A113" s="67" t="s">
        <v>58</v>
      </c>
      <c r="B113" s="68">
        <v>15</v>
      </c>
      <c r="C113" s="69"/>
      <c r="D113" s="70">
        <f>B113</f>
        <v>15</v>
      </c>
      <c r="E113" s="71">
        <f>B113</f>
        <v>15</v>
      </c>
      <c r="G113" s="51"/>
    </row>
    <row r="114" spans="1:7" ht="21" customHeight="1" x14ac:dyDescent="0.25">
      <c r="A114" s="67" t="s">
        <v>59</v>
      </c>
      <c r="B114" s="68">
        <v>27</v>
      </c>
      <c r="C114" s="69"/>
      <c r="D114" s="70">
        <f>ROUND((D116/D115)/D113,0)</f>
        <v>5</v>
      </c>
      <c r="E114" s="70">
        <f>ROUND((E116/E115)/E113,0)</f>
        <v>27</v>
      </c>
      <c r="G114" s="51"/>
    </row>
    <row r="115" spans="1:7" ht="21" customHeight="1" x14ac:dyDescent="0.25">
      <c r="A115" s="67" t="s">
        <v>60</v>
      </c>
      <c r="B115" s="72">
        <v>18000</v>
      </c>
      <c r="C115" s="69"/>
      <c r="D115" s="73">
        <f>B115</f>
        <v>18000</v>
      </c>
      <c r="E115" s="73">
        <f>B115</f>
        <v>18000</v>
      </c>
      <c r="G115" s="51"/>
    </row>
    <row r="116" spans="1:7" ht="21" customHeight="1" x14ac:dyDescent="0.25">
      <c r="A116" s="67" t="s">
        <v>61</v>
      </c>
      <c r="B116" s="73">
        <f>B114*B113*B115</f>
        <v>7290000</v>
      </c>
      <c r="C116" s="52">
        <v>12</v>
      </c>
      <c r="D116" s="73">
        <f>D117/C116</f>
        <v>1289442.4792986109</v>
      </c>
      <c r="E116" s="73">
        <f>E117/C116</f>
        <v>7267242.4792986112</v>
      </c>
      <c r="G116" s="51"/>
    </row>
    <row r="117" spans="1:7" ht="21" customHeight="1" x14ac:dyDescent="0.25">
      <c r="A117" s="74" t="s">
        <v>62</v>
      </c>
      <c r="B117" s="75">
        <f>B116*C116</f>
        <v>87480000</v>
      </c>
      <c r="C117" s="76"/>
      <c r="D117" s="77">
        <f>ProyCartCre!E7+ProyCartCre!F7+ProyCartCre!E8+ProyCartCre!F8</f>
        <v>15473309.75158333</v>
      </c>
      <c r="E117" s="77">
        <f>DesglColoc!G16+DesglColoc!H16</f>
        <v>87206909.751583338</v>
      </c>
      <c r="G117" s="51"/>
    </row>
    <row r="118" spans="1:7" ht="21" customHeight="1" x14ac:dyDescent="0.25">
      <c r="A118" s="74" t="s">
        <v>63</v>
      </c>
      <c r="B118" s="78">
        <f>ROUND(B117/B115,0)</f>
        <v>4860</v>
      </c>
      <c r="C118" s="79"/>
      <c r="D118" s="78">
        <f t="shared" ref="D118:E118" si="6">ROUND(D117/D115,0)</f>
        <v>860</v>
      </c>
      <c r="E118" s="78">
        <f t="shared" si="6"/>
        <v>4845</v>
      </c>
      <c r="G118" s="51"/>
    </row>
    <row r="119" spans="1:7" ht="21" customHeight="1" x14ac:dyDescent="0.25">
      <c r="A119" s="74" t="s">
        <v>64</v>
      </c>
      <c r="B119" s="78">
        <f>ROUND(B117/B115/$C$116,0)</f>
        <v>405</v>
      </c>
      <c r="C119" s="76"/>
      <c r="D119" s="78">
        <f>ROUND(D117/D115/$C$116,0)</f>
        <v>72</v>
      </c>
      <c r="E119" s="78">
        <f>ROUND(E117/E115/$C$116,0)</f>
        <v>404</v>
      </c>
      <c r="G119" s="51"/>
    </row>
    <row r="120" spans="1:7" ht="21" customHeight="1" x14ac:dyDescent="0.25">
      <c r="A120" s="67" t="s">
        <v>65</v>
      </c>
      <c r="B120" s="80"/>
      <c r="C120" s="69"/>
      <c r="D120" s="81"/>
      <c r="G120" s="51"/>
    </row>
    <row r="121" spans="1:7" ht="21" customHeight="1" x14ac:dyDescent="0.25">
      <c r="A121" s="82" t="str">
        <f>Nómina!F130</f>
        <v>VICEPRESIDENTE DE NEGOCIOS</v>
      </c>
      <c r="B121" s="83">
        <v>0</v>
      </c>
      <c r="C121" s="69"/>
      <c r="D121" s="81"/>
      <c r="G121" s="51"/>
    </row>
    <row r="122" spans="1:7" ht="21" customHeight="1" x14ac:dyDescent="0.25">
      <c r="A122" s="82" t="str">
        <f>Nómina!F131</f>
        <v>GERENTE DE RIESGOS</v>
      </c>
      <c r="B122" s="84">
        <f>Nómina!E131</f>
        <v>1</v>
      </c>
      <c r="G122" s="51"/>
    </row>
    <row r="123" spans="1:7" ht="21" customHeight="1" x14ac:dyDescent="0.25">
      <c r="A123" s="82" t="str">
        <f>Nómina!F132</f>
        <v>EJECUTIVO DE CREDITO AUTOMOTRIZ SENIOR</v>
      </c>
      <c r="B123" s="84">
        <f>Nómina!E132</f>
        <v>6</v>
      </c>
      <c r="G123" s="51"/>
    </row>
    <row r="124" spans="1:7" ht="21" customHeight="1" x14ac:dyDescent="0.25">
      <c r="A124" s="82" t="str">
        <f>Nómina!F134</f>
        <v>EJECUTIVO DE BANCA PRIVADA SENIOR</v>
      </c>
      <c r="B124" s="84">
        <f>Nómina!E134</f>
        <v>3</v>
      </c>
      <c r="G124" s="51"/>
    </row>
    <row r="125" spans="1:7" ht="21" customHeight="1" x14ac:dyDescent="0.25">
      <c r="A125" s="82" t="str">
        <f>Nómina!F135</f>
        <v>EJECUTIVO DE BANCA PRIVADA JUNIOR</v>
      </c>
      <c r="B125" s="84">
        <f>Nómina!E135</f>
        <v>1</v>
      </c>
      <c r="G125" s="51"/>
    </row>
    <row r="126" spans="1:7" ht="21" customHeight="1" x14ac:dyDescent="0.25">
      <c r="A126" s="82" t="str">
        <f>Nómina!F136</f>
        <v>EJECUTIVO DE ANALISIS Y FABRICA DE CREDITO</v>
      </c>
      <c r="B126" s="84">
        <f>Nómina!E136</f>
        <v>2</v>
      </c>
      <c r="G126" s="51"/>
    </row>
    <row r="127" spans="1:7" ht="21" customHeight="1" x14ac:dyDescent="0.25">
      <c r="A127" s="82" t="str">
        <f>Nómina!F138</f>
        <v>EJECUTIVO DE CARTERA Y RECUPERACIÓN</v>
      </c>
      <c r="B127" s="84">
        <f>Nómina!E138</f>
        <v>0</v>
      </c>
      <c r="G127" s="51"/>
    </row>
    <row r="128" spans="1:7" ht="21" customHeight="1" x14ac:dyDescent="0.25">
      <c r="A128" s="74" t="s">
        <v>66</v>
      </c>
      <c r="B128" s="85">
        <f>SUM(B121:B127)</f>
        <v>13</v>
      </c>
      <c r="G128" s="51"/>
    </row>
    <row r="129" spans="1:7" ht="15" customHeight="1" x14ac:dyDescent="0.25">
      <c r="A129" s="86"/>
      <c r="B129" s="87"/>
      <c r="C129" s="88"/>
      <c r="D129" s="89"/>
      <c r="E129" s="90"/>
      <c r="F129" s="91"/>
      <c r="G129" s="92"/>
    </row>
    <row r="130" spans="1:7" ht="42" customHeight="1" x14ac:dyDescent="0.25">
      <c r="A130" s="67" t="s">
        <v>67</v>
      </c>
      <c r="B130" s="80"/>
      <c r="C130" s="69"/>
      <c r="D130" s="81"/>
      <c r="E130" s="59" t="s">
        <v>68</v>
      </c>
      <c r="G130" s="51"/>
    </row>
    <row r="131" spans="1:7" ht="21" customHeight="1" x14ac:dyDescent="0.25">
      <c r="A131" s="67" t="s">
        <v>69</v>
      </c>
      <c r="B131" s="93" t="s">
        <v>70</v>
      </c>
      <c r="C131" s="69"/>
      <c r="D131" s="94">
        <f>INV!I17</f>
        <v>800000</v>
      </c>
      <c r="E131" s="73">
        <f>D131*5%</f>
        <v>40000</v>
      </c>
      <c r="G131" s="51"/>
    </row>
    <row r="132" spans="1:7" ht="21" customHeight="1" x14ac:dyDescent="0.25">
      <c r="A132" s="67"/>
      <c r="B132" s="93" t="s">
        <v>71</v>
      </c>
      <c r="C132" s="69"/>
      <c r="D132" s="94">
        <f>INV!J17</f>
        <v>800000</v>
      </c>
      <c r="E132" s="73">
        <f>D132*5%</f>
        <v>40000</v>
      </c>
      <c r="G132" s="51"/>
    </row>
    <row r="133" spans="1:7" ht="21" customHeight="1" x14ac:dyDescent="0.25">
      <c r="A133" s="67"/>
      <c r="B133" s="95"/>
      <c r="C133" s="69"/>
      <c r="D133" s="96"/>
      <c r="G133" s="51"/>
    </row>
    <row r="140" spans="1:7" x14ac:dyDescent="0.25">
      <c r="A140" s="1" t="s">
        <v>72</v>
      </c>
    </row>
    <row r="141" spans="1:7" x14ac:dyDescent="0.25">
      <c r="A141" s="1" t="s">
        <v>73</v>
      </c>
    </row>
    <row r="142" spans="1:7" x14ac:dyDescent="0.25">
      <c r="A142" s="1" t="s">
        <v>74</v>
      </c>
    </row>
  </sheetData>
  <mergeCells count="5">
    <mergeCell ref="B1:C1"/>
    <mergeCell ref="D1:G1"/>
    <mergeCell ref="D25:G25"/>
    <mergeCell ref="B39:C39"/>
    <mergeCell ref="B50:C50"/>
  </mergeCells>
  <printOptions horizontalCentered="1"/>
  <pageMargins left="0.78740157480314965" right="0.78740157480314965" top="1.9685039370078741" bottom="1.1811023622047245" header="1.1811023622047245" footer="0.78740157480314965"/>
  <pageSetup paperSize="9" scale="40" orientation="portrait" useFirstPageNumber="1" horizontalDpi="300" verticalDpi="300"/>
  <headerFooter>
    <oddHeader>&amp;L&amp;G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K843"/>
  <sheetViews>
    <sheetView zoomScaleNormal="100" workbookViewId="0">
      <pane xSplit="3" ySplit="4" topLeftCell="AA45" activePane="bottomRight" state="frozen"/>
      <selection pane="topRight"/>
      <selection pane="bottomLeft"/>
      <selection pane="bottomRight" activeCell="AH52" sqref="AH52"/>
    </sheetView>
  </sheetViews>
  <sheetFormatPr baseColWidth="10" defaultColWidth="11.42578125" defaultRowHeight="11.25" customHeight="1" x14ac:dyDescent="0.25"/>
  <cols>
    <col min="1" max="1" width="3.7109375" style="97" customWidth="1"/>
    <col min="2" max="2" width="10.85546875" style="98" customWidth="1"/>
    <col min="3" max="3" width="42.7109375" style="97" customWidth="1"/>
    <col min="4" max="4" width="11.42578125" style="97" customWidth="1"/>
    <col min="5" max="15" width="11.42578125" style="97" hidden="1" customWidth="1"/>
    <col min="16" max="16" width="11.42578125" style="97" customWidth="1"/>
    <col min="17" max="28" width="10.28515625" style="97" customWidth="1"/>
    <col min="29" max="33" width="11.7109375" style="97" customWidth="1"/>
    <col min="34" max="40" width="11.140625" style="97" customWidth="1"/>
    <col min="41" max="50" width="12.7109375" style="97" customWidth="1"/>
    <col min="51" max="57" width="11.140625" style="97" customWidth="1"/>
    <col min="58" max="58" width="12.140625" style="97" customWidth="1"/>
    <col min="59" max="59" width="11.42578125" style="97" customWidth="1"/>
    <col min="60" max="16384" width="11.42578125" style="97"/>
  </cols>
  <sheetData>
    <row r="1" spans="1:63" ht="33" customHeight="1" x14ac:dyDescent="0.25">
      <c r="B1" s="99" t="str">
        <f>Premisas!A1</f>
        <v>BANCO CAPITAL S.A.</v>
      </c>
      <c r="D1" s="100" t="s">
        <v>75</v>
      </c>
      <c r="E1" s="101" t="s">
        <v>75</v>
      </c>
      <c r="F1" s="102"/>
      <c r="G1" s="102"/>
      <c r="H1" s="102"/>
      <c r="I1" s="102"/>
      <c r="J1" s="102"/>
      <c r="K1" s="103"/>
      <c r="N1" s="101" t="s">
        <v>75</v>
      </c>
      <c r="O1" s="102"/>
      <c r="P1" s="102"/>
      <c r="Q1" s="102"/>
      <c r="R1" s="102"/>
      <c r="S1" s="102"/>
      <c r="T1" s="103"/>
    </row>
    <row r="2" spans="1:63" s="2" customFormat="1" ht="15" customHeight="1" x14ac:dyDescent="0.25">
      <c r="C2" s="104"/>
      <c r="D2" s="105">
        <v>12</v>
      </c>
      <c r="E2" s="105">
        <v>1</v>
      </c>
      <c r="F2" s="105">
        <v>2</v>
      </c>
      <c r="G2" s="105">
        <v>3</v>
      </c>
      <c r="H2" s="105">
        <v>4</v>
      </c>
      <c r="I2" s="105">
        <v>5</v>
      </c>
      <c r="J2" s="105">
        <v>6</v>
      </c>
      <c r="K2" s="105">
        <v>7</v>
      </c>
      <c r="L2" s="105">
        <v>8</v>
      </c>
      <c r="M2" s="105">
        <v>9</v>
      </c>
      <c r="N2" s="105">
        <v>10</v>
      </c>
      <c r="O2" s="105">
        <v>11</v>
      </c>
      <c r="P2" s="105">
        <v>12</v>
      </c>
      <c r="Q2" s="105">
        <v>1</v>
      </c>
      <c r="R2" s="105">
        <v>2</v>
      </c>
      <c r="S2" s="105">
        <v>3</v>
      </c>
      <c r="T2" s="105">
        <v>4</v>
      </c>
      <c r="U2" s="105">
        <v>5</v>
      </c>
      <c r="V2" s="105">
        <v>6</v>
      </c>
      <c r="W2" s="105">
        <v>7</v>
      </c>
      <c r="X2" s="105">
        <v>8</v>
      </c>
      <c r="Y2" s="105">
        <v>9</v>
      </c>
      <c r="Z2" s="105">
        <v>10</v>
      </c>
      <c r="AA2" s="105">
        <v>11</v>
      </c>
      <c r="AB2" s="105">
        <v>12</v>
      </c>
      <c r="AC2" s="105">
        <v>1</v>
      </c>
      <c r="AD2" s="105">
        <v>2</v>
      </c>
      <c r="AE2" s="105">
        <v>3</v>
      </c>
      <c r="AF2" s="105">
        <v>4</v>
      </c>
      <c r="AG2" s="105">
        <v>5</v>
      </c>
      <c r="AH2" s="105">
        <v>6</v>
      </c>
      <c r="AI2" s="105">
        <v>7</v>
      </c>
      <c r="AJ2" s="105">
        <v>8</v>
      </c>
      <c r="AK2" s="105">
        <v>9</v>
      </c>
      <c r="AL2" s="105">
        <v>10</v>
      </c>
      <c r="AM2" s="105">
        <v>11</v>
      </c>
      <c r="AN2" s="105">
        <v>12</v>
      </c>
      <c r="AO2" s="105">
        <v>1</v>
      </c>
      <c r="AP2" s="105">
        <v>2</v>
      </c>
      <c r="AQ2" s="105">
        <v>3</v>
      </c>
      <c r="AR2" s="105">
        <v>4</v>
      </c>
      <c r="AS2" s="105">
        <v>5</v>
      </c>
      <c r="AT2" s="105">
        <v>6</v>
      </c>
      <c r="AU2" s="105">
        <v>7</v>
      </c>
      <c r="AV2" s="105">
        <v>8</v>
      </c>
      <c r="AW2" s="105">
        <v>9</v>
      </c>
      <c r="AX2" s="105">
        <v>10</v>
      </c>
    </row>
    <row r="3" spans="1:63" x14ac:dyDescent="0.25">
      <c r="A3" s="106" t="s">
        <v>76</v>
      </c>
      <c r="B3" s="107" t="s">
        <v>77</v>
      </c>
      <c r="C3" s="108" t="s">
        <v>78</v>
      </c>
      <c r="D3" s="109">
        <v>44561</v>
      </c>
      <c r="E3" s="110">
        <v>44592</v>
      </c>
      <c r="F3" s="110">
        <v>44620</v>
      </c>
      <c r="G3" s="110">
        <v>44651</v>
      </c>
      <c r="H3" s="110">
        <v>44681</v>
      </c>
      <c r="I3" s="110">
        <v>44712</v>
      </c>
      <c r="J3" s="110">
        <v>44742</v>
      </c>
      <c r="K3" s="110">
        <v>44773</v>
      </c>
      <c r="L3" s="110">
        <v>44804</v>
      </c>
      <c r="M3" s="110">
        <v>44834</v>
      </c>
      <c r="N3" s="110">
        <v>44865</v>
      </c>
      <c r="O3" s="110">
        <v>44895</v>
      </c>
      <c r="P3" s="109">
        <v>44926</v>
      </c>
      <c r="Q3" s="110">
        <v>44957</v>
      </c>
      <c r="R3" s="110">
        <v>44985</v>
      </c>
      <c r="S3" s="110">
        <v>45016</v>
      </c>
      <c r="T3" s="110">
        <v>45046</v>
      </c>
      <c r="U3" s="110">
        <v>45077</v>
      </c>
      <c r="V3" s="110">
        <v>45107</v>
      </c>
      <c r="W3" s="110">
        <v>45138</v>
      </c>
      <c r="X3" s="110">
        <v>45169</v>
      </c>
      <c r="Y3" s="110">
        <v>45199</v>
      </c>
      <c r="Z3" s="110">
        <v>45230</v>
      </c>
      <c r="AA3" s="110">
        <v>45260</v>
      </c>
      <c r="AB3" s="110">
        <v>45291</v>
      </c>
      <c r="AC3" s="111">
        <v>45322</v>
      </c>
      <c r="AD3" s="111">
        <v>45351</v>
      </c>
      <c r="AE3" s="111">
        <v>45382</v>
      </c>
      <c r="AF3" s="111">
        <v>45412</v>
      </c>
      <c r="AG3" s="111">
        <v>45443</v>
      </c>
      <c r="AH3" s="111">
        <v>45473</v>
      </c>
      <c r="AI3" s="111">
        <v>45504</v>
      </c>
      <c r="AJ3" s="111">
        <v>45535</v>
      </c>
      <c r="AK3" s="111">
        <v>45565</v>
      </c>
      <c r="AL3" s="111">
        <v>45596</v>
      </c>
      <c r="AM3" s="111">
        <v>45626</v>
      </c>
      <c r="AN3" s="111">
        <v>45657</v>
      </c>
      <c r="AO3" s="111">
        <v>45688</v>
      </c>
      <c r="AP3" s="111">
        <v>45716</v>
      </c>
      <c r="AQ3" s="111">
        <v>45747</v>
      </c>
      <c r="AR3" s="111">
        <v>45777</v>
      </c>
      <c r="AS3" s="111">
        <v>45808</v>
      </c>
      <c r="AT3" s="111">
        <v>45838</v>
      </c>
      <c r="AU3" s="111">
        <v>45869</v>
      </c>
      <c r="AV3" s="111">
        <v>45900</v>
      </c>
      <c r="AW3" s="111">
        <v>45930</v>
      </c>
      <c r="AX3" s="111">
        <v>45961</v>
      </c>
      <c r="AY3" s="112"/>
      <c r="AZ3" s="112"/>
      <c r="BA3" s="112"/>
      <c r="BB3" s="112"/>
      <c r="BC3" s="112"/>
      <c r="BD3" s="112"/>
      <c r="BE3" s="112"/>
    </row>
    <row r="4" spans="1:63" s="113" customFormat="1" x14ac:dyDescent="0.25">
      <c r="B4" s="114">
        <v>1</v>
      </c>
      <c r="C4" s="115" t="s">
        <v>79</v>
      </c>
      <c r="D4" s="116">
        <v>36785499.229999997</v>
      </c>
      <c r="E4" s="116">
        <v>36893445.890000001</v>
      </c>
      <c r="F4" s="116">
        <v>38348822.719999999</v>
      </c>
      <c r="G4" s="116">
        <v>38779119.140000001</v>
      </c>
      <c r="H4" s="116">
        <v>39117858.799999997</v>
      </c>
      <c r="I4" s="116">
        <v>39637059.700000003</v>
      </c>
      <c r="J4" s="116">
        <v>40115412.630000003</v>
      </c>
      <c r="K4" s="116">
        <v>40602162</v>
      </c>
      <c r="L4" s="116">
        <v>40166533.490000002</v>
      </c>
      <c r="M4" s="116">
        <v>42392653.659999996</v>
      </c>
      <c r="N4" s="116">
        <v>42463255.530000001</v>
      </c>
      <c r="O4" s="116">
        <v>42545572.520000003</v>
      </c>
      <c r="P4" s="116">
        <v>41871994.719999999</v>
      </c>
      <c r="Q4" s="116">
        <v>41428485.109999999</v>
      </c>
      <c r="R4" s="116">
        <v>41342572.390000001</v>
      </c>
      <c r="S4" s="116">
        <v>41608836.780000001</v>
      </c>
      <c r="T4" s="116">
        <v>41402927.380000003</v>
      </c>
      <c r="U4" s="116">
        <v>40814797.310000002</v>
      </c>
      <c r="V4" s="116">
        <v>39918747.289999999</v>
      </c>
      <c r="W4" s="116">
        <v>38859683.630000003</v>
      </c>
      <c r="X4" s="116">
        <v>38554649.969999999</v>
      </c>
      <c r="Y4" s="116">
        <v>38446164.329999998</v>
      </c>
      <c r="Z4" s="116">
        <v>39087529.869999997</v>
      </c>
      <c r="AA4" s="116">
        <v>38587002.549999997</v>
      </c>
      <c r="AB4" s="116">
        <v>38163617.950000003</v>
      </c>
      <c r="AC4" s="117">
        <v>38284841.659999996</v>
      </c>
      <c r="AD4" s="117">
        <v>37819571.289999999</v>
      </c>
      <c r="AE4" s="117">
        <v>38313322.43</v>
      </c>
      <c r="AF4" s="117">
        <v>38567039.909999996</v>
      </c>
      <c r="AG4" s="117">
        <v>41817124.310000002</v>
      </c>
      <c r="AH4" s="117">
        <v>47062540.159999996</v>
      </c>
      <c r="AI4" s="117">
        <v>47113340.789999999</v>
      </c>
      <c r="AJ4" s="117">
        <v>47711065.100000001</v>
      </c>
      <c r="AK4" s="117">
        <v>48144336.090000004</v>
      </c>
      <c r="AL4" s="117">
        <v>49311534.219999999</v>
      </c>
      <c r="AM4" s="117">
        <v>50621766.299999997</v>
      </c>
      <c r="AN4" s="117">
        <v>51800193.119999997</v>
      </c>
      <c r="AO4" s="118">
        <v>54248199.350000001</v>
      </c>
      <c r="AP4" s="118">
        <v>56369251.25</v>
      </c>
      <c r="AQ4" s="118">
        <v>61925193.32</v>
      </c>
      <c r="AR4" s="118">
        <v>59395368.609999999</v>
      </c>
      <c r="AS4" s="118">
        <v>61701050.649999999</v>
      </c>
      <c r="AT4" s="118">
        <v>63381053.350000001</v>
      </c>
      <c r="AU4" s="118">
        <v>66525948.43</v>
      </c>
      <c r="AV4" s="118">
        <v>68613984.159999996</v>
      </c>
      <c r="AW4" s="118">
        <v>69701630.200000003</v>
      </c>
      <c r="AX4" s="118">
        <v>72243574.269999996</v>
      </c>
      <c r="AY4" s="119"/>
      <c r="AZ4" s="119"/>
      <c r="BA4" s="119"/>
      <c r="BB4" s="119"/>
      <c r="BC4" s="119"/>
      <c r="BD4" s="119"/>
      <c r="BE4" s="119"/>
      <c r="BF4" s="120">
        <v>1</v>
      </c>
      <c r="BG4" s="113" t="s">
        <v>79</v>
      </c>
      <c r="BH4" s="120">
        <v>47062540.159999996</v>
      </c>
      <c r="BI4" s="120">
        <v>1</v>
      </c>
      <c r="BJ4" s="113" t="s">
        <v>79</v>
      </c>
      <c r="BK4" s="120">
        <v>47113340.789999999</v>
      </c>
    </row>
    <row r="5" spans="1:63" s="113" customFormat="1" x14ac:dyDescent="0.25">
      <c r="B5" s="114">
        <v>11</v>
      </c>
      <c r="C5" s="115" t="s">
        <v>80</v>
      </c>
      <c r="D5" s="116">
        <v>2686087.03</v>
      </c>
      <c r="E5" s="116">
        <v>2804100.22</v>
      </c>
      <c r="F5" s="116">
        <v>2695224.78</v>
      </c>
      <c r="G5" s="116">
        <v>2589769.21</v>
      </c>
      <c r="H5" s="116">
        <v>2923643.53</v>
      </c>
      <c r="I5" s="116">
        <v>2383972.7999999998</v>
      </c>
      <c r="J5" s="116">
        <v>2540920.33</v>
      </c>
      <c r="K5" s="116">
        <v>2723411.24</v>
      </c>
      <c r="L5" s="116">
        <v>2143680.2000000002</v>
      </c>
      <c r="M5" s="116">
        <v>3680138.13</v>
      </c>
      <c r="N5" s="116">
        <v>3077894.4</v>
      </c>
      <c r="O5" s="116">
        <v>2694462.41</v>
      </c>
      <c r="P5" s="116">
        <v>1875049.31</v>
      </c>
      <c r="Q5" s="116">
        <v>2157721.77</v>
      </c>
      <c r="R5" s="116">
        <v>1067075.47</v>
      </c>
      <c r="S5" s="116">
        <v>1371077.22</v>
      </c>
      <c r="T5" s="116">
        <v>1367417.18</v>
      </c>
      <c r="U5" s="116">
        <v>639585.39</v>
      </c>
      <c r="V5" s="116">
        <v>1015149.9</v>
      </c>
      <c r="W5" s="116">
        <v>1439298.38</v>
      </c>
      <c r="X5" s="116">
        <v>1405357.67</v>
      </c>
      <c r="Y5" s="116">
        <v>1420921.5</v>
      </c>
      <c r="Z5" s="116">
        <v>3468050.72</v>
      </c>
      <c r="AA5" s="116">
        <v>1823814.01</v>
      </c>
      <c r="AB5" s="116">
        <v>2030867.1</v>
      </c>
      <c r="AC5" s="117">
        <v>2478250.66</v>
      </c>
      <c r="AD5" s="117">
        <v>2693317.64</v>
      </c>
      <c r="AE5" s="117">
        <v>2647740</v>
      </c>
      <c r="AF5" s="117">
        <v>2607961.33</v>
      </c>
      <c r="AG5" s="117">
        <v>5634923.0800000001</v>
      </c>
      <c r="AH5" s="117">
        <v>4254536.54</v>
      </c>
      <c r="AI5" s="117">
        <v>4099295.95</v>
      </c>
      <c r="AJ5" s="117">
        <v>4958217.28</v>
      </c>
      <c r="AK5" s="117">
        <v>4296254.51</v>
      </c>
      <c r="AL5" s="117">
        <v>4298604.66</v>
      </c>
      <c r="AM5" s="117">
        <v>3676654.58</v>
      </c>
      <c r="AN5" s="117">
        <v>4049699.83</v>
      </c>
      <c r="AO5" s="118">
        <v>5062709.0999999996</v>
      </c>
      <c r="AP5" s="118">
        <v>5849402.1399999997</v>
      </c>
      <c r="AQ5" s="118">
        <v>10155982.23</v>
      </c>
      <c r="AR5" s="118">
        <v>4699001.74</v>
      </c>
      <c r="AS5" s="118">
        <v>4336396.09</v>
      </c>
      <c r="AT5" s="118">
        <v>4550594.75</v>
      </c>
      <c r="AU5" s="118">
        <v>5911836.3600000003</v>
      </c>
      <c r="AV5" s="118">
        <v>4866030.07</v>
      </c>
      <c r="AW5" s="118">
        <v>3430395.23</v>
      </c>
      <c r="AX5" s="118">
        <v>4340169.01</v>
      </c>
      <c r="AY5" s="119"/>
      <c r="AZ5" s="119"/>
      <c r="BA5" s="119"/>
      <c r="BB5" s="119"/>
      <c r="BC5" s="119"/>
      <c r="BD5" s="119"/>
      <c r="BE5" s="119"/>
      <c r="BF5" s="120">
        <v>11</v>
      </c>
      <c r="BG5" s="113" t="s">
        <v>80</v>
      </c>
      <c r="BH5" s="120">
        <v>4254536.54</v>
      </c>
      <c r="BI5" s="120">
        <v>11</v>
      </c>
      <c r="BJ5" s="113" t="s">
        <v>80</v>
      </c>
      <c r="BK5" s="120">
        <v>4099295.95</v>
      </c>
    </row>
    <row r="6" spans="1:63" x14ac:dyDescent="0.25">
      <c r="B6" s="121">
        <v>1101</v>
      </c>
      <c r="C6" s="122" t="s">
        <v>81</v>
      </c>
      <c r="D6" s="123">
        <v>407928.36</v>
      </c>
      <c r="E6" s="123">
        <v>364748.68</v>
      </c>
      <c r="F6" s="123">
        <v>398771.20000000001</v>
      </c>
      <c r="G6" s="123">
        <v>441259.02</v>
      </c>
      <c r="H6" s="123">
        <v>206209.45</v>
      </c>
      <c r="I6" s="123">
        <v>245002.16</v>
      </c>
      <c r="J6" s="123">
        <v>263087.73</v>
      </c>
      <c r="K6" s="123">
        <v>205228.55</v>
      </c>
      <c r="L6" s="123">
        <v>225069.1</v>
      </c>
      <c r="M6" s="123">
        <v>186808.61</v>
      </c>
      <c r="N6" s="123">
        <v>236209.4</v>
      </c>
      <c r="O6" s="123">
        <v>215810.59</v>
      </c>
      <c r="P6" s="123">
        <v>214026.13</v>
      </c>
      <c r="Q6" s="123">
        <v>277847.71999999997</v>
      </c>
      <c r="R6" s="123">
        <v>286876.51</v>
      </c>
      <c r="S6" s="123">
        <v>204150.86</v>
      </c>
      <c r="T6" s="123">
        <v>160152.06</v>
      </c>
      <c r="U6" s="123">
        <v>131044.46</v>
      </c>
      <c r="V6" s="123">
        <v>176055.54</v>
      </c>
      <c r="W6" s="123">
        <v>198561.99</v>
      </c>
      <c r="X6" s="123">
        <v>195871.78</v>
      </c>
      <c r="Y6" s="123">
        <v>228922.32</v>
      </c>
      <c r="Z6" s="123">
        <v>283560.03999999998</v>
      </c>
      <c r="AA6" s="123">
        <v>222619.25</v>
      </c>
      <c r="AB6" s="123">
        <v>208164.9</v>
      </c>
      <c r="AC6" s="124">
        <v>251432.59</v>
      </c>
      <c r="AD6" s="124">
        <v>240875.19</v>
      </c>
      <c r="AE6" s="124">
        <v>253033.42</v>
      </c>
      <c r="AF6" s="124">
        <v>187632.89</v>
      </c>
      <c r="AG6" s="124">
        <v>220439.2</v>
      </c>
      <c r="AH6" s="124">
        <v>310851.53999999998</v>
      </c>
      <c r="AI6" s="124">
        <v>283281.65999999997</v>
      </c>
      <c r="AJ6" s="124">
        <v>199494.72</v>
      </c>
      <c r="AK6" s="124">
        <v>278582.65999999997</v>
      </c>
      <c r="AL6" s="124">
        <v>259551.5</v>
      </c>
      <c r="AM6" s="124">
        <v>199927.71</v>
      </c>
      <c r="AN6" s="124">
        <v>262062.05</v>
      </c>
      <c r="AO6" s="125">
        <v>277749.15999999997</v>
      </c>
      <c r="AP6" s="125">
        <v>318505.87</v>
      </c>
      <c r="AQ6" s="125">
        <v>230466.86</v>
      </c>
      <c r="AR6" s="125">
        <v>234403.27</v>
      </c>
      <c r="AS6" s="125">
        <v>253245.71</v>
      </c>
      <c r="AT6" s="125">
        <v>310211.12</v>
      </c>
      <c r="AU6" s="125">
        <v>243391.61</v>
      </c>
      <c r="AV6" s="125">
        <v>197845.36</v>
      </c>
      <c r="AW6" s="125">
        <v>112996.15</v>
      </c>
      <c r="AX6" s="125">
        <v>163888.03</v>
      </c>
      <c r="AY6" s="126"/>
      <c r="AZ6" s="126"/>
      <c r="BA6" s="126"/>
      <c r="BB6" s="126"/>
      <c r="BC6" s="126"/>
      <c r="BD6" s="126"/>
      <c r="BE6" s="126"/>
      <c r="BF6" s="127">
        <v>1101</v>
      </c>
      <c r="BG6" s="97" t="s">
        <v>81</v>
      </c>
      <c r="BH6" s="127">
        <v>310851.53999999998</v>
      </c>
      <c r="BI6" s="127">
        <v>1101</v>
      </c>
      <c r="BJ6" s="97" t="s">
        <v>81</v>
      </c>
      <c r="BK6" s="127">
        <v>283281.65999999997</v>
      </c>
    </row>
    <row r="7" spans="1:63" x14ac:dyDescent="0.25">
      <c r="B7" s="121">
        <v>110105</v>
      </c>
      <c r="C7" s="122" t="s">
        <v>82</v>
      </c>
      <c r="D7" s="123">
        <v>407228.36</v>
      </c>
      <c r="E7" s="123">
        <v>364048.68</v>
      </c>
      <c r="F7" s="123">
        <v>398071.2</v>
      </c>
      <c r="G7" s="123">
        <v>440559.02</v>
      </c>
      <c r="H7" s="123">
        <v>205509.45</v>
      </c>
      <c r="I7" s="123">
        <v>244302.16</v>
      </c>
      <c r="J7" s="123">
        <v>262387.73</v>
      </c>
      <c r="K7" s="123">
        <v>204528.55</v>
      </c>
      <c r="L7" s="123">
        <v>224369.1</v>
      </c>
      <c r="M7" s="123">
        <v>186108.61</v>
      </c>
      <c r="N7" s="123">
        <v>235509.4</v>
      </c>
      <c r="O7" s="123">
        <v>215110.59</v>
      </c>
      <c r="P7" s="123">
        <v>213326.13</v>
      </c>
      <c r="Q7" s="123">
        <v>277147.71999999997</v>
      </c>
      <c r="R7" s="123">
        <v>286476.51</v>
      </c>
      <c r="S7" s="123">
        <v>203550.86</v>
      </c>
      <c r="T7" s="123">
        <v>159552.06</v>
      </c>
      <c r="U7" s="123">
        <v>130444.46</v>
      </c>
      <c r="V7" s="123">
        <v>175455.54</v>
      </c>
      <c r="W7" s="123">
        <v>197961.99</v>
      </c>
      <c r="X7" s="123">
        <v>195271.78</v>
      </c>
      <c r="Y7" s="123">
        <v>228322.32</v>
      </c>
      <c r="Z7" s="123">
        <v>282960.03999999998</v>
      </c>
      <c r="AA7" s="123">
        <v>222019.25</v>
      </c>
      <c r="AB7" s="123">
        <v>207564.9</v>
      </c>
      <c r="AC7" s="124">
        <v>250832.59</v>
      </c>
      <c r="AD7" s="124">
        <v>240275.19</v>
      </c>
      <c r="AE7" s="124">
        <v>252433.42</v>
      </c>
      <c r="AF7" s="124">
        <v>187032.89</v>
      </c>
      <c r="AG7" s="124">
        <v>219839.2</v>
      </c>
      <c r="AH7" s="124">
        <v>310251.53999999998</v>
      </c>
      <c r="AI7" s="124">
        <v>282681.65999999997</v>
      </c>
      <c r="AJ7" s="124">
        <v>198894.72</v>
      </c>
      <c r="AK7" s="124">
        <v>277932.65999999997</v>
      </c>
      <c r="AL7" s="124">
        <v>258901.5</v>
      </c>
      <c r="AM7" s="124">
        <v>199277.71</v>
      </c>
      <c r="AN7" s="124">
        <v>261412.05</v>
      </c>
      <c r="AO7" s="125">
        <v>277099.15999999997</v>
      </c>
      <c r="AP7" s="125">
        <v>317855.87</v>
      </c>
      <c r="AQ7" s="125">
        <v>229816.86</v>
      </c>
      <c r="AR7" s="125">
        <v>233753.27</v>
      </c>
      <c r="AS7" s="125">
        <v>252595.71</v>
      </c>
      <c r="AT7" s="125">
        <v>309561.12</v>
      </c>
      <c r="AU7" s="125">
        <v>242741.61</v>
      </c>
      <c r="AV7" s="125">
        <v>197195.36</v>
      </c>
      <c r="AW7" s="125">
        <v>112346.15</v>
      </c>
      <c r="AX7" s="125">
        <v>163238.03</v>
      </c>
      <c r="AY7" s="126"/>
      <c r="AZ7" s="126"/>
      <c r="BA7" s="126"/>
      <c r="BB7" s="126"/>
      <c r="BC7" s="126"/>
      <c r="BD7" s="126"/>
      <c r="BE7" s="126"/>
      <c r="BF7" s="127">
        <v>110105</v>
      </c>
      <c r="BG7" s="97" t="s">
        <v>82</v>
      </c>
      <c r="BH7" s="127">
        <v>310251.53999999998</v>
      </c>
      <c r="BI7" s="127">
        <v>110105</v>
      </c>
      <c r="BJ7" s="97" t="s">
        <v>82</v>
      </c>
      <c r="BK7" s="127">
        <v>282681.65999999997</v>
      </c>
    </row>
    <row r="8" spans="1:63" x14ac:dyDescent="0.25">
      <c r="B8" s="121">
        <v>11010505</v>
      </c>
      <c r="C8" s="122" t="s">
        <v>83</v>
      </c>
      <c r="D8" s="123">
        <v>228618.54</v>
      </c>
      <c r="E8" s="123">
        <v>185518.85</v>
      </c>
      <c r="F8" s="123">
        <v>225499.47</v>
      </c>
      <c r="G8" s="123">
        <v>267105.75</v>
      </c>
      <c r="H8" s="123">
        <v>197286.22</v>
      </c>
      <c r="I8" s="123">
        <v>236078.93</v>
      </c>
      <c r="J8" s="123">
        <v>254164.5</v>
      </c>
      <c r="K8" s="123">
        <v>196305.32</v>
      </c>
      <c r="L8" s="123">
        <v>216145.87</v>
      </c>
      <c r="M8" s="123">
        <v>177885.38</v>
      </c>
      <c r="N8" s="123">
        <v>227286.17</v>
      </c>
      <c r="O8" s="123">
        <v>215110.59</v>
      </c>
      <c r="P8" s="123">
        <v>213326.13</v>
      </c>
      <c r="Q8" s="123">
        <v>277147.71999999997</v>
      </c>
      <c r="R8" s="123">
        <v>286476.51</v>
      </c>
      <c r="S8" s="123">
        <v>203550.86</v>
      </c>
      <c r="T8" s="123">
        <v>159552.06</v>
      </c>
      <c r="U8" s="123">
        <v>130444.46</v>
      </c>
      <c r="V8" s="123">
        <v>175455.54</v>
      </c>
      <c r="W8" s="123">
        <v>197961.99</v>
      </c>
      <c r="X8" s="123">
        <v>195271.78</v>
      </c>
      <c r="Y8" s="123">
        <v>228322.32</v>
      </c>
      <c r="Z8" s="123">
        <v>282960.03999999998</v>
      </c>
      <c r="AA8" s="123">
        <v>222019.25</v>
      </c>
      <c r="AB8" s="123">
        <v>207564.9</v>
      </c>
      <c r="AC8" s="124">
        <v>250832.59</v>
      </c>
      <c r="AD8" s="124">
        <v>240275.19</v>
      </c>
      <c r="AE8" s="124">
        <v>252433.42</v>
      </c>
      <c r="AF8" s="124">
        <v>187032.89</v>
      </c>
      <c r="AG8" s="124">
        <v>219839.2</v>
      </c>
      <c r="AH8" s="124">
        <v>310251.53999999998</v>
      </c>
      <c r="AI8" s="124">
        <v>282681.65999999997</v>
      </c>
      <c r="AJ8" s="124">
        <v>198894.72</v>
      </c>
      <c r="AK8" s="124">
        <v>277932.65999999997</v>
      </c>
      <c r="AL8" s="124">
        <v>258901.5</v>
      </c>
      <c r="AM8" s="124">
        <v>199277.71</v>
      </c>
      <c r="AN8" s="124">
        <v>261412.05</v>
      </c>
      <c r="AO8" s="125">
        <v>277099.15999999997</v>
      </c>
      <c r="AP8" s="125">
        <v>317855.87</v>
      </c>
      <c r="AQ8" s="125">
        <v>229816.86</v>
      </c>
      <c r="AR8" s="125">
        <v>233753.27</v>
      </c>
      <c r="AS8" s="125">
        <v>252595.71</v>
      </c>
      <c r="AT8" s="125">
        <v>309561.12</v>
      </c>
      <c r="AU8" s="125">
        <v>242741.61</v>
      </c>
      <c r="AV8" s="125">
        <v>197195.36</v>
      </c>
      <c r="AW8" s="125">
        <v>112346.15</v>
      </c>
      <c r="AX8" s="125">
        <v>163238.03</v>
      </c>
      <c r="AY8" s="126"/>
      <c r="AZ8" s="126"/>
      <c r="BA8" s="126"/>
      <c r="BB8" s="126"/>
      <c r="BC8" s="126"/>
      <c r="BD8" s="126"/>
      <c r="BE8" s="126"/>
      <c r="BF8" s="127">
        <v>11010505</v>
      </c>
      <c r="BG8" s="97" t="s">
        <v>83</v>
      </c>
      <c r="BH8" s="127">
        <v>310251.53999999998</v>
      </c>
      <c r="BI8" s="127">
        <v>11010505</v>
      </c>
      <c r="BJ8" s="97" t="s">
        <v>83</v>
      </c>
      <c r="BK8" s="127">
        <v>282681.65999999997</v>
      </c>
    </row>
    <row r="9" spans="1:63" x14ac:dyDescent="0.25">
      <c r="B9" s="121">
        <v>11010510</v>
      </c>
      <c r="C9" s="122" t="s">
        <v>84</v>
      </c>
      <c r="D9" s="123">
        <v>178609.82</v>
      </c>
      <c r="E9" s="123">
        <v>178529.83</v>
      </c>
      <c r="F9" s="123">
        <v>172571.73</v>
      </c>
      <c r="G9" s="123">
        <v>173453.27</v>
      </c>
      <c r="H9" s="123">
        <v>8223.23</v>
      </c>
      <c r="I9" s="123">
        <v>8223.23</v>
      </c>
      <c r="J9" s="123">
        <v>8223.23</v>
      </c>
      <c r="K9" s="123">
        <v>8223.23</v>
      </c>
      <c r="L9" s="123">
        <v>8223.23</v>
      </c>
      <c r="M9" s="123">
        <v>8223.23</v>
      </c>
      <c r="N9" s="123">
        <v>8223.23</v>
      </c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  <c r="AA9" s="128"/>
      <c r="AB9" s="128"/>
      <c r="AC9" s="129"/>
      <c r="AD9" s="129"/>
      <c r="AE9" s="129"/>
      <c r="AF9" s="129"/>
      <c r="AG9" s="129"/>
      <c r="AH9" s="129"/>
      <c r="AI9" s="129"/>
      <c r="AJ9" s="124">
        <v>0</v>
      </c>
      <c r="AK9" s="124">
        <v>0</v>
      </c>
      <c r="AL9" s="124">
        <v>0</v>
      </c>
      <c r="AM9" s="124">
        <v>0</v>
      </c>
      <c r="AN9" s="124">
        <v>0</v>
      </c>
      <c r="AO9" s="125">
        <v>0</v>
      </c>
      <c r="AP9" s="125">
        <v>0</v>
      </c>
      <c r="AQ9" s="125">
        <v>0</v>
      </c>
      <c r="AR9" s="125">
        <v>0</v>
      </c>
      <c r="AS9" s="125">
        <v>0</v>
      </c>
      <c r="AT9" s="125">
        <v>0</v>
      </c>
      <c r="AU9" s="125">
        <v>0</v>
      </c>
      <c r="AV9" s="125">
        <v>0</v>
      </c>
      <c r="AW9" s="125">
        <v>0</v>
      </c>
      <c r="AX9" s="125">
        <v>0</v>
      </c>
      <c r="AY9" s="126"/>
      <c r="AZ9" s="126"/>
      <c r="BA9" s="126"/>
      <c r="BB9" s="126"/>
      <c r="BC9" s="126"/>
      <c r="BD9" s="126"/>
      <c r="BE9" s="126"/>
    </row>
    <row r="10" spans="1:63" x14ac:dyDescent="0.25">
      <c r="B10" s="121">
        <v>110110</v>
      </c>
      <c r="C10" s="122" t="s">
        <v>85</v>
      </c>
      <c r="D10" s="123">
        <v>700</v>
      </c>
      <c r="E10" s="123">
        <v>700</v>
      </c>
      <c r="F10" s="123">
        <v>700</v>
      </c>
      <c r="G10" s="123">
        <v>700</v>
      </c>
      <c r="H10" s="123">
        <v>700</v>
      </c>
      <c r="I10" s="123">
        <v>700</v>
      </c>
      <c r="J10" s="123">
        <v>700</v>
      </c>
      <c r="K10" s="123">
        <v>700</v>
      </c>
      <c r="L10" s="123">
        <v>700</v>
      </c>
      <c r="M10" s="123">
        <v>700</v>
      </c>
      <c r="N10" s="123">
        <v>700</v>
      </c>
      <c r="O10" s="123">
        <v>700</v>
      </c>
      <c r="P10" s="123">
        <v>700</v>
      </c>
      <c r="Q10" s="123">
        <v>700</v>
      </c>
      <c r="R10" s="123">
        <v>400</v>
      </c>
      <c r="S10" s="123">
        <v>600</v>
      </c>
      <c r="T10" s="123">
        <v>600</v>
      </c>
      <c r="U10" s="123">
        <v>600</v>
      </c>
      <c r="V10" s="123">
        <v>600</v>
      </c>
      <c r="W10" s="123">
        <v>600</v>
      </c>
      <c r="X10" s="123">
        <v>600</v>
      </c>
      <c r="Y10" s="123">
        <v>600</v>
      </c>
      <c r="Z10" s="123">
        <v>600</v>
      </c>
      <c r="AA10" s="123">
        <v>600</v>
      </c>
      <c r="AB10" s="123">
        <v>600</v>
      </c>
      <c r="AC10" s="124">
        <v>600</v>
      </c>
      <c r="AD10" s="124">
        <v>600</v>
      </c>
      <c r="AE10" s="124">
        <v>600</v>
      </c>
      <c r="AF10" s="124">
        <v>600</v>
      </c>
      <c r="AG10" s="124">
        <v>600</v>
      </c>
      <c r="AH10" s="124">
        <v>600</v>
      </c>
      <c r="AI10" s="124">
        <v>600</v>
      </c>
      <c r="AJ10" s="124">
        <v>600</v>
      </c>
      <c r="AK10" s="124">
        <v>650</v>
      </c>
      <c r="AL10" s="124">
        <v>650</v>
      </c>
      <c r="AM10" s="124">
        <v>650</v>
      </c>
      <c r="AN10" s="124">
        <v>650</v>
      </c>
      <c r="AO10" s="125">
        <v>650</v>
      </c>
      <c r="AP10" s="125">
        <v>650</v>
      </c>
      <c r="AQ10" s="125">
        <v>650</v>
      </c>
      <c r="AR10" s="125">
        <v>650</v>
      </c>
      <c r="AS10" s="125">
        <v>650</v>
      </c>
      <c r="AT10" s="125">
        <v>650</v>
      </c>
      <c r="AU10" s="125">
        <v>650</v>
      </c>
      <c r="AV10" s="125">
        <v>650</v>
      </c>
      <c r="AW10" s="125">
        <v>650</v>
      </c>
      <c r="AX10" s="125">
        <v>650</v>
      </c>
      <c r="AY10" s="126"/>
      <c r="AZ10" s="126"/>
      <c r="BA10" s="126"/>
      <c r="BB10" s="126"/>
      <c r="BC10" s="126"/>
      <c r="BD10" s="126"/>
      <c r="BE10" s="126"/>
      <c r="BF10" s="127">
        <v>110110</v>
      </c>
      <c r="BG10" s="97" t="s">
        <v>85</v>
      </c>
      <c r="BH10" s="127">
        <v>600</v>
      </c>
      <c r="BI10" s="127">
        <v>110110</v>
      </c>
      <c r="BJ10" s="97" t="s">
        <v>85</v>
      </c>
      <c r="BK10" s="127">
        <v>600</v>
      </c>
    </row>
    <row r="11" spans="1:63" x14ac:dyDescent="0.25">
      <c r="B11" s="121">
        <v>1102</v>
      </c>
      <c r="C11" s="122" t="s">
        <v>86</v>
      </c>
      <c r="D11" s="123">
        <v>723166.33</v>
      </c>
      <c r="E11" s="123">
        <v>968383.13</v>
      </c>
      <c r="F11" s="123">
        <v>862945.84</v>
      </c>
      <c r="G11" s="123">
        <v>1459649.13</v>
      </c>
      <c r="H11" s="123">
        <v>1619818.6</v>
      </c>
      <c r="I11" s="123">
        <v>1689645.95</v>
      </c>
      <c r="J11" s="123">
        <v>1992147.84</v>
      </c>
      <c r="K11" s="123">
        <v>1923298.51</v>
      </c>
      <c r="L11" s="123">
        <v>1360725.77</v>
      </c>
      <c r="M11" s="123">
        <v>1805091.75</v>
      </c>
      <c r="N11" s="123">
        <v>2220619.19</v>
      </c>
      <c r="O11" s="123">
        <v>1756268.92</v>
      </c>
      <c r="P11" s="123">
        <v>1458459.15</v>
      </c>
      <c r="Q11" s="123">
        <v>1655874.5600000001</v>
      </c>
      <c r="R11" s="123">
        <v>696024.36</v>
      </c>
      <c r="S11" s="123">
        <v>729617.53</v>
      </c>
      <c r="T11" s="123">
        <v>914088.16</v>
      </c>
      <c r="U11" s="123">
        <v>395720.74</v>
      </c>
      <c r="V11" s="123">
        <v>661246.05000000005</v>
      </c>
      <c r="W11" s="123">
        <v>905886.15</v>
      </c>
      <c r="X11" s="123">
        <v>949534.49</v>
      </c>
      <c r="Y11" s="123">
        <v>1009525.16</v>
      </c>
      <c r="Z11" s="123">
        <v>2385698.0499999998</v>
      </c>
      <c r="AA11" s="123">
        <v>1334167.71</v>
      </c>
      <c r="AB11" s="123">
        <v>1405746.76</v>
      </c>
      <c r="AC11" s="124">
        <v>1859123.12</v>
      </c>
      <c r="AD11" s="124">
        <v>2003168.08</v>
      </c>
      <c r="AE11" s="124">
        <v>2045474.5</v>
      </c>
      <c r="AF11" s="124">
        <v>1976303.92</v>
      </c>
      <c r="AG11" s="124">
        <v>3928148.23</v>
      </c>
      <c r="AH11" s="124">
        <v>3143750.98</v>
      </c>
      <c r="AI11" s="124">
        <v>2806503.99</v>
      </c>
      <c r="AJ11" s="124">
        <v>2163759.4300000002</v>
      </c>
      <c r="AK11" s="124">
        <v>2242781.5299999998</v>
      </c>
      <c r="AL11" s="124">
        <v>1709911.09</v>
      </c>
      <c r="AM11" s="124">
        <v>1638916.85</v>
      </c>
      <c r="AN11" s="124">
        <v>2070537.38</v>
      </c>
      <c r="AO11" s="125">
        <v>2642596.5</v>
      </c>
      <c r="AP11" s="125">
        <v>3166958.69</v>
      </c>
      <c r="AQ11" s="125">
        <v>6287760.6600000001</v>
      </c>
      <c r="AR11" s="125">
        <v>2911875.46</v>
      </c>
      <c r="AS11" s="125">
        <v>2377694.23</v>
      </c>
      <c r="AT11" s="125">
        <v>2062558.22</v>
      </c>
      <c r="AU11" s="125">
        <v>2061537.22</v>
      </c>
      <c r="AV11" s="125">
        <v>1873146.67</v>
      </c>
      <c r="AW11" s="125">
        <v>2308812.4700000002</v>
      </c>
      <c r="AX11" s="125">
        <v>1771523.05</v>
      </c>
      <c r="AY11" s="126"/>
      <c r="AZ11" s="126"/>
      <c r="BA11" s="126"/>
      <c r="BB11" s="126"/>
      <c r="BC11" s="126"/>
      <c r="BD11" s="126"/>
      <c r="BE11" s="126"/>
      <c r="BF11" s="127">
        <v>1102</v>
      </c>
      <c r="BG11" s="97" t="s">
        <v>86</v>
      </c>
      <c r="BH11" s="127">
        <v>3143750.98</v>
      </c>
      <c r="BI11" s="127">
        <v>1102</v>
      </c>
      <c r="BJ11" s="97" t="s">
        <v>86</v>
      </c>
      <c r="BK11" s="127">
        <v>2806503.99</v>
      </c>
    </row>
    <row r="12" spans="1:63" x14ac:dyDescent="0.25">
      <c r="B12" s="121">
        <v>110205</v>
      </c>
      <c r="C12" s="122" t="s">
        <v>87</v>
      </c>
      <c r="D12" s="123">
        <v>723166.33</v>
      </c>
      <c r="E12" s="123">
        <v>968383.13</v>
      </c>
      <c r="F12" s="123">
        <v>862945.84</v>
      </c>
      <c r="G12" s="123">
        <v>1766788.92</v>
      </c>
      <c r="H12" s="123">
        <v>1619818.6</v>
      </c>
      <c r="I12" s="123">
        <v>1689645.95</v>
      </c>
      <c r="J12" s="123">
        <v>1992147.84</v>
      </c>
      <c r="K12" s="123">
        <v>1923298.51</v>
      </c>
      <c r="L12" s="123">
        <v>1360725.77</v>
      </c>
      <c r="M12" s="123">
        <v>1805091.75</v>
      </c>
      <c r="N12" s="123">
        <v>2220619.19</v>
      </c>
      <c r="O12" s="123">
        <v>1756268.92</v>
      </c>
      <c r="P12" s="123">
        <v>1458459.15</v>
      </c>
      <c r="Q12" s="123">
        <v>1655874.5600000001</v>
      </c>
      <c r="R12" s="123">
        <v>696024.36</v>
      </c>
      <c r="S12" s="123">
        <v>729617.53</v>
      </c>
      <c r="T12" s="123">
        <v>914088.16</v>
      </c>
      <c r="U12" s="123">
        <v>395720.74</v>
      </c>
      <c r="V12" s="123">
        <v>661246.05000000005</v>
      </c>
      <c r="W12" s="123">
        <v>905886.15</v>
      </c>
      <c r="X12" s="123">
        <v>949534.49</v>
      </c>
      <c r="Y12" s="123">
        <v>1009525.16</v>
      </c>
      <c r="Z12" s="123">
        <v>2385698.0499999998</v>
      </c>
      <c r="AA12" s="123">
        <v>1334167.71</v>
      </c>
      <c r="AB12" s="123">
        <v>1405746.76</v>
      </c>
      <c r="AC12" s="124">
        <v>1859123.12</v>
      </c>
      <c r="AD12" s="124">
        <v>2003168.08</v>
      </c>
      <c r="AE12" s="124">
        <v>2045474.5</v>
      </c>
      <c r="AF12" s="124">
        <v>1976303.92</v>
      </c>
      <c r="AG12" s="124">
        <v>3928148.23</v>
      </c>
      <c r="AH12" s="124">
        <v>3143750.98</v>
      </c>
      <c r="AI12" s="124">
        <v>2806503.99</v>
      </c>
      <c r="AJ12" s="124">
        <v>2163759.4300000002</v>
      </c>
      <c r="AK12" s="124">
        <v>2242781.5299999998</v>
      </c>
      <c r="AL12" s="124">
        <v>1709911.09</v>
      </c>
      <c r="AM12" s="124">
        <v>1638916.85</v>
      </c>
      <c r="AN12" s="124">
        <v>2070537.38</v>
      </c>
      <c r="AO12" s="125">
        <v>2642596.5</v>
      </c>
      <c r="AP12" s="125">
        <v>3166958.69</v>
      </c>
      <c r="AQ12" s="125">
        <v>6287760.6600000001</v>
      </c>
      <c r="AR12" s="125">
        <v>2911875.46</v>
      </c>
      <c r="AS12" s="125">
        <v>2377694.23</v>
      </c>
      <c r="AT12" s="125">
        <v>2062558.22</v>
      </c>
      <c r="AU12" s="125">
        <v>2061537.22</v>
      </c>
      <c r="AV12" s="125">
        <v>1873146.67</v>
      </c>
      <c r="AW12" s="125">
        <v>2308812.4700000002</v>
      </c>
      <c r="AX12" s="125">
        <v>1771523.05</v>
      </c>
      <c r="AY12" s="126"/>
      <c r="AZ12" s="126"/>
      <c r="BA12" s="126"/>
      <c r="BB12" s="126"/>
      <c r="BC12" s="126"/>
      <c r="BD12" s="126"/>
      <c r="BE12" s="126"/>
      <c r="BF12" s="127">
        <v>110205</v>
      </c>
      <c r="BG12" s="97" t="s">
        <v>87</v>
      </c>
      <c r="BH12" s="127">
        <v>3143750.98</v>
      </c>
      <c r="BI12" s="127">
        <v>110205</v>
      </c>
      <c r="BJ12" s="97" t="s">
        <v>87</v>
      </c>
      <c r="BK12" s="127">
        <v>2806503.99</v>
      </c>
    </row>
    <row r="13" spans="1:63" x14ac:dyDescent="0.25">
      <c r="B13" s="121">
        <v>1103</v>
      </c>
      <c r="C13" s="122" t="s">
        <v>88</v>
      </c>
      <c r="D13" s="123">
        <v>1506823.28</v>
      </c>
      <c r="E13" s="123">
        <v>1401396.97</v>
      </c>
      <c r="F13" s="123">
        <v>1412256.63</v>
      </c>
      <c r="G13" s="123">
        <v>656553.18000000005</v>
      </c>
      <c r="H13" s="123">
        <v>1015569.62</v>
      </c>
      <c r="I13" s="123">
        <v>438283.88</v>
      </c>
      <c r="J13" s="123">
        <v>210269.42</v>
      </c>
      <c r="K13" s="123">
        <v>549386.81000000006</v>
      </c>
      <c r="L13" s="123">
        <v>447251.88</v>
      </c>
      <c r="M13" s="123">
        <v>1324072.7</v>
      </c>
      <c r="N13" s="123">
        <v>489999.22</v>
      </c>
      <c r="O13" s="123">
        <v>536468.17000000004</v>
      </c>
      <c r="P13" s="123">
        <v>158169.60999999999</v>
      </c>
      <c r="Q13" s="123">
        <v>195182.12</v>
      </c>
      <c r="R13" s="123">
        <v>71708.75</v>
      </c>
      <c r="S13" s="123">
        <v>422965.87</v>
      </c>
      <c r="T13" s="123">
        <v>281591.28999999998</v>
      </c>
      <c r="U13" s="123">
        <v>98347.3</v>
      </c>
      <c r="V13" s="123">
        <v>169766.14</v>
      </c>
      <c r="W13" s="123">
        <v>318895.57</v>
      </c>
      <c r="X13" s="123">
        <v>232485.38</v>
      </c>
      <c r="Y13" s="123">
        <v>167037.38</v>
      </c>
      <c r="Z13" s="123">
        <v>694592.63</v>
      </c>
      <c r="AA13" s="123">
        <v>235800.14</v>
      </c>
      <c r="AB13" s="123">
        <v>244049.01</v>
      </c>
      <c r="AC13" s="124">
        <v>348962.61</v>
      </c>
      <c r="AD13" s="124">
        <v>389760.87</v>
      </c>
      <c r="AE13" s="124">
        <v>336932.08</v>
      </c>
      <c r="AF13" s="124">
        <v>435474.52</v>
      </c>
      <c r="AG13" s="124">
        <v>1455911.04</v>
      </c>
      <c r="AH13" s="124">
        <v>779934.02</v>
      </c>
      <c r="AI13" s="124">
        <v>1007131.15</v>
      </c>
      <c r="AJ13" s="124">
        <v>2594573.06</v>
      </c>
      <c r="AK13" s="124">
        <v>1758795.59</v>
      </c>
      <c r="AL13" s="124">
        <v>2319909.54</v>
      </c>
      <c r="AM13" s="124">
        <v>1832736.22</v>
      </c>
      <c r="AN13" s="124">
        <v>1675024.8</v>
      </c>
      <c r="AO13" s="125">
        <v>2062363.44</v>
      </c>
      <c r="AP13" s="125">
        <v>2263741.39</v>
      </c>
      <c r="AQ13" s="125">
        <v>3621125.21</v>
      </c>
      <c r="AR13" s="125">
        <v>1503949.63</v>
      </c>
      <c r="AS13" s="125">
        <v>1590635.16</v>
      </c>
      <c r="AT13" s="125">
        <v>2021103.7</v>
      </c>
      <c r="AU13" s="125">
        <v>3579970.06</v>
      </c>
      <c r="AV13" s="125">
        <v>2658908.02</v>
      </c>
      <c r="AW13" s="125">
        <v>908586.61</v>
      </c>
      <c r="AX13" s="125">
        <v>2378842.13</v>
      </c>
      <c r="AY13" s="126"/>
      <c r="AZ13" s="126"/>
      <c r="BA13" s="126"/>
      <c r="BB13" s="126"/>
      <c r="BC13" s="126"/>
      <c r="BD13" s="126"/>
      <c r="BE13" s="126"/>
      <c r="BF13" s="127">
        <v>1103</v>
      </c>
      <c r="BG13" s="97" t="s">
        <v>88</v>
      </c>
      <c r="BH13" s="127">
        <v>779934.02</v>
      </c>
      <c r="BI13" s="127">
        <v>1103</v>
      </c>
      <c r="BJ13" s="97" t="s">
        <v>88</v>
      </c>
      <c r="BK13" s="127">
        <v>1007131.15</v>
      </c>
    </row>
    <row r="14" spans="1:63" x14ac:dyDescent="0.25">
      <c r="B14" s="121">
        <v>110310</v>
      </c>
      <c r="C14" s="122" t="s">
        <v>89</v>
      </c>
      <c r="D14" s="123">
        <v>1492860.13</v>
      </c>
      <c r="E14" s="123">
        <v>1387433.82</v>
      </c>
      <c r="F14" s="123">
        <v>1398292.94</v>
      </c>
      <c r="G14" s="123">
        <v>642589.49</v>
      </c>
      <c r="H14" s="123">
        <v>1001605.93</v>
      </c>
      <c r="I14" s="123">
        <v>424320.19</v>
      </c>
      <c r="J14" s="123">
        <v>196305.73</v>
      </c>
      <c r="K14" s="123">
        <v>535423.12</v>
      </c>
      <c r="L14" s="123">
        <v>433288.19</v>
      </c>
      <c r="M14" s="123">
        <v>1310109.01</v>
      </c>
      <c r="N14" s="123">
        <v>481279.12</v>
      </c>
      <c r="O14" s="123">
        <v>527748.06999999995</v>
      </c>
      <c r="P14" s="123">
        <v>149402.60999999999</v>
      </c>
      <c r="Q14" s="123">
        <v>186391.8</v>
      </c>
      <c r="R14" s="123">
        <v>62918.43</v>
      </c>
      <c r="S14" s="123">
        <v>414175.55</v>
      </c>
      <c r="T14" s="123">
        <v>272800.96999999997</v>
      </c>
      <c r="U14" s="123">
        <v>89556.98</v>
      </c>
      <c r="V14" s="123">
        <v>160975.82</v>
      </c>
      <c r="W14" s="123">
        <v>310105.25</v>
      </c>
      <c r="X14" s="123">
        <v>223695.06</v>
      </c>
      <c r="Y14" s="123">
        <v>158247.06</v>
      </c>
      <c r="Z14" s="123">
        <v>685718.35</v>
      </c>
      <c r="AA14" s="123">
        <v>226925.86</v>
      </c>
      <c r="AB14" s="123">
        <v>235174.73</v>
      </c>
      <c r="AC14" s="124">
        <v>340088.33</v>
      </c>
      <c r="AD14" s="124">
        <v>380886.59</v>
      </c>
      <c r="AE14" s="124">
        <v>328057.8</v>
      </c>
      <c r="AF14" s="124">
        <v>426600.24</v>
      </c>
      <c r="AG14" s="124">
        <v>1447036.76</v>
      </c>
      <c r="AH14" s="124">
        <v>771059.74</v>
      </c>
      <c r="AI14" s="124">
        <v>998256.87</v>
      </c>
      <c r="AJ14" s="124">
        <v>2585698.7799999998</v>
      </c>
      <c r="AK14" s="124">
        <v>1749921.31</v>
      </c>
      <c r="AL14" s="124">
        <v>2311035.2599999998</v>
      </c>
      <c r="AM14" s="124">
        <v>1823861.94</v>
      </c>
      <c r="AN14" s="124">
        <v>1666150.52</v>
      </c>
      <c r="AO14" s="125">
        <v>2053489.16</v>
      </c>
      <c r="AP14" s="125">
        <v>2254867.11</v>
      </c>
      <c r="AQ14" s="125">
        <v>3612250.93</v>
      </c>
      <c r="AR14" s="125">
        <v>1495075.35</v>
      </c>
      <c r="AS14" s="125">
        <v>1581760.88</v>
      </c>
      <c r="AT14" s="125">
        <v>2012229.42</v>
      </c>
      <c r="AU14" s="125">
        <v>3571095.78</v>
      </c>
      <c r="AV14" s="125">
        <v>2650033.7400000002</v>
      </c>
      <c r="AW14" s="125">
        <v>899712.33</v>
      </c>
      <c r="AX14" s="125">
        <v>2369967.85</v>
      </c>
      <c r="AY14" s="126"/>
      <c r="AZ14" s="126"/>
      <c r="BA14" s="126"/>
      <c r="BB14" s="126"/>
      <c r="BC14" s="126"/>
      <c r="BD14" s="126"/>
      <c r="BE14" s="126"/>
      <c r="BF14" s="127">
        <v>110310</v>
      </c>
      <c r="BG14" s="97" t="s">
        <v>89</v>
      </c>
      <c r="BH14" s="127">
        <v>771059.74</v>
      </c>
      <c r="BI14" s="127">
        <v>110310</v>
      </c>
      <c r="BJ14" s="97" t="s">
        <v>89</v>
      </c>
      <c r="BK14" s="127">
        <v>998256.87</v>
      </c>
    </row>
    <row r="15" spans="1:63" x14ac:dyDescent="0.25">
      <c r="B15" s="121">
        <v>110315</v>
      </c>
      <c r="C15" s="122" t="s">
        <v>90</v>
      </c>
      <c r="D15" s="123">
        <v>13963.15</v>
      </c>
      <c r="E15" s="123">
        <v>13963.15</v>
      </c>
      <c r="F15" s="123">
        <v>13963.69</v>
      </c>
      <c r="G15" s="123">
        <v>13963.69</v>
      </c>
      <c r="H15" s="123">
        <v>13963.69</v>
      </c>
      <c r="I15" s="123">
        <v>13963.69</v>
      </c>
      <c r="J15" s="123">
        <v>13963.69</v>
      </c>
      <c r="K15" s="123">
        <v>13963.69</v>
      </c>
      <c r="L15" s="123">
        <v>13963.69</v>
      </c>
      <c r="M15" s="123">
        <v>13963.69</v>
      </c>
      <c r="N15" s="123">
        <v>8720.1</v>
      </c>
      <c r="O15" s="123">
        <v>8720.1</v>
      </c>
      <c r="P15" s="123">
        <v>8767</v>
      </c>
      <c r="Q15" s="123">
        <v>8790.32</v>
      </c>
      <c r="R15" s="123">
        <v>8790.32</v>
      </c>
      <c r="S15" s="123">
        <v>8790.32</v>
      </c>
      <c r="T15" s="123">
        <v>8790.32</v>
      </c>
      <c r="U15" s="123">
        <v>8790.32</v>
      </c>
      <c r="V15" s="123">
        <v>8790.32</v>
      </c>
      <c r="W15" s="123">
        <v>8790.32</v>
      </c>
      <c r="X15" s="123">
        <v>8790.32</v>
      </c>
      <c r="Y15" s="123">
        <v>8790.32</v>
      </c>
      <c r="Z15" s="123">
        <v>8874.2800000000007</v>
      </c>
      <c r="AA15" s="123">
        <v>8874.2800000000007</v>
      </c>
      <c r="AB15" s="123">
        <v>8874.2800000000007</v>
      </c>
      <c r="AC15" s="124">
        <v>8874.2800000000007</v>
      </c>
      <c r="AD15" s="124">
        <v>8874.2800000000007</v>
      </c>
      <c r="AE15" s="124">
        <v>8874.2800000000007</v>
      </c>
      <c r="AF15" s="124">
        <v>8874.2800000000007</v>
      </c>
      <c r="AG15" s="124">
        <v>8874.2800000000007</v>
      </c>
      <c r="AH15" s="124">
        <v>8874.2800000000007</v>
      </c>
      <c r="AI15" s="124">
        <v>8874.2800000000007</v>
      </c>
      <c r="AJ15" s="124">
        <v>8874.2800000000007</v>
      </c>
      <c r="AK15" s="124">
        <v>8874.2800000000007</v>
      </c>
      <c r="AL15" s="124">
        <v>8874.2800000000007</v>
      </c>
      <c r="AM15" s="124">
        <v>8874.2800000000007</v>
      </c>
      <c r="AN15" s="124">
        <v>8874.2800000000007</v>
      </c>
      <c r="AO15" s="125">
        <v>8874.2800000000007</v>
      </c>
      <c r="AP15" s="125">
        <v>8874.2800000000007</v>
      </c>
      <c r="AQ15" s="125">
        <v>8874.2800000000007</v>
      </c>
      <c r="AR15" s="125">
        <v>8874.2800000000007</v>
      </c>
      <c r="AS15" s="125">
        <v>8874.2800000000007</v>
      </c>
      <c r="AT15" s="125">
        <v>8874.2800000000007</v>
      </c>
      <c r="AU15" s="125">
        <v>8874.2800000000007</v>
      </c>
      <c r="AV15" s="125">
        <v>8874.2800000000007</v>
      </c>
      <c r="AW15" s="125">
        <v>8874.2800000000007</v>
      </c>
      <c r="AX15" s="125">
        <v>8874.2800000000007</v>
      </c>
      <c r="AY15" s="126"/>
      <c r="AZ15" s="126"/>
      <c r="BA15" s="126"/>
      <c r="BB15" s="126"/>
      <c r="BC15" s="126"/>
      <c r="BD15" s="126"/>
      <c r="BE15" s="126"/>
      <c r="BF15" s="127">
        <v>110315</v>
      </c>
      <c r="BG15" s="97" t="s">
        <v>90</v>
      </c>
      <c r="BH15" s="127">
        <v>8874.2800000000007</v>
      </c>
      <c r="BI15" s="127">
        <v>110315</v>
      </c>
      <c r="BJ15" s="97" t="s">
        <v>90</v>
      </c>
      <c r="BK15" s="127">
        <v>8874.2800000000007</v>
      </c>
    </row>
    <row r="16" spans="1:63" x14ac:dyDescent="0.25">
      <c r="B16" s="121">
        <v>1104</v>
      </c>
      <c r="C16" s="122" t="s">
        <v>91</v>
      </c>
      <c r="D16" s="116">
        <v>48169.06</v>
      </c>
      <c r="E16" s="116">
        <v>69571.44</v>
      </c>
      <c r="F16" s="116">
        <v>21251.11</v>
      </c>
      <c r="G16" s="116">
        <v>32307.88</v>
      </c>
      <c r="H16" s="116">
        <v>82045.86</v>
      </c>
      <c r="I16" s="116">
        <v>11040.81</v>
      </c>
      <c r="J16" s="116">
        <v>75415.34</v>
      </c>
      <c r="K16" s="116">
        <v>45497.37</v>
      </c>
      <c r="L16" s="116">
        <v>110633.45</v>
      </c>
      <c r="M16" s="116">
        <v>364165.07</v>
      </c>
      <c r="N16" s="116">
        <v>131066.59</v>
      </c>
      <c r="O16" s="116">
        <v>185914.73</v>
      </c>
      <c r="P16" s="116">
        <v>44394.42</v>
      </c>
      <c r="Q16" s="116">
        <v>28817.37</v>
      </c>
      <c r="R16" s="116">
        <v>12465.85</v>
      </c>
      <c r="S16" s="116">
        <v>14342.96</v>
      </c>
      <c r="T16" s="116">
        <v>11585.67</v>
      </c>
      <c r="U16" s="116">
        <v>14472.89</v>
      </c>
      <c r="V16" s="116">
        <v>8082.17</v>
      </c>
      <c r="W16" s="116">
        <v>15954.67</v>
      </c>
      <c r="X16" s="116">
        <v>27466.02</v>
      </c>
      <c r="Y16" s="116">
        <v>15436.64</v>
      </c>
      <c r="Z16" s="116">
        <v>104200</v>
      </c>
      <c r="AA16" s="116">
        <v>31226.91</v>
      </c>
      <c r="AB16" s="116">
        <v>172906.43</v>
      </c>
      <c r="AC16" s="124">
        <v>18732.34</v>
      </c>
      <c r="AD16" s="124">
        <v>59513.5</v>
      </c>
      <c r="AE16" s="124">
        <v>12300</v>
      </c>
      <c r="AF16" s="124">
        <v>8550</v>
      </c>
      <c r="AG16" s="124">
        <v>30424.61</v>
      </c>
      <c r="AH16" s="124">
        <v>20000</v>
      </c>
      <c r="AI16" s="124">
        <v>2379.15</v>
      </c>
      <c r="AJ16" s="124">
        <v>390.07</v>
      </c>
      <c r="AK16" s="124">
        <v>16094.73</v>
      </c>
      <c r="AL16" s="124">
        <v>9232.5300000000007</v>
      </c>
      <c r="AM16" s="124">
        <v>5073.8</v>
      </c>
      <c r="AN16" s="124">
        <v>42075.6</v>
      </c>
      <c r="AO16" s="125">
        <v>80000</v>
      </c>
      <c r="AP16" s="125">
        <v>100196.19</v>
      </c>
      <c r="AQ16" s="125">
        <v>16629.5</v>
      </c>
      <c r="AR16" s="125">
        <v>48773.38</v>
      </c>
      <c r="AS16" s="125">
        <v>114820.99</v>
      </c>
      <c r="AT16" s="125">
        <v>156721.71</v>
      </c>
      <c r="AU16" s="125">
        <v>26937.47</v>
      </c>
      <c r="AV16" s="125">
        <v>136130.01999999999</v>
      </c>
      <c r="AW16" s="125">
        <v>100000</v>
      </c>
      <c r="AX16" s="125">
        <v>25915.8</v>
      </c>
      <c r="AY16" s="126"/>
      <c r="AZ16" s="126"/>
      <c r="BA16" s="126"/>
      <c r="BB16" s="126"/>
      <c r="BC16" s="126"/>
      <c r="BD16" s="126"/>
      <c r="BE16" s="126"/>
      <c r="BF16" s="127">
        <v>1104</v>
      </c>
      <c r="BG16" s="97" t="s">
        <v>91</v>
      </c>
      <c r="BH16" s="127">
        <v>20000</v>
      </c>
      <c r="BI16" s="127">
        <v>1104</v>
      </c>
      <c r="BJ16" s="97" t="s">
        <v>91</v>
      </c>
      <c r="BK16" s="127">
        <v>2379.15</v>
      </c>
    </row>
    <row r="17" spans="2:63" x14ac:dyDescent="0.25">
      <c r="B17" s="121">
        <v>110405</v>
      </c>
      <c r="C17" s="122" t="s">
        <v>92</v>
      </c>
      <c r="D17" s="123">
        <v>2004.54</v>
      </c>
      <c r="E17" s="123">
        <v>2004.54</v>
      </c>
      <c r="F17" s="123">
        <v>2004.54</v>
      </c>
      <c r="G17" s="123">
        <v>2004.54</v>
      </c>
      <c r="H17" s="123">
        <v>2004.54</v>
      </c>
      <c r="I17" s="123">
        <v>2004.54</v>
      </c>
      <c r="J17" s="123">
        <v>2004.54</v>
      </c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9"/>
      <c r="AD17" s="129"/>
      <c r="AE17" s="129"/>
      <c r="AF17" s="129"/>
      <c r="AG17" s="129"/>
      <c r="AH17" s="129"/>
      <c r="AI17" s="129"/>
      <c r="AJ17" s="124">
        <v>0</v>
      </c>
      <c r="AK17" s="124">
        <v>0</v>
      </c>
      <c r="AL17" s="124">
        <v>0</v>
      </c>
      <c r="AM17" s="124">
        <v>0</v>
      </c>
      <c r="AN17" s="124">
        <v>0</v>
      </c>
      <c r="AO17" s="125">
        <v>0</v>
      </c>
      <c r="AP17" s="125">
        <v>0</v>
      </c>
      <c r="AQ17" s="125">
        <v>0</v>
      </c>
      <c r="AR17" s="125">
        <v>0</v>
      </c>
      <c r="AS17" s="125">
        <v>0</v>
      </c>
      <c r="AT17" s="125">
        <v>0</v>
      </c>
      <c r="AU17" s="125">
        <v>0</v>
      </c>
      <c r="AV17" s="125">
        <v>0</v>
      </c>
      <c r="AW17" s="125">
        <v>0</v>
      </c>
      <c r="AX17" s="125">
        <v>0</v>
      </c>
      <c r="AY17" s="126"/>
      <c r="AZ17" s="126"/>
      <c r="BA17" s="126"/>
      <c r="BB17" s="126"/>
      <c r="BC17" s="126"/>
      <c r="BD17" s="126"/>
      <c r="BE17" s="126"/>
    </row>
    <row r="18" spans="2:63" x14ac:dyDescent="0.25">
      <c r="B18" s="121">
        <v>110410</v>
      </c>
      <c r="C18" s="122" t="s">
        <v>93</v>
      </c>
      <c r="D18" s="123">
        <v>46164.52</v>
      </c>
      <c r="E18" s="123">
        <v>67566.899999999994</v>
      </c>
      <c r="F18" s="123">
        <v>19246.57</v>
      </c>
      <c r="G18" s="123">
        <v>30303.34</v>
      </c>
      <c r="H18" s="123">
        <v>80041.320000000007</v>
      </c>
      <c r="I18" s="123">
        <v>9036.27</v>
      </c>
      <c r="J18" s="123">
        <v>73410.8</v>
      </c>
      <c r="K18" s="123">
        <v>45497.37</v>
      </c>
      <c r="L18" s="123">
        <v>110633.45</v>
      </c>
      <c r="M18" s="123">
        <v>364165.07</v>
      </c>
      <c r="N18" s="123">
        <v>131066.59</v>
      </c>
      <c r="O18" s="123">
        <v>185914.73</v>
      </c>
      <c r="P18" s="123">
        <v>44394.42</v>
      </c>
      <c r="Q18" s="123">
        <v>28817.37</v>
      </c>
      <c r="R18" s="123">
        <v>12465.85</v>
      </c>
      <c r="S18" s="123">
        <v>14342.96</v>
      </c>
      <c r="T18" s="123">
        <v>11585.67</v>
      </c>
      <c r="U18" s="123">
        <v>14472.89</v>
      </c>
      <c r="V18" s="123">
        <v>8082.17</v>
      </c>
      <c r="W18" s="123">
        <v>15954.67</v>
      </c>
      <c r="X18" s="123">
        <v>27466.02</v>
      </c>
      <c r="Y18" s="123">
        <v>15436.64</v>
      </c>
      <c r="Z18" s="123">
        <v>104200</v>
      </c>
      <c r="AA18" s="123">
        <v>31226.91</v>
      </c>
      <c r="AB18" s="123">
        <v>172906.43</v>
      </c>
      <c r="AC18" s="124">
        <v>18732.34</v>
      </c>
      <c r="AD18" s="124">
        <v>59513.5</v>
      </c>
      <c r="AE18" s="124">
        <v>12300</v>
      </c>
      <c r="AF18" s="124">
        <v>8550</v>
      </c>
      <c r="AG18" s="124">
        <v>30424.61</v>
      </c>
      <c r="AH18" s="124">
        <v>20000</v>
      </c>
      <c r="AI18" s="124">
        <v>2379.15</v>
      </c>
      <c r="AJ18" s="124">
        <v>390.07</v>
      </c>
      <c r="AK18" s="124">
        <v>16094.73</v>
      </c>
      <c r="AL18" s="124">
        <v>9232.5300000000007</v>
      </c>
      <c r="AM18" s="124">
        <v>2798.76</v>
      </c>
      <c r="AN18" s="124">
        <v>25000</v>
      </c>
      <c r="AO18" s="125">
        <v>80000</v>
      </c>
      <c r="AP18" s="125">
        <v>86700.69</v>
      </c>
      <c r="AQ18" s="125">
        <v>3134</v>
      </c>
      <c r="AR18" s="125">
        <v>48773.38</v>
      </c>
      <c r="AS18" s="125">
        <v>114420.99</v>
      </c>
      <c r="AT18" s="125">
        <v>156721.71</v>
      </c>
      <c r="AU18" s="125">
        <v>26937.47</v>
      </c>
      <c r="AV18" s="125">
        <v>136130.01999999999</v>
      </c>
      <c r="AW18" s="125">
        <v>100000</v>
      </c>
      <c r="AX18" s="125">
        <v>25915.8</v>
      </c>
      <c r="AY18" s="126"/>
      <c r="AZ18" s="126"/>
      <c r="BA18" s="126"/>
      <c r="BB18" s="126"/>
      <c r="BC18" s="126"/>
      <c r="BD18" s="126"/>
      <c r="BE18" s="126"/>
      <c r="BF18" s="127">
        <v>110410</v>
      </c>
      <c r="BG18" s="97" t="s">
        <v>93</v>
      </c>
      <c r="BH18" s="127">
        <v>20000</v>
      </c>
      <c r="BI18" s="127">
        <v>110410</v>
      </c>
      <c r="BJ18" s="97" t="s">
        <v>93</v>
      </c>
      <c r="BK18" s="127">
        <v>2379.15</v>
      </c>
    </row>
    <row r="19" spans="2:63" s="113" customFormat="1" x14ac:dyDescent="0.25">
      <c r="B19" s="114">
        <v>13</v>
      </c>
      <c r="C19" s="115" t="s">
        <v>94</v>
      </c>
      <c r="D19" s="116">
        <v>5705796.3300000001</v>
      </c>
      <c r="E19" s="116">
        <v>5110401.8499999996</v>
      </c>
      <c r="F19" s="116">
        <v>5706550.2599999998</v>
      </c>
      <c r="G19" s="116">
        <v>4642393.0999999996</v>
      </c>
      <c r="H19" s="116">
        <v>4135535.72</v>
      </c>
      <c r="I19" s="116">
        <v>4208787.12</v>
      </c>
      <c r="J19" s="116">
        <v>4208726.0199999996</v>
      </c>
      <c r="K19" s="116">
        <v>4102857.72</v>
      </c>
      <c r="L19" s="116">
        <v>4109775.78</v>
      </c>
      <c r="M19" s="116">
        <v>5136909.8499999996</v>
      </c>
      <c r="N19" s="116">
        <v>5414946.9299999997</v>
      </c>
      <c r="O19" s="116">
        <v>5432407.6799999997</v>
      </c>
      <c r="P19" s="116">
        <v>4569816.53</v>
      </c>
      <c r="Q19" s="116">
        <v>4396213.93</v>
      </c>
      <c r="R19" s="116">
        <v>4304281.32</v>
      </c>
      <c r="S19" s="116">
        <v>3882342.1</v>
      </c>
      <c r="T19" s="116">
        <v>3717634.74</v>
      </c>
      <c r="U19" s="116">
        <v>3705733.61</v>
      </c>
      <c r="V19" s="116">
        <v>3355464.66</v>
      </c>
      <c r="W19" s="116">
        <v>2765240.87</v>
      </c>
      <c r="X19" s="116">
        <v>2749371.4</v>
      </c>
      <c r="Y19" s="116">
        <v>2738719.72</v>
      </c>
      <c r="Z19" s="116">
        <v>2140533.15</v>
      </c>
      <c r="AA19" s="116">
        <v>3155413.9</v>
      </c>
      <c r="AB19" s="116">
        <v>5472959.29</v>
      </c>
      <c r="AC19" s="117">
        <v>5593231.5499999998</v>
      </c>
      <c r="AD19" s="117">
        <v>5619865.3899999997</v>
      </c>
      <c r="AE19" s="117">
        <v>5768860.9100000001</v>
      </c>
      <c r="AF19" s="117">
        <v>5990434.9500000002</v>
      </c>
      <c r="AG19" s="117">
        <v>6535690.1799999997</v>
      </c>
      <c r="AH19" s="117">
        <v>6902967.1699999999</v>
      </c>
      <c r="AI19" s="117">
        <v>6494256.4500000002</v>
      </c>
      <c r="AJ19" s="117">
        <v>6306447.71</v>
      </c>
      <c r="AK19" s="117">
        <v>6725858.3300000001</v>
      </c>
      <c r="AL19" s="117">
        <v>7257820.5599999996</v>
      </c>
      <c r="AM19" s="117">
        <v>7421635.3700000001</v>
      </c>
      <c r="AN19" s="117">
        <v>7437172.5099999998</v>
      </c>
      <c r="AO19" s="118">
        <v>8068951.4500000002</v>
      </c>
      <c r="AP19" s="118">
        <v>8156070.3200000003</v>
      </c>
      <c r="AQ19" s="118">
        <v>8475496.8900000006</v>
      </c>
      <c r="AR19" s="118">
        <v>8588335.0700000003</v>
      </c>
      <c r="AS19" s="118">
        <v>8657652.0700000003</v>
      </c>
      <c r="AT19" s="118">
        <v>7871172.04</v>
      </c>
      <c r="AU19" s="118">
        <v>8339018.96</v>
      </c>
      <c r="AV19" s="118">
        <v>8332154.9400000004</v>
      </c>
      <c r="AW19" s="118">
        <v>8240933.21</v>
      </c>
      <c r="AX19" s="118">
        <v>6909362.6600000001</v>
      </c>
      <c r="AY19" s="119"/>
      <c r="AZ19" s="119"/>
      <c r="BA19" s="119"/>
      <c r="BB19" s="119"/>
      <c r="BC19" s="119"/>
      <c r="BD19" s="119"/>
      <c r="BE19" s="119"/>
      <c r="BF19" s="127">
        <v>13</v>
      </c>
      <c r="BG19" s="97" t="s">
        <v>94</v>
      </c>
      <c r="BH19" s="127">
        <v>6902967.1699999999</v>
      </c>
      <c r="BI19" s="127">
        <v>13</v>
      </c>
      <c r="BJ19" s="97" t="s">
        <v>94</v>
      </c>
      <c r="BK19" s="127">
        <v>6494256.4500000002</v>
      </c>
    </row>
    <row r="20" spans="2:63" x14ac:dyDescent="0.25">
      <c r="B20" s="121">
        <v>1303</v>
      </c>
      <c r="C20" s="122" t="s">
        <v>95</v>
      </c>
      <c r="D20" s="123">
        <v>2270718.79</v>
      </c>
      <c r="E20" s="123">
        <v>1476474.87</v>
      </c>
      <c r="F20" s="123">
        <v>1981443.28</v>
      </c>
      <c r="G20" s="123">
        <v>984132.65</v>
      </c>
      <c r="H20" s="123">
        <v>613516.93000000005</v>
      </c>
      <c r="I20" s="123">
        <v>636788.11</v>
      </c>
      <c r="J20" s="123">
        <v>685266.72</v>
      </c>
      <c r="K20" s="123">
        <v>587236.61</v>
      </c>
      <c r="L20" s="123">
        <v>590288.39</v>
      </c>
      <c r="M20" s="123">
        <v>1567215.62</v>
      </c>
      <c r="N20" s="123">
        <v>1576222.79</v>
      </c>
      <c r="O20" s="123">
        <v>1735420.35</v>
      </c>
      <c r="P20" s="123">
        <v>873535.46</v>
      </c>
      <c r="Q20" s="123">
        <v>675506.01</v>
      </c>
      <c r="R20" s="123">
        <v>571537.73</v>
      </c>
      <c r="S20" s="123">
        <v>159326.22</v>
      </c>
      <c r="T20" s="128"/>
      <c r="U20" s="128"/>
      <c r="V20" s="128"/>
      <c r="W20" s="128"/>
      <c r="X20" s="128"/>
      <c r="Y20" s="128"/>
      <c r="Z20" s="128"/>
      <c r="AA20" s="123">
        <v>989738.94</v>
      </c>
      <c r="AB20" s="123">
        <v>3293487.99</v>
      </c>
      <c r="AC20" s="124">
        <v>3203321.98</v>
      </c>
      <c r="AD20" s="124">
        <v>3224550.5</v>
      </c>
      <c r="AE20" s="124">
        <v>3286442.97</v>
      </c>
      <c r="AF20" s="124">
        <v>3319558.49</v>
      </c>
      <c r="AG20" s="124">
        <v>3643661.2</v>
      </c>
      <c r="AH20" s="124">
        <v>3501862.06</v>
      </c>
      <c r="AI20" s="124">
        <v>2930627.76</v>
      </c>
      <c r="AJ20" s="124">
        <v>2951359.48</v>
      </c>
      <c r="AK20" s="124">
        <v>3210364.01</v>
      </c>
      <c r="AL20" s="124">
        <v>3747714.98</v>
      </c>
      <c r="AM20" s="124">
        <v>3772843.14</v>
      </c>
      <c r="AN20" s="124">
        <v>3736839.7</v>
      </c>
      <c r="AO20" s="125">
        <v>4047091.12</v>
      </c>
      <c r="AP20" s="125">
        <v>4071250.84</v>
      </c>
      <c r="AQ20" s="125">
        <v>4325367.68</v>
      </c>
      <c r="AR20" s="125">
        <v>4170377.27</v>
      </c>
      <c r="AS20" s="125">
        <v>4176153.7</v>
      </c>
      <c r="AT20" s="125">
        <v>3394593.61</v>
      </c>
      <c r="AU20" s="125">
        <v>3638363.83</v>
      </c>
      <c r="AV20" s="125">
        <v>3524422.17</v>
      </c>
      <c r="AW20" s="125">
        <v>3244758.12</v>
      </c>
      <c r="AX20" s="125">
        <v>1333972.3600000001</v>
      </c>
      <c r="AY20" s="126"/>
      <c r="AZ20" s="126"/>
      <c r="BA20" s="126"/>
      <c r="BB20" s="126"/>
      <c r="BC20" s="126"/>
      <c r="BD20" s="126"/>
      <c r="BE20" s="126"/>
      <c r="BF20" s="127">
        <v>1303</v>
      </c>
      <c r="BG20" s="97" t="s">
        <v>96</v>
      </c>
      <c r="BH20" s="127">
        <v>3501862.06</v>
      </c>
      <c r="BI20" s="127">
        <v>1303</v>
      </c>
      <c r="BJ20" s="97" t="s">
        <v>96</v>
      </c>
      <c r="BK20" s="127">
        <v>2930627.76</v>
      </c>
    </row>
    <row r="21" spans="2:63" x14ac:dyDescent="0.25">
      <c r="B21" s="121">
        <v>130305</v>
      </c>
      <c r="C21" s="122" t="s">
        <v>97</v>
      </c>
      <c r="D21" s="123">
        <v>2262351.46</v>
      </c>
      <c r="E21" s="123">
        <v>1468046.65</v>
      </c>
      <c r="F21" s="123">
        <v>1471590.55</v>
      </c>
      <c r="G21" s="123">
        <v>473768.42</v>
      </c>
      <c r="H21" s="123">
        <v>404292.91</v>
      </c>
      <c r="I21" s="123">
        <v>202827.73</v>
      </c>
      <c r="J21" s="123">
        <v>101249.93</v>
      </c>
      <c r="K21" s="123">
        <v>432278.99</v>
      </c>
      <c r="L21" s="123">
        <v>330519.45</v>
      </c>
      <c r="M21" s="128"/>
      <c r="N21" s="123">
        <v>153358.32999999999</v>
      </c>
      <c r="O21" s="123">
        <v>966698.78</v>
      </c>
      <c r="P21" s="123">
        <v>202034.17</v>
      </c>
      <c r="Q21" s="123">
        <v>107021.85</v>
      </c>
      <c r="R21" s="123">
        <v>413146.67</v>
      </c>
      <c r="S21" s="123">
        <v>159326.22</v>
      </c>
      <c r="T21" s="128"/>
      <c r="U21" s="128"/>
      <c r="V21" s="128"/>
      <c r="W21" s="128"/>
      <c r="X21" s="128"/>
      <c r="Y21" s="128"/>
      <c r="Z21" s="128"/>
      <c r="AA21" s="128"/>
      <c r="AB21" s="123">
        <v>93029.17</v>
      </c>
      <c r="AC21" s="129"/>
      <c r="AD21" s="124">
        <v>45140.92</v>
      </c>
      <c r="AE21" s="124">
        <v>94083.53</v>
      </c>
      <c r="AF21" s="129"/>
      <c r="AG21" s="124">
        <v>147355.87</v>
      </c>
      <c r="AH21" s="124">
        <v>549108.12</v>
      </c>
      <c r="AI21" s="129"/>
      <c r="AJ21" s="124">
        <v>45311.4</v>
      </c>
      <c r="AK21" s="124">
        <v>94104.07</v>
      </c>
      <c r="AL21" s="124">
        <v>50014.59</v>
      </c>
      <c r="AM21" s="124">
        <v>401448.89</v>
      </c>
      <c r="AN21" s="124">
        <v>752988.15</v>
      </c>
      <c r="AO21" s="125">
        <v>180958.11</v>
      </c>
      <c r="AP21" s="125">
        <v>538713.65</v>
      </c>
      <c r="AQ21" s="125">
        <v>1184575.43</v>
      </c>
      <c r="AR21" s="125">
        <v>789389</v>
      </c>
      <c r="AS21" s="125">
        <v>836215.76</v>
      </c>
      <c r="AT21" s="125">
        <v>767890.25</v>
      </c>
      <c r="AU21" s="125">
        <v>393345.64</v>
      </c>
      <c r="AV21" s="125">
        <v>1356503.57</v>
      </c>
      <c r="AW21" s="125">
        <v>1421996.42</v>
      </c>
      <c r="AX21" s="125">
        <v>823359.35</v>
      </c>
      <c r="AY21" s="126"/>
      <c r="AZ21" s="126"/>
      <c r="BA21" s="126"/>
      <c r="BB21" s="126"/>
      <c r="BC21" s="126"/>
      <c r="BD21" s="126"/>
      <c r="BE21" s="126"/>
      <c r="BF21" s="120">
        <v>130305</v>
      </c>
      <c r="BG21" s="113" t="s">
        <v>97</v>
      </c>
      <c r="BH21" s="120">
        <v>549108.12</v>
      </c>
    </row>
    <row r="22" spans="2:63" x14ac:dyDescent="0.25">
      <c r="B22" s="130" t="s">
        <v>98</v>
      </c>
      <c r="C22" s="122" t="s">
        <v>99</v>
      </c>
      <c r="D22" s="128"/>
      <c r="E22" s="128"/>
      <c r="F22" s="123">
        <v>300694.44</v>
      </c>
      <c r="G22" s="123">
        <v>403193.75</v>
      </c>
      <c r="H22" s="123">
        <v>101426.39</v>
      </c>
      <c r="I22" s="123">
        <v>427653.57</v>
      </c>
      <c r="J22" s="123">
        <v>429928.36</v>
      </c>
      <c r="K22" s="128"/>
      <c r="L22" s="123">
        <v>151706.25</v>
      </c>
      <c r="M22" s="123">
        <v>807441.81</v>
      </c>
      <c r="N22" s="123">
        <v>708954.67</v>
      </c>
      <c r="O22" s="123">
        <v>206998.86</v>
      </c>
      <c r="P22" s="123">
        <v>514890.08</v>
      </c>
      <c r="Q22" s="123">
        <v>568484.16</v>
      </c>
      <c r="R22" s="123">
        <v>158391.06</v>
      </c>
      <c r="S22" s="128"/>
      <c r="T22" s="128"/>
      <c r="U22" s="128"/>
      <c r="V22" s="128"/>
      <c r="W22" s="128"/>
      <c r="X22" s="128"/>
      <c r="Y22" s="128"/>
      <c r="Z22" s="128"/>
      <c r="AA22" s="123">
        <v>44540.01</v>
      </c>
      <c r="AB22" s="123">
        <v>44475.87</v>
      </c>
      <c r="AC22" s="124">
        <v>137670.47</v>
      </c>
      <c r="AD22" s="124">
        <v>93446.720000000001</v>
      </c>
      <c r="AE22" s="124">
        <v>145324.17000000001</v>
      </c>
      <c r="AF22" s="124">
        <v>389401.73</v>
      </c>
      <c r="AG22" s="124">
        <v>545416.85</v>
      </c>
      <c r="AH22" s="124">
        <v>44624.19</v>
      </c>
      <c r="AI22" s="124">
        <v>137818.79</v>
      </c>
      <c r="AJ22" s="124">
        <v>0</v>
      </c>
      <c r="AK22" s="124">
        <v>0</v>
      </c>
      <c r="AL22" s="124">
        <v>0</v>
      </c>
      <c r="AM22" s="124">
        <v>0</v>
      </c>
      <c r="AN22" s="124">
        <v>0</v>
      </c>
      <c r="AO22" s="125">
        <v>0</v>
      </c>
      <c r="AP22" s="125">
        <v>0</v>
      </c>
      <c r="AQ22" s="125">
        <v>0</v>
      </c>
      <c r="AR22" s="125">
        <v>0</v>
      </c>
      <c r="AS22" s="125">
        <v>0</v>
      </c>
      <c r="AT22" s="125">
        <v>0</v>
      </c>
      <c r="AU22" s="125">
        <v>0</v>
      </c>
      <c r="AV22" s="125">
        <v>0</v>
      </c>
      <c r="AW22" s="125">
        <v>0</v>
      </c>
      <c r="AX22" s="125">
        <v>0</v>
      </c>
      <c r="AY22" s="126"/>
      <c r="AZ22" s="126"/>
      <c r="BA22" s="126"/>
      <c r="BB22" s="126"/>
      <c r="BC22" s="126"/>
      <c r="BD22" s="126"/>
      <c r="BE22" s="126"/>
      <c r="BF22" s="127">
        <v>130310</v>
      </c>
      <c r="BG22" s="97" t="s">
        <v>99</v>
      </c>
      <c r="BH22" s="127">
        <v>44624.19</v>
      </c>
      <c r="BI22" s="120">
        <v>130310</v>
      </c>
      <c r="BJ22" s="113" t="s">
        <v>99</v>
      </c>
      <c r="BK22" s="120">
        <v>137818.79</v>
      </c>
    </row>
    <row r="23" spans="2:63" x14ac:dyDescent="0.25">
      <c r="B23" s="130" t="s">
        <v>100</v>
      </c>
      <c r="C23" s="122" t="s">
        <v>101</v>
      </c>
      <c r="D23" s="128"/>
      <c r="E23" s="128"/>
      <c r="F23" s="123">
        <v>200675</v>
      </c>
      <c r="G23" s="123">
        <v>100952.78</v>
      </c>
      <c r="H23" s="123">
        <v>101536.11</v>
      </c>
      <c r="I23" s="128"/>
      <c r="J23" s="123">
        <v>154088.43</v>
      </c>
      <c r="K23" s="123">
        <v>154957.62</v>
      </c>
      <c r="L23" s="123">
        <v>108062.69</v>
      </c>
      <c r="M23" s="123">
        <v>605937.94999999995</v>
      </c>
      <c r="N23" s="123">
        <v>713909.79</v>
      </c>
      <c r="O23" s="123">
        <v>561722.71</v>
      </c>
      <c r="P23" s="123">
        <v>156611.21</v>
      </c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23">
        <v>44540.01</v>
      </c>
      <c r="AB23" s="123">
        <v>149958.82999999999</v>
      </c>
      <c r="AC23" s="124">
        <v>137670.47</v>
      </c>
      <c r="AD23" s="124">
        <v>138587.64000000001</v>
      </c>
      <c r="AE23" s="124">
        <v>138718.81</v>
      </c>
      <c r="AF23" s="124">
        <v>137798.26</v>
      </c>
      <c r="AG23" s="124">
        <v>138778.69</v>
      </c>
      <c r="AH23" s="124">
        <v>138707.72</v>
      </c>
      <c r="AI23" s="124">
        <v>137818.79</v>
      </c>
      <c r="AJ23" s="124">
        <v>0</v>
      </c>
      <c r="AK23" s="124">
        <v>0</v>
      </c>
      <c r="AL23" s="124">
        <v>0</v>
      </c>
      <c r="AM23" s="124">
        <v>0</v>
      </c>
      <c r="AN23" s="124">
        <v>0</v>
      </c>
      <c r="AO23" s="125">
        <v>0</v>
      </c>
      <c r="AP23" s="125">
        <v>0</v>
      </c>
      <c r="AQ23" s="125">
        <v>0</v>
      </c>
      <c r="AR23" s="125">
        <v>0</v>
      </c>
      <c r="AS23" s="125">
        <v>0</v>
      </c>
      <c r="AT23" s="125">
        <v>0</v>
      </c>
      <c r="AU23" s="125">
        <v>0</v>
      </c>
      <c r="AV23" s="125">
        <v>0</v>
      </c>
      <c r="AW23" s="125">
        <v>0</v>
      </c>
      <c r="AX23" s="125">
        <v>0</v>
      </c>
      <c r="AY23" s="126"/>
      <c r="AZ23" s="126"/>
      <c r="BA23" s="126"/>
      <c r="BB23" s="126"/>
      <c r="BC23" s="126"/>
      <c r="BD23" s="126"/>
      <c r="BE23" s="126"/>
      <c r="BF23" s="127">
        <v>130315</v>
      </c>
      <c r="BG23" s="97" t="s">
        <v>101</v>
      </c>
      <c r="BH23" s="127">
        <v>138707.72</v>
      </c>
      <c r="BI23" s="127">
        <v>130315</v>
      </c>
      <c r="BJ23" s="97" t="s">
        <v>101</v>
      </c>
      <c r="BK23" s="127">
        <v>137818.79</v>
      </c>
    </row>
    <row r="24" spans="2:63" x14ac:dyDescent="0.25">
      <c r="B24" s="121">
        <v>130320</v>
      </c>
      <c r="C24" s="122" t="s">
        <v>102</v>
      </c>
      <c r="D24" s="123">
        <v>8367.33</v>
      </c>
      <c r="E24" s="123">
        <v>8428.2199999999993</v>
      </c>
      <c r="F24" s="123">
        <v>8483.2900000000009</v>
      </c>
      <c r="G24" s="123">
        <v>6217.7</v>
      </c>
      <c r="H24" s="123">
        <v>6261.52</v>
      </c>
      <c r="I24" s="123">
        <v>6306.81</v>
      </c>
      <c r="J24" s="128"/>
      <c r="K24" s="128"/>
      <c r="L24" s="128"/>
      <c r="M24" s="123">
        <v>153835.85999999999</v>
      </c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3">
        <v>89080.03</v>
      </c>
      <c r="AB24" s="123">
        <v>262556.32</v>
      </c>
      <c r="AC24" s="124">
        <v>275340.96000000002</v>
      </c>
      <c r="AD24" s="124">
        <v>277175.28999999998</v>
      </c>
      <c r="AE24" s="124">
        <v>277437.62</v>
      </c>
      <c r="AF24" s="124">
        <v>275596.52</v>
      </c>
      <c r="AG24" s="124">
        <v>277557.38</v>
      </c>
      <c r="AH24" s="124">
        <v>277415.43</v>
      </c>
      <c r="AI24" s="124">
        <v>275637.57</v>
      </c>
      <c r="AJ24" s="124">
        <v>277598.40999999997</v>
      </c>
      <c r="AK24" s="124">
        <v>277461.81</v>
      </c>
      <c r="AL24" s="124">
        <v>275649.21999999997</v>
      </c>
      <c r="AM24" s="124">
        <v>277552.96999999997</v>
      </c>
      <c r="AN24" s="124">
        <v>277478.68</v>
      </c>
      <c r="AO24" s="125">
        <v>275659.74</v>
      </c>
      <c r="AP24" s="125">
        <v>277430.82</v>
      </c>
      <c r="AQ24" s="125">
        <v>277396.57</v>
      </c>
      <c r="AR24" s="125">
        <v>179949.74</v>
      </c>
      <c r="AS24" s="125">
        <v>181254.44</v>
      </c>
      <c r="AT24" s="125">
        <v>225610.63</v>
      </c>
      <c r="AU24" s="125">
        <v>214290.17</v>
      </c>
      <c r="AV24" s="125">
        <v>110414.95</v>
      </c>
      <c r="AW24" s="125">
        <v>111142.79</v>
      </c>
      <c r="AX24" s="125">
        <v>0</v>
      </c>
      <c r="AY24" s="126"/>
      <c r="AZ24" s="126"/>
      <c r="BA24" s="126"/>
      <c r="BB24" s="126"/>
      <c r="BC24" s="126"/>
      <c r="BD24" s="126"/>
      <c r="BE24" s="126"/>
      <c r="BF24" s="127">
        <v>130320</v>
      </c>
      <c r="BG24" s="97" t="s">
        <v>102</v>
      </c>
      <c r="BH24" s="127">
        <v>277415.43</v>
      </c>
      <c r="BI24" s="127">
        <v>130320</v>
      </c>
      <c r="BJ24" s="97" t="s">
        <v>102</v>
      </c>
      <c r="BK24" s="127">
        <v>275637.57</v>
      </c>
    </row>
    <row r="25" spans="2:63" x14ac:dyDescent="0.25">
      <c r="B25" s="121">
        <v>130325</v>
      </c>
      <c r="C25" s="122" t="s">
        <v>103</v>
      </c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3">
        <v>811578.89</v>
      </c>
      <c r="AB25" s="123">
        <v>2743467.8</v>
      </c>
      <c r="AC25" s="124">
        <v>2652640.08</v>
      </c>
      <c r="AD25" s="124">
        <v>2670199.9300000002</v>
      </c>
      <c r="AE25" s="124">
        <v>2630878.84</v>
      </c>
      <c r="AF25" s="124">
        <v>2516761.98</v>
      </c>
      <c r="AG25" s="124">
        <v>2534552.41</v>
      </c>
      <c r="AH25" s="124">
        <v>2492006.6</v>
      </c>
      <c r="AI25" s="124">
        <v>2379352.61</v>
      </c>
      <c r="AJ25" s="124">
        <v>2396162.66</v>
      </c>
      <c r="AK25" s="124">
        <v>2353721.65</v>
      </c>
      <c r="AL25" s="124">
        <v>2241608.2000000002</v>
      </c>
      <c r="AM25" s="124">
        <v>2256966.2200000002</v>
      </c>
      <c r="AN25" s="124">
        <v>2215090.7400000002</v>
      </c>
      <c r="AO25" s="125">
        <v>2103846.34</v>
      </c>
      <c r="AP25" s="125">
        <v>2117258.52</v>
      </c>
      <c r="AQ25" s="125">
        <v>2075655.87</v>
      </c>
      <c r="AR25" s="125">
        <v>2022468.68</v>
      </c>
      <c r="AS25" s="125">
        <v>2021779.22</v>
      </c>
      <c r="AT25" s="125">
        <v>1639782.48</v>
      </c>
      <c r="AU25" s="125">
        <v>1511810.09</v>
      </c>
      <c r="AV25" s="125">
        <v>638778.97</v>
      </c>
      <c r="AW25" s="125">
        <v>642989.80000000005</v>
      </c>
      <c r="AX25" s="125">
        <v>0</v>
      </c>
      <c r="AY25" s="126"/>
      <c r="AZ25" s="126"/>
      <c r="BA25" s="126"/>
      <c r="BB25" s="126"/>
      <c r="BC25" s="126"/>
      <c r="BD25" s="126"/>
      <c r="BE25" s="126"/>
      <c r="BF25" s="127">
        <v>130325</v>
      </c>
      <c r="BG25" s="97" t="s">
        <v>103</v>
      </c>
      <c r="BH25" s="127">
        <v>2492006.6</v>
      </c>
      <c r="BI25" s="127">
        <v>130325</v>
      </c>
      <c r="BJ25" s="97" t="s">
        <v>103</v>
      </c>
      <c r="BK25" s="127">
        <v>2379352.61</v>
      </c>
    </row>
    <row r="26" spans="2:63" ht="22.5" customHeight="1" x14ac:dyDescent="0.25">
      <c r="B26" s="121">
        <v>1304</v>
      </c>
      <c r="C26" s="122" t="s">
        <v>104</v>
      </c>
      <c r="D26" s="123">
        <v>1312196.1599999999</v>
      </c>
      <c r="E26" s="123">
        <v>1422005.16</v>
      </c>
      <c r="F26" s="123">
        <v>1421784.55</v>
      </c>
      <c r="G26" s="123">
        <v>1312657.56</v>
      </c>
      <c r="H26" s="123">
        <v>1146094.27</v>
      </c>
      <c r="I26" s="123">
        <v>1164864.8799999999</v>
      </c>
      <c r="J26" s="123">
        <v>1114805.8700000001</v>
      </c>
      <c r="K26" s="123">
        <v>1116018.44</v>
      </c>
      <c r="L26" s="123">
        <v>1113708.04</v>
      </c>
      <c r="M26" s="123">
        <v>1154693.4099999999</v>
      </c>
      <c r="N26" s="123">
        <v>1356530.82</v>
      </c>
      <c r="O26" s="123">
        <v>1198346.69</v>
      </c>
      <c r="P26" s="123">
        <v>1195356.73</v>
      </c>
      <c r="Q26" s="123">
        <v>1198541.3400000001</v>
      </c>
      <c r="R26" s="123">
        <v>1201417.77</v>
      </c>
      <c r="S26" s="123">
        <v>1204602.3799999999</v>
      </c>
      <c r="T26" s="123">
        <v>1207684.26</v>
      </c>
      <c r="U26" s="123">
        <v>1210868.8799999999</v>
      </c>
      <c r="V26" s="123">
        <v>892037.29</v>
      </c>
      <c r="W26" s="123">
        <v>332131.87</v>
      </c>
      <c r="X26" s="123">
        <v>332972.21000000002</v>
      </c>
      <c r="Y26" s="123">
        <v>333785.44</v>
      </c>
      <c r="Z26" s="123">
        <v>119572.78</v>
      </c>
      <c r="AA26" s="123">
        <v>119864.07</v>
      </c>
      <c r="AB26" s="123">
        <v>119506.7</v>
      </c>
      <c r="AC26" s="124">
        <v>318411.53000000003</v>
      </c>
      <c r="AD26" s="124">
        <v>319022.94</v>
      </c>
      <c r="AE26" s="124">
        <v>418285.24</v>
      </c>
      <c r="AF26" s="124">
        <v>597604.13</v>
      </c>
      <c r="AG26" s="124">
        <v>798487.53</v>
      </c>
      <c r="AH26" s="124">
        <v>1243123.0900000001</v>
      </c>
      <c r="AI26" s="124">
        <v>1243953.33</v>
      </c>
      <c r="AJ26" s="124">
        <v>1244880.1299999999</v>
      </c>
      <c r="AK26" s="124">
        <v>1243156.02</v>
      </c>
      <c r="AL26" s="124">
        <v>1243987.3799999999</v>
      </c>
      <c r="AM26" s="124">
        <v>1344563.54</v>
      </c>
      <c r="AN26" s="124">
        <v>1345585.81</v>
      </c>
      <c r="AO26" s="125">
        <v>1543183.88</v>
      </c>
      <c r="AP26" s="125">
        <v>1543770.52</v>
      </c>
      <c r="AQ26" s="125">
        <v>1544918.53</v>
      </c>
      <c r="AR26" s="125">
        <v>1691354.76</v>
      </c>
      <c r="AS26" s="125">
        <v>1692858.87</v>
      </c>
      <c r="AT26" s="125">
        <v>1694604.49</v>
      </c>
      <c r="AU26" s="125">
        <v>1850971.12</v>
      </c>
      <c r="AV26" s="125">
        <v>1852904.2</v>
      </c>
      <c r="AW26" s="125">
        <v>1954783.68</v>
      </c>
      <c r="AX26" s="125">
        <v>2050883.44</v>
      </c>
      <c r="AY26" s="126"/>
      <c r="AZ26" s="126"/>
      <c r="BA26" s="126"/>
      <c r="BB26" s="126"/>
      <c r="BC26" s="126"/>
      <c r="BD26" s="126"/>
      <c r="BE26" s="126"/>
      <c r="BF26" s="127">
        <v>1304</v>
      </c>
      <c r="BG26" s="97" t="s">
        <v>105</v>
      </c>
      <c r="BH26" s="127">
        <v>1243123.0900000001</v>
      </c>
      <c r="BI26" s="127">
        <v>1304</v>
      </c>
      <c r="BJ26" s="97" t="s">
        <v>105</v>
      </c>
      <c r="BK26" s="127">
        <v>1243953.33</v>
      </c>
    </row>
    <row r="27" spans="2:63" x14ac:dyDescent="0.25">
      <c r="B27" s="121">
        <v>130405</v>
      </c>
      <c r="C27" s="122" t="s">
        <v>97</v>
      </c>
      <c r="D27" s="123">
        <v>413105.51</v>
      </c>
      <c r="E27" s="123">
        <v>641724.91</v>
      </c>
      <c r="F27" s="123">
        <v>500231.41</v>
      </c>
      <c r="G27" s="123">
        <v>313551.53999999998</v>
      </c>
      <c r="H27" s="123">
        <v>610924.96</v>
      </c>
      <c r="I27" s="123">
        <v>390716.89</v>
      </c>
      <c r="J27" s="123">
        <v>145763.67000000001</v>
      </c>
      <c r="K27" s="123">
        <v>630985.07999999996</v>
      </c>
      <c r="L27" s="123">
        <v>169881.12</v>
      </c>
      <c r="M27" s="123">
        <v>145773.32999999999</v>
      </c>
      <c r="N27" s="123">
        <v>801294.8</v>
      </c>
      <c r="O27" s="123">
        <v>209836.68</v>
      </c>
      <c r="P27" s="128"/>
      <c r="Q27" s="128"/>
      <c r="R27" s="128"/>
      <c r="S27" s="128"/>
      <c r="T27" s="128"/>
      <c r="U27" s="128"/>
      <c r="V27" s="128"/>
      <c r="W27" s="128"/>
      <c r="X27" s="128"/>
      <c r="Y27" s="123">
        <v>109768.59</v>
      </c>
      <c r="Z27" s="128"/>
      <c r="AA27" s="123">
        <v>119864.07</v>
      </c>
      <c r="AB27" s="128"/>
      <c r="AC27" s="129"/>
      <c r="AD27" s="124">
        <v>119906.67</v>
      </c>
      <c r="AE27" s="124">
        <v>99894.01</v>
      </c>
      <c r="AF27" s="124">
        <v>99889.73</v>
      </c>
      <c r="AG27" s="124">
        <v>219795.27</v>
      </c>
      <c r="AH27" s="124">
        <v>279830.46000000002</v>
      </c>
      <c r="AI27" s="124">
        <v>300834.71000000002</v>
      </c>
      <c r="AJ27" s="124">
        <v>666144.12</v>
      </c>
      <c r="AK27" s="124">
        <v>279852.86</v>
      </c>
      <c r="AL27" s="124">
        <v>300856.03999999998</v>
      </c>
      <c r="AM27" s="124">
        <v>284766.08000000002</v>
      </c>
      <c r="AN27" s="124">
        <v>662003</v>
      </c>
      <c r="AO27" s="125">
        <v>401072.72</v>
      </c>
      <c r="AP27" s="125">
        <v>284743.28999999998</v>
      </c>
      <c r="AQ27" s="125">
        <v>861728.33</v>
      </c>
      <c r="AR27" s="125">
        <v>401013.1</v>
      </c>
      <c r="AS27" s="125">
        <v>284688.81</v>
      </c>
      <c r="AT27" s="125">
        <v>1011504.49</v>
      </c>
      <c r="AU27" s="125">
        <v>401015.27</v>
      </c>
      <c r="AV27" s="125">
        <v>284715.8</v>
      </c>
      <c r="AW27" s="125">
        <v>1171879.3</v>
      </c>
      <c r="AX27" s="125">
        <v>401046.15</v>
      </c>
      <c r="AY27" s="126"/>
      <c r="AZ27" s="126"/>
      <c r="BA27" s="126"/>
      <c r="BB27" s="126"/>
      <c r="BC27" s="126"/>
      <c r="BD27" s="126"/>
      <c r="BE27" s="126"/>
      <c r="BF27" s="127">
        <v>130405</v>
      </c>
      <c r="BG27" s="97" t="s">
        <v>97</v>
      </c>
      <c r="BH27" s="127">
        <v>279830.46000000002</v>
      </c>
      <c r="BI27" s="127">
        <v>130405</v>
      </c>
      <c r="BJ27" s="97" t="s">
        <v>97</v>
      </c>
      <c r="BK27" s="127">
        <v>300834.71000000002</v>
      </c>
    </row>
    <row r="28" spans="2:63" x14ac:dyDescent="0.25">
      <c r="B28" s="121">
        <v>130410</v>
      </c>
      <c r="C28" s="122" t="s">
        <v>99</v>
      </c>
      <c r="D28" s="123">
        <v>899090.65</v>
      </c>
      <c r="E28" s="123">
        <v>571456.1</v>
      </c>
      <c r="F28" s="123">
        <v>921553.14</v>
      </c>
      <c r="G28" s="123">
        <v>999106.02</v>
      </c>
      <c r="H28" s="123">
        <v>535169.31000000006</v>
      </c>
      <c r="I28" s="123">
        <v>774147.99</v>
      </c>
      <c r="J28" s="123">
        <v>969042.2</v>
      </c>
      <c r="K28" s="123">
        <v>485033.36</v>
      </c>
      <c r="L28" s="123">
        <v>774195.56</v>
      </c>
      <c r="M28" s="123">
        <v>1008920.08</v>
      </c>
      <c r="N28" s="123">
        <v>209486.71</v>
      </c>
      <c r="O28" s="128"/>
      <c r="P28" s="128"/>
      <c r="Q28" s="128"/>
      <c r="R28" s="128"/>
      <c r="S28" s="128"/>
      <c r="T28" s="128"/>
      <c r="U28" s="128"/>
      <c r="V28" s="128"/>
      <c r="W28" s="123">
        <v>109225.67</v>
      </c>
      <c r="X28" s="123">
        <v>213991.71</v>
      </c>
      <c r="Y28" s="123">
        <v>224016.85</v>
      </c>
      <c r="Z28" s="123">
        <v>119572.78</v>
      </c>
      <c r="AA28" s="128"/>
      <c r="AB28" s="123">
        <v>119506.7</v>
      </c>
      <c r="AC28" s="124">
        <v>219183.41</v>
      </c>
      <c r="AD28" s="124">
        <v>199116.27</v>
      </c>
      <c r="AE28" s="124">
        <v>318391.23</v>
      </c>
      <c r="AF28" s="124">
        <v>497714.4</v>
      </c>
      <c r="AG28" s="124">
        <v>578692.26</v>
      </c>
      <c r="AH28" s="124">
        <v>963292.63</v>
      </c>
      <c r="AI28" s="124">
        <v>943118.62</v>
      </c>
      <c r="AJ28" s="124">
        <v>578736.01</v>
      </c>
      <c r="AK28" s="124">
        <v>583570.62</v>
      </c>
      <c r="AL28" s="124">
        <v>943131.34</v>
      </c>
      <c r="AM28" s="124">
        <v>1059797.46</v>
      </c>
      <c r="AN28" s="124">
        <v>683582.81</v>
      </c>
      <c r="AO28" s="125">
        <v>1142111.1599999999</v>
      </c>
      <c r="AP28" s="125">
        <v>1259027.23</v>
      </c>
      <c r="AQ28" s="125">
        <v>683190.2</v>
      </c>
      <c r="AR28" s="125">
        <v>1091187.58</v>
      </c>
      <c r="AS28" s="125">
        <v>1408170.06</v>
      </c>
      <c r="AT28" s="125">
        <v>683100</v>
      </c>
      <c r="AU28" s="125">
        <v>1449955.85</v>
      </c>
      <c r="AV28" s="125">
        <v>1568188.4</v>
      </c>
      <c r="AW28" s="125">
        <v>782904.38</v>
      </c>
      <c r="AX28" s="125">
        <v>1649837.29</v>
      </c>
      <c r="AY28" s="126"/>
      <c r="AZ28" s="126"/>
      <c r="BA28" s="126"/>
      <c r="BB28" s="126"/>
      <c r="BC28" s="126"/>
      <c r="BD28" s="126"/>
      <c r="BE28" s="126"/>
      <c r="BF28" s="127">
        <v>130410</v>
      </c>
      <c r="BG28" s="97" t="s">
        <v>99</v>
      </c>
      <c r="BH28" s="127">
        <v>963292.63</v>
      </c>
      <c r="BI28" s="127">
        <v>130410</v>
      </c>
      <c r="BJ28" s="97" t="s">
        <v>99</v>
      </c>
      <c r="BK28" s="127">
        <v>943118.62</v>
      </c>
    </row>
    <row r="29" spans="2:63" x14ac:dyDescent="0.25">
      <c r="B29" s="121">
        <v>130415</v>
      </c>
      <c r="C29" s="122" t="s">
        <v>101</v>
      </c>
      <c r="D29" s="128"/>
      <c r="E29" s="123">
        <v>208824.15</v>
      </c>
      <c r="F29" s="128"/>
      <c r="G29" s="128"/>
      <c r="H29" s="128"/>
      <c r="I29" s="128"/>
      <c r="J29" s="128"/>
      <c r="K29" s="128"/>
      <c r="L29" s="123">
        <v>169631.35999999999</v>
      </c>
      <c r="M29" s="128"/>
      <c r="N29" s="128"/>
      <c r="O29" s="128"/>
      <c r="P29" s="128"/>
      <c r="Q29" s="128"/>
      <c r="R29" s="128"/>
      <c r="S29" s="128"/>
      <c r="T29" s="123">
        <v>459793.53</v>
      </c>
      <c r="U29" s="123">
        <v>1004114.29</v>
      </c>
      <c r="V29" s="123">
        <v>892037.29</v>
      </c>
      <c r="W29" s="123">
        <v>222906.2</v>
      </c>
      <c r="X29" s="123">
        <v>118980.5</v>
      </c>
      <c r="Y29" s="128"/>
      <c r="Z29" s="128"/>
      <c r="AA29" s="128"/>
      <c r="AB29" s="128"/>
      <c r="AC29" s="124">
        <v>99228.12</v>
      </c>
      <c r="AD29" s="129"/>
      <c r="AE29" s="129"/>
      <c r="AF29" s="129"/>
      <c r="AG29" s="129"/>
      <c r="AH29" s="129"/>
      <c r="AI29" s="129"/>
      <c r="AJ29" s="129"/>
      <c r="AK29" s="129"/>
      <c r="AL29" s="129"/>
      <c r="AM29" s="129"/>
      <c r="AN29" s="129"/>
      <c r="AO29" s="125">
        <v>0</v>
      </c>
      <c r="AP29" s="125">
        <v>0</v>
      </c>
      <c r="AQ29" s="125">
        <v>0</v>
      </c>
      <c r="AR29" s="125">
        <v>0</v>
      </c>
      <c r="AS29" s="125">
        <v>0</v>
      </c>
      <c r="AT29" s="125">
        <v>0</v>
      </c>
      <c r="AU29" s="125">
        <v>0</v>
      </c>
      <c r="AV29" s="125">
        <v>0</v>
      </c>
      <c r="AW29" s="125">
        <v>0</v>
      </c>
      <c r="AX29" s="125">
        <v>0</v>
      </c>
      <c r="AY29" s="126"/>
      <c r="AZ29" s="126"/>
      <c r="BA29" s="126"/>
      <c r="BB29" s="126"/>
      <c r="BC29" s="126"/>
      <c r="BD29" s="126"/>
      <c r="BE29" s="126"/>
    </row>
    <row r="30" spans="2:63" x14ac:dyDescent="0.25">
      <c r="B30" s="121">
        <v>130420</v>
      </c>
      <c r="C30" s="122" t="s">
        <v>102</v>
      </c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3">
        <v>345749.31</v>
      </c>
      <c r="O30" s="123">
        <v>988510.01</v>
      </c>
      <c r="P30" s="123">
        <v>1195356.73</v>
      </c>
      <c r="Q30" s="123">
        <v>1198541.3400000001</v>
      </c>
      <c r="R30" s="123">
        <v>1201417.77</v>
      </c>
      <c r="S30" s="123">
        <v>1204602.3799999999</v>
      </c>
      <c r="T30" s="123">
        <v>747890.73</v>
      </c>
      <c r="U30" s="123">
        <v>206754.59</v>
      </c>
      <c r="V30" s="128"/>
      <c r="W30" s="128"/>
      <c r="X30" s="128"/>
      <c r="Y30" s="128"/>
      <c r="Z30" s="128"/>
      <c r="AA30" s="128"/>
      <c r="AB30" s="128"/>
      <c r="AC30" s="129"/>
      <c r="AD30" s="129"/>
      <c r="AE30" s="129"/>
      <c r="AF30" s="129"/>
      <c r="AG30" s="129"/>
      <c r="AH30" s="129"/>
      <c r="AI30" s="129"/>
      <c r="AJ30" s="129"/>
      <c r="AK30" s="129"/>
      <c r="AL30" s="129"/>
      <c r="AM30" s="129"/>
      <c r="AN30" s="129"/>
      <c r="AO30" s="125">
        <v>0</v>
      </c>
      <c r="AP30" s="125">
        <v>0</v>
      </c>
      <c r="AQ30" s="125">
        <v>0</v>
      </c>
      <c r="AR30" s="125">
        <v>0</v>
      </c>
      <c r="AS30" s="125">
        <v>0</v>
      </c>
      <c r="AT30" s="125">
        <v>0</v>
      </c>
      <c r="AU30" s="125">
        <v>0</v>
      </c>
      <c r="AV30" s="125">
        <v>0</v>
      </c>
      <c r="AW30" s="125">
        <v>0</v>
      </c>
      <c r="AX30" s="125">
        <v>0</v>
      </c>
      <c r="AY30" s="126"/>
      <c r="AZ30" s="126"/>
      <c r="BA30" s="126"/>
      <c r="BB30" s="126"/>
      <c r="BC30" s="126"/>
      <c r="BD30" s="126"/>
      <c r="BE30" s="126"/>
    </row>
    <row r="31" spans="2:63" ht="22.5" customHeight="1" x14ac:dyDescent="0.25">
      <c r="B31" s="121">
        <v>1305</v>
      </c>
      <c r="C31" s="122" t="s">
        <v>106</v>
      </c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9"/>
      <c r="AD31" s="129"/>
      <c r="AE31" s="129"/>
      <c r="AF31" s="129"/>
      <c r="AG31" s="129"/>
      <c r="AH31" s="129"/>
      <c r="AI31" s="129"/>
      <c r="AJ31" s="129"/>
      <c r="AK31" s="129"/>
      <c r="AL31" s="129"/>
      <c r="AM31" s="129"/>
      <c r="AN31" s="129"/>
      <c r="AO31" s="125">
        <v>0</v>
      </c>
      <c r="AP31" s="125">
        <v>0</v>
      </c>
      <c r="AQ31" s="125">
        <v>0</v>
      </c>
      <c r="AR31" s="125">
        <v>0</v>
      </c>
      <c r="AS31" s="125">
        <v>0</v>
      </c>
      <c r="AT31" s="125">
        <v>0</v>
      </c>
      <c r="AU31" s="125">
        <v>0</v>
      </c>
      <c r="AV31" s="125">
        <v>0</v>
      </c>
      <c r="AW31" s="125">
        <v>0</v>
      </c>
      <c r="AX31" s="125">
        <v>0</v>
      </c>
      <c r="AY31" s="126"/>
      <c r="AZ31" s="126"/>
      <c r="BA31" s="126"/>
      <c r="BB31" s="126"/>
      <c r="BC31" s="126"/>
      <c r="BD31" s="126"/>
      <c r="BE31" s="126"/>
    </row>
    <row r="32" spans="2:63" x14ac:dyDescent="0.25">
      <c r="B32" s="121">
        <v>130505</v>
      </c>
      <c r="C32" s="122" t="s">
        <v>97</v>
      </c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9"/>
      <c r="AD32" s="129"/>
      <c r="AE32" s="129"/>
      <c r="AF32" s="129"/>
      <c r="AG32" s="129"/>
      <c r="AH32" s="129"/>
      <c r="AI32" s="129"/>
      <c r="AJ32" s="129"/>
      <c r="AK32" s="129"/>
      <c r="AL32" s="129"/>
      <c r="AM32" s="129"/>
      <c r="AN32" s="129"/>
      <c r="AO32" s="125">
        <v>0</v>
      </c>
      <c r="AP32" s="125">
        <v>0</v>
      </c>
      <c r="AQ32" s="125">
        <v>0</v>
      </c>
      <c r="AR32" s="125">
        <v>0</v>
      </c>
      <c r="AS32" s="125">
        <v>0</v>
      </c>
      <c r="AT32" s="125">
        <v>0</v>
      </c>
      <c r="AU32" s="125">
        <v>0</v>
      </c>
      <c r="AV32" s="125">
        <v>0</v>
      </c>
      <c r="AW32" s="125">
        <v>0</v>
      </c>
      <c r="AX32" s="125">
        <v>0</v>
      </c>
      <c r="AY32" s="126"/>
      <c r="AZ32" s="126"/>
      <c r="BA32" s="126"/>
      <c r="BB32" s="126"/>
      <c r="BC32" s="126"/>
      <c r="BD32" s="126"/>
      <c r="BE32" s="126"/>
    </row>
    <row r="33" spans="2:63" x14ac:dyDescent="0.25">
      <c r="B33" s="121">
        <v>130510</v>
      </c>
      <c r="C33" s="122" t="s">
        <v>99</v>
      </c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9"/>
      <c r="AD33" s="129"/>
      <c r="AE33" s="129"/>
      <c r="AF33" s="129"/>
      <c r="AG33" s="129"/>
      <c r="AH33" s="129"/>
      <c r="AI33" s="129"/>
      <c r="AJ33" s="129"/>
      <c r="AK33" s="129"/>
      <c r="AL33" s="129"/>
      <c r="AM33" s="129"/>
      <c r="AN33" s="129"/>
      <c r="AO33" s="125">
        <v>0</v>
      </c>
      <c r="AP33" s="125">
        <v>0</v>
      </c>
      <c r="AQ33" s="125">
        <v>0</v>
      </c>
      <c r="AR33" s="125">
        <v>0</v>
      </c>
      <c r="AS33" s="125">
        <v>0</v>
      </c>
      <c r="AT33" s="125">
        <v>0</v>
      </c>
      <c r="AU33" s="125">
        <v>0</v>
      </c>
      <c r="AV33" s="125">
        <v>0</v>
      </c>
      <c r="AW33" s="125">
        <v>0</v>
      </c>
      <c r="AX33" s="125">
        <v>0</v>
      </c>
      <c r="AY33" s="126"/>
      <c r="AZ33" s="126"/>
      <c r="BA33" s="126"/>
      <c r="BB33" s="126"/>
      <c r="BC33" s="126"/>
      <c r="BD33" s="126"/>
      <c r="BE33" s="126"/>
    </row>
    <row r="34" spans="2:63" x14ac:dyDescent="0.25">
      <c r="B34" s="121">
        <v>1306</v>
      </c>
      <c r="C34" s="122" t="s">
        <v>107</v>
      </c>
      <c r="D34" s="123">
        <v>1760226.89</v>
      </c>
      <c r="E34" s="123">
        <v>1849267.33</v>
      </c>
      <c r="F34" s="123">
        <v>1940708.22</v>
      </c>
      <c r="G34" s="123">
        <v>1982968.54</v>
      </c>
      <c r="H34" s="123">
        <v>2013310.31</v>
      </c>
      <c r="I34" s="123">
        <v>2044499.78</v>
      </c>
      <c r="J34" s="123">
        <v>2046019.08</v>
      </c>
      <c r="K34" s="123">
        <v>2036968.32</v>
      </c>
      <c r="L34" s="123">
        <v>2043124.86</v>
      </c>
      <c r="M34" s="123">
        <v>2052346.33</v>
      </c>
      <c r="N34" s="123">
        <v>2119538.83</v>
      </c>
      <c r="O34" s="123">
        <v>2135986.15</v>
      </c>
      <c r="P34" s="123">
        <v>2138249.71</v>
      </c>
      <c r="Q34" s="123">
        <v>2159491.9500000002</v>
      </c>
      <c r="R34" s="123">
        <v>2168711.61</v>
      </c>
      <c r="S34" s="123">
        <v>2155819.4300000002</v>
      </c>
      <c r="T34" s="123">
        <v>2147356.41</v>
      </c>
      <c r="U34" s="123">
        <v>2132310.9300000002</v>
      </c>
      <c r="V34" s="123">
        <v>2100873.5699999998</v>
      </c>
      <c r="W34" s="123">
        <v>2070535.07</v>
      </c>
      <c r="X34" s="123">
        <v>2053825.26</v>
      </c>
      <c r="Y34" s="123">
        <v>2041836.74</v>
      </c>
      <c r="Z34" s="123">
        <v>2020960.37</v>
      </c>
      <c r="AA34" s="123">
        <v>2045810.89</v>
      </c>
      <c r="AB34" s="123">
        <v>2059964.6</v>
      </c>
      <c r="AC34" s="124">
        <v>2071498.04</v>
      </c>
      <c r="AD34" s="124">
        <v>2076291.95</v>
      </c>
      <c r="AE34" s="124">
        <v>2064132.7</v>
      </c>
      <c r="AF34" s="124">
        <v>2073272.33</v>
      </c>
      <c r="AG34" s="124">
        <v>2093541.45</v>
      </c>
      <c r="AH34" s="124">
        <v>2157982.02</v>
      </c>
      <c r="AI34" s="124">
        <v>2319675.36</v>
      </c>
      <c r="AJ34" s="124">
        <v>2110208.1</v>
      </c>
      <c r="AK34" s="124">
        <v>2272338.2999999998</v>
      </c>
      <c r="AL34" s="124">
        <v>2266118.2000000002</v>
      </c>
      <c r="AM34" s="124">
        <v>2304228.69</v>
      </c>
      <c r="AN34" s="124">
        <v>2344713.46</v>
      </c>
      <c r="AO34" s="125">
        <v>2468593.39</v>
      </c>
      <c r="AP34" s="125">
        <v>2530921.1800000002</v>
      </c>
      <c r="AQ34" s="125">
        <v>2595033.39</v>
      </c>
      <c r="AR34" s="125">
        <v>2716377.83</v>
      </c>
      <c r="AS34" s="125">
        <v>2778364.78</v>
      </c>
      <c r="AT34" s="125">
        <v>2771651.3</v>
      </c>
      <c r="AU34" s="125">
        <v>2839311.86</v>
      </c>
      <c r="AV34" s="125">
        <v>2944406.9</v>
      </c>
      <c r="AW34" s="125">
        <v>3030921.83</v>
      </c>
      <c r="AX34" s="125">
        <v>3086341.48</v>
      </c>
      <c r="AY34" s="126"/>
      <c r="AZ34" s="126"/>
      <c r="BA34" s="126"/>
      <c r="BB34" s="126"/>
      <c r="BC34" s="126"/>
      <c r="BD34" s="126"/>
      <c r="BE34" s="126"/>
      <c r="BF34" s="127">
        <v>1306</v>
      </c>
      <c r="BG34" s="97" t="s">
        <v>107</v>
      </c>
      <c r="BH34" s="127">
        <v>2157982.02</v>
      </c>
      <c r="BI34" s="127">
        <v>1306</v>
      </c>
      <c r="BJ34" s="97" t="s">
        <v>107</v>
      </c>
      <c r="BK34" s="127">
        <v>2319675.36</v>
      </c>
    </row>
    <row r="35" spans="2:63" x14ac:dyDescent="0.25">
      <c r="B35" s="121">
        <v>130615</v>
      </c>
      <c r="C35" s="122" t="s">
        <v>101</v>
      </c>
      <c r="D35" s="123">
        <v>1760226.89</v>
      </c>
      <c r="E35" s="123">
        <v>1849267.33</v>
      </c>
      <c r="F35" s="123">
        <v>1940708.22</v>
      </c>
      <c r="G35" s="123">
        <v>1982968.54</v>
      </c>
      <c r="H35" s="123">
        <v>2013310.31</v>
      </c>
      <c r="I35" s="123">
        <v>2044499.78</v>
      </c>
      <c r="J35" s="123">
        <v>2046019.08</v>
      </c>
      <c r="K35" s="123">
        <v>2036968.32</v>
      </c>
      <c r="L35" s="123">
        <v>2043124.86</v>
      </c>
      <c r="M35" s="123">
        <v>2052346.33</v>
      </c>
      <c r="N35" s="123">
        <v>2119538.83</v>
      </c>
      <c r="O35" s="123">
        <v>2135986.15</v>
      </c>
      <c r="P35" s="123">
        <v>2138249.71</v>
      </c>
      <c r="Q35" s="123">
        <v>2159491.9500000002</v>
      </c>
      <c r="R35" s="123">
        <v>2168711.61</v>
      </c>
      <c r="S35" s="123">
        <v>2155819.4300000002</v>
      </c>
      <c r="T35" s="123">
        <v>2147356.41</v>
      </c>
      <c r="U35" s="123">
        <v>2132310.9300000002</v>
      </c>
      <c r="V35" s="123">
        <v>2100873.5699999998</v>
      </c>
      <c r="W35" s="123">
        <v>2070535.07</v>
      </c>
      <c r="X35" s="123">
        <v>2053825.26</v>
      </c>
      <c r="Y35" s="123">
        <v>2041836.74</v>
      </c>
      <c r="Z35" s="123">
        <v>2020960.37</v>
      </c>
      <c r="AA35" s="123">
        <v>2045810.89</v>
      </c>
      <c r="AB35" s="123">
        <v>2059964.6</v>
      </c>
      <c r="AC35" s="124">
        <v>2071498.04</v>
      </c>
      <c r="AD35" s="124">
        <v>2076291.95</v>
      </c>
      <c r="AE35" s="124">
        <v>2064132.7</v>
      </c>
      <c r="AF35" s="124">
        <v>2073272.33</v>
      </c>
      <c r="AG35" s="124">
        <v>2093541.45</v>
      </c>
      <c r="AH35" s="124">
        <v>2157982.02</v>
      </c>
      <c r="AI35" s="124">
        <v>2319675.36</v>
      </c>
      <c r="AJ35" s="124">
        <v>2110208.1</v>
      </c>
      <c r="AK35" s="124">
        <v>2272338.2999999998</v>
      </c>
      <c r="AL35" s="124">
        <v>2266118.2000000002</v>
      </c>
      <c r="AM35" s="124">
        <v>2304228.69</v>
      </c>
      <c r="AN35" s="124">
        <v>2344713.46</v>
      </c>
      <c r="AO35" s="125">
        <v>2468593.39</v>
      </c>
      <c r="AP35" s="125">
        <v>2530921.1800000002</v>
      </c>
      <c r="AQ35" s="125">
        <v>2595033.39</v>
      </c>
      <c r="AR35" s="125">
        <v>2716377.83</v>
      </c>
      <c r="AS35" s="125">
        <v>2778364.78</v>
      </c>
      <c r="AT35" s="125">
        <v>2771651.3</v>
      </c>
      <c r="AU35" s="125">
        <v>2839311.86</v>
      </c>
      <c r="AV35" s="125">
        <v>2944406.9</v>
      </c>
      <c r="AW35" s="125">
        <v>3030921.83</v>
      </c>
      <c r="AX35" s="125">
        <v>3086341.48</v>
      </c>
      <c r="AY35" s="126"/>
      <c r="AZ35" s="126"/>
      <c r="BA35" s="126"/>
      <c r="BB35" s="126"/>
      <c r="BC35" s="126"/>
      <c r="BD35" s="126"/>
      <c r="BE35" s="126"/>
      <c r="BF35" s="127">
        <v>130615</v>
      </c>
      <c r="BG35" s="97" t="s">
        <v>101</v>
      </c>
      <c r="BH35" s="127">
        <v>2157982.02</v>
      </c>
      <c r="BI35" s="127">
        <v>130615</v>
      </c>
      <c r="BJ35" s="97" t="s">
        <v>101</v>
      </c>
      <c r="BK35" s="127">
        <v>2319675.36</v>
      </c>
    </row>
    <row r="36" spans="2:63" s="113" customFormat="1" x14ac:dyDescent="0.25">
      <c r="B36" s="121">
        <v>1307</v>
      </c>
      <c r="C36" s="122" t="s">
        <v>108</v>
      </c>
      <c r="D36" s="123">
        <v>362654.49</v>
      </c>
      <c r="E36" s="123">
        <v>362654.49</v>
      </c>
      <c r="F36" s="123">
        <v>362614.21</v>
      </c>
      <c r="G36" s="123">
        <v>362634.35</v>
      </c>
      <c r="H36" s="123">
        <v>362614.21</v>
      </c>
      <c r="I36" s="123">
        <v>362634.35</v>
      </c>
      <c r="J36" s="123">
        <v>362634.35</v>
      </c>
      <c r="K36" s="123">
        <v>362634.35</v>
      </c>
      <c r="L36" s="123">
        <v>362654.49</v>
      </c>
      <c r="M36" s="123">
        <v>362654.49</v>
      </c>
      <c r="N36" s="123">
        <v>362654.49</v>
      </c>
      <c r="O36" s="123">
        <v>362654.49</v>
      </c>
      <c r="P36" s="123">
        <v>362674.63</v>
      </c>
      <c r="Q36" s="123">
        <v>362674.63</v>
      </c>
      <c r="R36" s="123">
        <v>362614.21</v>
      </c>
      <c r="S36" s="123">
        <v>362594.07</v>
      </c>
      <c r="T36" s="123">
        <v>362594.07</v>
      </c>
      <c r="U36" s="123">
        <v>362553.8</v>
      </c>
      <c r="V36" s="123">
        <v>362553.8</v>
      </c>
      <c r="W36" s="123">
        <v>362573.93</v>
      </c>
      <c r="X36" s="123">
        <v>362573.93</v>
      </c>
      <c r="Y36" s="123">
        <v>363097.54</v>
      </c>
      <c r="Z36" s="128"/>
      <c r="AA36" s="128"/>
      <c r="AB36" s="128"/>
      <c r="AC36" s="129"/>
      <c r="AD36" s="129"/>
      <c r="AE36" s="129"/>
      <c r="AF36" s="129"/>
      <c r="AG36" s="129"/>
      <c r="AH36" s="129"/>
      <c r="AI36" s="129"/>
      <c r="AJ36" s="129"/>
      <c r="AK36" s="129"/>
      <c r="AL36" s="129"/>
      <c r="AM36" s="129"/>
      <c r="AN36" s="124">
        <v>10033.540000000001</v>
      </c>
      <c r="AO36" s="125">
        <v>10083.06</v>
      </c>
      <c r="AP36" s="125">
        <v>10127.780000000001</v>
      </c>
      <c r="AQ36" s="125">
        <v>10177.290000000001</v>
      </c>
      <c r="AR36" s="125">
        <v>10225.209999999999</v>
      </c>
      <c r="AS36" s="125">
        <v>10274.719999999999</v>
      </c>
      <c r="AT36" s="125">
        <v>10322.64</v>
      </c>
      <c r="AU36" s="125">
        <v>10372.15</v>
      </c>
      <c r="AV36" s="125">
        <v>10421.67</v>
      </c>
      <c r="AW36" s="125">
        <v>10469.58</v>
      </c>
      <c r="AX36" s="125">
        <v>438165.38</v>
      </c>
      <c r="AY36" s="126"/>
      <c r="AZ36" s="126"/>
      <c r="BA36" s="126"/>
      <c r="BB36" s="126"/>
      <c r="BC36" s="126"/>
      <c r="BD36" s="126"/>
      <c r="BE36" s="126"/>
      <c r="BF36" s="97"/>
      <c r="BG36" s="97"/>
      <c r="BH36" s="97"/>
      <c r="BI36" s="97"/>
      <c r="BJ36" s="97"/>
      <c r="BK36" s="97"/>
    </row>
    <row r="37" spans="2:63" x14ac:dyDescent="0.25">
      <c r="B37" s="121">
        <v>130710</v>
      </c>
      <c r="C37" s="122" t="s">
        <v>109</v>
      </c>
      <c r="D37" s="123">
        <v>362654.49</v>
      </c>
      <c r="E37" s="123">
        <v>362654.49</v>
      </c>
      <c r="F37" s="123">
        <v>362614.21</v>
      </c>
      <c r="G37" s="123">
        <v>362634.35</v>
      </c>
      <c r="H37" s="123">
        <v>362614.21</v>
      </c>
      <c r="I37" s="123">
        <v>362634.35</v>
      </c>
      <c r="J37" s="123">
        <v>362634.35</v>
      </c>
      <c r="K37" s="123">
        <v>362634.35</v>
      </c>
      <c r="L37" s="123">
        <v>362654.49</v>
      </c>
      <c r="M37" s="123">
        <v>362654.49</v>
      </c>
      <c r="N37" s="123">
        <v>362654.49</v>
      </c>
      <c r="O37" s="123">
        <v>362654.49</v>
      </c>
      <c r="P37" s="123">
        <v>362674.63</v>
      </c>
      <c r="Q37" s="123">
        <v>362674.63</v>
      </c>
      <c r="R37" s="123">
        <v>362614.21</v>
      </c>
      <c r="S37" s="123">
        <v>362594.07</v>
      </c>
      <c r="T37" s="123">
        <v>362594.07</v>
      </c>
      <c r="U37" s="123">
        <v>362553.8</v>
      </c>
      <c r="V37" s="123">
        <v>362553.8</v>
      </c>
      <c r="W37" s="123">
        <v>362573.93</v>
      </c>
      <c r="X37" s="123">
        <v>362573.93</v>
      </c>
      <c r="Y37" s="123">
        <v>363097.54</v>
      </c>
      <c r="Z37" s="128"/>
      <c r="AA37" s="128"/>
      <c r="AB37" s="128"/>
      <c r="AC37" s="129"/>
      <c r="AD37" s="129"/>
      <c r="AE37" s="129"/>
      <c r="AF37" s="129"/>
      <c r="AG37" s="129"/>
      <c r="AH37" s="129"/>
      <c r="AI37" s="129"/>
      <c r="AJ37" s="129"/>
      <c r="AK37" s="129"/>
      <c r="AL37" s="129"/>
      <c r="AM37" s="129"/>
      <c r="AN37" s="124">
        <v>10033.540000000001</v>
      </c>
      <c r="AO37" s="125">
        <v>10083.06</v>
      </c>
      <c r="AP37" s="125">
        <v>10127.780000000001</v>
      </c>
      <c r="AQ37" s="125">
        <v>10177.290000000001</v>
      </c>
      <c r="AR37" s="125">
        <v>10225.209999999999</v>
      </c>
      <c r="AS37" s="125">
        <v>10274.719999999999</v>
      </c>
      <c r="AT37" s="125">
        <v>10322.64</v>
      </c>
      <c r="AU37" s="125">
        <v>10372.15</v>
      </c>
      <c r="AV37" s="125">
        <v>10421.67</v>
      </c>
      <c r="AW37" s="125">
        <v>10469.58</v>
      </c>
      <c r="AX37" s="125">
        <v>10519.1</v>
      </c>
      <c r="AY37" s="126"/>
      <c r="AZ37" s="126"/>
      <c r="BA37" s="126"/>
      <c r="BB37" s="126"/>
      <c r="BC37" s="126"/>
      <c r="BD37" s="126"/>
      <c r="BE37" s="126"/>
    </row>
    <row r="38" spans="2:63" x14ac:dyDescent="0.25">
      <c r="B38" s="114">
        <v>14</v>
      </c>
      <c r="C38" s="115" t="s">
        <v>110</v>
      </c>
      <c r="D38" s="116">
        <v>16941057.399999999</v>
      </c>
      <c r="E38" s="116">
        <v>17465919.030000001</v>
      </c>
      <c r="F38" s="116">
        <v>18395321.120000001</v>
      </c>
      <c r="G38" s="116">
        <v>19854930.710000001</v>
      </c>
      <c r="H38" s="116">
        <v>20338205.82</v>
      </c>
      <c r="I38" s="116">
        <v>21390769.059999999</v>
      </c>
      <c r="J38" s="116">
        <v>21843896.359999999</v>
      </c>
      <c r="K38" s="116">
        <v>22248486.23</v>
      </c>
      <c r="L38" s="116">
        <v>22403326.02</v>
      </c>
      <c r="M38" s="116">
        <v>22142780.550000001</v>
      </c>
      <c r="N38" s="116">
        <v>22483243.170000002</v>
      </c>
      <c r="O38" s="116">
        <v>22912017.449999999</v>
      </c>
      <c r="P38" s="116">
        <v>23772498.98</v>
      </c>
      <c r="Q38" s="116">
        <v>23269792.350000001</v>
      </c>
      <c r="R38" s="116">
        <v>24359371.780000001</v>
      </c>
      <c r="S38" s="116">
        <v>24821532.210000001</v>
      </c>
      <c r="T38" s="116">
        <v>24750622.140000001</v>
      </c>
      <c r="U38" s="116">
        <v>24906663.699999999</v>
      </c>
      <c r="V38" s="116">
        <v>24123480.57</v>
      </c>
      <c r="W38" s="116">
        <v>23259505.210000001</v>
      </c>
      <c r="X38" s="116">
        <v>23029409.739999998</v>
      </c>
      <c r="Y38" s="116">
        <v>22965420.199999999</v>
      </c>
      <c r="Z38" s="116">
        <v>22165634.429999996</v>
      </c>
      <c r="AA38" s="116">
        <v>22203438.420000002</v>
      </c>
      <c r="AB38" s="116">
        <v>19180364.02</v>
      </c>
      <c r="AC38" s="117">
        <v>18773965.940000001</v>
      </c>
      <c r="AD38" s="117">
        <v>18008446.530000001</v>
      </c>
      <c r="AE38" s="117">
        <v>18365493.390000001</v>
      </c>
      <c r="AF38" s="117">
        <v>18486104.949999999</v>
      </c>
      <c r="AG38" s="117">
        <v>18109430.370000001</v>
      </c>
      <c r="AH38" s="117">
        <v>24318700.920000002</v>
      </c>
      <c r="AI38" s="117">
        <v>24732959.940000001</v>
      </c>
      <c r="AJ38" s="117">
        <v>24692896.48</v>
      </c>
      <c r="AK38" s="117">
        <v>24847675.699999999</v>
      </c>
      <c r="AL38" s="117">
        <v>25536074.559999999</v>
      </c>
      <c r="AM38" s="117">
        <v>24396646.550000001</v>
      </c>
      <c r="AN38" s="117">
        <v>25299258.32</v>
      </c>
      <c r="AO38" s="118">
        <v>26164723.23</v>
      </c>
      <c r="AP38" s="118">
        <v>27274080.539999999</v>
      </c>
      <c r="AQ38" s="118">
        <v>28308347.93</v>
      </c>
      <c r="AR38" s="118">
        <v>31045992.699999999</v>
      </c>
      <c r="AS38" s="118">
        <v>32984677.84</v>
      </c>
      <c r="AT38" s="118">
        <v>35797576.670000002</v>
      </c>
      <c r="AU38" s="118">
        <v>36874866.5</v>
      </c>
      <c r="AV38" s="118">
        <v>39485583.210000001</v>
      </c>
      <c r="AW38" s="118">
        <v>41678361.310000002</v>
      </c>
      <c r="AX38" s="118">
        <v>45825230.670000002</v>
      </c>
      <c r="AY38" s="119"/>
      <c r="AZ38" s="119"/>
      <c r="BA38" s="119"/>
      <c r="BB38" s="119"/>
      <c r="BC38" s="119"/>
      <c r="BD38" s="119"/>
      <c r="BE38" s="119"/>
      <c r="BF38" s="127">
        <v>14</v>
      </c>
      <c r="BG38" s="97" t="s">
        <v>110</v>
      </c>
      <c r="BH38" s="127">
        <v>24318700.920000002</v>
      </c>
      <c r="BI38" s="127">
        <v>14</v>
      </c>
      <c r="BJ38" s="97" t="s">
        <v>110</v>
      </c>
      <c r="BK38" s="127">
        <v>24732959.940000001</v>
      </c>
    </row>
    <row r="39" spans="2:63" x14ac:dyDescent="0.25">
      <c r="B39" s="131"/>
      <c r="C39" s="115" t="s">
        <v>111</v>
      </c>
      <c r="D39" s="132">
        <f t="shared" ref="D39:Z39" si="0">SUM(D40:D49)</f>
        <v>18527279.559999999</v>
      </c>
      <c r="E39" s="132">
        <f t="shared" si="0"/>
        <v>19008396.160000004</v>
      </c>
      <c r="F39" s="132">
        <f t="shared" si="0"/>
        <v>19834141.909999993</v>
      </c>
      <c r="G39" s="132">
        <f t="shared" si="0"/>
        <v>21296413.849999998</v>
      </c>
      <c r="H39" s="132">
        <f t="shared" si="0"/>
        <v>21815267.759999998</v>
      </c>
      <c r="I39" s="132">
        <f t="shared" si="0"/>
        <v>22899242.959999997</v>
      </c>
      <c r="J39" s="132">
        <f t="shared" si="0"/>
        <v>23375519.240000002</v>
      </c>
      <c r="K39" s="132">
        <f t="shared" si="0"/>
        <v>23771583.960000001</v>
      </c>
      <c r="L39" s="132">
        <f t="shared" si="0"/>
        <v>23945178.150000002</v>
      </c>
      <c r="M39" s="132">
        <f t="shared" si="0"/>
        <v>23720316.100000001</v>
      </c>
      <c r="N39" s="132">
        <f t="shared" si="0"/>
        <v>24119937.66</v>
      </c>
      <c r="O39" s="132">
        <f t="shared" si="0"/>
        <v>24625961.679999996</v>
      </c>
      <c r="P39" s="132">
        <f t="shared" si="0"/>
        <v>25387753.520000003</v>
      </c>
      <c r="Q39" s="132">
        <f t="shared" si="0"/>
        <v>24883897.790000003</v>
      </c>
      <c r="R39" s="132">
        <f t="shared" si="0"/>
        <v>25969716.849999998</v>
      </c>
      <c r="S39" s="132">
        <f t="shared" si="0"/>
        <v>26459544.619999997</v>
      </c>
      <c r="T39" s="132">
        <f t="shared" si="0"/>
        <v>26422858.460000001</v>
      </c>
      <c r="U39" s="132">
        <f t="shared" si="0"/>
        <v>26715776.459999997</v>
      </c>
      <c r="V39" s="132">
        <f t="shared" si="0"/>
        <v>26025707.379999999</v>
      </c>
      <c r="W39" s="132">
        <f t="shared" si="0"/>
        <v>25235511.310000006</v>
      </c>
      <c r="X39" s="132">
        <f t="shared" si="0"/>
        <v>25015905.23</v>
      </c>
      <c r="Y39" s="132">
        <f t="shared" si="0"/>
        <v>25018171.939999998</v>
      </c>
      <c r="Z39" s="132">
        <f t="shared" si="0"/>
        <v>24427874.290000003</v>
      </c>
      <c r="AA39" s="132">
        <f t="shared" ref="AA39:AB39" si="1">SUM(AA40:AA49)</f>
        <v>24246558.160000004</v>
      </c>
      <c r="AB39" s="132">
        <f t="shared" si="1"/>
        <v>21250009.630000003</v>
      </c>
      <c r="AC39" s="132">
        <f t="shared" ref="AC39:AG39" si="2">SUM(AC40:AC49)</f>
        <v>20873180.190000001</v>
      </c>
      <c r="AD39" s="132">
        <f t="shared" si="2"/>
        <v>20228633.880000003</v>
      </c>
      <c r="AE39" s="132">
        <f t="shared" si="2"/>
        <v>20516212.09</v>
      </c>
      <c r="AF39" s="132">
        <f t="shared" si="2"/>
        <v>20656217.170000006</v>
      </c>
      <c r="AG39" s="132">
        <f t="shared" si="2"/>
        <v>20314695.669999998</v>
      </c>
      <c r="AH39" s="132">
        <f t="shared" ref="AH39:AI39" si="3">SUM(AH40:AH49)</f>
        <v>26693217.189999998</v>
      </c>
      <c r="AI39" s="132">
        <f t="shared" si="3"/>
        <v>26993684.030000009</v>
      </c>
      <c r="AJ39" s="132">
        <f t="shared" ref="AJ39:AK39" si="4">SUM(AJ40:AJ49)</f>
        <v>27229187.400000002</v>
      </c>
      <c r="AK39" s="132">
        <f t="shared" si="4"/>
        <v>27656703.580000002</v>
      </c>
      <c r="AL39" s="132">
        <f t="shared" ref="AL39:AM39" si="5">SUM(AL40:AL49)</f>
        <v>28551143.07</v>
      </c>
      <c r="AM39" s="132">
        <f t="shared" si="5"/>
        <v>27390847.079999998</v>
      </c>
      <c r="AN39" s="132">
        <f t="shared" ref="AN39:AX39" si="6">SUM(AN40:AN49)</f>
        <v>28009489.479999997</v>
      </c>
      <c r="AO39" s="132">
        <f t="shared" si="6"/>
        <v>28771582.719999995</v>
      </c>
      <c r="AP39" s="132">
        <f t="shared" si="6"/>
        <v>29878607.229999997</v>
      </c>
      <c r="AQ39" s="132">
        <f t="shared" si="6"/>
        <v>30871444.959999993</v>
      </c>
      <c r="AR39" s="132">
        <f t="shared" si="6"/>
        <v>33561929.329999998</v>
      </c>
      <c r="AS39" s="132">
        <f t="shared" si="6"/>
        <v>35547292.890000008</v>
      </c>
      <c r="AT39" s="132">
        <f t="shared" si="6"/>
        <v>38374953.329999991</v>
      </c>
      <c r="AU39" s="132">
        <f t="shared" si="6"/>
        <v>39527313.149999999</v>
      </c>
      <c r="AV39" s="132">
        <f t="shared" si="6"/>
        <v>42179513.550000004</v>
      </c>
      <c r="AW39" s="132">
        <f t="shared" si="6"/>
        <v>44413427.090000011</v>
      </c>
      <c r="AX39" s="132">
        <f t="shared" si="6"/>
        <v>46916087.240000002</v>
      </c>
      <c r="AY39" s="133"/>
      <c r="AZ39" s="133"/>
      <c r="BA39" s="133"/>
      <c r="BB39" s="133"/>
      <c r="BC39" s="133"/>
      <c r="BD39" s="133"/>
      <c r="BE39" s="133"/>
    </row>
    <row r="40" spans="2:63" x14ac:dyDescent="0.25">
      <c r="B40" s="131"/>
      <c r="C40" s="115" t="s">
        <v>6</v>
      </c>
      <c r="D40" s="134">
        <f t="shared" ref="D40:T40" si="7">D53+D95+D137</f>
        <v>640031.74</v>
      </c>
      <c r="E40" s="134">
        <f t="shared" si="7"/>
        <v>589612</v>
      </c>
      <c r="F40" s="134">
        <f t="shared" si="7"/>
        <v>921670.45</v>
      </c>
      <c r="G40" s="134">
        <f t="shared" si="7"/>
        <v>1491384.26</v>
      </c>
      <c r="H40" s="134">
        <f t="shared" si="7"/>
        <v>1543212.41</v>
      </c>
      <c r="I40" s="134">
        <f t="shared" si="7"/>
        <v>1836803.27</v>
      </c>
      <c r="J40" s="134">
        <f t="shared" si="7"/>
        <v>1779345.04</v>
      </c>
      <c r="K40" s="134">
        <f t="shared" si="7"/>
        <v>1782985.1</v>
      </c>
      <c r="L40" s="134">
        <f t="shared" si="7"/>
        <v>2053869.2299999997</v>
      </c>
      <c r="M40" s="134">
        <f t="shared" si="7"/>
        <v>1674830.67</v>
      </c>
      <c r="N40" s="134">
        <f t="shared" si="7"/>
        <v>1628395.2199999997</v>
      </c>
      <c r="O40" s="134">
        <f t="shared" si="7"/>
        <v>1752925.2</v>
      </c>
      <c r="P40" s="134">
        <f t="shared" si="7"/>
        <v>1808274.6400000001</v>
      </c>
      <c r="Q40" s="134">
        <f t="shared" si="7"/>
        <v>1154393.1200000001</v>
      </c>
      <c r="R40" s="134">
        <f t="shared" si="7"/>
        <v>1510242.77</v>
      </c>
      <c r="S40" s="134">
        <f t="shared" si="7"/>
        <v>1396704.5799999998</v>
      </c>
      <c r="T40" s="134">
        <f t="shared" si="7"/>
        <v>1248430.0599999998</v>
      </c>
      <c r="U40" s="134">
        <f t="shared" ref="U40:Z40" si="8">U53+U95+U137</f>
        <v>1350544.01</v>
      </c>
      <c r="V40" s="134">
        <f t="shared" si="8"/>
        <v>1252603.55</v>
      </c>
      <c r="W40" s="134">
        <f t="shared" si="8"/>
        <v>1056963.3499999999</v>
      </c>
      <c r="X40" s="134">
        <f t="shared" si="8"/>
        <v>1096468.1200000001</v>
      </c>
      <c r="Y40" s="134">
        <f t="shared" si="8"/>
        <v>909421.34</v>
      </c>
      <c r="Z40" s="134">
        <f t="shared" si="8"/>
        <v>813878.48</v>
      </c>
      <c r="AA40" s="134">
        <f t="shared" ref="AA40" si="9">AA53+AA95+AA137</f>
        <v>736042.50000000012</v>
      </c>
      <c r="AB40" s="134">
        <f>AB53+AB95+AB137</f>
        <v>738183.28</v>
      </c>
      <c r="AC40" s="134">
        <f t="shared" ref="AC40:AG40" si="10">AC53+AC95+AC137</f>
        <v>725550.84</v>
      </c>
      <c r="AD40" s="134">
        <f t="shared" si="10"/>
        <v>740946.6</v>
      </c>
      <c r="AE40" s="134">
        <f t="shared" si="10"/>
        <v>892744.77</v>
      </c>
      <c r="AF40" s="134">
        <f t="shared" si="10"/>
        <v>922383.76</v>
      </c>
      <c r="AG40" s="134">
        <f t="shared" si="10"/>
        <v>915878.42999999993</v>
      </c>
      <c r="AH40" s="134">
        <f t="shared" ref="AH40:AI40" si="11">AH53+AH95+AH137</f>
        <v>812807.65999999992</v>
      </c>
      <c r="AI40" s="134">
        <f t="shared" si="11"/>
        <v>784109.77</v>
      </c>
      <c r="AJ40" s="134">
        <f t="shared" ref="AJ40:AK40" si="12">AJ53+AJ95+AJ137</f>
        <v>837103.51</v>
      </c>
      <c r="AK40" s="134">
        <f t="shared" si="12"/>
        <v>832375.32000000007</v>
      </c>
      <c r="AL40" s="134">
        <f t="shared" ref="AL40:AM40" si="13">AL53+AL95+AL137</f>
        <v>818130.48</v>
      </c>
      <c r="AM40" s="134">
        <f t="shared" si="13"/>
        <v>735459.36</v>
      </c>
      <c r="AN40" s="134">
        <f t="shared" ref="AN40:AX40" si="14">AN53+AN95+AN137</f>
        <v>768148.3</v>
      </c>
      <c r="AO40" s="134">
        <f t="shared" si="14"/>
        <v>754371.24999999988</v>
      </c>
      <c r="AP40" s="134">
        <f t="shared" si="14"/>
        <v>733895.72</v>
      </c>
      <c r="AQ40" s="134">
        <f t="shared" si="14"/>
        <v>738732.99</v>
      </c>
      <c r="AR40" s="134">
        <f t="shared" si="14"/>
        <v>725411.93</v>
      </c>
      <c r="AS40" s="134">
        <f t="shared" si="14"/>
        <v>734061.78</v>
      </c>
      <c r="AT40" s="134">
        <f t="shared" si="14"/>
        <v>771061.99</v>
      </c>
      <c r="AU40" s="134">
        <f t="shared" si="14"/>
        <v>754619.06</v>
      </c>
      <c r="AV40" s="134">
        <f t="shared" si="14"/>
        <v>784788.02</v>
      </c>
      <c r="AW40" s="134">
        <f t="shared" si="14"/>
        <v>758383.95</v>
      </c>
      <c r="AX40" s="134">
        <f t="shared" si="14"/>
        <v>643955.81999999995</v>
      </c>
      <c r="AY40" s="135"/>
      <c r="AZ40" s="135"/>
      <c r="BA40" s="135"/>
      <c r="BB40" s="135"/>
      <c r="BC40" s="135"/>
      <c r="BD40" s="135"/>
      <c r="BE40" s="135"/>
    </row>
    <row r="41" spans="2:63" x14ac:dyDescent="0.25">
      <c r="B41" s="131"/>
      <c r="C41" s="115" t="s">
        <v>8</v>
      </c>
      <c r="D41" s="134">
        <f t="shared" ref="D41:T41" si="15">D59+D101+D142</f>
        <v>16264033.02</v>
      </c>
      <c r="E41" s="134">
        <f t="shared" si="15"/>
        <v>16837435.460000001</v>
      </c>
      <c r="F41" s="134">
        <f t="shared" si="15"/>
        <v>17370632.739999998</v>
      </c>
      <c r="G41" s="134">
        <f t="shared" si="15"/>
        <v>18166880.93</v>
      </c>
      <c r="H41" s="134">
        <f t="shared" si="15"/>
        <v>18064599.399999999</v>
      </c>
      <c r="I41" s="134">
        <f t="shared" si="15"/>
        <v>18222558.719999999</v>
      </c>
      <c r="J41" s="134">
        <f t="shared" si="15"/>
        <v>18291762.420000002</v>
      </c>
      <c r="K41" s="134">
        <f t="shared" si="15"/>
        <v>18330823.16</v>
      </c>
      <c r="L41" s="134">
        <f t="shared" si="15"/>
        <v>17172359.690000001</v>
      </c>
      <c r="M41" s="134">
        <f t="shared" si="15"/>
        <v>17121099.75</v>
      </c>
      <c r="N41" s="134">
        <f t="shared" si="15"/>
        <v>17033282.059999999</v>
      </c>
      <c r="O41" s="134">
        <f t="shared" si="15"/>
        <v>16923494.41</v>
      </c>
      <c r="P41" s="134">
        <f t="shared" si="15"/>
        <v>17111510.890000001</v>
      </c>
      <c r="Q41" s="134">
        <f t="shared" si="15"/>
        <v>17008133.699999999</v>
      </c>
      <c r="R41" s="134">
        <f t="shared" si="15"/>
        <v>17312780.370000001</v>
      </c>
      <c r="S41" s="134">
        <f t="shared" si="15"/>
        <v>17437063.59</v>
      </c>
      <c r="T41" s="134">
        <f t="shared" si="15"/>
        <v>17221200.920000002</v>
      </c>
      <c r="U41" s="134">
        <f t="shared" ref="U41:Z41" si="16">U59+U101+U142</f>
        <v>17219407.920000002</v>
      </c>
      <c r="V41" s="134">
        <f t="shared" si="16"/>
        <v>16723702.620000001</v>
      </c>
      <c r="W41" s="134">
        <f t="shared" si="16"/>
        <v>16286806.270000001</v>
      </c>
      <c r="X41" s="134">
        <f t="shared" si="16"/>
        <v>16081685.060000001</v>
      </c>
      <c r="Y41" s="134">
        <f t="shared" si="16"/>
        <v>16382153.939999999</v>
      </c>
      <c r="Z41" s="134">
        <f t="shared" si="16"/>
        <v>16008100.600000001</v>
      </c>
      <c r="AA41" s="134">
        <f t="shared" ref="AA41" si="17">AA59+AA101+AA142</f>
        <v>15989873.530000001</v>
      </c>
      <c r="AB41" s="134">
        <f>AB59+AB101+AB142</f>
        <v>13064534.25</v>
      </c>
      <c r="AC41" s="134">
        <f t="shared" ref="AC41:AG41" si="18">AC59+AC101+AC142</f>
        <v>12716000.4</v>
      </c>
      <c r="AD41" s="134">
        <f t="shared" si="18"/>
        <v>12220862.439999999</v>
      </c>
      <c r="AE41" s="134">
        <f t="shared" si="18"/>
        <v>12299509.289999999</v>
      </c>
      <c r="AF41" s="134">
        <f t="shared" si="18"/>
        <v>12390948.4</v>
      </c>
      <c r="AG41" s="134">
        <f t="shared" si="18"/>
        <v>12147727.539999999</v>
      </c>
      <c r="AH41" s="134">
        <f t="shared" ref="AH41:AI41" si="19">AH59+AH101+AH142</f>
        <v>18542573.68</v>
      </c>
      <c r="AI41" s="134">
        <f t="shared" si="19"/>
        <v>18976793.140000004</v>
      </c>
      <c r="AJ41" s="134">
        <f t="shared" ref="AJ41:AK41" si="20">AJ59+AJ101+AJ142</f>
        <v>19133290.130000003</v>
      </c>
      <c r="AK41" s="134">
        <f t="shared" si="20"/>
        <v>19641243.050000001</v>
      </c>
      <c r="AL41" s="134">
        <f t="shared" ref="AL41:AM41" si="21">AL59+AL101+AL142</f>
        <v>20675391.300000001</v>
      </c>
      <c r="AM41" s="134">
        <f t="shared" si="21"/>
        <v>20726663.48</v>
      </c>
      <c r="AN41" s="134">
        <f t="shared" ref="AN41:AX41" si="22">AN59+AN101+AN142</f>
        <v>21166103.179999996</v>
      </c>
      <c r="AO41" s="134">
        <f t="shared" si="22"/>
        <v>21387740.969999999</v>
      </c>
      <c r="AP41" s="134">
        <f t="shared" si="22"/>
        <v>20988632.830000002</v>
      </c>
      <c r="AQ41" s="134">
        <f t="shared" si="22"/>
        <v>20468574.409999996</v>
      </c>
      <c r="AR41" s="134">
        <f t="shared" si="22"/>
        <v>21135491.73</v>
      </c>
      <c r="AS41" s="134">
        <f t="shared" si="22"/>
        <v>21910297.27</v>
      </c>
      <c r="AT41" s="134">
        <f t="shared" si="22"/>
        <v>23965833.990000002</v>
      </c>
      <c r="AU41" s="134">
        <f t="shared" si="22"/>
        <v>24809759.43</v>
      </c>
      <c r="AV41" s="134">
        <f t="shared" si="22"/>
        <v>26292701.890000001</v>
      </c>
      <c r="AW41" s="134">
        <f t="shared" si="22"/>
        <v>27929694.43</v>
      </c>
      <c r="AX41" s="134">
        <f t="shared" si="22"/>
        <v>29829804.759999998</v>
      </c>
      <c r="AY41" s="135"/>
      <c r="AZ41" s="135"/>
      <c r="BA41" s="135"/>
      <c r="BB41" s="135"/>
      <c r="BC41" s="135"/>
      <c r="BD41" s="135"/>
      <c r="BE41" s="135"/>
    </row>
    <row r="42" spans="2:63" x14ac:dyDescent="0.25">
      <c r="B42" s="131"/>
      <c r="C42" s="115" t="s">
        <v>9</v>
      </c>
      <c r="D42" s="134">
        <f t="shared" ref="D42:T42" si="23">D65+D107+D154</f>
        <v>952625.16</v>
      </c>
      <c r="E42" s="134">
        <f t="shared" si="23"/>
        <v>932387.96000000008</v>
      </c>
      <c r="F42" s="134">
        <f t="shared" si="23"/>
        <v>931119.11</v>
      </c>
      <c r="G42" s="134">
        <f t="shared" si="23"/>
        <v>1069863.04</v>
      </c>
      <c r="H42" s="134">
        <f t="shared" si="23"/>
        <v>1655469.76</v>
      </c>
      <c r="I42" s="134">
        <f t="shared" si="23"/>
        <v>2319299.4500000002</v>
      </c>
      <c r="J42" s="134">
        <f t="shared" si="23"/>
        <v>2805629.9200000004</v>
      </c>
      <c r="K42" s="134">
        <f t="shared" si="23"/>
        <v>3174634.3200000003</v>
      </c>
      <c r="L42" s="134">
        <f t="shared" si="23"/>
        <v>4242903.66</v>
      </c>
      <c r="M42" s="134">
        <f t="shared" si="23"/>
        <v>4476609.59</v>
      </c>
      <c r="N42" s="134">
        <f t="shared" si="23"/>
        <v>5017345.34</v>
      </c>
      <c r="O42" s="134">
        <f t="shared" si="23"/>
        <v>5515588.5199999996</v>
      </c>
      <c r="P42" s="134">
        <f t="shared" si="23"/>
        <v>6046285.5999999996</v>
      </c>
      <c r="Q42" s="134">
        <f t="shared" si="23"/>
        <v>6299039.5999999996</v>
      </c>
      <c r="R42" s="134">
        <f t="shared" si="23"/>
        <v>6730983.5599999996</v>
      </c>
      <c r="S42" s="134">
        <f t="shared" si="23"/>
        <v>7226511.6800000006</v>
      </c>
      <c r="T42" s="134">
        <f t="shared" si="23"/>
        <v>7560747.29</v>
      </c>
      <c r="U42" s="134">
        <f t="shared" ref="U42:Z42" si="24">U65+U107+U154</f>
        <v>7747403.8099999996</v>
      </c>
      <c r="V42" s="134">
        <f t="shared" si="24"/>
        <v>7658867.7000000002</v>
      </c>
      <c r="W42" s="134">
        <f t="shared" si="24"/>
        <v>7447687.5800000001</v>
      </c>
      <c r="X42" s="134">
        <f t="shared" si="24"/>
        <v>7251522.5700000003</v>
      </c>
      <c r="Y42" s="134">
        <f t="shared" si="24"/>
        <v>7022749.4399999995</v>
      </c>
      <c r="Z42" s="134">
        <f t="shared" si="24"/>
        <v>6848116.2400000002</v>
      </c>
      <c r="AA42" s="134">
        <f t="shared" ref="AA42" si="25">AA65+AA107+AA154</f>
        <v>6695530.0899999999</v>
      </c>
      <c r="AB42" s="134">
        <f>AB65+AB107+AB154</f>
        <v>6564474.9500000002</v>
      </c>
      <c r="AC42" s="134">
        <f t="shared" ref="AC42:AG42" si="26">AC65+AC107+AC154</f>
        <v>6483538.1799999997</v>
      </c>
      <c r="AD42" s="134">
        <f t="shared" si="26"/>
        <v>6349780.71</v>
      </c>
      <c r="AE42" s="134">
        <f t="shared" si="26"/>
        <v>6341494.5900000008</v>
      </c>
      <c r="AF42" s="134">
        <f t="shared" si="26"/>
        <v>6361098.5800000001</v>
      </c>
      <c r="AG42" s="134">
        <f t="shared" si="26"/>
        <v>6260956.2999999998</v>
      </c>
      <c r="AH42" s="134">
        <f t="shared" ref="AH42:AI42" si="27">AH65+AH107+AH154</f>
        <v>6348837.4899999993</v>
      </c>
      <c r="AI42" s="134">
        <f t="shared" si="27"/>
        <v>6213982</v>
      </c>
      <c r="AJ42" s="134">
        <f t="shared" ref="AJ42:AK42" si="28">AJ65+AJ107+AJ154</f>
        <v>6181203.1800000006</v>
      </c>
      <c r="AK42" s="134">
        <f t="shared" si="28"/>
        <v>6106336.3700000001</v>
      </c>
      <c r="AL42" s="134">
        <f t="shared" ref="AL42:AM42" si="29">AL65+AL107+AL154</f>
        <v>6002221.1800000006</v>
      </c>
      <c r="AM42" s="134">
        <f t="shared" si="29"/>
        <v>5183647.0200000005</v>
      </c>
      <c r="AN42" s="134">
        <f t="shared" ref="AN42:AX42" si="30">AN65+AN107+AN154</f>
        <v>5240277.07</v>
      </c>
      <c r="AO42" s="134">
        <f t="shared" si="30"/>
        <v>5787784.1800000006</v>
      </c>
      <c r="AP42" s="134">
        <f t="shared" si="30"/>
        <v>7327814.4299999997</v>
      </c>
      <c r="AQ42" s="134">
        <f t="shared" si="30"/>
        <v>8869444.8500000015</v>
      </c>
      <c r="AR42" s="134">
        <f t="shared" si="30"/>
        <v>10960566.829999998</v>
      </c>
      <c r="AS42" s="134">
        <f t="shared" si="30"/>
        <v>12167339.050000001</v>
      </c>
      <c r="AT42" s="134">
        <f t="shared" si="30"/>
        <v>12908486.639999999</v>
      </c>
      <c r="AU42" s="134">
        <f t="shared" si="30"/>
        <v>13224433.700000001</v>
      </c>
      <c r="AV42" s="134">
        <f t="shared" si="30"/>
        <v>14416528.68</v>
      </c>
      <c r="AW42" s="134">
        <f t="shared" si="30"/>
        <v>15073147.039999999</v>
      </c>
      <c r="AX42" s="134">
        <f t="shared" si="30"/>
        <v>15825819.060000001</v>
      </c>
      <c r="AY42" s="135"/>
      <c r="AZ42" s="135"/>
      <c r="BA42" s="135"/>
      <c r="BB42" s="135"/>
      <c r="BC42" s="135"/>
      <c r="BD42" s="135"/>
      <c r="BE42" s="135"/>
    </row>
    <row r="43" spans="2:63" x14ac:dyDescent="0.25">
      <c r="B43" s="131"/>
      <c r="C43" s="115" t="s">
        <v>112</v>
      </c>
      <c r="D43" s="134">
        <f t="shared" ref="D43:Z43" si="31">D148</f>
        <v>1</v>
      </c>
      <c r="E43" s="134">
        <f t="shared" si="31"/>
        <v>1</v>
      </c>
      <c r="F43" s="134">
        <f t="shared" si="31"/>
        <v>1</v>
      </c>
      <c r="G43" s="134">
        <f t="shared" si="31"/>
        <v>1</v>
      </c>
      <c r="H43" s="134">
        <f t="shared" si="31"/>
        <v>1</v>
      </c>
      <c r="I43" s="134">
        <f t="shared" si="31"/>
        <v>1</v>
      </c>
      <c r="J43" s="134">
        <f t="shared" si="31"/>
        <v>1</v>
      </c>
      <c r="K43" s="134">
        <f t="shared" si="31"/>
        <v>1</v>
      </c>
      <c r="L43" s="134">
        <f t="shared" si="31"/>
        <v>1</v>
      </c>
      <c r="M43" s="134">
        <f t="shared" si="31"/>
        <v>1</v>
      </c>
      <c r="N43" s="134">
        <f t="shared" si="31"/>
        <v>1</v>
      </c>
      <c r="O43" s="134">
        <f t="shared" si="31"/>
        <v>1</v>
      </c>
      <c r="P43" s="134">
        <f t="shared" si="31"/>
        <v>1</v>
      </c>
      <c r="Q43" s="134">
        <f t="shared" si="31"/>
        <v>1</v>
      </c>
      <c r="R43" s="134">
        <f t="shared" si="31"/>
        <v>1</v>
      </c>
      <c r="S43" s="134">
        <f t="shared" si="31"/>
        <v>1</v>
      </c>
      <c r="T43" s="134">
        <f t="shared" si="31"/>
        <v>1</v>
      </c>
      <c r="U43" s="134">
        <f t="shared" si="31"/>
        <v>1</v>
      </c>
      <c r="V43" s="134">
        <f t="shared" si="31"/>
        <v>1</v>
      </c>
      <c r="W43" s="134">
        <f t="shared" si="31"/>
        <v>1</v>
      </c>
      <c r="X43" s="134">
        <f t="shared" si="31"/>
        <v>1</v>
      </c>
      <c r="Y43" s="134">
        <f t="shared" si="31"/>
        <v>1</v>
      </c>
      <c r="Z43" s="134">
        <f t="shared" si="31"/>
        <v>1</v>
      </c>
      <c r="AA43" s="134">
        <f t="shared" ref="AA43" si="32">AA148</f>
        <v>1</v>
      </c>
      <c r="AB43" s="134">
        <f>AB148</f>
        <v>1</v>
      </c>
      <c r="AC43" s="134">
        <f t="shared" ref="AC43:AG43" si="33">AC148</f>
        <v>0</v>
      </c>
      <c r="AD43" s="134">
        <f t="shared" si="33"/>
        <v>0</v>
      </c>
      <c r="AE43" s="134">
        <f t="shared" si="33"/>
        <v>0</v>
      </c>
      <c r="AF43" s="134">
        <f t="shared" si="33"/>
        <v>0</v>
      </c>
      <c r="AG43" s="134">
        <f t="shared" si="33"/>
        <v>0</v>
      </c>
      <c r="AH43" s="134">
        <f t="shared" ref="AH43:AI43" si="34">AH148</f>
        <v>0</v>
      </c>
      <c r="AI43" s="134">
        <f t="shared" si="34"/>
        <v>0</v>
      </c>
      <c r="AJ43" s="134">
        <f t="shared" ref="AJ43:AK43" si="35">AJ148</f>
        <v>0</v>
      </c>
      <c r="AK43" s="134">
        <f t="shared" si="35"/>
        <v>0</v>
      </c>
      <c r="AL43" s="134">
        <f t="shared" ref="AL43:AM43" si="36">AL148</f>
        <v>0</v>
      </c>
      <c r="AM43" s="134">
        <f t="shared" si="36"/>
        <v>0</v>
      </c>
      <c r="AN43" s="134">
        <f t="shared" ref="AN43:AX43" si="37">AN148</f>
        <v>0</v>
      </c>
      <c r="AO43" s="134">
        <f t="shared" si="37"/>
        <v>0</v>
      </c>
      <c r="AP43" s="134">
        <f t="shared" si="37"/>
        <v>0</v>
      </c>
      <c r="AQ43" s="134">
        <f t="shared" si="37"/>
        <v>0</v>
      </c>
      <c r="AR43" s="134">
        <f t="shared" si="37"/>
        <v>0</v>
      </c>
      <c r="AS43" s="134">
        <f t="shared" si="37"/>
        <v>0</v>
      </c>
      <c r="AT43" s="134">
        <f t="shared" si="37"/>
        <v>0</v>
      </c>
      <c r="AU43" s="134">
        <f t="shared" si="37"/>
        <v>0</v>
      </c>
      <c r="AV43" s="134">
        <f t="shared" si="37"/>
        <v>0</v>
      </c>
      <c r="AW43" s="134">
        <f t="shared" si="37"/>
        <v>0</v>
      </c>
      <c r="AX43" s="134">
        <f t="shared" si="37"/>
        <v>0</v>
      </c>
      <c r="AY43" s="135"/>
      <c r="AZ43" s="135"/>
      <c r="BA43" s="135"/>
      <c r="BB43" s="135"/>
      <c r="BC43" s="135"/>
      <c r="BD43" s="135"/>
      <c r="BE43" s="135"/>
    </row>
    <row r="44" spans="2:63" x14ac:dyDescent="0.25">
      <c r="B44" s="131"/>
      <c r="C44" s="115" t="s">
        <v>113</v>
      </c>
      <c r="D44" s="134">
        <f t="shared" ref="D44:T44" si="38">D71+D113+D160</f>
        <v>0</v>
      </c>
      <c r="E44" s="134">
        <f t="shared" si="38"/>
        <v>0</v>
      </c>
      <c r="F44" s="134">
        <f t="shared" si="38"/>
        <v>0</v>
      </c>
      <c r="G44" s="134">
        <f t="shared" si="38"/>
        <v>0</v>
      </c>
      <c r="H44" s="134">
        <f t="shared" si="38"/>
        <v>0</v>
      </c>
      <c r="I44" s="134">
        <f t="shared" si="38"/>
        <v>0</v>
      </c>
      <c r="J44" s="134">
        <f t="shared" si="38"/>
        <v>13549.05</v>
      </c>
      <c r="K44" s="134">
        <f t="shared" si="38"/>
        <v>13549.05</v>
      </c>
      <c r="L44" s="134">
        <f t="shared" si="38"/>
        <v>13248.62</v>
      </c>
      <c r="M44" s="134">
        <f t="shared" si="38"/>
        <v>13248.62</v>
      </c>
      <c r="N44" s="134">
        <f t="shared" si="38"/>
        <v>13098.32</v>
      </c>
      <c r="O44" s="134">
        <f t="shared" si="38"/>
        <v>12785.89</v>
      </c>
      <c r="P44" s="134">
        <f t="shared" si="38"/>
        <v>12623.84</v>
      </c>
      <c r="Q44" s="134">
        <f t="shared" si="38"/>
        <v>19365.96</v>
      </c>
      <c r="R44" s="134">
        <f t="shared" si="38"/>
        <v>19207.27</v>
      </c>
      <c r="S44" s="134">
        <f t="shared" si="38"/>
        <v>18889.82</v>
      </c>
      <c r="T44" s="134">
        <f t="shared" si="38"/>
        <v>18721.37</v>
      </c>
      <c r="U44" s="134">
        <f t="shared" ref="U44:Z44" si="39">U71+U113+U160</f>
        <v>44485.610000000008</v>
      </c>
      <c r="V44" s="134">
        <f t="shared" si="39"/>
        <v>43869.05</v>
      </c>
      <c r="W44" s="134">
        <f t="shared" si="39"/>
        <v>57534.57</v>
      </c>
      <c r="X44" s="134">
        <f t="shared" si="39"/>
        <v>89937.659999999989</v>
      </c>
      <c r="Y44" s="134">
        <f t="shared" si="39"/>
        <v>124220.15000000001</v>
      </c>
      <c r="Z44" s="134">
        <f t="shared" si="39"/>
        <v>160655.60999999999</v>
      </c>
      <c r="AA44" s="134">
        <f t="shared" ref="AA44" si="40">AA71+AA113+AA160</f>
        <v>200216.24</v>
      </c>
      <c r="AB44" s="134">
        <f>AB71+AB113+AB160</f>
        <v>198221.88000000003</v>
      </c>
      <c r="AC44" s="134">
        <f t="shared" ref="AC44:AG44" si="41">AC71+AC113+AC160</f>
        <v>214099.97000000003</v>
      </c>
      <c r="AD44" s="134">
        <f t="shared" si="41"/>
        <v>212883.76</v>
      </c>
      <c r="AE44" s="134">
        <f t="shared" si="41"/>
        <v>258177.36000000002</v>
      </c>
      <c r="AF44" s="134">
        <f t="shared" si="41"/>
        <v>248110.37</v>
      </c>
      <c r="AG44" s="134">
        <f t="shared" si="41"/>
        <v>267357.26</v>
      </c>
      <c r="AH44" s="134">
        <f t="shared" ref="AH44:AI44" si="42">AH71+AH113+AH160</f>
        <v>274562.25</v>
      </c>
      <c r="AI44" s="134">
        <f t="shared" si="42"/>
        <v>305101.12</v>
      </c>
      <c r="AJ44" s="134">
        <f t="shared" ref="AJ44:AK44" si="43">AJ71+AJ113+AJ160</f>
        <v>267012.35000000003</v>
      </c>
      <c r="AK44" s="134">
        <f t="shared" si="43"/>
        <v>279989.49000000005</v>
      </c>
      <c r="AL44" s="134">
        <f t="shared" ref="AL44:AM44" si="44">AL71+AL113+AL160</f>
        <v>316509.88</v>
      </c>
      <c r="AM44" s="134">
        <f t="shared" si="44"/>
        <v>187033.74000000002</v>
      </c>
      <c r="AN44" s="134">
        <f t="shared" ref="AN44:AX44" si="45">AN71+AN113+AN160</f>
        <v>179884.79</v>
      </c>
      <c r="AO44" s="134">
        <f t="shared" si="45"/>
        <v>173539.13</v>
      </c>
      <c r="AP44" s="134">
        <f t="shared" si="45"/>
        <v>171244.62999999998</v>
      </c>
      <c r="AQ44" s="134">
        <f t="shared" si="45"/>
        <v>191150.33</v>
      </c>
      <c r="AR44" s="134">
        <f t="shared" si="45"/>
        <v>188322.08</v>
      </c>
      <c r="AS44" s="134">
        <f t="shared" si="45"/>
        <v>213657.65</v>
      </c>
      <c r="AT44" s="134">
        <f t="shared" si="45"/>
        <v>209384.29</v>
      </c>
      <c r="AU44" s="134">
        <f t="shared" si="45"/>
        <v>228653.24</v>
      </c>
      <c r="AV44" s="134">
        <f t="shared" si="45"/>
        <v>225502.22</v>
      </c>
      <c r="AW44" s="134">
        <f t="shared" si="45"/>
        <v>213355.03</v>
      </c>
      <c r="AX44" s="134">
        <f t="shared" si="45"/>
        <v>260130</v>
      </c>
      <c r="AY44" s="135"/>
      <c r="AZ44" s="135"/>
      <c r="BA44" s="135"/>
      <c r="BB44" s="135"/>
      <c r="BC44" s="135"/>
      <c r="BD44" s="135"/>
      <c r="BE44" s="135"/>
    </row>
    <row r="45" spans="2:63" x14ac:dyDescent="0.25">
      <c r="B45" s="131"/>
      <c r="C45" s="115" t="s">
        <v>114</v>
      </c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4">
        <f t="shared" ref="U45:AA45" si="46">U77+U119+U165</f>
        <v>0</v>
      </c>
      <c r="V45" s="134">
        <f t="shared" si="46"/>
        <v>0</v>
      </c>
      <c r="W45" s="134">
        <f t="shared" si="46"/>
        <v>30942.94</v>
      </c>
      <c r="X45" s="134">
        <f t="shared" si="46"/>
        <v>56130.02</v>
      </c>
      <c r="Y45" s="134">
        <f t="shared" si="46"/>
        <v>95559.15</v>
      </c>
      <c r="Z45" s="134">
        <f t="shared" si="46"/>
        <v>117323.1</v>
      </c>
      <c r="AA45" s="134">
        <f t="shared" si="46"/>
        <v>117323.09999999999</v>
      </c>
      <c r="AB45" s="134">
        <f>AB77+AB119+AB165</f>
        <v>117962.57</v>
      </c>
      <c r="AC45" s="134">
        <f t="shared" ref="AC45:AG45" si="47">AC77+AC119+AC165</f>
        <v>132664.41</v>
      </c>
      <c r="AD45" s="134">
        <f t="shared" si="47"/>
        <v>106428.81999999999</v>
      </c>
      <c r="AE45" s="134">
        <f t="shared" si="47"/>
        <v>122081.83</v>
      </c>
      <c r="AF45" s="134">
        <f t="shared" si="47"/>
        <v>141905.69</v>
      </c>
      <c r="AG45" s="134">
        <f t="shared" si="47"/>
        <v>140962.99</v>
      </c>
      <c r="AH45" s="134">
        <f t="shared" ref="AH45:AI45" si="48">AH77+AH119+AH165</f>
        <v>139984.44999999998</v>
      </c>
      <c r="AI45" s="134">
        <f t="shared" si="48"/>
        <v>161106.03</v>
      </c>
      <c r="AJ45" s="134">
        <f t="shared" ref="AJ45:AK45" si="49">AJ77+AJ119+AJ165</f>
        <v>186441.81</v>
      </c>
      <c r="AK45" s="134">
        <f t="shared" si="49"/>
        <v>186001.48</v>
      </c>
      <c r="AL45" s="134">
        <f t="shared" ref="AL45:AM45" si="50">AL77+AL119+AL165</f>
        <v>155579.33000000002</v>
      </c>
      <c r="AM45" s="134">
        <f t="shared" si="50"/>
        <v>176971.63</v>
      </c>
      <c r="AN45" s="134">
        <f t="shared" ref="AN45:AX45" si="51">AN77+AN119+AN165</f>
        <v>103756.31999999999</v>
      </c>
      <c r="AO45" s="134">
        <f t="shared" si="51"/>
        <v>103066.34</v>
      </c>
      <c r="AP45" s="134">
        <f t="shared" si="51"/>
        <v>102659.79000000001</v>
      </c>
      <c r="AQ45" s="134">
        <f t="shared" si="51"/>
        <v>100346.79</v>
      </c>
      <c r="AR45" s="134">
        <f t="shared" si="51"/>
        <v>99300.069999999992</v>
      </c>
      <c r="AS45" s="134">
        <f t="shared" si="51"/>
        <v>98422.59</v>
      </c>
      <c r="AT45" s="134">
        <f t="shared" si="51"/>
        <v>97437.430000000008</v>
      </c>
      <c r="AU45" s="134">
        <f t="shared" si="51"/>
        <v>96267.42</v>
      </c>
      <c r="AV45" s="134">
        <f t="shared" si="51"/>
        <v>95253</v>
      </c>
      <c r="AW45" s="134">
        <f t="shared" si="51"/>
        <v>94312.42</v>
      </c>
      <c r="AX45" s="134">
        <f t="shared" si="51"/>
        <v>89773.94</v>
      </c>
      <c r="AY45" s="135"/>
      <c r="AZ45" s="135"/>
      <c r="BA45" s="135"/>
      <c r="BB45" s="135"/>
      <c r="BC45" s="135"/>
      <c r="BD45" s="135"/>
      <c r="BE45" s="135"/>
    </row>
    <row r="46" spans="2:63" x14ac:dyDescent="0.25">
      <c r="B46" s="131"/>
      <c r="C46" s="115" t="s">
        <v>115</v>
      </c>
      <c r="D46" s="134">
        <f t="shared" ref="D46:T46" si="52">D83</f>
        <v>26201.66</v>
      </c>
      <c r="E46" s="134">
        <f t="shared" si="52"/>
        <v>25435.53</v>
      </c>
      <c r="F46" s="134">
        <f t="shared" si="52"/>
        <v>24494.63</v>
      </c>
      <c r="G46" s="134">
        <f t="shared" si="52"/>
        <v>28579.79</v>
      </c>
      <c r="H46" s="134">
        <f t="shared" si="52"/>
        <v>27599.360000000001</v>
      </c>
      <c r="I46" s="134">
        <f t="shared" si="52"/>
        <v>21556.93</v>
      </c>
      <c r="J46" s="134">
        <f t="shared" si="52"/>
        <v>15979.25</v>
      </c>
      <c r="K46" s="134">
        <f t="shared" si="52"/>
        <v>15065.3</v>
      </c>
      <c r="L46" s="134">
        <f t="shared" si="52"/>
        <v>14223.34</v>
      </c>
      <c r="M46" s="134">
        <f t="shared" si="52"/>
        <v>13290.81</v>
      </c>
      <c r="N46" s="134">
        <f t="shared" si="52"/>
        <v>12342.43</v>
      </c>
      <c r="O46" s="134">
        <f t="shared" si="52"/>
        <v>11381.63</v>
      </c>
      <c r="P46" s="134">
        <f t="shared" si="52"/>
        <v>10049.69</v>
      </c>
      <c r="Q46" s="134">
        <f t="shared" si="52"/>
        <v>9166.07</v>
      </c>
      <c r="R46" s="134">
        <f t="shared" si="52"/>
        <v>8247.42</v>
      </c>
      <c r="S46" s="134">
        <f t="shared" si="52"/>
        <v>7231.35</v>
      </c>
      <c r="T46" s="134">
        <f t="shared" si="52"/>
        <v>6856.37</v>
      </c>
      <c r="U46" s="134">
        <f t="shared" ref="U46:AA46" si="53">U83+U125+U169</f>
        <v>6304.02</v>
      </c>
      <c r="V46" s="134">
        <f t="shared" si="53"/>
        <v>5744.16</v>
      </c>
      <c r="W46" s="134">
        <f t="shared" si="53"/>
        <v>20189.48</v>
      </c>
      <c r="X46" s="134">
        <f t="shared" si="53"/>
        <v>96839.78</v>
      </c>
      <c r="Y46" s="134">
        <f t="shared" si="53"/>
        <v>126080.62</v>
      </c>
      <c r="Z46" s="134">
        <f t="shared" si="53"/>
        <v>148107.13999999998</v>
      </c>
      <c r="AA46" s="134">
        <f t="shared" si="53"/>
        <v>163729.76999999999</v>
      </c>
      <c r="AB46" s="134">
        <f>AB83+AB125+AB169</f>
        <v>170670.09999999998</v>
      </c>
      <c r="AC46" s="134">
        <f t="shared" ref="AC46:AG46" si="54">AC83+AC125+AC169</f>
        <v>189781.85</v>
      </c>
      <c r="AD46" s="134">
        <f t="shared" si="54"/>
        <v>181734.71</v>
      </c>
      <c r="AE46" s="134">
        <f t="shared" si="54"/>
        <v>191371.51</v>
      </c>
      <c r="AF46" s="134">
        <f t="shared" si="54"/>
        <v>189390.77000000002</v>
      </c>
      <c r="AG46" s="134">
        <f t="shared" si="54"/>
        <v>186035.63999999998</v>
      </c>
      <c r="AH46" s="134">
        <f t="shared" ref="AH46:AI46" si="55">AH83+AH125+AH169</f>
        <v>184661.94999999998</v>
      </c>
      <c r="AI46" s="134">
        <f t="shared" si="55"/>
        <v>169459.12</v>
      </c>
      <c r="AJ46" s="134">
        <f t="shared" ref="AJ46:AK46" si="56">AJ83+AJ125+AJ169</f>
        <v>203248.22</v>
      </c>
      <c r="AK46" s="134">
        <f t="shared" si="56"/>
        <v>203492.84</v>
      </c>
      <c r="AL46" s="134">
        <f t="shared" ref="AL46:AM46" si="57">AL83+AL125+AL169</f>
        <v>216513.52999999997</v>
      </c>
      <c r="AM46" s="134">
        <f t="shared" si="57"/>
        <v>124713.39</v>
      </c>
      <c r="AN46" s="134">
        <f t="shared" ref="AN46:AX46" si="58">AN83+AN125+AN169</f>
        <v>115604.88</v>
      </c>
      <c r="AO46" s="134">
        <f t="shared" si="58"/>
        <v>113840.68000000001</v>
      </c>
      <c r="AP46" s="134">
        <f t="shared" si="58"/>
        <v>112006.66</v>
      </c>
      <c r="AQ46" s="134">
        <f t="shared" si="58"/>
        <v>109482.1</v>
      </c>
      <c r="AR46" s="134">
        <f t="shared" si="58"/>
        <v>108040.27</v>
      </c>
      <c r="AS46" s="134">
        <f t="shared" si="58"/>
        <v>110361.85</v>
      </c>
      <c r="AT46" s="134">
        <f t="shared" si="58"/>
        <v>116821.23</v>
      </c>
      <c r="AU46" s="134">
        <f t="shared" si="58"/>
        <v>115241.01</v>
      </c>
      <c r="AV46" s="134">
        <f t="shared" si="58"/>
        <v>85597.51</v>
      </c>
      <c r="AW46" s="134">
        <f t="shared" si="58"/>
        <v>83839.200000000012</v>
      </c>
      <c r="AX46" s="134">
        <f t="shared" si="58"/>
        <v>69182.77</v>
      </c>
      <c r="AY46" s="135"/>
      <c r="AZ46" s="135"/>
      <c r="BA46" s="135"/>
      <c r="BB46" s="135"/>
      <c r="BC46" s="135"/>
      <c r="BD46" s="135"/>
      <c r="BE46" s="135"/>
    </row>
    <row r="47" spans="2:63" x14ac:dyDescent="0.25">
      <c r="B47" s="131"/>
      <c r="C47" s="115" t="s">
        <v>116</v>
      </c>
      <c r="D47" s="134">
        <f t="shared" ref="D47:T47" si="59">D131+D174</f>
        <v>8017.83</v>
      </c>
      <c r="E47" s="134">
        <f t="shared" si="59"/>
        <v>7478.27</v>
      </c>
      <c r="F47" s="134">
        <f t="shared" si="59"/>
        <v>7478.27</v>
      </c>
      <c r="G47" s="134">
        <f t="shared" si="59"/>
        <v>7478.27</v>
      </c>
      <c r="H47" s="134">
        <f t="shared" si="59"/>
        <v>7478.27</v>
      </c>
      <c r="I47" s="134">
        <f t="shared" si="59"/>
        <v>7478.2699999999995</v>
      </c>
      <c r="J47" s="134">
        <f t="shared" si="59"/>
        <v>7478.2699999999995</v>
      </c>
      <c r="K47" s="134">
        <f t="shared" si="59"/>
        <v>7478.2699999999995</v>
      </c>
      <c r="L47" s="134">
        <f t="shared" si="59"/>
        <v>7478.27</v>
      </c>
      <c r="M47" s="134">
        <f t="shared" si="59"/>
        <v>7478.27</v>
      </c>
      <c r="N47" s="134">
        <f t="shared" si="59"/>
        <v>7478.27</v>
      </c>
      <c r="O47" s="134">
        <f t="shared" si="59"/>
        <v>7478.27</v>
      </c>
      <c r="P47" s="134">
        <f t="shared" si="59"/>
        <v>7478.2699999999995</v>
      </c>
      <c r="Q47" s="134">
        <f t="shared" si="59"/>
        <v>7478.2699999999995</v>
      </c>
      <c r="R47" s="134">
        <f t="shared" si="59"/>
        <v>7436.58</v>
      </c>
      <c r="S47" s="134">
        <f t="shared" si="59"/>
        <v>7236.58</v>
      </c>
      <c r="T47" s="134">
        <f t="shared" si="59"/>
        <v>6438.2900000000009</v>
      </c>
      <c r="U47" s="134">
        <f t="shared" ref="U47:AA47" si="60">U89+U131+U174</f>
        <v>4438.29</v>
      </c>
      <c r="V47" s="134">
        <f t="shared" si="60"/>
        <v>3538.29</v>
      </c>
      <c r="W47" s="134">
        <f t="shared" si="60"/>
        <v>2828.6</v>
      </c>
      <c r="X47" s="134">
        <f t="shared" si="60"/>
        <v>15200.52</v>
      </c>
      <c r="Y47" s="134">
        <f t="shared" si="60"/>
        <v>35282.42</v>
      </c>
      <c r="Z47" s="134">
        <f t="shared" si="60"/>
        <v>35131.78</v>
      </c>
      <c r="AA47" s="134">
        <f t="shared" si="60"/>
        <v>51875.01</v>
      </c>
      <c r="AB47" s="134">
        <f>AB89+AB131+AB174</f>
        <v>109551.42</v>
      </c>
      <c r="AC47" s="134">
        <f t="shared" ref="AC47:AG47" si="61">AC89+AC131+AC174</f>
        <v>144481.53999999998</v>
      </c>
      <c r="AD47" s="134">
        <f t="shared" si="61"/>
        <v>154908.31</v>
      </c>
      <c r="AE47" s="134">
        <f t="shared" si="61"/>
        <v>153309.94</v>
      </c>
      <c r="AF47" s="134">
        <f t="shared" si="61"/>
        <v>152050.67000000001</v>
      </c>
      <c r="AG47" s="134">
        <f t="shared" si="61"/>
        <v>149999.93</v>
      </c>
      <c r="AH47" s="134">
        <f t="shared" ref="AH47:AI47" si="62">AH89+AH131+AH174</f>
        <v>149473.01999999999</v>
      </c>
      <c r="AI47" s="134">
        <f t="shared" si="62"/>
        <v>148422.78</v>
      </c>
      <c r="AJ47" s="134">
        <f t="shared" ref="AJ47:AK47" si="63">AJ89+AJ131+AJ174</f>
        <v>192083.75</v>
      </c>
      <c r="AK47" s="134">
        <f t="shared" si="63"/>
        <v>183109.59</v>
      </c>
      <c r="AL47" s="134">
        <f t="shared" ref="AL47:AM47" si="64">AL89+AL131+AL174</f>
        <v>229141.27</v>
      </c>
      <c r="AM47" s="134">
        <f t="shared" si="64"/>
        <v>152213.12</v>
      </c>
      <c r="AN47" s="134">
        <f t="shared" ref="AN47:AX47" si="65">AN89+AN131+AN174</f>
        <v>152001.23000000001</v>
      </c>
      <c r="AO47" s="134">
        <f t="shared" si="65"/>
        <v>151423.51999999999</v>
      </c>
      <c r="AP47" s="134">
        <f t="shared" si="65"/>
        <v>149093.62</v>
      </c>
      <c r="AQ47" s="134">
        <f t="shared" si="65"/>
        <v>122884.23999999999</v>
      </c>
      <c r="AR47" s="134">
        <f t="shared" si="65"/>
        <v>81022.12000000001</v>
      </c>
      <c r="AS47" s="134">
        <f t="shared" si="65"/>
        <v>68912.97</v>
      </c>
      <c r="AT47" s="134">
        <f t="shared" si="65"/>
        <v>68361.100000000006</v>
      </c>
      <c r="AU47" s="134">
        <f t="shared" si="65"/>
        <v>67796.200000000012</v>
      </c>
      <c r="AV47" s="134">
        <f t="shared" si="65"/>
        <v>58485.15</v>
      </c>
      <c r="AW47" s="134">
        <f t="shared" si="65"/>
        <v>50762.020000000004</v>
      </c>
      <c r="AX47" s="134">
        <f t="shared" si="65"/>
        <v>24197.46</v>
      </c>
      <c r="AY47" s="135"/>
      <c r="AZ47" s="135"/>
      <c r="BA47" s="135"/>
      <c r="BB47" s="135"/>
      <c r="BC47" s="135"/>
      <c r="BD47" s="135"/>
      <c r="BE47" s="135"/>
    </row>
    <row r="48" spans="2:63" x14ac:dyDescent="0.25">
      <c r="B48" s="131"/>
      <c r="C48" s="115" t="s">
        <v>117</v>
      </c>
      <c r="D48" s="134">
        <f t="shared" ref="D48:T48" si="66">D179+D182+D184</f>
        <v>161393.28</v>
      </c>
      <c r="E48" s="134">
        <f t="shared" si="66"/>
        <v>146507.76999999999</v>
      </c>
      <c r="F48" s="134">
        <f t="shared" si="66"/>
        <v>143355.82999999999</v>
      </c>
      <c r="G48" s="134">
        <f t="shared" si="66"/>
        <v>112774.68</v>
      </c>
      <c r="H48" s="134">
        <f t="shared" si="66"/>
        <v>102745.86</v>
      </c>
      <c r="I48" s="134">
        <f t="shared" si="66"/>
        <v>89869.48</v>
      </c>
      <c r="J48" s="134">
        <f t="shared" si="66"/>
        <v>80275.209999999992</v>
      </c>
      <c r="K48" s="134">
        <f t="shared" si="66"/>
        <v>69832.11</v>
      </c>
      <c r="L48" s="134">
        <f t="shared" si="66"/>
        <v>68477.359999999986</v>
      </c>
      <c r="M48" s="134">
        <f t="shared" si="66"/>
        <v>49287.200000000004</v>
      </c>
      <c r="N48" s="134">
        <f t="shared" si="66"/>
        <v>48244.6</v>
      </c>
      <c r="O48" s="134">
        <f t="shared" si="66"/>
        <v>47205.810000000005</v>
      </c>
      <c r="P48" s="134">
        <f t="shared" si="66"/>
        <v>40716.68</v>
      </c>
      <c r="Q48" s="134">
        <f t="shared" si="66"/>
        <v>39926.21</v>
      </c>
      <c r="R48" s="134">
        <f t="shared" si="66"/>
        <v>39124.810000000005</v>
      </c>
      <c r="S48" s="134">
        <f t="shared" si="66"/>
        <v>38268.980000000003</v>
      </c>
      <c r="T48" s="134">
        <f t="shared" si="66"/>
        <v>37725.43</v>
      </c>
      <c r="U48" s="134">
        <f t="shared" ref="U48:Z48" si="67">U179+U182+U184</f>
        <v>36595.24</v>
      </c>
      <c r="V48" s="134">
        <f t="shared" si="67"/>
        <v>35896.219999999994</v>
      </c>
      <c r="W48" s="134">
        <f t="shared" si="67"/>
        <v>34734.54</v>
      </c>
      <c r="X48" s="134">
        <f t="shared" si="67"/>
        <v>34004.39</v>
      </c>
      <c r="Y48" s="134">
        <f t="shared" si="67"/>
        <v>33340.450000000004</v>
      </c>
      <c r="Z48" s="134">
        <f t="shared" si="67"/>
        <v>31213.8</v>
      </c>
      <c r="AA48" s="134">
        <f t="shared" ref="AA48" si="68">AA179+AA182+AA184</f>
        <v>30614.350000000002</v>
      </c>
      <c r="AB48" s="134">
        <f>AB179+AB182+AB184</f>
        <v>29844.43</v>
      </c>
      <c r="AC48" s="134">
        <f t="shared" ref="AC48:AG48" si="69">AC179+AC182+AC184</f>
        <v>28710.010000000002</v>
      </c>
      <c r="AD48" s="134">
        <f t="shared" si="69"/>
        <v>27864.43</v>
      </c>
      <c r="AE48" s="134">
        <f t="shared" si="69"/>
        <v>27373.119999999995</v>
      </c>
      <c r="AF48" s="134">
        <f t="shared" si="69"/>
        <v>26048.75</v>
      </c>
      <c r="AG48" s="134">
        <f t="shared" si="69"/>
        <v>25551.34</v>
      </c>
      <c r="AH48" s="134">
        <f t="shared" ref="AH48:AI48" si="70">AH179+AH182+AH184</f>
        <v>24722.350000000002</v>
      </c>
      <c r="AI48" s="134">
        <f t="shared" si="70"/>
        <v>23877.57</v>
      </c>
      <c r="AJ48" s="134">
        <f t="shared" ref="AJ48:AK48" si="71">AJ179+AJ182+AJ184</f>
        <v>22985.58</v>
      </c>
      <c r="AK48" s="134">
        <f t="shared" si="71"/>
        <v>21824.440000000002</v>
      </c>
      <c r="AL48" s="134">
        <f t="shared" ref="AL48:AM48" si="72">AL179+AL182+AL184</f>
        <v>20588.07</v>
      </c>
      <c r="AM48" s="134">
        <f t="shared" si="72"/>
        <v>13554.21</v>
      </c>
      <c r="AN48" s="134">
        <f t="shared" ref="AN48:AX48" si="73">AN179+AN182+AN184</f>
        <v>139832.85</v>
      </c>
      <c r="AO48" s="134">
        <f t="shared" si="73"/>
        <v>159712.29</v>
      </c>
      <c r="AP48" s="134">
        <f t="shared" si="73"/>
        <v>156589.47</v>
      </c>
      <c r="AQ48" s="134">
        <f t="shared" si="73"/>
        <v>140423.82</v>
      </c>
      <c r="AR48" s="134">
        <f t="shared" si="73"/>
        <v>137913.59</v>
      </c>
      <c r="AS48" s="134">
        <f t="shared" si="73"/>
        <v>134762.99000000002</v>
      </c>
      <c r="AT48" s="134">
        <f t="shared" si="73"/>
        <v>132104.87</v>
      </c>
      <c r="AU48" s="134">
        <f t="shared" si="73"/>
        <v>129109.19</v>
      </c>
      <c r="AV48" s="134">
        <f t="shared" si="73"/>
        <v>126380.63</v>
      </c>
      <c r="AW48" s="134">
        <f t="shared" si="73"/>
        <v>119199.63999999998</v>
      </c>
      <c r="AX48" s="134">
        <f t="shared" si="73"/>
        <v>115962.57</v>
      </c>
      <c r="AY48" s="135"/>
      <c r="AZ48" s="135"/>
      <c r="BA48" s="135"/>
      <c r="BB48" s="135"/>
      <c r="BC48" s="135"/>
      <c r="BD48" s="135"/>
      <c r="BE48" s="135"/>
    </row>
    <row r="49" spans="2:63" x14ac:dyDescent="0.25">
      <c r="B49" s="131"/>
      <c r="C49" s="115" t="s">
        <v>118</v>
      </c>
      <c r="D49" s="134">
        <f t="shared" ref="D49:Z49" si="74">D186+D189+D192</f>
        <v>474975.87000000005</v>
      </c>
      <c r="E49" s="134">
        <f t="shared" si="74"/>
        <v>469538.17</v>
      </c>
      <c r="F49" s="134">
        <f t="shared" si="74"/>
        <v>435389.88</v>
      </c>
      <c r="G49" s="134">
        <f t="shared" si="74"/>
        <v>419451.88</v>
      </c>
      <c r="H49" s="134">
        <f t="shared" si="74"/>
        <v>414161.7</v>
      </c>
      <c r="I49" s="134">
        <f t="shared" si="74"/>
        <v>401675.84</v>
      </c>
      <c r="J49" s="134">
        <f t="shared" si="74"/>
        <v>381499.08</v>
      </c>
      <c r="K49" s="134">
        <f t="shared" si="74"/>
        <v>377215.65</v>
      </c>
      <c r="L49" s="134">
        <f t="shared" si="74"/>
        <v>372616.98000000004</v>
      </c>
      <c r="M49" s="134">
        <f t="shared" si="74"/>
        <v>364470.19</v>
      </c>
      <c r="N49" s="134">
        <f t="shared" si="74"/>
        <v>359750.42</v>
      </c>
      <c r="O49" s="134">
        <f t="shared" si="74"/>
        <v>355100.95</v>
      </c>
      <c r="P49" s="134">
        <f t="shared" si="74"/>
        <v>350812.91000000003</v>
      </c>
      <c r="Q49" s="134">
        <f t="shared" si="74"/>
        <v>346393.86</v>
      </c>
      <c r="R49" s="134">
        <f t="shared" si="74"/>
        <v>341693.07</v>
      </c>
      <c r="S49" s="134">
        <f t="shared" si="74"/>
        <v>327637.04000000004</v>
      </c>
      <c r="T49" s="134">
        <f t="shared" si="74"/>
        <v>322737.73</v>
      </c>
      <c r="U49" s="134">
        <f t="shared" si="74"/>
        <v>306596.56</v>
      </c>
      <c r="V49" s="134">
        <f t="shared" si="74"/>
        <v>301484.78999999998</v>
      </c>
      <c r="W49" s="134">
        <f t="shared" si="74"/>
        <v>297822.98</v>
      </c>
      <c r="X49" s="134">
        <f t="shared" si="74"/>
        <v>294116.11</v>
      </c>
      <c r="Y49" s="134">
        <f t="shared" si="74"/>
        <v>289363.43</v>
      </c>
      <c r="Z49" s="134">
        <f t="shared" si="74"/>
        <v>265346.53999999998</v>
      </c>
      <c r="AA49" s="134">
        <f t="shared" ref="AA49" si="75">AA186+AA189+AA192</f>
        <v>261352.57</v>
      </c>
      <c r="AB49" s="134">
        <f>AB186+AB189+AB192</f>
        <v>256565.75</v>
      </c>
      <c r="AC49" s="134">
        <f t="shared" ref="AC49:AG49" si="76">AC186+AC189+AC192</f>
        <v>238352.99</v>
      </c>
      <c r="AD49" s="134">
        <f t="shared" si="76"/>
        <v>233224.1</v>
      </c>
      <c r="AE49" s="134">
        <f t="shared" si="76"/>
        <v>230149.68</v>
      </c>
      <c r="AF49" s="134">
        <f t="shared" si="76"/>
        <v>224280.18</v>
      </c>
      <c r="AG49" s="134">
        <f t="shared" si="76"/>
        <v>220226.24</v>
      </c>
      <c r="AH49" s="134">
        <f t="shared" ref="AH49:AI49" si="77">AH186+AH189+AH192</f>
        <v>215594.34</v>
      </c>
      <c r="AI49" s="134">
        <f t="shared" si="77"/>
        <v>210832.5</v>
      </c>
      <c r="AJ49" s="134">
        <f t="shared" ref="AJ49:AK49" si="78">AJ186+AJ189+AJ192</f>
        <v>205818.87000000002</v>
      </c>
      <c r="AK49" s="134">
        <f t="shared" si="78"/>
        <v>202331</v>
      </c>
      <c r="AL49" s="134">
        <f t="shared" ref="AL49:AM49" si="79">AL186+AL189+AL192</f>
        <v>117068.03</v>
      </c>
      <c r="AM49" s="134">
        <f t="shared" si="79"/>
        <v>90591.13</v>
      </c>
      <c r="AN49" s="134">
        <f t="shared" ref="AN49:AX49" si="80">AN186+AN189+AN192</f>
        <v>143880.85999999999</v>
      </c>
      <c r="AO49" s="134">
        <f t="shared" si="80"/>
        <v>140104.35999999999</v>
      </c>
      <c r="AP49" s="134">
        <f t="shared" si="80"/>
        <v>136670.08000000002</v>
      </c>
      <c r="AQ49" s="134">
        <f t="shared" si="80"/>
        <v>130405.43000000001</v>
      </c>
      <c r="AR49" s="134">
        <f t="shared" si="80"/>
        <v>125860.70999999999</v>
      </c>
      <c r="AS49" s="134">
        <f t="shared" si="80"/>
        <v>109476.74</v>
      </c>
      <c r="AT49" s="134">
        <f t="shared" si="80"/>
        <v>105461.79000000001</v>
      </c>
      <c r="AU49" s="134">
        <f t="shared" si="80"/>
        <v>101433.90000000001</v>
      </c>
      <c r="AV49" s="134">
        <f t="shared" si="80"/>
        <v>94276.45</v>
      </c>
      <c r="AW49" s="134">
        <f t="shared" si="80"/>
        <v>90733.36</v>
      </c>
      <c r="AX49" s="134">
        <f t="shared" si="80"/>
        <v>57260.859999999993</v>
      </c>
      <c r="AY49" s="135"/>
      <c r="AZ49" s="135"/>
      <c r="BA49" s="135"/>
      <c r="BB49" s="135"/>
      <c r="BC49" s="135"/>
      <c r="BD49" s="135"/>
      <c r="BE49" s="135"/>
    </row>
    <row r="50" spans="2:63" x14ac:dyDescent="0.25">
      <c r="B50" s="131"/>
      <c r="C50" s="115" t="s">
        <v>119</v>
      </c>
      <c r="D50" s="134">
        <f t="shared" ref="D50:Z50" si="81">D195</f>
        <v>-1586222.16</v>
      </c>
      <c r="E50" s="134">
        <f t="shared" si="81"/>
        <v>-1542477.13</v>
      </c>
      <c r="F50" s="134">
        <f t="shared" si="81"/>
        <v>-1438820.79</v>
      </c>
      <c r="G50" s="134">
        <f t="shared" si="81"/>
        <v>-1441483.14</v>
      </c>
      <c r="H50" s="134">
        <f t="shared" si="81"/>
        <v>-1477061.94</v>
      </c>
      <c r="I50" s="134">
        <f t="shared" si="81"/>
        <v>-1508473.9</v>
      </c>
      <c r="J50" s="134">
        <f t="shared" si="81"/>
        <v>-1531622.88</v>
      </c>
      <c r="K50" s="134">
        <f t="shared" si="81"/>
        <v>-1523097.73</v>
      </c>
      <c r="L50" s="134">
        <f t="shared" si="81"/>
        <v>-1541852.13</v>
      </c>
      <c r="M50" s="134">
        <f t="shared" si="81"/>
        <v>-1577535.55</v>
      </c>
      <c r="N50" s="134">
        <f t="shared" si="81"/>
        <v>-1636694.49</v>
      </c>
      <c r="O50" s="134">
        <f t="shared" si="81"/>
        <v>-1713944.23</v>
      </c>
      <c r="P50" s="134">
        <f t="shared" si="81"/>
        <v>-1615254.54</v>
      </c>
      <c r="Q50" s="134">
        <f t="shared" si="81"/>
        <v>-1614105.44</v>
      </c>
      <c r="R50" s="134">
        <f t="shared" si="81"/>
        <v>-1610345.07</v>
      </c>
      <c r="S50" s="134">
        <f t="shared" si="81"/>
        <v>-1638012.41</v>
      </c>
      <c r="T50" s="134">
        <f t="shared" si="81"/>
        <v>-1672236.32</v>
      </c>
      <c r="U50" s="134">
        <f t="shared" si="81"/>
        <v>-1809112.76</v>
      </c>
      <c r="V50" s="134">
        <f t="shared" si="81"/>
        <v>-1902226.81</v>
      </c>
      <c r="W50" s="134">
        <f t="shared" si="81"/>
        <v>-1976006.1</v>
      </c>
      <c r="X50" s="134">
        <f t="shared" si="81"/>
        <v>-1986495.49</v>
      </c>
      <c r="Y50" s="134">
        <f t="shared" si="81"/>
        <v>-2052751.74</v>
      </c>
      <c r="Z50" s="134">
        <f t="shared" si="81"/>
        <v>-2262239.86</v>
      </c>
      <c r="AA50" s="134">
        <f t="shared" ref="AA50" si="82">AA195</f>
        <v>-2043119.74</v>
      </c>
      <c r="AB50" s="134">
        <f>AB195</f>
        <v>-2069645.61</v>
      </c>
      <c r="AC50" s="134">
        <f t="shared" ref="AC50:AG50" si="83">AC195</f>
        <v>-2099214.25</v>
      </c>
      <c r="AD50" s="134">
        <f t="shared" si="83"/>
        <v>-2220187.35</v>
      </c>
      <c r="AE50" s="134">
        <f t="shared" si="83"/>
        <v>-2150718.7000000002</v>
      </c>
      <c r="AF50" s="134">
        <f t="shared" si="83"/>
        <v>-2170112.2200000002</v>
      </c>
      <c r="AG50" s="134">
        <f t="shared" si="83"/>
        <v>-2205265.2999999998</v>
      </c>
      <c r="AH50" s="134">
        <f t="shared" ref="AH50:AI50" si="84">AH195</f>
        <v>-2374516.27</v>
      </c>
      <c r="AI50" s="134">
        <f t="shared" si="84"/>
        <v>-2260724.09</v>
      </c>
      <c r="AJ50" s="134">
        <f t="shared" ref="AJ50:AK50" si="85">AJ195</f>
        <v>-2536290.92</v>
      </c>
      <c r="AK50" s="134">
        <f t="shared" si="85"/>
        <v>-2809027.88</v>
      </c>
      <c r="AL50" s="134">
        <f t="shared" ref="AL50:AM50" si="86">AL195</f>
        <v>-3015068.51</v>
      </c>
      <c r="AM50" s="134">
        <f t="shared" si="86"/>
        <v>-2994200.53</v>
      </c>
      <c r="AN50" s="134">
        <f t="shared" ref="AN50:AX50" si="87">AN195</f>
        <v>-2710231.16</v>
      </c>
      <c r="AO50" s="134">
        <f t="shared" si="87"/>
        <v>-2606859.4900000002</v>
      </c>
      <c r="AP50" s="134">
        <f t="shared" si="87"/>
        <v>-2604526.69</v>
      </c>
      <c r="AQ50" s="134">
        <f t="shared" si="87"/>
        <v>-2563097.0299999998</v>
      </c>
      <c r="AR50" s="134">
        <f t="shared" si="87"/>
        <v>-2515936.63</v>
      </c>
      <c r="AS50" s="134">
        <f t="shared" si="87"/>
        <v>-2562615.0499999998</v>
      </c>
      <c r="AT50" s="134">
        <f t="shared" si="87"/>
        <v>-2577376.66</v>
      </c>
      <c r="AU50" s="134">
        <f t="shared" si="87"/>
        <v>-2652446.65</v>
      </c>
      <c r="AV50" s="134">
        <f t="shared" si="87"/>
        <v>-2693930.34</v>
      </c>
      <c r="AW50" s="134">
        <f t="shared" si="87"/>
        <v>-2735065.78</v>
      </c>
      <c r="AX50" s="134">
        <f t="shared" si="87"/>
        <v>-1090856.57</v>
      </c>
      <c r="AY50" s="135"/>
      <c r="AZ50" s="135"/>
      <c r="BA50" s="135"/>
      <c r="BB50" s="135"/>
      <c r="BC50" s="135"/>
      <c r="BD50" s="135"/>
      <c r="BE50" s="135"/>
    </row>
    <row r="51" spans="2:63" x14ac:dyDescent="0.25">
      <c r="B51" s="131"/>
      <c r="C51" s="115" t="s">
        <v>120</v>
      </c>
      <c r="D51" s="137">
        <f t="shared" ref="D51:T51" si="88">D53+D59+D65+D71+D83+D179+D186</f>
        <v>17581864.379999999</v>
      </c>
      <c r="E51" s="137">
        <f t="shared" si="88"/>
        <v>18111821.060000002</v>
      </c>
      <c r="F51" s="137">
        <f t="shared" si="88"/>
        <v>19126793.519999996</v>
      </c>
      <c r="G51" s="137">
        <f t="shared" si="88"/>
        <v>20639650.130000003</v>
      </c>
      <c r="H51" s="137">
        <f t="shared" si="88"/>
        <v>21050694.529999997</v>
      </c>
      <c r="I51" s="137">
        <f t="shared" si="88"/>
        <v>22155023.320000004</v>
      </c>
      <c r="J51" s="137">
        <f t="shared" si="88"/>
        <v>22572123.079999998</v>
      </c>
      <c r="K51" s="137">
        <f t="shared" si="88"/>
        <v>22900171.800000001</v>
      </c>
      <c r="L51" s="137">
        <f t="shared" si="88"/>
        <v>22936767.32</v>
      </c>
      <c r="M51" s="137">
        <f t="shared" si="88"/>
        <v>22628960.110000003</v>
      </c>
      <c r="N51" s="137">
        <f t="shared" si="88"/>
        <v>22906651.209999997</v>
      </c>
      <c r="O51" s="137">
        <f t="shared" si="88"/>
        <v>23337822.960000001</v>
      </c>
      <c r="P51" s="137">
        <f t="shared" si="88"/>
        <v>24150369.069999997</v>
      </c>
      <c r="Q51" s="137">
        <f t="shared" si="88"/>
        <v>22833546.489999998</v>
      </c>
      <c r="R51" s="137">
        <f t="shared" si="88"/>
        <v>23612209.700000003</v>
      </c>
      <c r="S51" s="137">
        <f t="shared" si="88"/>
        <v>24251601.940000001</v>
      </c>
      <c r="T51" s="137">
        <f t="shared" si="88"/>
        <v>24141085.529999997</v>
      </c>
      <c r="U51" s="137">
        <f t="shared" ref="U51:AA51" si="89">U53+U59+U65+U71+U83+U179+U186+U77+U89</f>
        <v>24208872.57</v>
      </c>
      <c r="V51" s="137">
        <f t="shared" si="89"/>
        <v>23407312.000000004</v>
      </c>
      <c r="W51" s="137">
        <f t="shared" si="89"/>
        <v>22413044.110000003</v>
      </c>
      <c r="X51" s="137">
        <f t="shared" si="89"/>
        <v>22474106.560000002</v>
      </c>
      <c r="Y51" s="137">
        <f t="shared" si="89"/>
        <v>22432999.189999994</v>
      </c>
      <c r="Z51" s="137">
        <f t="shared" si="89"/>
        <v>19662511.109999999</v>
      </c>
      <c r="AA51" s="137">
        <f t="shared" si="89"/>
        <v>21279535.18</v>
      </c>
      <c r="AB51" s="137">
        <f>AB53+AB59+AB65+AB71+AB83+AB179+AB186+AB77+AB89</f>
        <v>18221027.850000001</v>
      </c>
      <c r="AC51" s="137">
        <f t="shared" ref="AC51:AG51" si="90">AC53+AC59+AC65+AC71+AC83+AC179+AC186+AC77+AC89</f>
        <v>17698397.980000004</v>
      </c>
      <c r="AD51" s="137">
        <f t="shared" si="90"/>
        <v>16888112.969999999</v>
      </c>
      <c r="AE51" s="137">
        <f t="shared" si="90"/>
        <v>16823528.470000003</v>
      </c>
      <c r="AF51" s="137">
        <f t="shared" si="90"/>
        <v>17710786.849999998</v>
      </c>
      <c r="AG51" s="137">
        <f t="shared" si="90"/>
        <v>16900408.760000002</v>
      </c>
      <c r="AH51" s="137">
        <f t="shared" ref="AH51:AI51" si="91">AH53+AH59+AH65+AH71+AH83+AH179+AH186+AH77+AH89</f>
        <v>23283892.510000002</v>
      </c>
      <c r="AI51" s="137">
        <f t="shared" si="91"/>
        <v>23552235.529999997</v>
      </c>
      <c r="AJ51" s="137">
        <f t="shared" ref="AJ51:AK51" si="92">AJ53+AJ59+AJ65+AJ71+AJ83+AJ179+AJ186+AJ77+AJ89</f>
        <v>23125170.030000001</v>
      </c>
      <c r="AK51" s="137">
        <f t="shared" si="92"/>
        <v>23661740.130000003</v>
      </c>
      <c r="AL51" s="137">
        <f t="shared" ref="AL51:AM51" si="93">AL53+AL59+AL65+AL71+AL83+AL179+AL186+AL77+AL89</f>
        <v>24403664.800000001</v>
      </c>
      <c r="AM51" s="137">
        <f t="shared" si="93"/>
        <v>26034317.890000004</v>
      </c>
      <c r="AN51" s="137">
        <f t="shared" ref="AN51:AX51" si="94">AN53+AN59+AN65+AN71+AN83+AN179+AN186+AN77+AN89</f>
        <v>27092679.559999999</v>
      </c>
      <c r="AO51" s="137">
        <f t="shared" si="94"/>
        <v>28009529.269999996</v>
      </c>
      <c r="AP51" s="137">
        <f t="shared" si="94"/>
        <v>29033638.75</v>
      </c>
      <c r="AQ51" s="137">
        <f t="shared" si="94"/>
        <v>30023309.289999995</v>
      </c>
      <c r="AR51" s="137">
        <f t="shared" si="94"/>
        <v>32838143.309999999</v>
      </c>
      <c r="AS51" s="137">
        <f t="shared" si="94"/>
        <v>34981869.720000006</v>
      </c>
      <c r="AT51" s="137">
        <f t="shared" si="94"/>
        <v>37719188.880000003</v>
      </c>
      <c r="AU51" s="137">
        <f t="shared" si="94"/>
        <v>38783322.11999999</v>
      </c>
      <c r="AV51" s="137">
        <f t="shared" si="94"/>
        <v>41391638.240000002</v>
      </c>
      <c r="AW51" s="137">
        <f t="shared" si="94"/>
        <v>43694347.679999992</v>
      </c>
      <c r="AX51" s="137">
        <f t="shared" si="94"/>
        <v>46080174.839999996</v>
      </c>
      <c r="AY51" s="138"/>
      <c r="AZ51" s="138"/>
      <c r="BA51" s="138"/>
      <c r="BB51" s="138"/>
      <c r="BC51" s="138"/>
      <c r="BD51" s="138"/>
      <c r="BE51" s="138"/>
    </row>
    <row r="52" spans="2:63" x14ac:dyDescent="0.25">
      <c r="B52" s="131"/>
      <c r="C52" s="115" t="s">
        <v>121</v>
      </c>
      <c r="D52" s="139">
        <f t="shared" ref="D52:T52" si="95">D95+D101+D107+D113+D131+D137+D142+D148+D154+D160+D174+D182+D184+D189+D192</f>
        <v>945415.17999999993</v>
      </c>
      <c r="E52" s="139">
        <f t="shared" si="95"/>
        <v>896575.10000000009</v>
      </c>
      <c r="F52" s="139">
        <f t="shared" si="95"/>
        <v>707348.39</v>
      </c>
      <c r="G52" s="139">
        <f t="shared" si="95"/>
        <v>656763.72000000009</v>
      </c>
      <c r="H52" s="139">
        <f t="shared" si="95"/>
        <v>764573.22999999986</v>
      </c>
      <c r="I52" s="139">
        <f t="shared" si="95"/>
        <v>744219.6399999999</v>
      </c>
      <c r="J52" s="139">
        <f t="shared" si="95"/>
        <v>803396.16000000015</v>
      </c>
      <c r="K52" s="139">
        <f t="shared" si="95"/>
        <v>871412.15999999992</v>
      </c>
      <c r="L52" s="139">
        <f t="shared" si="95"/>
        <v>1008410.8299999998</v>
      </c>
      <c r="M52" s="139">
        <f t="shared" si="95"/>
        <v>1091355.99</v>
      </c>
      <c r="N52" s="139">
        <f t="shared" si="95"/>
        <v>1213286.45</v>
      </c>
      <c r="O52" s="139">
        <f t="shared" si="95"/>
        <v>1288138.7200000002</v>
      </c>
      <c r="P52" s="139">
        <f t="shared" si="95"/>
        <v>1237384.4500000002</v>
      </c>
      <c r="Q52" s="139">
        <f t="shared" si="95"/>
        <v>2050351.3</v>
      </c>
      <c r="R52" s="139">
        <f t="shared" si="95"/>
        <v>2357507.1500000004</v>
      </c>
      <c r="S52" s="139">
        <f t="shared" si="95"/>
        <v>2207942.6799999997</v>
      </c>
      <c r="T52" s="139">
        <f t="shared" si="95"/>
        <v>2281772.9299999997</v>
      </c>
      <c r="U52" s="139">
        <f t="shared" ref="U52:AA52" si="96">U95+U101+U107+U113+U131+U137+U142+U148+U154+U160+U174+U182+U184+U189+U192+U119+U125+U165+U169</f>
        <v>2506903.89</v>
      </c>
      <c r="V52" s="139">
        <f t="shared" si="96"/>
        <v>2618395.38</v>
      </c>
      <c r="W52" s="139">
        <f t="shared" si="96"/>
        <v>2822467.1999999997</v>
      </c>
      <c r="X52" s="139">
        <f t="shared" si="96"/>
        <v>2541798.67</v>
      </c>
      <c r="Y52" s="139">
        <f t="shared" si="96"/>
        <v>2585172.7500000009</v>
      </c>
      <c r="Z52" s="139">
        <f t="shared" si="96"/>
        <v>4765363.18</v>
      </c>
      <c r="AA52" s="139">
        <f t="shared" si="96"/>
        <v>2967022.9800000004</v>
      </c>
      <c r="AB52" s="139">
        <f>AB95+AB101+AB107+AB113+AB131+AB137+AB142+AB148+AB154+AB160+AB174+AB182+AB184+AB189+AB192+AB119+AB125+AB165+AB169</f>
        <v>3028981.78</v>
      </c>
      <c r="AC52" s="139">
        <f t="shared" ref="AC52:AG52" si="97">AC95+AC101+AC107+AC113+AC131+AC137+AC142+AC148+AC154+AC160+AC174+AC182+AC184+AC189+AC192+AC119+AC125+AC165+AC169</f>
        <v>3174782.2099999995</v>
      </c>
      <c r="AD52" s="139">
        <f t="shared" si="97"/>
        <v>3340520.9100000015</v>
      </c>
      <c r="AE52" s="139">
        <f t="shared" si="97"/>
        <v>3692683.6199999996</v>
      </c>
      <c r="AF52" s="139">
        <f t="shared" si="97"/>
        <v>2945430.3200000003</v>
      </c>
      <c r="AG52" s="139">
        <f t="shared" si="97"/>
        <v>3414286.9099999997</v>
      </c>
      <c r="AH52" s="139">
        <f t="shared" ref="AH52:AI52" si="98">AH95+AH101+AH107+AH113+AH131+AH137+AH142+AH148+AH154+AH160+AH174+AH182+AH184+AH189+AH192+AH119+AH125+AH165+AH169</f>
        <v>3409324.6800000006</v>
      </c>
      <c r="AI52" s="139">
        <f t="shared" si="98"/>
        <v>3441448.5</v>
      </c>
      <c r="AJ52" s="139">
        <f t="shared" ref="AJ52:AK52" si="99">AJ95+AJ101+AJ107+AJ113+AJ131+AJ137+AJ142+AJ148+AJ154+AJ160+AJ174+AJ182+AJ184+AJ189+AJ192+AJ119+AJ125+AJ165+AJ169</f>
        <v>4104017.3700000006</v>
      </c>
      <c r="AK52" s="139">
        <f t="shared" si="99"/>
        <v>3994963.4499999997</v>
      </c>
      <c r="AL52" s="139">
        <f t="shared" ref="AL52:AM52" si="100">AL95+AL101+AL107+AL113+AL131+AL137+AL142+AL148+AL154+AL160+AL174+AL182+AL184+AL189+AL192+AL119+AL125+AL165+AL169</f>
        <v>4147478.27</v>
      </c>
      <c r="AM52" s="139">
        <f t="shared" si="100"/>
        <v>1356529.1899999997</v>
      </c>
      <c r="AN52" s="139">
        <f t="shared" ref="AN52:AX52" si="101">AN95+AN101+AN107+AN113+AN131+AN137+AN142+AN148+AN154+AN160+AN174+AN182+AN184+AN189+AN192+AN119+AN125+AN165+AN169</f>
        <v>916809.91999999993</v>
      </c>
      <c r="AO52" s="139">
        <f t="shared" si="101"/>
        <v>762053.44999999984</v>
      </c>
      <c r="AP52" s="139">
        <f t="shared" si="101"/>
        <v>844968.4800000001</v>
      </c>
      <c r="AQ52" s="139">
        <f t="shared" si="101"/>
        <v>848135.67000000016</v>
      </c>
      <c r="AR52" s="139">
        <f t="shared" si="101"/>
        <v>723786.02000000014</v>
      </c>
      <c r="AS52" s="139">
        <f t="shared" si="101"/>
        <v>565423.17000000016</v>
      </c>
      <c r="AT52" s="139">
        <f t="shared" si="101"/>
        <v>655764.44999999995</v>
      </c>
      <c r="AU52" s="139">
        <f t="shared" si="101"/>
        <v>743991.02999999991</v>
      </c>
      <c r="AV52" s="139">
        <f t="shared" si="101"/>
        <v>787875.31</v>
      </c>
      <c r="AW52" s="139">
        <f t="shared" si="101"/>
        <v>719079.41000000015</v>
      </c>
      <c r="AX52" s="139">
        <f t="shared" si="101"/>
        <v>835912.40000000014</v>
      </c>
      <c r="AY52" s="140"/>
      <c r="AZ52" s="140"/>
      <c r="BA52" s="140"/>
      <c r="BB52" s="140"/>
      <c r="BC52" s="140"/>
      <c r="BD52" s="140"/>
      <c r="BE52" s="140"/>
    </row>
    <row r="53" spans="2:63" s="113" customFormat="1" x14ac:dyDescent="0.25">
      <c r="B53" s="114">
        <v>1401</v>
      </c>
      <c r="C53" s="115" t="s">
        <v>122</v>
      </c>
      <c r="D53" s="116">
        <v>635054.41</v>
      </c>
      <c r="E53" s="116">
        <v>584634.67000000004</v>
      </c>
      <c r="F53" s="116">
        <v>916693.12</v>
      </c>
      <c r="G53" s="116">
        <v>1491292.26</v>
      </c>
      <c r="H53" s="116">
        <v>1543121.41</v>
      </c>
      <c r="I53" s="116">
        <v>1836713.27</v>
      </c>
      <c r="J53" s="116">
        <v>1779255.04</v>
      </c>
      <c r="K53" s="116">
        <v>1708782.77</v>
      </c>
      <c r="L53" s="116">
        <v>1979665.9</v>
      </c>
      <c r="M53" s="116">
        <v>1545254.75</v>
      </c>
      <c r="N53" s="116">
        <v>1554192.89</v>
      </c>
      <c r="O53" s="116">
        <v>1628347.2</v>
      </c>
      <c r="P53" s="116">
        <v>1734072.31</v>
      </c>
      <c r="Q53" s="116">
        <v>1080190.79</v>
      </c>
      <c r="R53" s="116">
        <v>1436040.44</v>
      </c>
      <c r="S53" s="116">
        <v>1322502.25</v>
      </c>
      <c r="T53" s="116">
        <v>1174227.73</v>
      </c>
      <c r="U53" s="116">
        <v>1276341.68</v>
      </c>
      <c r="V53" s="116">
        <v>1178401.22</v>
      </c>
      <c r="W53" s="116">
        <v>982762.02</v>
      </c>
      <c r="X53" s="116">
        <v>1021419.27</v>
      </c>
      <c r="Y53" s="116">
        <v>835220.01</v>
      </c>
      <c r="Z53" s="116">
        <v>714034.35</v>
      </c>
      <c r="AA53" s="116">
        <v>661841.17000000004</v>
      </c>
      <c r="AB53" s="116">
        <v>639271.61</v>
      </c>
      <c r="AC53" s="124">
        <v>627114.89</v>
      </c>
      <c r="AD53" s="124">
        <v>666746.27</v>
      </c>
      <c r="AE53" s="124">
        <v>795258.68</v>
      </c>
      <c r="AF53" s="124">
        <v>783862.58</v>
      </c>
      <c r="AG53" s="124">
        <v>807364.88</v>
      </c>
      <c r="AH53" s="124">
        <v>726963.57</v>
      </c>
      <c r="AI53" s="124">
        <v>677485.24</v>
      </c>
      <c r="AJ53" s="124">
        <v>720768.96</v>
      </c>
      <c r="AK53" s="124">
        <v>737369.17</v>
      </c>
      <c r="AL53" s="124">
        <v>723611.95</v>
      </c>
      <c r="AM53" s="124">
        <v>735372.36</v>
      </c>
      <c r="AN53" s="124">
        <v>768061.3</v>
      </c>
      <c r="AO53" s="125">
        <v>685119.83</v>
      </c>
      <c r="AP53" s="125">
        <v>733823.72</v>
      </c>
      <c r="AQ53" s="125">
        <v>728836.98</v>
      </c>
      <c r="AR53" s="125">
        <v>725339.93</v>
      </c>
      <c r="AS53" s="125">
        <v>733989.78</v>
      </c>
      <c r="AT53" s="125">
        <v>770989.99</v>
      </c>
      <c r="AU53" s="125">
        <v>754548.06</v>
      </c>
      <c r="AV53" s="125">
        <v>775381.5</v>
      </c>
      <c r="AW53" s="125">
        <v>758312.95</v>
      </c>
      <c r="AX53" s="125">
        <v>643884.81999999995</v>
      </c>
      <c r="AY53" s="126"/>
      <c r="AZ53" s="126"/>
      <c r="BA53" s="126"/>
      <c r="BB53" s="126"/>
      <c r="BC53" s="126"/>
      <c r="BD53" s="126"/>
      <c r="BE53" s="126"/>
      <c r="BF53" s="127">
        <v>1401</v>
      </c>
      <c r="BG53" s="97" t="s">
        <v>122</v>
      </c>
      <c r="BH53" s="127">
        <v>726963.57</v>
      </c>
      <c r="BI53" s="127">
        <v>1401</v>
      </c>
      <c r="BJ53" s="97" t="s">
        <v>122</v>
      </c>
      <c r="BK53" s="127">
        <v>677485.24</v>
      </c>
    </row>
    <row r="54" spans="2:63" x14ac:dyDescent="0.25">
      <c r="B54" s="121">
        <v>140105</v>
      </c>
      <c r="C54" s="122" t="s">
        <v>97</v>
      </c>
      <c r="D54" s="123">
        <v>191155.55</v>
      </c>
      <c r="E54" s="123">
        <v>30531.8</v>
      </c>
      <c r="F54" s="123">
        <v>41731.82</v>
      </c>
      <c r="G54" s="123">
        <v>130523.01</v>
      </c>
      <c r="H54" s="123">
        <v>133328.45000000001</v>
      </c>
      <c r="I54" s="123">
        <v>87326.54</v>
      </c>
      <c r="J54" s="123">
        <v>141988.15</v>
      </c>
      <c r="K54" s="123">
        <v>297143.08</v>
      </c>
      <c r="L54" s="123">
        <v>653356.01</v>
      </c>
      <c r="M54" s="123">
        <v>689772.78</v>
      </c>
      <c r="N54" s="123">
        <v>374921.87</v>
      </c>
      <c r="O54" s="123">
        <v>73928.350000000006</v>
      </c>
      <c r="P54" s="123">
        <v>692142.45</v>
      </c>
      <c r="Q54" s="123">
        <v>22709.81</v>
      </c>
      <c r="R54" s="123">
        <v>94667.02</v>
      </c>
      <c r="S54" s="123">
        <v>148960.9</v>
      </c>
      <c r="T54" s="123">
        <v>12740.63</v>
      </c>
      <c r="U54" s="123">
        <v>111974.16</v>
      </c>
      <c r="V54" s="123">
        <v>73592.91</v>
      </c>
      <c r="W54" s="123">
        <v>21574.38</v>
      </c>
      <c r="X54" s="123">
        <v>208421.87</v>
      </c>
      <c r="Y54" s="123">
        <v>120849.36</v>
      </c>
      <c r="Z54" s="123">
        <v>77952.539999999994</v>
      </c>
      <c r="AA54" s="123">
        <v>11866.97</v>
      </c>
      <c r="AB54" s="123">
        <v>12414.08</v>
      </c>
      <c r="AC54" s="124">
        <v>10957.94</v>
      </c>
      <c r="AD54" s="124">
        <v>12018.24</v>
      </c>
      <c r="AE54" s="124">
        <v>17205.63</v>
      </c>
      <c r="AF54" s="124">
        <v>16104.15</v>
      </c>
      <c r="AG54" s="124">
        <v>103458.71</v>
      </c>
      <c r="AH54" s="124">
        <v>29948.39</v>
      </c>
      <c r="AI54" s="124">
        <v>17548.62</v>
      </c>
      <c r="AJ54" s="124">
        <v>14331.83</v>
      </c>
      <c r="AK54" s="124">
        <v>15622.15</v>
      </c>
      <c r="AL54" s="124">
        <v>17592.64</v>
      </c>
      <c r="AM54" s="124">
        <v>18761.38</v>
      </c>
      <c r="AN54" s="124">
        <v>18983.46</v>
      </c>
      <c r="AO54" s="125">
        <v>16859.830000000002</v>
      </c>
      <c r="AP54" s="125">
        <v>19137.669999999998</v>
      </c>
      <c r="AQ54" s="125">
        <v>19925.18</v>
      </c>
      <c r="AR54" s="125">
        <v>20430.439999999999</v>
      </c>
      <c r="AS54" s="125">
        <v>18681.48</v>
      </c>
      <c r="AT54" s="125">
        <v>21401.89</v>
      </c>
      <c r="AU54" s="125">
        <v>19977.8</v>
      </c>
      <c r="AV54" s="125">
        <v>29322.19</v>
      </c>
      <c r="AW54" s="125">
        <v>32373.54</v>
      </c>
      <c r="AX54" s="125">
        <v>24172.66</v>
      </c>
      <c r="AY54" s="126"/>
      <c r="AZ54" s="126"/>
      <c r="BA54" s="126"/>
      <c r="BB54" s="126"/>
      <c r="BC54" s="126"/>
      <c r="BD54" s="126"/>
      <c r="BE54" s="126"/>
      <c r="BF54" s="127">
        <v>140105</v>
      </c>
      <c r="BG54" s="97" t="s">
        <v>97</v>
      </c>
      <c r="BH54" s="127">
        <v>29948.39</v>
      </c>
      <c r="BI54" s="127">
        <v>140105</v>
      </c>
      <c r="BJ54" s="97" t="s">
        <v>97</v>
      </c>
      <c r="BK54" s="127">
        <v>17548.62</v>
      </c>
    </row>
    <row r="55" spans="2:63" x14ac:dyDescent="0.25">
      <c r="B55" s="121">
        <v>140110</v>
      </c>
      <c r="C55" s="122" t="s">
        <v>99</v>
      </c>
      <c r="D55" s="123">
        <v>42375.78</v>
      </c>
      <c r="E55" s="123">
        <v>144168.84</v>
      </c>
      <c r="F55" s="123">
        <v>159882.06</v>
      </c>
      <c r="G55" s="123">
        <v>136286.07999999999</v>
      </c>
      <c r="H55" s="123">
        <v>116367.31</v>
      </c>
      <c r="I55" s="123">
        <v>318514.83</v>
      </c>
      <c r="J55" s="123">
        <v>793985.58</v>
      </c>
      <c r="K55" s="123">
        <v>717418.62</v>
      </c>
      <c r="L55" s="123">
        <v>603072.62</v>
      </c>
      <c r="M55" s="123">
        <v>155777.57</v>
      </c>
      <c r="N55" s="123">
        <v>354803.28</v>
      </c>
      <c r="O55" s="123">
        <v>681789.73</v>
      </c>
      <c r="P55" s="123">
        <v>156396.74</v>
      </c>
      <c r="Q55" s="123">
        <v>261802.64</v>
      </c>
      <c r="R55" s="123">
        <v>179886.32</v>
      </c>
      <c r="S55" s="123">
        <v>111858.86</v>
      </c>
      <c r="T55" s="123">
        <v>170864.96</v>
      </c>
      <c r="U55" s="123">
        <v>92041.2</v>
      </c>
      <c r="V55" s="123">
        <v>199654.94</v>
      </c>
      <c r="W55" s="123">
        <v>281587.99</v>
      </c>
      <c r="X55" s="123">
        <v>158978.43</v>
      </c>
      <c r="Y55" s="123">
        <v>64396.45</v>
      </c>
      <c r="Z55" s="123">
        <v>20599.560000000001</v>
      </c>
      <c r="AA55" s="123">
        <v>21555.51</v>
      </c>
      <c r="AB55" s="123">
        <v>21135.61</v>
      </c>
      <c r="AC55" s="124">
        <v>20975.91</v>
      </c>
      <c r="AD55" s="124">
        <v>24027.53</v>
      </c>
      <c r="AE55" s="124">
        <v>63571.519999999997</v>
      </c>
      <c r="AF55" s="124">
        <v>116865.29</v>
      </c>
      <c r="AG55" s="124">
        <v>43969.55</v>
      </c>
      <c r="AH55" s="124">
        <v>33709.65</v>
      </c>
      <c r="AI55" s="124">
        <v>33184.080000000002</v>
      </c>
      <c r="AJ55" s="124">
        <v>31462.07</v>
      </c>
      <c r="AK55" s="124">
        <v>32023.119999999999</v>
      </c>
      <c r="AL55" s="124">
        <v>32537.08</v>
      </c>
      <c r="AM55" s="124">
        <v>33202</v>
      </c>
      <c r="AN55" s="124">
        <v>35251.93</v>
      </c>
      <c r="AO55" s="125">
        <v>32184.57</v>
      </c>
      <c r="AP55" s="125">
        <v>35690.43</v>
      </c>
      <c r="AQ55" s="125">
        <v>35145.629999999997</v>
      </c>
      <c r="AR55" s="125">
        <v>36832.839999999997</v>
      </c>
      <c r="AS55" s="125">
        <v>38107.230000000003</v>
      </c>
      <c r="AT55" s="125">
        <v>39579.89</v>
      </c>
      <c r="AU55" s="125">
        <v>40650.35</v>
      </c>
      <c r="AV55" s="125">
        <v>58689.08</v>
      </c>
      <c r="AW55" s="125">
        <v>59524.04</v>
      </c>
      <c r="AX55" s="125">
        <v>47950.25</v>
      </c>
      <c r="AY55" s="126"/>
      <c r="AZ55" s="126"/>
      <c r="BA55" s="126"/>
      <c r="BB55" s="126"/>
      <c r="BC55" s="126"/>
      <c r="BD55" s="126"/>
      <c r="BE55" s="126"/>
      <c r="BF55" s="127">
        <v>140110</v>
      </c>
      <c r="BG55" s="97" t="s">
        <v>99</v>
      </c>
      <c r="BH55" s="127">
        <v>33709.65</v>
      </c>
      <c r="BI55" s="127">
        <v>140110</v>
      </c>
      <c r="BJ55" s="97" t="s">
        <v>99</v>
      </c>
      <c r="BK55" s="127">
        <v>33184.080000000002</v>
      </c>
    </row>
    <row r="56" spans="2:63" x14ac:dyDescent="0.25">
      <c r="B56" s="121">
        <v>140115</v>
      </c>
      <c r="C56" s="122" t="s">
        <v>101</v>
      </c>
      <c r="D56" s="123">
        <v>156842.74</v>
      </c>
      <c r="E56" s="123">
        <v>81873.460000000006</v>
      </c>
      <c r="F56" s="123">
        <v>208364.37</v>
      </c>
      <c r="G56" s="123">
        <v>689312.54</v>
      </c>
      <c r="H56" s="123">
        <v>742794.25</v>
      </c>
      <c r="I56" s="123">
        <v>766140.15</v>
      </c>
      <c r="J56" s="123">
        <v>255677.49</v>
      </c>
      <c r="K56" s="123">
        <v>289897.38</v>
      </c>
      <c r="L56" s="123">
        <v>309785.90000000002</v>
      </c>
      <c r="M56" s="123">
        <v>285032.43</v>
      </c>
      <c r="N56" s="123">
        <v>225107.69</v>
      </c>
      <c r="O56" s="123">
        <v>270215.37</v>
      </c>
      <c r="P56" s="123">
        <v>257802.78</v>
      </c>
      <c r="Q56" s="123">
        <v>180949.63</v>
      </c>
      <c r="R56" s="123">
        <v>187718.19</v>
      </c>
      <c r="S56" s="123">
        <v>266107.42</v>
      </c>
      <c r="T56" s="123">
        <v>254223.62</v>
      </c>
      <c r="U56" s="123">
        <v>302160.95</v>
      </c>
      <c r="V56" s="123">
        <v>150378.82999999999</v>
      </c>
      <c r="W56" s="123">
        <v>50588.67</v>
      </c>
      <c r="X56" s="123">
        <v>37586.480000000003</v>
      </c>
      <c r="Y56" s="123">
        <v>32837.18</v>
      </c>
      <c r="Z56" s="123">
        <v>31676.49</v>
      </c>
      <c r="AA56" s="123">
        <v>33607.629999999997</v>
      </c>
      <c r="AB56" s="123">
        <v>32076.97</v>
      </c>
      <c r="AC56" s="124">
        <v>43902.09</v>
      </c>
      <c r="AD56" s="124">
        <v>48596.21</v>
      </c>
      <c r="AE56" s="124">
        <v>61213.31</v>
      </c>
      <c r="AF56" s="124">
        <v>46834.51</v>
      </c>
      <c r="AG56" s="124">
        <v>49914.69</v>
      </c>
      <c r="AH56" s="124">
        <v>52119.09</v>
      </c>
      <c r="AI56" s="124">
        <v>50834.720000000001</v>
      </c>
      <c r="AJ56" s="124">
        <v>49639.75</v>
      </c>
      <c r="AK56" s="124">
        <v>49760.07</v>
      </c>
      <c r="AL56" s="124">
        <v>50227.4</v>
      </c>
      <c r="AM56" s="124">
        <v>51936.56</v>
      </c>
      <c r="AN56" s="124">
        <v>53686.18</v>
      </c>
      <c r="AO56" s="125">
        <v>48492.92</v>
      </c>
      <c r="AP56" s="125">
        <v>54691.98</v>
      </c>
      <c r="AQ56" s="125">
        <v>54119.46</v>
      </c>
      <c r="AR56" s="125">
        <v>56441.59</v>
      </c>
      <c r="AS56" s="125">
        <v>58543.09</v>
      </c>
      <c r="AT56" s="125">
        <v>61931.89</v>
      </c>
      <c r="AU56" s="125">
        <v>62312.35</v>
      </c>
      <c r="AV56" s="125">
        <v>80753.710000000006</v>
      </c>
      <c r="AW56" s="125">
        <v>73010.91</v>
      </c>
      <c r="AX56" s="125">
        <v>55094.05</v>
      </c>
      <c r="AY56" s="126"/>
      <c r="AZ56" s="126"/>
      <c r="BA56" s="126"/>
      <c r="BB56" s="126"/>
      <c r="BC56" s="126"/>
      <c r="BD56" s="126"/>
      <c r="BE56" s="126"/>
      <c r="BF56" s="127">
        <v>140115</v>
      </c>
      <c r="BG56" s="97" t="s">
        <v>101</v>
      </c>
      <c r="BH56" s="127">
        <v>52119.09</v>
      </c>
      <c r="BI56" s="127">
        <v>140115</v>
      </c>
      <c r="BJ56" s="97" t="s">
        <v>101</v>
      </c>
      <c r="BK56" s="127">
        <v>50834.720000000001</v>
      </c>
    </row>
    <row r="57" spans="2:63" x14ac:dyDescent="0.25">
      <c r="B57" s="121">
        <v>140120</v>
      </c>
      <c r="C57" s="122" t="s">
        <v>102</v>
      </c>
      <c r="D57" s="123">
        <v>99952.21</v>
      </c>
      <c r="E57" s="123">
        <v>191299.54</v>
      </c>
      <c r="F57" s="123">
        <v>294266.2</v>
      </c>
      <c r="G57" s="123">
        <v>336904.39</v>
      </c>
      <c r="H57" s="123">
        <v>308700.07</v>
      </c>
      <c r="I57" s="123">
        <v>329423.18</v>
      </c>
      <c r="J57" s="123">
        <v>265318.74</v>
      </c>
      <c r="K57" s="123">
        <v>138209.88</v>
      </c>
      <c r="L57" s="123">
        <v>158223.92000000001</v>
      </c>
      <c r="M57" s="123">
        <v>151671.22</v>
      </c>
      <c r="N57" s="123">
        <v>248384.06</v>
      </c>
      <c r="O57" s="123">
        <v>275346.28000000003</v>
      </c>
      <c r="P57" s="123">
        <v>285323.78999999998</v>
      </c>
      <c r="Q57" s="123">
        <v>232054.85</v>
      </c>
      <c r="R57" s="123">
        <v>286383.82</v>
      </c>
      <c r="S57" s="123">
        <v>124311.73</v>
      </c>
      <c r="T57" s="123">
        <v>78131.850000000006</v>
      </c>
      <c r="U57" s="123">
        <v>93943.73</v>
      </c>
      <c r="V57" s="123">
        <v>94300.13</v>
      </c>
      <c r="W57" s="123">
        <v>77873.7</v>
      </c>
      <c r="X57" s="123">
        <v>78570.31</v>
      </c>
      <c r="Y57" s="123">
        <v>67752.649999999994</v>
      </c>
      <c r="Z57" s="123">
        <v>65768.289999999994</v>
      </c>
      <c r="AA57" s="123">
        <v>68972.86</v>
      </c>
      <c r="AB57" s="123">
        <v>78317.460000000006</v>
      </c>
      <c r="AC57" s="124">
        <v>67389.990000000005</v>
      </c>
      <c r="AD57" s="124">
        <v>77226.960000000006</v>
      </c>
      <c r="AE57" s="124">
        <v>104344.54</v>
      </c>
      <c r="AF57" s="124">
        <v>97925.31</v>
      </c>
      <c r="AG57" s="124">
        <v>104508.15</v>
      </c>
      <c r="AH57" s="124">
        <v>104935.03</v>
      </c>
      <c r="AI57" s="124">
        <v>99122.64</v>
      </c>
      <c r="AJ57" s="124">
        <v>101556.43</v>
      </c>
      <c r="AK57" s="124">
        <v>103001.46</v>
      </c>
      <c r="AL57" s="124">
        <v>104124.71</v>
      </c>
      <c r="AM57" s="124">
        <v>107074.66</v>
      </c>
      <c r="AN57" s="124">
        <v>112134.33</v>
      </c>
      <c r="AO57" s="125">
        <v>101534.76</v>
      </c>
      <c r="AP57" s="125">
        <v>113911.71</v>
      </c>
      <c r="AQ57" s="125">
        <v>113319.16</v>
      </c>
      <c r="AR57" s="125">
        <v>112088.4</v>
      </c>
      <c r="AS57" s="125">
        <v>110655.16</v>
      </c>
      <c r="AT57" s="125">
        <v>108665.54</v>
      </c>
      <c r="AU57" s="125">
        <v>101449.31</v>
      </c>
      <c r="AV57" s="125">
        <v>93071.72</v>
      </c>
      <c r="AW57" s="125">
        <v>85381.3</v>
      </c>
      <c r="AX57" s="125">
        <v>65751.45</v>
      </c>
      <c r="AY57" s="126"/>
      <c r="AZ57" s="126"/>
      <c r="BA57" s="126"/>
      <c r="BB57" s="126"/>
      <c r="BC57" s="126"/>
      <c r="BD57" s="126"/>
      <c r="BE57" s="126"/>
      <c r="BF57" s="127">
        <v>140120</v>
      </c>
      <c r="BG57" s="97" t="s">
        <v>102</v>
      </c>
      <c r="BH57" s="127">
        <v>104935.03</v>
      </c>
      <c r="BI57" s="127">
        <v>140120</v>
      </c>
      <c r="BJ57" s="97" t="s">
        <v>102</v>
      </c>
      <c r="BK57" s="127">
        <v>99122.64</v>
      </c>
    </row>
    <row r="58" spans="2:63" x14ac:dyDescent="0.25">
      <c r="B58" s="121">
        <v>140125</v>
      </c>
      <c r="C58" s="122" t="s">
        <v>103</v>
      </c>
      <c r="D58" s="123">
        <v>144728.13</v>
      </c>
      <c r="E58" s="123">
        <v>136761.03</v>
      </c>
      <c r="F58" s="123">
        <v>212448.67</v>
      </c>
      <c r="G58" s="123">
        <v>198266.23999999999</v>
      </c>
      <c r="H58" s="123">
        <v>241931.33</v>
      </c>
      <c r="I58" s="123">
        <v>335308.57</v>
      </c>
      <c r="J58" s="123">
        <v>322285.08</v>
      </c>
      <c r="K58" s="123">
        <v>266113.81</v>
      </c>
      <c r="L58" s="123">
        <v>255227.45</v>
      </c>
      <c r="M58" s="123">
        <v>263000.75</v>
      </c>
      <c r="N58" s="123">
        <v>350975.99</v>
      </c>
      <c r="O58" s="123">
        <v>327067.46999999997</v>
      </c>
      <c r="P58" s="123">
        <v>342406.55</v>
      </c>
      <c r="Q58" s="123">
        <v>382673.86</v>
      </c>
      <c r="R58" s="123">
        <v>687385.09</v>
      </c>
      <c r="S58" s="123">
        <v>671263.34</v>
      </c>
      <c r="T58" s="123">
        <v>658266.67000000004</v>
      </c>
      <c r="U58" s="123">
        <v>676221.64</v>
      </c>
      <c r="V58" s="123">
        <v>660474.41</v>
      </c>
      <c r="W58" s="123">
        <v>551137.28000000003</v>
      </c>
      <c r="X58" s="123">
        <v>537862.18000000005</v>
      </c>
      <c r="Y58" s="123">
        <v>549384.37</v>
      </c>
      <c r="Z58" s="123">
        <v>518037.47</v>
      </c>
      <c r="AA58" s="123">
        <v>525838.19999999995</v>
      </c>
      <c r="AB58" s="123">
        <v>495327.49</v>
      </c>
      <c r="AC58" s="124">
        <v>483888.96</v>
      </c>
      <c r="AD58" s="124">
        <v>504877.33</v>
      </c>
      <c r="AE58" s="124">
        <v>548923.68000000005</v>
      </c>
      <c r="AF58" s="124">
        <v>506133.32</v>
      </c>
      <c r="AG58" s="124">
        <v>505513.78</v>
      </c>
      <c r="AH58" s="124">
        <v>506251.41</v>
      </c>
      <c r="AI58" s="124">
        <v>476795.18</v>
      </c>
      <c r="AJ58" s="124">
        <v>523778.88</v>
      </c>
      <c r="AK58" s="124">
        <v>536962.37</v>
      </c>
      <c r="AL58" s="124">
        <v>519130.12</v>
      </c>
      <c r="AM58" s="124">
        <v>524397.76</v>
      </c>
      <c r="AN58" s="124">
        <v>548005.4</v>
      </c>
      <c r="AO58" s="125">
        <v>486047.75</v>
      </c>
      <c r="AP58" s="125">
        <v>510391.93</v>
      </c>
      <c r="AQ58" s="125">
        <v>506327.55</v>
      </c>
      <c r="AR58" s="125">
        <v>499546.66</v>
      </c>
      <c r="AS58" s="125">
        <v>508002.82</v>
      </c>
      <c r="AT58" s="125">
        <v>539410.78</v>
      </c>
      <c r="AU58" s="125">
        <v>530158.25</v>
      </c>
      <c r="AV58" s="125">
        <v>513544.8</v>
      </c>
      <c r="AW58" s="125">
        <v>508023.16</v>
      </c>
      <c r="AX58" s="125">
        <v>450916.41</v>
      </c>
      <c r="AY58" s="126"/>
      <c r="AZ58" s="126"/>
      <c r="BA58" s="126"/>
      <c r="BB58" s="126"/>
      <c r="BC58" s="126"/>
      <c r="BD58" s="126"/>
      <c r="BE58" s="126"/>
      <c r="BF58" s="127">
        <v>140125</v>
      </c>
      <c r="BG58" s="97" t="s">
        <v>103</v>
      </c>
      <c r="BH58" s="127">
        <v>506251.41</v>
      </c>
      <c r="BI58" s="127">
        <v>140125</v>
      </c>
      <c r="BJ58" s="97" t="s">
        <v>103</v>
      </c>
      <c r="BK58" s="127">
        <v>476795.18</v>
      </c>
    </row>
    <row r="59" spans="2:63" s="113" customFormat="1" x14ac:dyDescent="0.25">
      <c r="B59" s="114">
        <v>1402</v>
      </c>
      <c r="C59" s="115" t="s">
        <v>123</v>
      </c>
      <c r="D59" s="116">
        <v>15709710.25</v>
      </c>
      <c r="E59" s="116">
        <v>16304011.710000001</v>
      </c>
      <c r="F59" s="116">
        <v>16976903.289999999</v>
      </c>
      <c r="G59" s="116">
        <v>17767280.460000001</v>
      </c>
      <c r="H59" s="116">
        <v>17572312.800000001</v>
      </c>
      <c r="I59" s="116">
        <v>17680914.68</v>
      </c>
      <c r="J59" s="116">
        <v>17712186.27</v>
      </c>
      <c r="K59" s="116">
        <v>17772668.210000001</v>
      </c>
      <c r="L59" s="116">
        <v>16495765.07</v>
      </c>
      <c r="M59" s="116">
        <v>16400778.67</v>
      </c>
      <c r="N59" s="116">
        <v>16146112.74</v>
      </c>
      <c r="O59" s="116">
        <v>16031867.99</v>
      </c>
      <c r="P59" s="116">
        <v>16240949.039999999</v>
      </c>
      <c r="Q59" s="116">
        <v>15544856.949999999</v>
      </c>
      <c r="R59" s="116">
        <v>15671930.109999999</v>
      </c>
      <c r="S59" s="116">
        <v>15875617.82</v>
      </c>
      <c r="T59" s="116">
        <v>15704959.41</v>
      </c>
      <c r="U59" s="116">
        <v>15600109.140000001</v>
      </c>
      <c r="V59" s="116">
        <v>15083712.66</v>
      </c>
      <c r="W59" s="116">
        <v>14607269.23</v>
      </c>
      <c r="X59" s="116">
        <v>14550816.4</v>
      </c>
      <c r="Y59" s="116">
        <v>14746900.689999999</v>
      </c>
      <c r="Z59" s="116">
        <v>12338339.560000001</v>
      </c>
      <c r="AA59" s="116">
        <v>14282299.890000001</v>
      </c>
      <c r="AB59" s="116">
        <v>11356754.32</v>
      </c>
      <c r="AC59" s="124">
        <v>10967269.65</v>
      </c>
      <c r="AD59" s="124">
        <v>10304698.41</v>
      </c>
      <c r="AE59" s="124">
        <v>10188543.58</v>
      </c>
      <c r="AF59" s="124">
        <v>10790436.890000001</v>
      </c>
      <c r="AG59" s="124">
        <v>10361066.66</v>
      </c>
      <c r="AH59" s="124">
        <v>16655882.720000001</v>
      </c>
      <c r="AI59" s="124">
        <v>17200840.010000002</v>
      </c>
      <c r="AJ59" s="124">
        <v>17064999.960000001</v>
      </c>
      <c r="AK59" s="124">
        <v>17640924.449999999</v>
      </c>
      <c r="AL59" s="124">
        <v>18466470.34</v>
      </c>
      <c r="AM59" s="124">
        <v>20025987.620000001</v>
      </c>
      <c r="AN59" s="124">
        <v>20757554.719999999</v>
      </c>
      <c r="AO59" s="125">
        <v>21091095.789999999</v>
      </c>
      <c r="AP59" s="125">
        <v>20569154.609999999</v>
      </c>
      <c r="AQ59" s="125">
        <v>20077242.239999998</v>
      </c>
      <c r="AR59" s="125">
        <v>20683092.379999999</v>
      </c>
      <c r="AS59" s="125">
        <v>21564666.489999998</v>
      </c>
      <c r="AT59" s="125">
        <v>23620654.760000002</v>
      </c>
      <c r="AU59" s="125">
        <v>24421931.359999999</v>
      </c>
      <c r="AV59" s="125">
        <v>25935733.100000001</v>
      </c>
      <c r="AW59" s="125">
        <v>27557040.75</v>
      </c>
      <c r="AX59" s="125">
        <v>29255983.16</v>
      </c>
      <c r="AY59" s="126"/>
      <c r="AZ59" s="126"/>
      <c r="BA59" s="126"/>
      <c r="BB59" s="126"/>
      <c r="BC59" s="126"/>
      <c r="BD59" s="126"/>
      <c r="BE59" s="126"/>
      <c r="BF59" s="120">
        <v>1402</v>
      </c>
      <c r="BG59" s="113" t="s">
        <v>123</v>
      </c>
      <c r="BH59" s="120">
        <v>16655882.720000001</v>
      </c>
      <c r="BI59" s="127">
        <v>1402</v>
      </c>
      <c r="BJ59" s="97" t="s">
        <v>123</v>
      </c>
      <c r="BK59" s="127">
        <v>17200840.010000002</v>
      </c>
    </row>
    <row r="60" spans="2:63" x14ac:dyDescent="0.25">
      <c r="B60" s="121">
        <v>140205</v>
      </c>
      <c r="C60" s="122" t="s">
        <v>97</v>
      </c>
      <c r="D60" s="123">
        <v>627155.07999999996</v>
      </c>
      <c r="E60" s="123">
        <v>648340.32999999996</v>
      </c>
      <c r="F60" s="123">
        <v>625332.63</v>
      </c>
      <c r="G60" s="123">
        <v>730989.79</v>
      </c>
      <c r="H60" s="123">
        <v>633890.84</v>
      </c>
      <c r="I60" s="123">
        <v>691583.11</v>
      </c>
      <c r="J60" s="123">
        <v>706614.16</v>
      </c>
      <c r="K60" s="123">
        <v>769813.26</v>
      </c>
      <c r="L60" s="123">
        <v>619621.53</v>
      </c>
      <c r="M60" s="123">
        <v>608344.79</v>
      </c>
      <c r="N60" s="123">
        <v>742751.87</v>
      </c>
      <c r="O60" s="123">
        <v>655729.38</v>
      </c>
      <c r="P60" s="123">
        <v>663705.87</v>
      </c>
      <c r="Q60" s="123">
        <v>658863.81999999995</v>
      </c>
      <c r="R60" s="123">
        <v>743145.49</v>
      </c>
      <c r="S60" s="123">
        <v>782738.58</v>
      </c>
      <c r="T60" s="123">
        <v>660432.16</v>
      </c>
      <c r="U60" s="123">
        <v>675035.21</v>
      </c>
      <c r="V60" s="123">
        <v>650302.05000000005</v>
      </c>
      <c r="W60" s="123">
        <v>764302.54</v>
      </c>
      <c r="X60" s="123">
        <v>861481.99</v>
      </c>
      <c r="Y60" s="123">
        <v>938276.26</v>
      </c>
      <c r="Z60" s="123">
        <v>545663.75</v>
      </c>
      <c r="AA60" s="123">
        <v>634995.51</v>
      </c>
      <c r="AB60" s="123">
        <v>340529.59</v>
      </c>
      <c r="AC60" s="124">
        <v>449652.81</v>
      </c>
      <c r="AD60" s="124">
        <v>387598.26</v>
      </c>
      <c r="AE60" s="124">
        <v>351560.35</v>
      </c>
      <c r="AF60" s="124">
        <v>379079.09</v>
      </c>
      <c r="AG60" s="124">
        <v>377847.8</v>
      </c>
      <c r="AH60" s="124">
        <v>684306.16</v>
      </c>
      <c r="AI60" s="124">
        <v>550346.18000000005</v>
      </c>
      <c r="AJ60" s="124">
        <v>698753.84</v>
      </c>
      <c r="AK60" s="124">
        <v>576668.94999999995</v>
      </c>
      <c r="AL60" s="124">
        <v>524365.55000000005</v>
      </c>
      <c r="AM60" s="124">
        <v>532415.62</v>
      </c>
      <c r="AN60" s="124">
        <v>505861.88</v>
      </c>
      <c r="AO60" s="125">
        <v>533192.51</v>
      </c>
      <c r="AP60" s="125">
        <v>565918.07999999996</v>
      </c>
      <c r="AQ60" s="125">
        <v>834102.33</v>
      </c>
      <c r="AR60" s="125">
        <v>586854.24</v>
      </c>
      <c r="AS60" s="125">
        <v>531805.65</v>
      </c>
      <c r="AT60" s="125">
        <v>593405.54</v>
      </c>
      <c r="AU60" s="125">
        <v>556471.04000000004</v>
      </c>
      <c r="AV60" s="125">
        <v>559796.6</v>
      </c>
      <c r="AW60" s="125">
        <v>582394.18000000005</v>
      </c>
      <c r="AX60" s="125">
        <v>596710.35</v>
      </c>
      <c r="AY60" s="126"/>
      <c r="AZ60" s="126"/>
      <c r="BA60" s="126"/>
      <c r="BB60" s="126"/>
      <c r="BC60" s="126"/>
      <c r="BD60" s="126"/>
      <c r="BE60" s="126"/>
      <c r="BF60" s="127">
        <v>140205</v>
      </c>
      <c r="BG60" s="97" t="s">
        <v>97</v>
      </c>
      <c r="BH60" s="127">
        <v>684306.16</v>
      </c>
      <c r="BI60" s="120">
        <v>140205</v>
      </c>
      <c r="BJ60" s="113" t="s">
        <v>97</v>
      </c>
      <c r="BK60" s="120">
        <v>550346.18000000005</v>
      </c>
    </row>
    <row r="61" spans="2:63" x14ac:dyDescent="0.25">
      <c r="B61" s="121">
        <v>140210</v>
      </c>
      <c r="C61" s="122" t="s">
        <v>99</v>
      </c>
      <c r="D61" s="123">
        <v>988917.08</v>
      </c>
      <c r="E61" s="123">
        <v>1063544.72</v>
      </c>
      <c r="F61" s="123">
        <v>1096153.19</v>
      </c>
      <c r="G61" s="123">
        <v>1110426.69</v>
      </c>
      <c r="H61" s="123">
        <v>1170170.6399999999</v>
      </c>
      <c r="I61" s="123">
        <v>1231019.49</v>
      </c>
      <c r="J61" s="123">
        <v>1163976.83</v>
      </c>
      <c r="K61" s="123">
        <v>1049291.4099999999</v>
      </c>
      <c r="L61" s="123">
        <v>1116759.24</v>
      </c>
      <c r="M61" s="123">
        <v>1149055.0900000001</v>
      </c>
      <c r="N61" s="123">
        <v>1043436.7</v>
      </c>
      <c r="O61" s="123">
        <v>1049749.76</v>
      </c>
      <c r="P61" s="123">
        <v>1076703.03</v>
      </c>
      <c r="Q61" s="123">
        <v>1131881.57</v>
      </c>
      <c r="R61" s="123">
        <v>1165743.42</v>
      </c>
      <c r="S61" s="123">
        <v>1199011.57</v>
      </c>
      <c r="T61" s="123">
        <v>1134088.3</v>
      </c>
      <c r="U61" s="123">
        <v>1098205.98</v>
      </c>
      <c r="V61" s="123">
        <v>1063949.1100000001</v>
      </c>
      <c r="W61" s="123">
        <v>1080936.05</v>
      </c>
      <c r="X61" s="123">
        <v>1069288.53</v>
      </c>
      <c r="Y61" s="123">
        <v>1086382.93</v>
      </c>
      <c r="Z61" s="123">
        <v>788998.07</v>
      </c>
      <c r="AA61" s="123">
        <v>1056820.24</v>
      </c>
      <c r="AB61" s="123">
        <v>713647.05</v>
      </c>
      <c r="AC61" s="124">
        <v>609344.09</v>
      </c>
      <c r="AD61" s="124">
        <v>616618.9</v>
      </c>
      <c r="AE61" s="124">
        <v>551194</v>
      </c>
      <c r="AF61" s="124">
        <v>899154.39</v>
      </c>
      <c r="AG61" s="124">
        <v>724638.56</v>
      </c>
      <c r="AH61" s="124">
        <v>1105808.06</v>
      </c>
      <c r="AI61" s="124">
        <v>1132925.8</v>
      </c>
      <c r="AJ61" s="124">
        <v>965037.91</v>
      </c>
      <c r="AK61" s="124">
        <v>965087.57</v>
      </c>
      <c r="AL61" s="124">
        <v>1212604.1499999999</v>
      </c>
      <c r="AM61" s="124">
        <v>1199584.26</v>
      </c>
      <c r="AN61" s="124">
        <v>1017260.1</v>
      </c>
      <c r="AO61" s="125">
        <v>1366671.35</v>
      </c>
      <c r="AP61" s="125">
        <v>1351684.37</v>
      </c>
      <c r="AQ61" s="125">
        <v>1035022.36</v>
      </c>
      <c r="AR61" s="125">
        <v>1062227.8400000001</v>
      </c>
      <c r="AS61" s="125">
        <v>1067920.8</v>
      </c>
      <c r="AT61" s="125">
        <v>1048196.38</v>
      </c>
      <c r="AU61" s="125">
        <v>1067210.92</v>
      </c>
      <c r="AV61" s="125">
        <v>1115026.42</v>
      </c>
      <c r="AW61" s="125">
        <v>1408686.98</v>
      </c>
      <c r="AX61" s="125">
        <v>1463530.92</v>
      </c>
      <c r="AY61" s="126"/>
      <c r="AZ61" s="126"/>
      <c r="BA61" s="126"/>
      <c r="BB61" s="126"/>
      <c r="BC61" s="126"/>
      <c r="BD61" s="126"/>
      <c r="BE61" s="126"/>
      <c r="BF61" s="127">
        <v>140210</v>
      </c>
      <c r="BG61" s="97" t="s">
        <v>99</v>
      </c>
      <c r="BH61" s="127">
        <v>1105808.06</v>
      </c>
      <c r="BI61" s="127">
        <v>140210</v>
      </c>
      <c r="BJ61" s="97" t="s">
        <v>99</v>
      </c>
      <c r="BK61" s="127">
        <v>1132925.8</v>
      </c>
    </row>
    <row r="62" spans="2:63" x14ac:dyDescent="0.25">
      <c r="B62" s="121">
        <v>140215</v>
      </c>
      <c r="C62" s="122" t="s">
        <v>101</v>
      </c>
      <c r="D62" s="123">
        <v>1468608.62</v>
      </c>
      <c r="E62" s="123">
        <v>1421307.8</v>
      </c>
      <c r="F62" s="123">
        <v>1554943.96</v>
      </c>
      <c r="G62" s="123">
        <v>1612329.88</v>
      </c>
      <c r="H62" s="123">
        <v>1543809.73</v>
      </c>
      <c r="I62" s="123">
        <v>1568027.05</v>
      </c>
      <c r="J62" s="123">
        <v>1585960.2</v>
      </c>
      <c r="K62" s="123">
        <v>1624318.73</v>
      </c>
      <c r="L62" s="123">
        <v>1454460.18</v>
      </c>
      <c r="M62" s="123">
        <v>1509542.26</v>
      </c>
      <c r="N62" s="123">
        <v>1489599.91</v>
      </c>
      <c r="O62" s="123">
        <v>1490811.51</v>
      </c>
      <c r="P62" s="123">
        <v>1507168.04</v>
      </c>
      <c r="Q62" s="123">
        <v>1466445.93</v>
      </c>
      <c r="R62" s="123">
        <v>1503798.59</v>
      </c>
      <c r="S62" s="123">
        <v>1540464.55</v>
      </c>
      <c r="T62" s="123">
        <v>1570135.14</v>
      </c>
      <c r="U62" s="123">
        <v>1567073.02</v>
      </c>
      <c r="V62" s="123">
        <v>1552140.54</v>
      </c>
      <c r="W62" s="123">
        <v>1618311.1</v>
      </c>
      <c r="X62" s="123">
        <v>1628993.98</v>
      </c>
      <c r="Y62" s="123">
        <v>1673722.41</v>
      </c>
      <c r="Z62" s="123">
        <v>1174573.77</v>
      </c>
      <c r="AA62" s="123">
        <v>1454006.19</v>
      </c>
      <c r="AB62" s="123">
        <v>903434.75</v>
      </c>
      <c r="AC62" s="124">
        <v>865345.38</v>
      </c>
      <c r="AD62" s="124">
        <v>844938.17</v>
      </c>
      <c r="AE62" s="124">
        <v>1169391.7</v>
      </c>
      <c r="AF62" s="124">
        <v>899206.61</v>
      </c>
      <c r="AG62" s="124">
        <v>900917.34</v>
      </c>
      <c r="AH62" s="124">
        <v>1481373.16</v>
      </c>
      <c r="AI62" s="124">
        <v>1682170.82</v>
      </c>
      <c r="AJ62" s="124">
        <v>1629086.18</v>
      </c>
      <c r="AK62" s="124">
        <v>1678617.29</v>
      </c>
      <c r="AL62" s="124">
        <v>1731295.04</v>
      </c>
      <c r="AM62" s="124">
        <v>1779461.17</v>
      </c>
      <c r="AN62" s="124">
        <v>1812946.5</v>
      </c>
      <c r="AO62" s="125">
        <v>1538934.33</v>
      </c>
      <c r="AP62" s="125">
        <v>1510214.18</v>
      </c>
      <c r="AQ62" s="125">
        <v>1511900.13</v>
      </c>
      <c r="AR62" s="125">
        <v>1492634.2</v>
      </c>
      <c r="AS62" s="125">
        <v>1492751.05</v>
      </c>
      <c r="AT62" s="125">
        <v>1582684.43</v>
      </c>
      <c r="AU62" s="125">
        <v>1627170.45</v>
      </c>
      <c r="AV62" s="125">
        <v>1666579.78</v>
      </c>
      <c r="AW62" s="125">
        <v>1721742.84</v>
      </c>
      <c r="AX62" s="125">
        <v>1753491.92</v>
      </c>
      <c r="AY62" s="126"/>
      <c r="AZ62" s="126"/>
      <c r="BA62" s="126"/>
      <c r="BB62" s="126"/>
      <c r="BC62" s="126"/>
      <c r="BD62" s="126"/>
      <c r="BE62" s="126"/>
      <c r="BF62" s="127">
        <v>140215</v>
      </c>
      <c r="BG62" s="97" t="s">
        <v>101</v>
      </c>
      <c r="BH62" s="127">
        <v>1481373.16</v>
      </c>
      <c r="BI62" s="127">
        <v>140215</v>
      </c>
      <c r="BJ62" s="97" t="s">
        <v>101</v>
      </c>
      <c r="BK62" s="127">
        <v>1682170.82</v>
      </c>
    </row>
    <row r="63" spans="2:63" x14ac:dyDescent="0.25">
      <c r="B63" s="121">
        <v>140220</v>
      </c>
      <c r="C63" s="122" t="s">
        <v>102</v>
      </c>
      <c r="D63" s="123">
        <v>2401688.62</v>
      </c>
      <c r="E63" s="123">
        <v>2450427.79</v>
      </c>
      <c r="F63" s="123">
        <v>2498328.54</v>
      </c>
      <c r="G63" s="123">
        <v>2731488.83</v>
      </c>
      <c r="H63" s="123">
        <v>2790714.28</v>
      </c>
      <c r="I63" s="123">
        <v>2719665.21</v>
      </c>
      <c r="J63" s="123">
        <v>2753905.36</v>
      </c>
      <c r="K63" s="123">
        <v>2832966.15</v>
      </c>
      <c r="L63" s="123">
        <v>2709869.13</v>
      </c>
      <c r="M63" s="123">
        <v>2711195.87</v>
      </c>
      <c r="N63" s="123">
        <v>2728273.26</v>
      </c>
      <c r="O63" s="123">
        <v>2733456.76</v>
      </c>
      <c r="P63" s="123">
        <v>2751506.19</v>
      </c>
      <c r="Q63" s="123">
        <v>2667498.63</v>
      </c>
      <c r="R63" s="123">
        <v>2639463.7999999998</v>
      </c>
      <c r="S63" s="123">
        <v>2728971.25</v>
      </c>
      <c r="T63" s="123">
        <v>2720322.91</v>
      </c>
      <c r="U63" s="123">
        <v>2760719.39</v>
      </c>
      <c r="V63" s="123">
        <v>2758524.77</v>
      </c>
      <c r="W63" s="123">
        <v>2616094.6800000002</v>
      </c>
      <c r="X63" s="123">
        <v>2609448.52</v>
      </c>
      <c r="Y63" s="123">
        <v>2541248.5299999998</v>
      </c>
      <c r="Z63" s="123">
        <v>2052390.18</v>
      </c>
      <c r="AA63" s="123">
        <v>2462242.0299999998</v>
      </c>
      <c r="AB63" s="123">
        <v>1762814.38</v>
      </c>
      <c r="AC63" s="124">
        <v>1690725.51</v>
      </c>
      <c r="AD63" s="124">
        <v>1567051.92</v>
      </c>
      <c r="AE63" s="124">
        <v>1491872.43</v>
      </c>
      <c r="AF63" s="124">
        <v>1550474.95</v>
      </c>
      <c r="AG63" s="124">
        <v>1512748.51</v>
      </c>
      <c r="AH63" s="124">
        <v>2684936.94</v>
      </c>
      <c r="AI63" s="124">
        <v>2659481.2999999998</v>
      </c>
      <c r="AJ63" s="124">
        <v>2901750.21</v>
      </c>
      <c r="AK63" s="124">
        <v>2921036.86</v>
      </c>
      <c r="AL63" s="124">
        <v>2673610.48</v>
      </c>
      <c r="AM63" s="124">
        <v>2748342.22</v>
      </c>
      <c r="AN63" s="124">
        <v>2872026.93</v>
      </c>
      <c r="AO63" s="125">
        <v>2859001.93</v>
      </c>
      <c r="AP63" s="125">
        <v>2806555.92</v>
      </c>
      <c r="AQ63" s="125">
        <v>2768640.23</v>
      </c>
      <c r="AR63" s="125">
        <v>2826877.47</v>
      </c>
      <c r="AS63" s="125">
        <v>2889817.53</v>
      </c>
      <c r="AT63" s="125">
        <v>3015113.15</v>
      </c>
      <c r="AU63" s="125">
        <v>2999944.74</v>
      </c>
      <c r="AV63" s="125">
        <v>3083176.63</v>
      </c>
      <c r="AW63" s="125">
        <v>3133962.62</v>
      </c>
      <c r="AX63" s="125">
        <v>3260138.32</v>
      </c>
      <c r="AY63" s="126"/>
      <c r="AZ63" s="126"/>
      <c r="BA63" s="126"/>
      <c r="BB63" s="126"/>
      <c r="BC63" s="126"/>
      <c r="BD63" s="126"/>
      <c r="BE63" s="126"/>
      <c r="BF63" s="127">
        <v>140220</v>
      </c>
      <c r="BG63" s="97" t="s">
        <v>102</v>
      </c>
      <c r="BH63" s="127">
        <v>2684936.94</v>
      </c>
      <c r="BI63" s="127">
        <v>140220</v>
      </c>
      <c r="BJ63" s="97" t="s">
        <v>102</v>
      </c>
      <c r="BK63" s="127">
        <v>2659481.2999999998</v>
      </c>
    </row>
    <row r="64" spans="2:63" x14ac:dyDescent="0.25">
      <c r="B64" s="121">
        <v>140225</v>
      </c>
      <c r="C64" s="122" t="s">
        <v>103</v>
      </c>
      <c r="D64" s="123">
        <v>10223340.85</v>
      </c>
      <c r="E64" s="123">
        <v>10720391.07</v>
      </c>
      <c r="F64" s="123">
        <v>11202144.970000001</v>
      </c>
      <c r="G64" s="123">
        <v>11582045.27</v>
      </c>
      <c r="H64" s="123">
        <v>11433727.310000001</v>
      </c>
      <c r="I64" s="123">
        <v>11470619.82</v>
      </c>
      <c r="J64" s="123">
        <v>11501729.720000001</v>
      </c>
      <c r="K64" s="123">
        <v>11496278.66</v>
      </c>
      <c r="L64" s="123">
        <v>10595054.99</v>
      </c>
      <c r="M64" s="123">
        <v>10422640.66</v>
      </c>
      <c r="N64" s="123">
        <v>10142051</v>
      </c>
      <c r="O64" s="123">
        <v>10102120.58</v>
      </c>
      <c r="P64" s="123">
        <v>10241865.91</v>
      </c>
      <c r="Q64" s="123">
        <v>9620167</v>
      </c>
      <c r="R64" s="123">
        <v>9619778.8100000005</v>
      </c>
      <c r="S64" s="123">
        <v>9624431.8699999992</v>
      </c>
      <c r="T64" s="123">
        <v>9619980.9000000004</v>
      </c>
      <c r="U64" s="123">
        <v>9499075.5399999991</v>
      </c>
      <c r="V64" s="123">
        <v>9058796.1899999995</v>
      </c>
      <c r="W64" s="123">
        <v>8527624.8599999994</v>
      </c>
      <c r="X64" s="123">
        <v>8381603.3799999999</v>
      </c>
      <c r="Y64" s="123">
        <v>8507270.5600000005</v>
      </c>
      <c r="Z64" s="123">
        <v>7776713.79</v>
      </c>
      <c r="AA64" s="123">
        <v>8674235.9199999999</v>
      </c>
      <c r="AB64" s="123">
        <v>7636328.5499999998</v>
      </c>
      <c r="AC64" s="124">
        <v>7352201.8600000003</v>
      </c>
      <c r="AD64" s="124">
        <v>6888491.1600000001</v>
      </c>
      <c r="AE64" s="124">
        <v>6624525.0999999996</v>
      </c>
      <c r="AF64" s="124">
        <v>7062521.8499999996</v>
      </c>
      <c r="AG64" s="124">
        <v>6844914.4500000002</v>
      </c>
      <c r="AH64" s="124">
        <v>10699458.4</v>
      </c>
      <c r="AI64" s="124">
        <v>11175915.91</v>
      </c>
      <c r="AJ64" s="124">
        <v>10870371.82</v>
      </c>
      <c r="AK64" s="124">
        <v>11499513.779999999</v>
      </c>
      <c r="AL64" s="124">
        <v>12324595.119999999</v>
      </c>
      <c r="AM64" s="124">
        <v>13766184.35</v>
      </c>
      <c r="AN64" s="124">
        <v>14549459.310000001</v>
      </c>
      <c r="AO64" s="125">
        <v>14793295.67</v>
      </c>
      <c r="AP64" s="125">
        <v>14334782.060000001</v>
      </c>
      <c r="AQ64" s="125">
        <v>13927577.189999999</v>
      </c>
      <c r="AR64" s="125">
        <v>14714498.630000001</v>
      </c>
      <c r="AS64" s="125">
        <v>15582371.460000001</v>
      </c>
      <c r="AT64" s="125">
        <v>17381255.260000002</v>
      </c>
      <c r="AU64" s="125">
        <v>18171134.210000001</v>
      </c>
      <c r="AV64" s="125">
        <v>19511153.670000002</v>
      </c>
      <c r="AW64" s="125">
        <v>20710254.129999999</v>
      </c>
      <c r="AX64" s="125">
        <v>22182111.649999999</v>
      </c>
      <c r="AY64" s="126"/>
      <c r="AZ64" s="126"/>
      <c r="BA64" s="126"/>
      <c r="BB64" s="126"/>
      <c r="BC64" s="126"/>
      <c r="BD64" s="126"/>
      <c r="BE64" s="126"/>
      <c r="BF64" s="127">
        <v>140225</v>
      </c>
      <c r="BG64" s="97" t="s">
        <v>103</v>
      </c>
      <c r="BH64" s="127">
        <v>10699458.4</v>
      </c>
      <c r="BI64" s="127">
        <v>140225</v>
      </c>
      <c r="BJ64" s="97" t="s">
        <v>103</v>
      </c>
      <c r="BK64" s="127">
        <v>11175915.91</v>
      </c>
    </row>
    <row r="65" spans="2:63" s="113" customFormat="1" x14ac:dyDescent="0.25">
      <c r="B65" s="114">
        <v>1404</v>
      </c>
      <c r="C65" s="115" t="s">
        <v>124</v>
      </c>
      <c r="D65" s="116">
        <v>819034.47</v>
      </c>
      <c r="E65" s="116">
        <v>826051.52</v>
      </c>
      <c r="F65" s="116">
        <v>823795.4</v>
      </c>
      <c r="G65" s="116">
        <v>967218.02</v>
      </c>
      <c r="H65" s="116">
        <v>1558246.22</v>
      </c>
      <c r="I65" s="116">
        <v>2242913.35</v>
      </c>
      <c r="J65" s="116">
        <v>2730619.74</v>
      </c>
      <c r="K65" s="116">
        <v>3083986.18</v>
      </c>
      <c r="L65" s="116">
        <v>4142297.02</v>
      </c>
      <c r="M65" s="116">
        <v>4369832.6900000004</v>
      </c>
      <c r="N65" s="116">
        <v>4900107.0999999996</v>
      </c>
      <c r="O65" s="116">
        <v>5362885.2699999996</v>
      </c>
      <c r="P65" s="116">
        <v>5885580.8499999996</v>
      </c>
      <c r="Q65" s="116">
        <v>5973834</v>
      </c>
      <c r="R65" s="116">
        <v>6248944.4299999997</v>
      </c>
      <c r="S65" s="116">
        <v>6834974.1100000003</v>
      </c>
      <c r="T65" s="116">
        <v>7019536.4800000004</v>
      </c>
      <c r="U65" s="116">
        <v>7111801.1399999997</v>
      </c>
      <c r="V65" s="116">
        <v>6876551.9699999997</v>
      </c>
      <c r="W65" s="116">
        <v>6528684.8600000003</v>
      </c>
      <c r="X65" s="116">
        <v>6490742.0499999998</v>
      </c>
      <c r="Y65" s="116">
        <v>6293953.3099999996</v>
      </c>
      <c r="Z65" s="116">
        <v>6011629.6399999997</v>
      </c>
      <c r="AA65" s="116">
        <v>5762684.8099999996</v>
      </c>
      <c r="AB65" s="116">
        <v>5652215.71</v>
      </c>
      <c r="AC65" s="124">
        <v>5497492.5099999998</v>
      </c>
      <c r="AD65" s="124">
        <v>5326071.5599999996</v>
      </c>
      <c r="AE65" s="124">
        <v>5223183.9800000004</v>
      </c>
      <c r="AF65" s="124">
        <v>5483838.6399999997</v>
      </c>
      <c r="AG65" s="124">
        <v>5150380.93</v>
      </c>
      <c r="AH65" s="124">
        <v>5347185.8899999997</v>
      </c>
      <c r="AI65" s="124">
        <v>5198012.29</v>
      </c>
      <c r="AJ65" s="124">
        <v>4776159.16</v>
      </c>
      <c r="AK65" s="124">
        <v>4790011.54</v>
      </c>
      <c r="AL65" s="124">
        <v>4649697.91</v>
      </c>
      <c r="AM65" s="124">
        <v>4650630.45</v>
      </c>
      <c r="AN65" s="124">
        <v>4878238.1900000004</v>
      </c>
      <c r="AO65" s="125">
        <v>5525103.3700000001</v>
      </c>
      <c r="AP65" s="125">
        <v>6978000.71</v>
      </c>
      <c r="AQ65" s="125">
        <v>8563406.2200000007</v>
      </c>
      <c r="AR65" s="125">
        <v>10771892.67</v>
      </c>
      <c r="AS65" s="125">
        <v>12036032.32</v>
      </c>
      <c r="AT65" s="125">
        <v>12698023.029999999</v>
      </c>
      <c r="AU65" s="125">
        <v>12963056.74</v>
      </c>
      <c r="AV65" s="125">
        <v>14075878.210000001</v>
      </c>
      <c r="AW65" s="125">
        <v>14783239.68</v>
      </c>
      <c r="AX65" s="125">
        <v>15623787.800000001</v>
      </c>
      <c r="AY65" s="126"/>
      <c r="AZ65" s="126"/>
      <c r="BA65" s="126"/>
      <c r="BB65" s="126"/>
      <c r="BC65" s="126"/>
      <c r="BD65" s="126"/>
      <c r="BE65" s="126"/>
      <c r="BF65" s="127">
        <v>1404</v>
      </c>
      <c r="BG65" s="97" t="s">
        <v>124</v>
      </c>
      <c r="BH65" s="127">
        <v>5347185.8899999997</v>
      </c>
      <c r="BI65" s="127">
        <v>1404</v>
      </c>
      <c r="BJ65" s="97" t="s">
        <v>124</v>
      </c>
      <c r="BK65" s="127">
        <v>5198012.29</v>
      </c>
    </row>
    <row r="66" spans="2:63" x14ac:dyDescent="0.25">
      <c r="B66" s="121">
        <v>140405</v>
      </c>
      <c r="C66" s="122" t="s">
        <v>97</v>
      </c>
      <c r="D66" s="123">
        <v>15412.33</v>
      </c>
      <c r="E66" s="123">
        <v>16086.75</v>
      </c>
      <c r="F66" s="123">
        <v>19504.48</v>
      </c>
      <c r="G66" s="123">
        <v>23247.7</v>
      </c>
      <c r="H66" s="123">
        <v>33459.040000000001</v>
      </c>
      <c r="I66" s="123">
        <v>41600.21</v>
      </c>
      <c r="J66" s="123">
        <v>50109.01</v>
      </c>
      <c r="K66" s="123">
        <v>52117.63</v>
      </c>
      <c r="L66" s="123">
        <v>93566.94</v>
      </c>
      <c r="M66" s="123">
        <v>85012.9</v>
      </c>
      <c r="N66" s="123">
        <v>99108.39</v>
      </c>
      <c r="O66" s="123">
        <v>107410.65</v>
      </c>
      <c r="P66" s="123">
        <v>125735.42</v>
      </c>
      <c r="Q66" s="123">
        <v>117069.46</v>
      </c>
      <c r="R66" s="123">
        <v>128996.75</v>
      </c>
      <c r="S66" s="123">
        <v>173176.22</v>
      </c>
      <c r="T66" s="123">
        <v>132756.14000000001</v>
      </c>
      <c r="U66" s="123">
        <v>129578.98</v>
      </c>
      <c r="V66" s="123">
        <v>138602.87</v>
      </c>
      <c r="W66" s="123">
        <v>127783.49</v>
      </c>
      <c r="X66" s="123">
        <v>127026.99</v>
      </c>
      <c r="Y66" s="123">
        <v>138606</v>
      </c>
      <c r="Z66" s="123">
        <v>128111.37</v>
      </c>
      <c r="AA66" s="123">
        <v>129372.73</v>
      </c>
      <c r="AB66" s="123">
        <v>133394.35</v>
      </c>
      <c r="AC66" s="124">
        <v>145986.42000000001</v>
      </c>
      <c r="AD66" s="124">
        <v>149011.63</v>
      </c>
      <c r="AE66" s="124">
        <v>132097.23000000001</v>
      </c>
      <c r="AF66" s="124">
        <v>141705.85999999999</v>
      </c>
      <c r="AG66" s="124">
        <v>127697.7</v>
      </c>
      <c r="AH66" s="124">
        <v>133463.57</v>
      </c>
      <c r="AI66" s="124">
        <v>139112.9</v>
      </c>
      <c r="AJ66" s="124">
        <v>131482.32999999999</v>
      </c>
      <c r="AK66" s="124">
        <v>143890.17000000001</v>
      </c>
      <c r="AL66" s="124">
        <v>120518.9</v>
      </c>
      <c r="AM66" s="124">
        <v>128022.42</v>
      </c>
      <c r="AN66" s="124">
        <v>114988.12</v>
      </c>
      <c r="AO66" s="125">
        <v>119824.66</v>
      </c>
      <c r="AP66" s="125">
        <v>127202.2</v>
      </c>
      <c r="AQ66" s="125">
        <v>141069.04999999999</v>
      </c>
      <c r="AR66" s="125">
        <v>148989.15</v>
      </c>
      <c r="AS66" s="125">
        <v>150566.54</v>
      </c>
      <c r="AT66" s="125">
        <v>171208.38</v>
      </c>
      <c r="AU66" s="125">
        <v>174295.28</v>
      </c>
      <c r="AV66" s="125">
        <v>184097.86</v>
      </c>
      <c r="AW66" s="125">
        <v>200968.02</v>
      </c>
      <c r="AX66" s="125">
        <v>211820.18</v>
      </c>
      <c r="AY66" s="126"/>
      <c r="AZ66" s="126"/>
      <c r="BA66" s="126"/>
      <c r="BB66" s="126"/>
      <c r="BC66" s="126"/>
      <c r="BD66" s="126"/>
      <c r="BE66" s="126"/>
      <c r="BF66" s="127">
        <v>140405</v>
      </c>
      <c r="BG66" s="97" t="s">
        <v>97</v>
      </c>
      <c r="BH66" s="127">
        <v>133463.57</v>
      </c>
      <c r="BI66" s="127">
        <v>140405</v>
      </c>
      <c r="BJ66" s="97" t="s">
        <v>97</v>
      </c>
      <c r="BK66" s="127">
        <v>139112.9</v>
      </c>
    </row>
    <row r="67" spans="2:63" x14ac:dyDescent="0.25">
      <c r="B67" s="121">
        <v>140410</v>
      </c>
      <c r="C67" s="122" t="s">
        <v>99</v>
      </c>
      <c r="D67" s="123">
        <v>26157.61</v>
      </c>
      <c r="E67" s="123">
        <v>30132.16</v>
      </c>
      <c r="F67" s="123">
        <v>29118.52</v>
      </c>
      <c r="G67" s="123">
        <v>31754.48</v>
      </c>
      <c r="H67" s="123">
        <v>51922</v>
      </c>
      <c r="I67" s="123">
        <v>67957.48</v>
      </c>
      <c r="J67" s="123">
        <v>76323.05</v>
      </c>
      <c r="K67" s="123">
        <v>91049.98</v>
      </c>
      <c r="L67" s="123">
        <v>127928.93</v>
      </c>
      <c r="M67" s="123">
        <v>133924.84</v>
      </c>
      <c r="N67" s="123">
        <v>168087.62</v>
      </c>
      <c r="O67" s="123">
        <v>188706.4</v>
      </c>
      <c r="P67" s="123">
        <v>201723.69</v>
      </c>
      <c r="Q67" s="123">
        <v>243104.9</v>
      </c>
      <c r="R67" s="123">
        <v>235492.45</v>
      </c>
      <c r="S67" s="123">
        <v>200520.65</v>
      </c>
      <c r="T67" s="123">
        <v>209834.32</v>
      </c>
      <c r="U67" s="123">
        <v>215912.93</v>
      </c>
      <c r="V67" s="123">
        <v>207138.71</v>
      </c>
      <c r="W67" s="123">
        <v>207363.69</v>
      </c>
      <c r="X67" s="123">
        <v>210791.32</v>
      </c>
      <c r="Y67" s="123">
        <v>209262.75</v>
      </c>
      <c r="Z67" s="123">
        <v>201671.76</v>
      </c>
      <c r="AA67" s="123">
        <v>195154.48</v>
      </c>
      <c r="AB67" s="123">
        <v>210463.12</v>
      </c>
      <c r="AC67" s="124">
        <v>207467.53</v>
      </c>
      <c r="AD67" s="124">
        <v>212976.54</v>
      </c>
      <c r="AE67" s="124">
        <v>207252.31</v>
      </c>
      <c r="AF67" s="124">
        <v>216407.57</v>
      </c>
      <c r="AG67" s="124">
        <v>207843.53</v>
      </c>
      <c r="AH67" s="124">
        <v>210360.03</v>
      </c>
      <c r="AI67" s="124">
        <v>214306.64</v>
      </c>
      <c r="AJ67" s="124">
        <v>207926.99</v>
      </c>
      <c r="AK67" s="124">
        <v>203536.42</v>
      </c>
      <c r="AL67" s="124">
        <v>192944.52</v>
      </c>
      <c r="AM67" s="124">
        <v>194635.14</v>
      </c>
      <c r="AN67" s="124">
        <v>206661.13</v>
      </c>
      <c r="AO67" s="125">
        <v>220435.57</v>
      </c>
      <c r="AP67" s="125">
        <v>231842.78</v>
      </c>
      <c r="AQ67" s="125">
        <v>254788.71</v>
      </c>
      <c r="AR67" s="125">
        <v>290523.82</v>
      </c>
      <c r="AS67" s="125">
        <v>323503.19</v>
      </c>
      <c r="AT67" s="125">
        <v>341477.95</v>
      </c>
      <c r="AU67" s="125">
        <v>356200.92</v>
      </c>
      <c r="AV67" s="125">
        <v>377074.21</v>
      </c>
      <c r="AW67" s="125">
        <v>401907.14</v>
      </c>
      <c r="AX67" s="125">
        <v>421885.13</v>
      </c>
      <c r="AY67" s="126"/>
      <c r="AZ67" s="126"/>
      <c r="BA67" s="126"/>
      <c r="BB67" s="126"/>
      <c r="BC67" s="126"/>
      <c r="BD67" s="126"/>
      <c r="BE67" s="126"/>
      <c r="BF67" s="127">
        <v>140410</v>
      </c>
      <c r="BG67" s="97" t="s">
        <v>99</v>
      </c>
      <c r="BH67" s="127">
        <v>210360.03</v>
      </c>
      <c r="BI67" s="127">
        <v>140410</v>
      </c>
      <c r="BJ67" s="97" t="s">
        <v>99</v>
      </c>
      <c r="BK67" s="127">
        <v>214306.64</v>
      </c>
    </row>
    <row r="68" spans="2:63" x14ac:dyDescent="0.25">
      <c r="B68" s="121">
        <v>140415</v>
      </c>
      <c r="C68" s="122" t="s">
        <v>101</v>
      </c>
      <c r="D68" s="123">
        <v>40176.03</v>
      </c>
      <c r="E68" s="123">
        <v>43661.34</v>
      </c>
      <c r="F68" s="123">
        <v>43922.52</v>
      </c>
      <c r="G68" s="123">
        <v>55596.91</v>
      </c>
      <c r="H68" s="123">
        <v>81736.89</v>
      </c>
      <c r="I68" s="123">
        <v>107908.41</v>
      </c>
      <c r="J68" s="123">
        <v>128726.37</v>
      </c>
      <c r="K68" s="123">
        <v>141526.24</v>
      </c>
      <c r="L68" s="123">
        <v>208342.28</v>
      </c>
      <c r="M68" s="123">
        <v>228659.54</v>
      </c>
      <c r="N68" s="123">
        <v>303051.06</v>
      </c>
      <c r="O68" s="123">
        <v>308425.15000000002</v>
      </c>
      <c r="P68" s="123">
        <v>322533.34999999998</v>
      </c>
      <c r="Q68" s="123">
        <v>289812.65000000002</v>
      </c>
      <c r="R68" s="123">
        <v>297538.31</v>
      </c>
      <c r="S68" s="123">
        <v>319662.07</v>
      </c>
      <c r="T68" s="123">
        <v>327203.90999999997</v>
      </c>
      <c r="U68" s="123">
        <v>341429.09</v>
      </c>
      <c r="V68" s="123">
        <v>341893.64</v>
      </c>
      <c r="W68" s="123">
        <v>320305.99</v>
      </c>
      <c r="X68" s="123">
        <v>328122.94</v>
      </c>
      <c r="Y68" s="123">
        <v>326559.25</v>
      </c>
      <c r="Z68" s="123">
        <v>312942.11</v>
      </c>
      <c r="AA68" s="123">
        <v>309068.58</v>
      </c>
      <c r="AB68" s="123">
        <v>300174.28999999998</v>
      </c>
      <c r="AC68" s="124">
        <v>327995.53999999998</v>
      </c>
      <c r="AD68" s="124">
        <v>331248.02</v>
      </c>
      <c r="AE68" s="124">
        <v>323768.82</v>
      </c>
      <c r="AF68" s="124">
        <v>336519.77</v>
      </c>
      <c r="AG68" s="124">
        <v>314190.38</v>
      </c>
      <c r="AH68" s="124">
        <v>319309.09000000003</v>
      </c>
      <c r="AI68" s="124">
        <v>300774.83</v>
      </c>
      <c r="AJ68" s="124">
        <v>296241.28000000003</v>
      </c>
      <c r="AK68" s="124">
        <v>303981.62</v>
      </c>
      <c r="AL68" s="124">
        <v>299444.65000000002</v>
      </c>
      <c r="AM68" s="124">
        <v>297620.01</v>
      </c>
      <c r="AN68" s="124">
        <v>295356.02</v>
      </c>
      <c r="AO68" s="125">
        <v>314367.98</v>
      </c>
      <c r="AP68" s="125">
        <v>340694.62</v>
      </c>
      <c r="AQ68" s="125">
        <v>393938.63</v>
      </c>
      <c r="AR68" s="125">
        <v>471721.19</v>
      </c>
      <c r="AS68" s="125">
        <v>516989.06</v>
      </c>
      <c r="AT68" s="125">
        <v>555833.73</v>
      </c>
      <c r="AU68" s="125">
        <v>561298.36</v>
      </c>
      <c r="AV68" s="125">
        <v>601662.89</v>
      </c>
      <c r="AW68" s="125">
        <v>649927.47</v>
      </c>
      <c r="AX68" s="125">
        <v>686729.25</v>
      </c>
      <c r="AY68" s="126"/>
      <c r="AZ68" s="126"/>
      <c r="BA68" s="126"/>
      <c r="BB68" s="126"/>
      <c r="BC68" s="126"/>
      <c r="BD68" s="126"/>
      <c r="BE68" s="126"/>
      <c r="BF68" s="127">
        <v>140415</v>
      </c>
      <c r="BG68" s="97" t="s">
        <v>101</v>
      </c>
      <c r="BH68" s="127">
        <v>319309.09000000003</v>
      </c>
      <c r="BI68" s="127">
        <v>140415</v>
      </c>
      <c r="BJ68" s="97" t="s">
        <v>101</v>
      </c>
      <c r="BK68" s="127">
        <v>300774.83</v>
      </c>
    </row>
    <row r="69" spans="2:63" x14ac:dyDescent="0.25">
      <c r="B69" s="121">
        <v>140420</v>
      </c>
      <c r="C69" s="122" t="s">
        <v>102</v>
      </c>
      <c r="D69" s="123">
        <v>86158.13</v>
      </c>
      <c r="E69" s="123">
        <v>90352.81</v>
      </c>
      <c r="F69" s="123">
        <v>90874.48</v>
      </c>
      <c r="G69" s="123">
        <v>118919.78</v>
      </c>
      <c r="H69" s="123">
        <v>171191.35</v>
      </c>
      <c r="I69" s="123">
        <v>229733.96</v>
      </c>
      <c r="J69" s="123">
        <v>263919.09000000003</v>
      </c>
      <c r="K69" s="123">
        <v>299013.95</v>
      </c>
      <c r="L69" s="123">
        <v>469021.46</v>
      </c>
      <c r="M69" s="123">
        <v>476893.01</v>
      </c>
      <c r="N69" s="123">
        <v>493957.62</v>
      </c>
      <c r="O69" s="123">
        <v>521201.9</v>
      </c>
      <c r="P69" s="123">
        <v>581467.42000000004</v>
      </c>
      <c r="Q69" s="123">
        <v>569533.93000000005</v>
      </c>
      <c r="R69" s="123">
        <v>605653.25</v>
      </c>
      <c r="S69" s="123">
        <v>661578.86</v>
      </c>
      <c r="T69" s="123">
        <v>676173.24</v>
      </c>
      <c r="U69" s="123">
        <v>709269.87</v>
      </c>
      <c r="V69" s="123">
        <v>688585.78</v>
      </c>
      <c r="W69" s="123">
        <v>654062.99</v>
      </c>
      <c r="X69" s="123">
        <v>666449.55000000005</v>
      </c>
      <c r="Y69" s="123">
        <v>647902.69999999995</v>
      </c>
      <c r="Z69" s="123">
        <v>631961.75</v>
      </c>
      <c r="AA69" s="123">
        <v>614064</v>
      </c>
      <c r="AB69" s="123">
        <v>617447.97</v>
      </c>
      <c r="AC69" s="124">
        <v>641926.21</v>
      </c>
      <c r="AD69" s="124">
        <v>620687.65</v>
      </c>
      <c r="AE69" s="124">
        <v>612505.17000000004</v>
      </c>
      <c r="AF69" s="124">
        <v>627155.85</v>
      </c>
      <c r="AG69" s="124">
        <v>588321.11</v>
      </c>
      <c r="AH69" s="124">
        <v>604237.42000000004</v>
      </c>
      <c r="AI69" s="124">
        <v>596167.37</v>
      </c>
      <c r="AJ69" s="124">
        <v>573655.31999999995</v>
      </c>
      <c r="AK69" s="124">
        <v>561514.71</v>
      </c>
      <c r="AL69" s="124">
        <v>546689.16</v>
      </c>
      <c r="AM69" s="124">
        <v>538032.51</v>
      </c>
      <c r="AN69" s="124">
        <v>567279.42000000004</v>
      </c>
      <c r="AO69" s="125">
        <v>615010.01</v>
      </c>
      <c r="AP69" s="125">
        <v>705100.47</v>
      </c>
      <c r="AQ69" s="125">
        <v>835553.76</v>
      </c>
      <c r="AR69" s="125">
        <v>998115.59</v>
      </c>
      <c r="AS69" s="125">
        <v>1104569.45</v>
      </c>
      <c r="AT69" s="125">
        <v>1161369.96</v>
      </c>
      <c r="AU69" s="125">
        <v>1196662.1499999999</v>
      </c>
      <c r="AV69" s="125">
        <v>1278040.6599999999</v>
      </c>
      <c r="AW69" s="125">
        <v>1324331.67</v>
      </c>
      <c r="AX69" s="125">
        <v>1404564.48</v>
      </c>
      <c r="AY69" s="126"/>
      <c r="AZ69" s="126"/>
      <c r="BA69" s="126"/>
      <c r="BB69" s="126"/>
      <c r="BC69" s="126"/>
      <c r="BD69" s="126"/>
      <c r="BE69" s="126"/>
      <c r="BF69" s="127">
        <v>140420</v>
      </c>
      <c r="BG69" s="97" t="s">
        <v>102</v>
      </c>
      <c r="BH69" s="127">
        <v>604237.42000000004</v>
      </c>
      <c r="BI69" s="127">
        <v>140420</v>
      </c>
      <c r="BJ69" s="97" t="s">
        <v>102</v>
      </c>
      <c r="BK69" s="127">
        <v>596167.37</v>
      </c>
    </row>
    <row r="70" spans="2:63" x14ac:dyDescent="0.25">
      <c r="B70" s="121">
        <v>140425</v>
      </c>
      <c r="C70" s="122" t="s">
        <v>103</v>
      </c>
      <c r="D70" s="123">
        <v>651130.37</v>
      </c>
      <c r="E70" s="123">
        <v>645818.46</v>
      </c>
      <c r="F70" s="123">
        <v>640375.4</v>
      </c>
      <c r="G70" s="123">
        <v>737699.15</v>
      </c>
      <c r="H70" s="123">
        <v>1219936.94</v>
      </c>
      <c r="I70" s="123">
        <v>1795713.29</v>
      </c>
      <c r="J70" s="123">
        <v>2211542.2200000002</v>
      </c>
      <c r="K70" s="123">
        <v>2500278.38</v>
      </c>
      <c r="L70" s="123">
        <v>3243437.41</v>
      </c>
      <c r="M70" s="123">
        <v>3445342.4</v>
      </c>
      <c r="N70" s="123">
        <v>3835902.41</v>
      </c>
      <c r="O70" s="123">
        <v>4237141.17</v>
      </c>
      <c r="P70" s="123">
        <v>4654120.97</v>
      </c>
      <c r="Q70" s="123">
        <v>4754313.0599999996</v>
      </c>
      <c r="R70" s="123">
        <v>4981263.67</v>
      </c>
      <c r="S70" s="123">
        <v>5480036.3099999996</v>
      </c>
      <c r="T70" s="123">
        <v>5673568.8700000001</v>
      </c>
      <c r="U70" s="123">
        <v>5715610.2699999996</v>
      </c>
      <c r="V70" s="123">
        <v>5500330.9699999997</v>
      </c>
      <c r="W70" s="123">
        <v>5219168.7</v>
      </c>
      <c r="X70" s="123">
        <v>5158351.25</v>
      </c>
      <c r="Y70" s="123">
        <v>4971622.6100000003</v>
      </c>
      <c r="Z70" s="123">
        <v>4736942.6500000004</v>
      </c>
      <c r="AA70" s="123">
        <v>4515025.0199999996</v>
      </c>
      <c r="AB70" s="123">
        <v>4390735.9800000004</v>
      </c>
      <c r="AC70" s="124">
        <v>4174116.81</v>
      </c>
      <c r="AD70" s="124">
        <v>4012147.72</v>
      </c>
      <c r="AE70" s="124">
        <v>3947560.45</v>
      </c>
      <c r="AF70" s="124">
        <v>4162049.59</v>
      </c>
      <c r="AG70" s="124">
        <v>3912328.21</v>
      </c>
      <c r="AH70" s="124">
        <v>4079815.78</v>
      </c>
      <c r="AI70" s="124">
        <v>3947650.55</v>
      </c>
      <c r="AJ70" s="124">
        <v>3566853.24</v>
      </c>
      <c r="AK70" s="124">
        <v>3577088.62</v>
      </c>
      <c r="AL70" s="124">
        <v>3490100.68</v>
      </c>
      <c r="AM70" s="124">
        <v>3492320.37</v>
      </c>
      <c r="AN70" s="124">
        <v>3693953.5</v>
      </c>
      <c r="AO70" s="125">
        <v>4255465.1500000004</v>
      </c>
      <c r="AP70" s="125">
        <v>5573160.6399999997</v>
      </c>
      <c r="AQ70" s="125">
        <v>6938056.0700000003</v>
      </c>
      <c r="AR70" s="125">
        <v>8862542.9199999999</v>
      </c>
      <c r="AS70" s="125">
        <v>9940404.0800000001</v>
      </c>
      <c r="AT70" s="125">
        <v>10468133.01</v>
      </c>
      <c r="AU70" s="125">
        <v>10674600.029999999</v>
      </c>
      <c r="AV70" s="125">
        <v>11635002.59</v>
      </c>
      <c r="AW70" s="125">
        <v>12206105.380000001</v>
      </c>
      <c r="AX70" s="125">
        <v>12898788.76</v>
      </c>
      <c r="AY70" s="126"/>
      <c r="AZ70" s="126"/>
      <c r="BA70" s="126"/>
      <c r="BB70" s="126"/>
      <c r="BC70" s="126"/>
      <c r="BD70" s="126"/>
      <c r="BE70" s="126"/>
      <c r="BF70" s="127">
        <v>140425</v>
      </c>
      <c r="BG70" s="97" t="s">
        <v>103</v>
      </c>
      <c r="BH70" s="127">
        <v>4079815.78</v>
      </c>
      <c r="BI70" s="127">
        <v>140425</v>
      </c>
      <c r="BJ70" s="97" t="s">
        <v>103</v>
      </c>
      <c r="BK70" s="127">
        <v>3947650.55</v>
      </c>
    </row>
    <row r="71" spans="2:63" x14ac:dyDescent="0.25">
      <c r="B71" s="121">
        <v>1410</v>
      </c>
      <c r="C71" s="122" t="s">
        <v>125</v>
      </c>
      <c r="D71" s="141"/>
      <c r="E71" s="141"/>
      <c r="F71" s="141"/>
      <c r="G71" s="141"/>
      <c r="H71" s="141"/>
      <c r="I71" s="141"/>
      <c r="J71" s="116">
        <v>13549.05</v>
      </c>
      <c r="K71" s="116">
        <v>13549.05</v>
      </c>
      <c r="L71" s="116">
        <v>13248.62</v>
      </c>
      <c r="M71" s="116">
        <v>13248.62</v>
      </c>
      <c r="N71" s="116">
        <v>13098.32</v>
      </c>
      <c r="O71" s="116">
        <v>12785.89</v>
      </c>
      <c r="P71" s="116">
        <v>12623.84</v>
      </c>
      <c r="Q71" s="116">
        <v>19365.96</v>
      </c>
      <c r="R71" s="116">
        <v>19207.27</v>
      </c>
      <c r="S71" s="116">
        <v>18889.82</v>
      </c>
      <c r="T71" s="116">
        <v>12125.08</v>
      </c>
      <c r="U71" s="116">
        <v>25764.240000000002</v>
      </c>
      <c r="V71" s="116">
        <v>37272.76</v>
      </c>
      <c r="W71" s="116">
        <v>50938.28</v>
      </c>
      <c r="X71" s="116">
        <v>83341.37</v>
      </c>
      <c r="Y71" s="116">
        <v>117623.86</v>
      </c>
      <c r="Z71" s="116">
        <v>129152.68</v>
      </c>
      <c r="AA71" s="116">
        <v>148180.07999999999</v>
      </c>
      <c r="AB71" s="116">
        <v>127243.32</v>
      </c>
      <c r="AC71" s="124">
        <v>154439.51</v>
      </c>
      <c r="AD71" s="124">
        <v>136535.48000000001</v>
      </c>
      <c r="AE71" s="124">
        <v>204425.51</v>
      </c>
      <c r="AF71" s="124">
        <v>194358.52</v>
      </c>
      <c r="AG71" s="124">
        <v>170610.21</v>
      </c>
      <c r="AH71" s="124">
        <v>129004.01</v>
      </c>
      <c r="AI71" s="124">
        <v>137748.32999999999</v>
      </c>
      <c r="AJ71" s="124">
        <v>163688.45000000001</v>
      </c>
      <c r="AK71" s="124">
        <v>140698.19</v>
      </c>
      <c r="AL71" s="124">
        <v>178471.48</v>
      </c>
      <c r="AM71" s="124">
        <v>177358.14</v>
      </c>
      <c r="AN71" s="124">
        <v>174780.34</v>
      </c>
      <c r="AO71" s="125">
        <v>157355.01999999999</v>
      </c>
      <c r="AP71" s="125">
        <v>165955.71</v>
      </c>
      <c r="AQ71" s="125">
        <v>150147.76999999999</v>
      </c>
      <c r="AR71" s="125">
        <v>175307.56</v>
      </c>
      <c r="AS71" s="125">
        <v>201133.93</v>
      </c>
      <c r="AT71" s="125">
        <v>174009.64</v>
      </c>
      <c r="AU71" s="125">
        <v>228653.24</v>
      </c>
      <c r="AV71" s="125">
        <v>217587.7</v>
      </c>
      <c r="AW71" s="125">
        <v>213355.03</v>
      </c>
      <c r="AX71" s="125">
        <v>260130</v>
      </c>
      <c r="AY71" s="126"/>
      <c r="AZ71" s="126"/>
      <c r="BA71" s="126"/>
      <c r="BB71" s="126"/>
      <c r="BC71" s="126"/>
      <c r="BD71" s="126"/>
      <c r="BE71" s="126"/>
      <c r="BF71" s="127">
        <v>1410</v>
      </c>
      <c r="BG71" s="97" t="s">
        <v>125</v>
      </c>
      <c r="BH71" s="127">
        <v>129004.01</v>
      </c>
      <c r="BI71" s="127">
        <v>1410</v>
      </c>
      <c r="BJ71" s="97" t="s">
        <v>125</v>
      </c>
      <c r="BK71" s="127">
        <v>137748.32999999999</v>
      </c>
    </row>
    <row r="72" spans="2:63" x14ac:dyDescent="0.25">
      <c r="B72" s="121">
        <v>141005</v>
      </c>
      <c r="C72" s="122" t="s">
        <v>126</v>
      </c>
      <c r="D72" s="128"/>
      <c r="E72" s="128"/>
      <c r="F72" s="128"/>
      <c r="G72" s="128"/>
      <c r="H72" s="128"/>
      <c r="I72" s="128"/>
      <c r="J72" s="123">
        <v>152.13</v>
      </c>
      <c r="K72" s="123">
        <v>300.43</v>
      </c>
      <c r="L72" s="123">
        <v>150.30000000000001</v>
      </c>
      <c r="M72" s="123">
        <v>308.29000000000002</v>
      </c>
      <c r="N72" s="123">
        <v>312.43</v>
      </c>
      <c r="O72" s="123">
        <v>162.05000000000001</v>
      </c>
      <c r="P72" s="123">
        <v>158.69</v>
      </c>
      <c r="Q72" s="123">
        <v>476.14</v>
      </c>
      <c r="R72" s="123">
        <v>642.27</v>
      </c>
      <c r="S72" s="123">
        <v>640.1</v>
      </c>
      <c r="T72" s="123">
        <v>338.18</v>
      </c>
      <c r="U72" s="123">
        <v>278.38</v>
      </c>
      <c r="V72" s="123">
        <v>640.34</v>
      </c>
      <c r="W72" s="123">
        <v>637.91</v>
      </c>
      <c r="X72" s="123">
        <v>1355.26</v>
      </c>
      <c r="Y72" s="123">
        <v>1438.91</v>
      </c>
      <c r="Z72" s="123">
        <v>2518.0100000000002</v>
      </c>
      <c r="AA72" s="123">
        <v>2774.48</v>
      </c>
      <c r="AB72" s="123">
        <v>2691.92</v>
      </c>
      <c r="AC72" s="124">
        <v>4292.7700000000004</v>
      </c>
      <c r="AD72" s="124">
        <v>4450.99</v>
      </c>
      <c r="AE72" s="124">
        <v>5024.7299999999996</v>
      </c>
      <c r="AF72" s="124">
        <v>5341.44</v>
      </c>
      <c r="AG72" s="124">
        <v>4250.32</v>
      </c>
      <c r="AH72" s="124">
        <v>4287.74</v>
      </c>
      <c r="AI72" s="124">
        <v>4125.3900000000003</v>
      </c>
      <c r="AJ72" s="124">
        <v>5641.83</v>
      </c>
      <c r="AK72" s="124">
        <v>3874.8</v>
      </c>
      <c r="AL72" s="124">
        <v>4245.62</v>
      </c>
      <c r="AM72" s="124">
        <v>4130.8500000000004</v>
      </c>
      <c r="AN72" s="124">
        <v>9170.1299999999992</v>
      </c>
      <c r="AO72" s="125">
        <v>4459.68</v>
      </c>
      <c r="AP72" s="125">
        <v>4896.9399999999996</v>
      </c>
      <c r="AQ72" s="125">
        <v>3616.17</v>
      </c>
      <c r="AR72" s="125">
        <v>4454.1499999999996</v>
      </c>
      <c r="AS72" s="125">
        <v>5144.18</v>
      </c>
      <c r="AT72" s="125">
        <v>4223.46</v>
      </c>
      <c r="AU72" s="125">
        <v>5334.95</v>
      </c>
      <c r="AV72" s="125">
        <v>6029.68</v>
      </c>
      <c r="AW72" s="125">
        <v>7345.77</v>
      </c>
      <c r="AX72" s="125">
        <v>6934.8</v>
      </c>
      <c r="AY72" s="126"/>
      <c r="AZ72" s="126"/>
      <c r="BA72" s="126"/>
      <c r="BB72" s="126"/>
      <c r="BC72" s="126"/>
      <c r="BD72" s="126"/>
      <c r="BE72" s="126"/>
      <c r="BF72" s="127">
        <v>141005</v>
      </c>
      <c r="BG72" s="97" t="s">
        <v>126</v>
      </c>
      <c r="BH72" s="127">
        <v>4287.74</v>
      </c>
      <c r="BI72" s="127">
        <v>141005</v>
      </c>
      <c r="BJ72" s="97" t="s">
        <v>126</v>
      </c>
      <c r="BK72" s="127">
        <v>4125.3900000000003</v>
      </c>
    </row>
    <row r="73" spans="2:63" x14ac:dyDescent="0.25">
      <c r="B73" s="121">
        <v>141010</v>
      </c>
      <c r="C73" s="122" t="s">
        <v>127</v>
      </c>
      <c r="D73" s="128"/>
      <c r="E73" s="128"/>
      <c r="F73" s="128"/>
      <c r="G73" s="128"/>
      <c r="H73" s="128"/>
      <c r="I73" s="128"/>
      <c r="J73" s="123">
        <v>148.30000000000001</v>
      </c>
      <c r="K73" s="123">
        <v>150.30000000000001</v>
      </c>
      <c r="L73" s="123">
        <v>157.99</v>
      </c>
      <c r="M73" s="123">
        <v>154.44</v>
      </c>
      <c r="N73" s="123">
        <v>162.05000000000001</v>
      </c>
      <c r="O73" s="123">
        <v>330.31</v>
      </c>
      <c r="P73" s="123">
        <v>340.07</v>
      </c>
      <c r="Q73" s="123">
        <v>640.1</v>
      </c>
      <c r="R73" s="123">
        <v>469.91</v>
      </c>
      <c r="S73" s="123">
        <v>481.4</v>
      </c>
      <c r="T73" s="123">
        <v>169.93</v>
      </c>
      <c r="U73" s="123">
        <v>579.22</v>
      </c>
      <c r="V73" s="123">
        <v>750.56</v>
      </c>
      <c r="W73" s="123">
        <v>1199.06</v>
      </c>
      <c r="X73" s="123">
        <v>1601.78</v>
      </c>
      <c r="Y73" s="123">
        <v>4072.22</v>
      </c>
      <c r="Z73" s="123">
        <v>4124.03</v>
      </c>
      <c r="AA73" s="123">
        <v>4579.2</v>
      </c>
      <c r="AB73" s="123">
        <v>4800.09</v>
      </c>
      <c r="AC73" s="124">
        <v>4501.57</v>
      </c>
      <c r="AD73" s="124">
        <v>5389.27</v>
      </c>
      <c r="AE73" s="124">
        <v>6545.86</v>
      </c>
      <c r="AF73" s="124">
        <v>6950.97</v>
      </c>
      <c r="AG73" s="124">
        <v>6328.06</v>
      </c>
      <c r="AH73" s="124">
        <v>5679.23</v>
      </c>
      <c r="AI73" s="124">
        <v>5744.9</v>
      </c>
      <c r="AJ73" s="124">
        <v>5992.32</v>
      </c>
      <c r="AK73" s="124">
        <v>4924.47</v>
      </c>
      <c r="AL73" s="124">
        <v>10855.37</v>
      </c>
      <c r="AM73" s="124">
        <v>11419.11</v>
      </c>
      <c r="AN73" s="124">
        <v>6418.05</v>
      </c>
      <c r="AO73" s="125">
        <v>6286.9</v>
      </c>
      <c r="AP73" s="125">
        <v>6215.55</v>
      </c>
      <c r="AQ73" s="125">
        <v>5896.69</v>
      </c>
      <c r="AR73" s="125">
        <v>6954.66</v>
      </c>
      <c r="AS73" s="125">
        <v>7202.67</v>
      </c>
      <c r="AT73" s="125">
        <v>6777.01</v>
      </c>
      <c r="AU73" s="125">
        <v>9053.2000000000007</v>
      </c>
      <c r="AV73" s="125">
        <v>9852.1299999999992</v>
      </c>
      <c r="AW73" s="125">
        <v>9740.25</v>
      </c>
      <c r="AX73" s="125">
        <v>10468.790000000001</v>
      </c>
      <c r="AY73" s="126"/>
      <c r="AZ73" s="126"/>
      <c r="BA73" s="126"/>
      <c r="BB73" s="126"/>
      <c r="BC73" s="126"/>
      <c r="BD73" s="126"/>
      <c r="BE73" s="126"/>
      <c r="BF73" s="127">
        <v>141010</v>
      </c>
      <c r="BG73" s="97" t="s">
        <v>127</v>
      </c>
      <c r="BH73" s="127">
        <v>5679.23</v>
      </c>
      <c r="BI73" s="127">
        <v>141010</v>
      </c>
      <c r="BJ73" s="97" t="s">
        <v>127</v>
      </c>
      <c r="BK73" s="127">
        <v>5744.9</v>
      </c>
    </row>
    <row r="74" spans="2:63" x14ac:dyDescent="0.25">
      <c r="B74" s="121">
        <v>141015</v>
      </c>
      <c r="C74" s="122" t="s">
        <v>128</v>
      </c>
      <c r="D74" s="128"/>
      <c r="E74" s="128"/>
      <c r="F74" s="128"/>
      <c r="G74" s="128"/>
      <c r="H74" s="128"/>
      <c r="I74" s="128"/>
      <c r="J74" s="123">
        <v>462.73</v>
      </c>
      <c r="K74" s="123">
        <v>474.48</v>
      </c>
      <c r="L74" s="123">
        <v>475.18</v>
      </c>
      <c r="M74" s="123">
        <v>492.36</v>
      </c>
      <c r="N74" s="123">
        <v>498.76</v>
      </c>
      <c r="O74" s="123">
        <v>333.84</v>
      </c>
      <c r="P74" s="123">
        <v>338.18</v>
      </c>
      <c r="Q74" s="123">
        <v>987.22</v>
      </c>
      <c r="R74" s="123">
        <v>990.77</v>
      </c>
      <c r="S74" s="123">
        <v>998.91</v>
      </c>
      <c r="T74" s="123">
        <v>528.79</v>
      </c>
      <c r="U74" s="123">
        <v>892.25</v>
      </c>
      <c r="V74" s="123">
        <v>1457.49</v>
      </c>
      <c r="W74" s="123">
        <v>2131.29</v>
      </c>
      <c r="X74" s="123">
        <v>3201.17</v>
      </c>
      <c r="Y74" s="123">
        <v>6827.97</v>
      </c>
      <c r="Z74" s="123">
        <v>7300.23</v>
      </c>
      <c r="AA74" s="123">
        <v>7810.8</v>
      </c>
      <c r="AB74" s="123">
        <v>7136.2</v>
      </c>
      <c r="AC74" s="124">
        <v>8354.81</v>
      </c>
      <c r="AD74" s="124">
        <v>8636.31</v>
      </c>
      <c r="AE74" s="124">
        <v>11347.17</v>
      </c>
      <c r="AF74" s="124">
        <v>11046.39</v>
      </c>
      <c r="AG74" s="124">
        <v>9607.83</v>
      </c>
      <c r="AH74" s="124">
        <v>7813.25</v>
      </c>
      <c r="AI74" s="124">
        <v>7417.03</v>
      </c>
      <c r="AJ74" s="124">
        <v>8551.2900000000009</v>
      </c>
      <c r="AK74" s="124">
        <v>8249.1299999999992</v>
      </c>
      <c r="AL74" s="124">
        <v>9580.0300000000007</v>
      </c>
      <c r="AM74" s="124">
        <v>9454.9500000000007</v>
      </c>
      <c r="AN74" s="124">
        <v>9472.7999999999993</v>
      </c>
      <c r="AO74" s="125">
        <v>9326.69</v>
      </c>
      <c r="AP74" s="125">
        <v>9960.57</v>
      </c>
      <c r="AQ74" s="125">
        <v>10094.18</v>
      </c>
      <c r="AR74" s="125">
        <v>11448.48</v>
      </c>
      <c r="AS74" s="125">
        <v>13170.96</v>
      </c>
      <c r="AT74" s="125">
        <v>13179.14</v>
      </c>
      <c r="AU74" s="125">
        <v>16495.36</v>
      </c>
      <c r="AV74" s="125">
        <v>16415.11</v>
      </c>
      <c r="AW74" s="125">
        <v>16781.68</v>
      </c>
      <c r="AX74" s="125">
        <v>18912.66</v>
      </c>
      <c r="AY74" s="126"/>
      <c r="AZ74" s="126"/>
      <c r="BA74" s="126"/>
      <c r="BB74" s="126"/>
      <c r="BC74" s="126"/>
      <c r="BD74" s="126"/>
      <c r="BE74" s="126"/>
      <c r="BF74" s="127">
        <v>141015</v>
      </c>
      <c r="BG74" s="97" t="s">
        <v>128</v>
      </c>
      <c r="BH74" s="127">
        <v>7813.25</v>
      </c>
      <c r="BI74" s="127">
        <v>141015</v>
      </c>
      <c r="BJ74" s="97" t="s">
        <v>128</v>
      </c>
      <c r="BK74" s="127">
        <v>7417.03</v>
      </c>
    </row>
    <row r="75" spans="2:63" x14ac:dyDescent="0.25">
      <c r="B75" s="121">
        <v>141020</v>
      </c>
      <c r="C75" s="122" t="s">
        <v>129</v>
      </c>
      <c r="D75" s="128"/>
      <c r="E75" s="128"/>
      <c r="F75" s="128"/>
      <c r="G75" s="128"/>
      <c r="H75" s="128"/>
      <c r="I75" s="128"/>
      <c r="J75" s="123">
        <v>998.99</v>
      </c>
      <c r="K75" s="123">
        <v>1006.87</v>
      </c>
      <c r="L75" s="123">
        <v>1025.43</v>
      </c>
      <c r="M75" s="123">
        <v>1028.4100000000001</v>
      </c>
      <c r="N75" s="123">
        <v>1036.9000000000001</v>
      </c>
      <c r="O75" s="123">
        <v>1055.6300000000001</v>
      </c>
      <c r="P75" s="123">
        <v>1064.6300000000001</v>
      </c>
      <c r="Q75" s="123">
        <v>1892.62</v>
      </c>
      <c r="R75" s="123">
        <v>1921.21</v>
      </c>
      <c r="S75" s="123">
        <v>2129.27</v>
      </c>
      <c r="T75" s="123">
        <v>1131.5999999999999</v>
      </c>
      <c r="U75" s="123">
        <v>1914.64</v>
      </c>
      <c r="V75" s="123">
        <v>3091.53</v>
      </c>
      <c r="W75" s="123">
        <v>4550.6000000000004</v>
      </c>
      <c r="X75" s="123">
        <v>6863.38</v>
      </c>
      <c r="Y75" s="123">
        <v>14407.41</v>
      </c>
      <c r="Z75" s="123">
        <v>15418.69</v>
      </c>
      <c r="AA75" s="123">
        <v>15162.41</v>
      </c>
      <c r="AB75" s="123">
        <v>14247.51</v>
      </c>
      <c r="AC75" s="124">
        <v>16356.89</v>
      </c>
      <c r="AD75" s="124">
        <v>15250.94</v>
      </c>
      <c r="AE75" s="124">
        <v>20700.25</v>
      </c>
      <c r="AF75" s="124">
        <v>19283.759999999998</v>
      </c>
      <c r="AG75" s="124">
        <v>18134.43</v>
      </c>
      <c r="AH75" s="124">
        <v>15541.19</v>
      </c>
      <c r="AI75" s="124">
        <v>16245.77</v>
      </c>
      <c r="AJ75" s="124">
        <v>18187.93</v>
      </c>
      <c r="AK75" s="124">
        <v>17295.27</v>
      </c>
      <c r="AL75" s="124">
        <v>20109.71</v>
      </c>
      <c r="AM75" s="124">
        <v>20351.64</v>
      </c>
      <c r="AN75" s="124">
        <v>20193.55</v>
      </c>
      <c r="AO75" s="125">
        <v>19283.27</v>
      </c>
      <c r="AP75" s="125">
        <v>19531.46</v>
      </c>
      <c r="AQ75" s="125">
        <v>20419.88</v>
      </c>
      <c r="AR75" s="125">
        <v>23046.93</v>
      </c>
      <c r="AS75" s="125">
        <v>28800.400000000001</v>
      </c>
      <c r="AT75" s="125">
        <v>27511.57</v>
      </c>
      <c r="AU75" s="125">
        <v>35197.89</v>
      </c>
      <c r="AV75" s="125">
        <v>35072.71</v>
      </c>
      <c r="AW75" s="125">
        <v>35226.54</v>
      </c>
      <c r="AX75" s="125">
        <v>39374.36</v>
      </c>
      <c r="AY75" s="126"/>
      <c r="AZ75" s="126"/>
      <c r="BA75" s="126"/>
      <c r="BB75" s="126"/>
      <c r="BC75" s="126"/>
      <c r="BD75" s="126"/>
      <c r="BE75" s="126"/>
      <c r="BF75" s="127">
        <v>141020</v>
      </c>
      <c r="BG75" s="97" t="s">
        <v>129</v>
      </c>
      <c r="BH75" s="127">
        <v>15541.19</v>
      </c>
      <c r="BI75" s="127">
        <v>141020</v>
      </c>
      <c r="BJ75" s="97" t="s">
        <v>129</v>
      </c>
      <c r="BK75" s="127">
        <v>16245.77</v>
      </c>
    </row>
    <row r="76" spans="2:63" x14ac:dyDescent="0.25">
      <c r="B76" s="121">
        <v>141025</v>
      </c>
      <c r="C76" s="122" t="s">
        <v>130</v>
      </c>
      <c r="D76" s="128"/>
      <c r="E76" s="128"/>
      <c r="F76" s="128"/>
      <c r="G76" s="128"/>
      <c r="H76" s="128"/>
      <c r="I76" s="128"/>
      <c r="J76" s="123">
        <v>11786.9</v>
      </c>
      <c r="K76" s="123">
        <v>11616.97</v>
      </c>
      <c r="L76" s="123">
        <v>11439.72</v>
      </c>
      <c r="M76" s="123">
        <v>11265.12</v>
      </c>
      <c r="N76" s="123">
        <v>11088.18</v>
      </c>
      <c r="O76" s="123">
        <v>10904.06</v>
      </c>
      <c r="P76" s="123">
        <v>10722.27</v>
      </c>
      <c r="Q76" s="123">
        <v>15369.88</v>
      </c>
      <c r="R76" s="123">
        <v>15183.11</v>
      </c>
      <c r="S76" s="123">
        <v>14640.14</v>
      </c>
      <c r="T76" s="123">
        <v>9956.58</v>
      </c>
      <c r="U76" s="123">
        <v>22099.75</v>
      </c>
      <c r="V76" s="123">
        <v>31332.84</v>
      </c>
      <c r="W76" s="123">
        <v>42419.42</v>
      </c>
      <c r="X76" s="123">
        <v>70319.78</v>
      </c>
      <c r="Y76" s="123">
        <v>90877.35</v>
      </c>
      <c r="Z76" s="123">
        <v>99791.72</v>
      </c>
      <c r="AA76" s="123">
        <v>117853.19</v>
      </c>
      <c r="AB76" s="123">
        <v>98367.6</v>
      </c>
      <c r="AC76" s="124">
        <v>120933.47</v>
      </c>
      <c r="AD76" s="124">
        <v>102807.97</v>
      </c>
      <c r="AE76" s="124">
        <v>160807.5</v>
      </c>
      <c r="AF76" s="124">
        <v>151735.96</v>
      </c>
      <c r="AG76" s="124">
        <v>132289.57</v>
      </c>
      <c r="AH76" s="124">
        <v>95682.6</v>
      </c>
      <c r="AI76" s="124">
        <v>104215.24</v>
      </c>
      <c r="AJ76" s="124">
        <v>125315.08</v>
      </c>
      <c r="AK76" s="124">
        <v>106354.52</v>
      </c>
      <c r="AL76" s="124">
        <v>133680.75</v>
      </c>
      <c r="AM76" s="124">
        <v>132001.59</v>
      </c>
      <c r="AN76" s="124">
        <v>129525.81</v>
      </c>
      <c r="AO76" s="125">
        <v>117998.48</v>
      </c>
      <c r="AP76" s="125">
        <v>125351.19</v>
      </c>
      <c r="AQ76" s="125">
        <v>110120.85</v>
      </c>
      <c r="AR76" s="125">
        <v>129403.34</v>
      </c>
      <c r="AS76" s="125">
        <v>146815.72</v>
      </c>
      <c r="AT76" s="125">
        <v>122318.46</v>
      </c>
      <c r="AU76" s="125">
        <v>162571.84</v>
      </c>
      <c r="AV76" s="125">
        <v>150218.07</v>
      </c>
      <c r="AW76" s="125">
        <v>144260.79</v>
      </c>
      <c r="AX76" s="125">
        <v>184439.39</v>
      </c>
      <c r="AY76" s="126"/>
      <c r="AZ76" s="126"/>
      <c r="BA76" s="126"/>
      <c r="BB76" s="126"/>
      <c r="BC76" s="126"/>
      <c r="BD76" s="126"/>
      <c r="BE76" s="126"/>
      <c r="BF76" s="120">
        <v>141025</v>
      </c>
      <c r="BG76" s="113" t="s">
        <v>130</v>
      </c>
      <c r="BH76" s="120">
        <v>95682.6</v>
      </c>
      <c r="BI76" s="127">
        <v>141025</v>
      </c>
      <c r="BJ76" s="97" t="s">
        <v>130</v>
      </c>
      <c r="BK76" s="127">
        <v>104215.24</v>
      </c>
    </row>
    <row r="77" spans="2:63" x14ac:dyDescent="0.25">
      <c r="B77" s="121">
        <v>1412</v>
      </c>
      <c r="C77" s="122" t="s">
        <v>131</v>
      </c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3">
        <v>30942.94</v>
      </c>
      <c r="X77" s="123">
        <v>56130.02</v>
      </c>
      <c r="Y77" s="123">
        <v>95559.15</v>
      </c>
      <c r="Z77" s="123">
        <v>117323.1</v>
      </c>
      <c r="AA77" s="123">
        <v>78308.7</v>
      </c>
      <c r="AB77" s="123">
        <v>66919.58</v>
      </c>
      <c r="AC77" s="124">
        <v>59660.07</v>
      </c>
      <c r="AD77" s="124">
        <v>72663.12</v>
      </c>
      <c r="AE77" s="124">
        <v>75490.880000000005</v>
      </c>
      <c r="AF77" s="124">
        <v>77339.77</v>
      </c>
      <c r="AG77" s="124">
        <v>92582.58</v>
      </c>
      <c r="AH77" s="124">
        <v>79069.27</v>
      </c>
      <c r="AI77" s="124">
        <v>92524.83</v>
      </c>
      <c r="AJ77" s="124">
        <v>110455.11</v>
      </c>
      <c r="AK77" s="124">
        <v>89751.13</v>
      </c>
      <c r="AL77" s="124">
        <v>83678.12</v>
      </c>
      <c r="AM77" s="124">
        <v>164462.17000000001</v>
      </c>
      <c r="AN77" s="124">
        <v>100463.39</v>
      </c>
      <c r="AO77" s="125">
        <v>99773.41</v>
      </c>
      <c r="AP77" s="125">
        <v>99366.86</v>
      </c>
      <c r="AQ77" s="125">
        <v>84676.29</v>
      </c>
      <c r="AR77" s="125">
        <v>96007.14</v>
      </c>
      <c r="AS77" s="125">
        <v>95129.66</v>
      </c>
      <c r="AT77" s="125">
        <v>81766.929999999993</v>
      </c>
      <c r="AU77" s="125">
        <v>80596.92</v>
      </c>
      <c r="AV77" s="125">
        <v>79582.5</v>
      </c>
      <c r="AW77" s="125">
        <v>78771.929999999993</v>
      </c>
      <c r="AX77" s="125">
        <v>77541.86</v>
      </c>
      <c r="AY77" s="126"/>
      <c r="AZ77" s="126"/>
      <c r="BA77" s="126"/>
      <c r="BB77" s="126"/>
      <c r="BC77" s="126"/>
      <c r="BD77" s="126"/>
      <c r="BE77" s="126"/>
      <c r="BF77" s="127">
        <v>1412</v>
      </c>
      <c r="BG77" s="97" t="s">
        <v>131</v>
      </c>
      <c r="BH77" s="127">
        <v>79069.27</v>
      </c>
      <c r="BI77" s="120">
        <v>1412</v>
      </c>
      <c r="BJ77" s="113" t="s">
        <v>131</v>
      </c>
      <c r="BK77" s="120">
        <v>92524.83</v>
      </c>
    </row>
    <row r="78" spans="2:63" x14ac:dyDescent="0.25">
      <c r="B78" s="121">
        <v>141205</v>
      </c>
      <c r="C78" s="122" t="s">
        <v>97</v>
      </c>
      <c r="D78" s="128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3">
        <v>231.1</v>
      </c>
      <c r="X78" s="123">
        <v>529.98</v>
      </c>
      <c r="Y78" s="123">
        <v>658.08</v>
      </c>
      <c r="Z78" s="123">
        <v>769.19</v>
      </c>
      <c r="AA78" s="123">
        <v>680.39</v>
      </c>
      <c r="AB78" s="123">
        <v>313.39</v>
      </c>
      <c r="AC78" s="124">
        <v>222.2</v>
      </c>
      <c r="AD78" s="124">
        <v>830.17</v>
      </c>
      <c r="AE78" s="124">
        <v>876.45</v>
      </c>
      <c r="AF78" s="124">
        <v>607.33000000000004</v>
      </c>
      <c r="AG78" s="124">
        <v>1085.3900000000001</v>
      </c>
      <c r="AH78" s="124">
        <v>907.72</v>
      </c>
      <c r="AI78" s="124">
        <v>1115.72</v>
      </c>
      <c r="AJ78" s="124">
        <v>913</v>
      </c>
      <c r="AK78" s="124">
        <v>879.71</v>
      </c>
      <c r="AL78" s="124">
        <v>1004.54</v>
      </c>
      <c r="AM78" s="124">
        <v>1199.0899999999999</v>
      </c>
      <c r="AN78" s="124">
        <v>1285.47</v>
      </c>
      <c r="AO78" s="125">
        <v>1708.63</v>
      </c>
      <c r="AP78" s="125">
        <v>2412.87</v>
      </c>
      <c r="AQ78" s="125">
        <v>1693.84</v>
      </c>
      <c r="AR78" s="125">
        <v>1919.62</v>
      </c>
      <c r="AS78" s="125">
        <v>2012.2</v>
      </c>
      <c r="AT78" s="125">
        <v>1564.31</v>
      </c>
      <c r="AU78" s="125">
        <v>1402.77</v>
      </c>
      <c r="AV78" s="125">
        <v>1416.08</v>
      </c>
      <c r="AW78" s="125">
        <v>1680.69</v>
      </c>
      <c r="AX78" s="125">
        <v>1684.23</v>
      </c>
      <c r="AY78" s="126"/>
      <c r="AZ78" s="126"/>
      <c r="BA78" s="126"/>
      <c r="BB78" s="126"/>
      <c r="BC78" s="126"/>
      <c r="BD78" s="126"/>
      <c r="BE78" s="126"/>
      <c r="BF78" s="127">
        <v>141205</v>
      </c>
      <c r="BG78" s="97" t="s">
        <v>97</v>
      </c>
      <c r="BH78" s="127">
        <v>907.72</v>
      </c>
      <c r="BI78" s="127">
        <v>141205</v>
      </c>
      <c r="BJ78" s="97" t="s">
        <v>97</v>
      </c>
      <c r="BK78" s="127">
        <v>1115.72</v>
      </c>
    </row>
    <row r="79" spans="2:63" x14ac:dyDescent="0.25">
      <c r="B79" s="121">
        <v>141210</v>
      </c>
      <c r="C79" s="122" t="s">
        <v>99</v>
      </c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3">
        <v>488.25</v>
      </c>
      <c r="X79" s="123">
        <v>869.57</v>
      </c>
      <c r="Y79" s="123">
        <v>1321.39</v>
      </c>
      <c r="Z79" s="123">
        <v>1920.92</v>
      </c>
      <c r="AA79" s="123">
        <v>1465.14</v>
      </c>
      <c r="AB79" s="123">
        <v>942.1</v>
      </c>
      <c r="AC79" s="124">
        <v>972.58</v>
      </c>
      <c r="AD79" s="124">
        <v>1223.74</v>
      </c>
      <c r="AE79" s="124">
        <v>1200.6500000000001</v>
      </c>
      <c r="AF79" s="124">
        <v>1286.27</v>
      </c>
      <c r="AG79" s="124">
        <v>1790.67</v>
      </c>
      <c r="AH79" s="124">
        <v>1540.16</v>
      </c>
      <c r="AI79" s="124">
        <v>1668.64</v>
      </c>
      <c r="AJ79" s="124">
        <v>2179.4899999999998</v>
      </c>
      <c r="AK79" s="124">
        <v>2168.5700000000002</v>
      </c>
      <c r="AL79" s="124">
        <v>2086.41</v>
      </c>
      <c r="AM79" s="124">
        <v>3145.19</v>
      </c>
      <c r="AN79" s="124">
        <v>2752.99</v>
      </c>
      <c r="AO79" s="125">
        <v>2790.96</v>
      </c>
      <c r="AP79" s="125">
        <v>2742.45</v>
      </c>
      <c r="AQ79" s="125">
        <v>2278.5300000000002</v>
      </c>
      <c r="AR79" s="125">
        <v>2645.44</v>
      </c>
      <c r="AS79" s="125">
        <v>2681.96</v>
      </c>
      <c r="AT79" s="125">
        <v>2383.79</v>
      </c>
      <c r="AU79" s="125">
        <v>2449.79</v>
      </c>
      <c r="AV79" s="125">
        <v>2483.38</v>
      </c>
      <c r="AW79" s="125">
        <v>2516.34</v>
      </c>
      <c r="AX79" s="125">
        <v>2550.85</v>
      </c>
      <c r="AY79" s="126"/>
      <c r="AZ79" s="126"/>
      <c r="BA79" s="126"/>
      <c r="BB79" s="126"/>
      <c r="BC79" s="126"/>
      <c r="BD79" s="126"/>
      <c r="BE79" s="126"/>
      <c r="BF79" s="127">
        <v>141210</v>
      </c>
      <c r="BG79" s="97" t="s">
        <v>99</v>
      </c>
      <c r="BH79" s="127">
        <v>1540.16</v>
      </c>
      <c r="BI79" s="127">
        <v>141210</v>
      </c>
      <c r="BJ79" s="97" t="s">
        <v>99</v>
      </c>
      <c r="BK79" s="127">
        <v>1668.64</v>
      </c>
    </row>
    <row r="80" spans="2:63" x14ac:dyDescent="0.25">
      <c r="B80" s="121">
        <v>141215</v>
      </c>
      <c r="C80" s="122" t="s">
        <v>101</v>
      </c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3">
        <v>753.3</v>
      </c>
      <c r="X80" s="123">
        <v>1405.79</v>
      </c>
      <c r="Y80" s="123">
        <v>2655.07</v>
      </c>
      <c r="Z80" s="123">
        <v>3341.7</v>
      </c>
      <c r="AA80" s="123">
        <v>2387.1799999999998</v>
      </c>
      <c r="AB80" s="123">
        <v>1766.53</v>
      </c>
      <c r="AC80" s="124">
        <v>1541.81</v>
      </c>
      <c r="AD80" s="124">
        <v>1886.65</v>
      </c>
      <c r="AE80" s="124">
        <v>2116.92</v>
      </c>
      <c r="AF80" s="124">
        <v>2239.94</v>
      </c>
      <c r="AG80" s="124">
        <v>2757.25</v>
      </c>
      <c r="AH80" s="124">
        <v>2457.41</v>
      </c>
      <c r="AI80" s="124">
        <v>2848.54</v>
      </c>
      <c r="AJ80" s="124">
        <v>3865.23</v>
      </c>
      <c r="AK80" s="124">
        <v>3420.32</v>
      </c>
      <c r="AL80" s="124">
        <v>3602.13</v>
      </c>
      <c r="AM80" s="124">
        <v>6136.96</v>
      </c>
      <c r="AN80" s="124">
        <v>4121.42</v>
      </c>
      <c r="AO80" s="125">
        <v>4218.6400000000003</v>
      </c>
      <c r="AP80" s="125">
        <v>4017.5</v>
      </c>
      <c r="AQ80" s="125">
        <v>3585.99</v>
      </c>
      <c r="AR80" s="125">
        <v>4084.43</v>
      </c>
      <c r="AS80" s="125">
        <v>4140.87</v>
      </c>
      <c r="AT80" s="125">
        <v>3766.11</v>
      </c>
      <c r="AU80" s="125">
        <v>3784.46</v>
      </c>
      <c r="AV80" s="125">
        <v>3836.36</v>
      </c>
      <c r="AW80" s="125">
        <v>3948.29</v>
      </c>
      <c r="AX80" s="125">
        <v>4002.43</v>
      </c>
      <c r="AY80" s="126"/>
      <c r="AZ80" s="126"/>
      <c r="BA80" s="126"/>
      <c r="BB80" s="126"/>
      <c r="BC80" s="126"/>
      <c r="BD80" s="126"/>
      <c r="BE80" s="126"/>
      <c r="BF80" s="127">
        <v>141215</v>
      </c>
      <c r="BG80" s="97" t="s">
        <v>101</v>
      </c>
      <c r="BH80" s="127">
        <v>2457.41</v>
      </c>
      <c r="BI80" s="127">
        <v>141215</v>
      </c>
      <c r="BJ80" s="97" t="s">
        <v>101</v>
      </c>
      <c r="BK80" s="127">
        <v>2848.54</v>
      </c>
    </row>
    <row r="81" spans="2:63" x14ac:dyDescent="0.25">
      <c r="B81" s="121">
        <v>141220</v>
      </c>
      <c r="C81" s="122" t="s">
        <v>102</v>
      </c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3">
        <v>1354.78</v>
      </c>
      <c r="X81" s="123">
        <v>2777.03</v>
      </c>
      <c r="Y81" s="123">
        <v>5305.1</v>
      </c>
      <c r="Z81" s="123">
        <v>6778.48</v>
      </c>
      <c r="AA81" s="123">
        <v>4944.66</v>
      </c>
      <c r="AB81" s="123">
        <v>3803.41</v>
      </c>
      <c r="AC81" s="124">
        <v>3234.34</v>
      </c>
      <c r="AD81" s="124">
        <v>4029.19</v>
      </c>
      <c r="AE81" s="124">
        <v>4609.12</v>
      </c>
      <c r="AF81" s="124">
        <v>4828.43</v>
      </c>
      <c r="AG81" s="124">
        <v>5976.79</v>
      </c>
      <c r="AH81" s="124">
        <v>5217.6899999999996</v>
      </c>
      <c r="AI81" s="124">
        <v>6172.86</v>
      </c>
      <c r="AJ81" s="124">
        <v>8360.9500000000007</v>
      </c>
      <c r="AK81" s="124">
        <v>7124.56</v>
      </c>
      <c r="AL81" s="124">
        <v>7320.96</v>
      </c>
      <c r="AM81" s="124">
        <v>12200.98</v>
      </c>
      <c r="AN81" s="124">
        <v>8568.2000000000007</v>
      </c>
      <c r="AO81" s="125">
        <v>8650.66</v>
      </c>
      <c r="AP81" s="125">
        <v>8801.0499999999993</v>
      </c>
      <c r="AQ81" s="125">
        <v>7714.4</v>
      </c>
      <c r="AR81" s="125">
        <v>8759.0499999999993</v>
      </c>
      <c r="AS81" s="125">
        <v>8913.9500000000007</v>
      </c>
      <c r="AT81" s="125">
        <v>7999.43</v>
      </c>
      <c r="AU81" s="125">
        <v>8137.22</v>
      </c>
      <c r="AV81" s="125">
        <v>8248.7999999999993</v>
      </c>
      <c r="AW81" s="125">
        <v>8270.41</v>
      </c>
      <c r="AX81" s="125">
        <v>8410.06</v>
      </c>
      <c r="AY81" s="126"/>
      <c r="AZ81" s="126"/>
      <c r="BA81" s="126"/>
      <c r="BB81" s="126"/>
      <c r="BC81" s="126"/>
      <c r="BD81" s="126"/>
      <c r="BE81" s="126"/>
      <c r="BF81" s="127">
        <v>141220</v>
      </c>
      <c r="BG81" s="97" t="s">
        <v>102</v>
      </c>
      <c r="BH81" s="127">
        <v>5217.6899999999996</v>
      </c>
      <c r="BI81" s="127">
        <v>141220</v>
      </c>
      <c r="BJ81" s="97" t="s">
        <v>102</v>
      </c>
      <c r="BK81" s="127">
        <v>6172.86</v>
      </c>
    </row>
    <row r="82" spans="2:63" x14ac:dyDescent="0.25">
      <c r="B82" s="121">
        <v>141225</v>
      </c>
      <c r="C82" s="122" t="s">
        <v>103</v>
      </c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3">
        <v>28115.51</v>
      </c>
      <c r="X82" s="123">
        <v>50547.65</v>
      </c>
      <c r="Y82" s="123">
        <v>85619.51</v>
      </c>
      <c r="Z82" s="123">
        <v>104512.81</v>
      </c>
      <c r="AA82" s="123">
        <v>68831.33</v>
      </c>
      <c r="AB82" s="123">
        <v>60094.15</v>
      </c>
      <c r="AC82" s="124">
        <v>53689.14</v>
      </c>
      <c r="AD82" s="124">
        <v>64693.37</v>
      </c>
      <c r="AE82" s="124">
        <v>66687.740000000005</v>
      </c>
      <c r="AF82" s="124">
        <v>68377.8</v>
      </c>
      <c r="AG82" s="124">
        <v>80972.479999999996</v>
      </c>
      <c r="AH82" s="124">
        <v>68946.289999999994</v>
      </c>
      <c r="AI82" s="124">
        <v>80719.070000000007</v>
      </c>
      <c r="AJ82" s="124">
        <v>95136.44</v>
      </c>
      <c r="AK82" s="124">
        <v>76157.97</v>
      </c>
      <c r="AL82" s="124">
        <v>69664.08</v>
      </c>
      <c r="AM82" s="124">
        <v>141779.95000000001</v>
      </c>
      <c r="AN82" s="124">
        <v>83735.31</v>
      </c>
      <c r="AO82" s="125">
        <v>82404.52</v>
      </c>
      <c r="AP82" s="125">
        <v>81392.990000000005</v>
      </c>
      <c r="AQ82" s="125">
        <v>69403.53</v>
      </c>
      <c r="AR82" s="125">
        <v>78598.600000000006</v>
      </c>
      <c r="AS82" s="125">
        <v>77380.679999999993</v>
      </c>
      <c r="AT82" s="125">
        <v>66053.289999999994</v>
      </c>
      <c r="AU82" s="125">
        <v>64822.68</v>
      </c>
      <c r="AV82" s="125">
        <v>63597.88</v>
      </c>
      <c r="AW82" s="125">
        <v>62356.2</v>
      </c>
      <c r="AX82" s="125">
        <v>60894.29</v>
      </c>
      <c r="AY82" s="126"/>
      <c r="AZ82" s="126"/>
      <c r="BA82" s="126"/>
      <c r="BB82" s="126"/>
      <c r="BC82" s="126"/>
      <c r="BD82" s="126"/>
      <c r="BE82" s="126"/>
      <c r="BF82" s="120">
        <v>141225</v>
      </c>
      <c r="BG82" s="113" t="s">
        <v>103</v>
      </c>
      <c r="BH82" s="120">
        <v>68946.289999999994</v>
      </c>
      <c r="BI82" s="127">
        <v>141225</v>
      </c>
      <c r="BJ82" s="97" t="s">
        <v>103</v>
      </c>
      <c r="BK82" s="127">
        <v>80719.070000000007</v>
      </c>
    </row>
    <row r="83" spans="2:63" ht="22.5" customHeight="1" x14ac:dyDescent="0.25">
      <c r="B83" s="121">
        <v>1418</v>
      </c>
      <c r="C83" s="122" t="s">
        <v>132</v>
      </c>
      <c r="D83" s="116">
        <v>26201.66</v>
      </c>
      <c r="E83" s="116">
        <v>25435.53</v>
      </c>
      <c r="F83" s="116">
        <v>24494.63</v>
      </c>
      <c r="G83" s="116">
        <v>28579.79</v>
      </c>
      <c r="H83" s="116">
        <v>27599.360000000001</v>
      </c>
      <c r="I83" s="116">
        <v>21556.93</v>
      </c>
      <c r="J83" s="116">
        <v>15979.25</v>
      </c>
      <c r="K83" s="116">
        <v>15065.3</v>
      </c>
      <c r="L83" s="116">
        <v>14223.34</v>
      </c>
      <c r="M83" s="116">
        <v>13290.81</v>
      </c>
      <c r="N83" s="116">
        <v>12342.43</v>
      </c>
      <c r="O83" s="116">
        <v>11381.63</v>
      </c>
      <c r="P83" s="116">
        <v>10049.69</v>
      </c>
      <c r="Q83" s="116">
        <v>9166.07</v>
      </c>
      <c r="R83" s="116">
        <v>8247.42</v>
      </c>
      <c r="S83" s="116">
        <v>7231.35</v>
      </c>
      <c r="T83" s="116">
        <v>6856.37</v>
      </c>
      <c r="U83" s="116">
        <v>6304.02</v>
      </c>
      <c r="V83" s="116">
        <v>5744.16</v>
      </c>
      <c r="W83" s="116">
        <v>20189.48</v>
      </c>
      <c r="X83" s="116">
        <v>96839.78</v>
      </c>
      <c r="Y83" s="116">
        <v>126080.62</v>
      </c>
      <c r="Z83" s="116">
        <v>144531.66</v>
      </c>
      <c r="AA83" s="116">
        <v>142105.07999999999</v>
      </c>
      <c r="AB83" s="116">
        <v>132810.85999999999</v>
      </c>
      <c r="AC83" s="124">
        <v>101408.8</v>
      </c>
      <c r="AD83" s="124">
        <v>81016.33</v>
      </c>
      <c r="AE83" s="124">
        <v>115232.46</v>
      </c>
      <c r="AF83" s="124">
        <v>128355.74</v>
      </c>
      <c r="AG83" s="124">
        <v>96505.46</v>
      </c>
      <c r="AH83" s="124">
        <v>95511.67</v>
      </c>
      <c r="AI83" s="124">
        <v>87312.87</v>
      </c>
      <c r="AJ83" s="124">
        <v>99309.759999999995</v>
      </c>
      <c r="AK83" s="124">
        <v>83344.78</v>
      </c>
      <c r="AL83" s="124">
        <v>118472.19</v>
      </c>
      <c r="AM83" s="124">
        <v>103611.84</v>
      </c>
      <c r="AN83" s="124">
        <v>92990.63</v>
      </c>
      <c r="AO83" s="125">
        <v>101710.24</v>
      </c>
      <c r="AP83" s="125">
        <v>98503.35</v>
      </c>
      <c r="AQ83" s="125">
        <v>97754.1</v>
      </c>
      <c r="AR83" s="125">
        <v>105139.16</v>
      </c>
      <c r="AS83" s="125">
        <v>98287.52</v>
      </c>
      <c r="AT83" s="125">
        <v>113920.12</v>
      </c>
      <c r="AU83" s="125">
        <v>79105.119999999995</v>
      </c>
      <c r="AV83" s="125">
        <v>68014.559999999998</v>
      </c>
      <c r="AW83" s="125">
        <v>66408.22</v>
      </c>
      <c r="AX83" s="125">
        <v>56238.400000000001</v>
      </c>
      <c r="AY83" s="126"/>
      <c r="AZ83" s="126"/>
      <c r="BA83" s="126"/>
      <c r="BB83" s="126"/>
      <c r="BC83" s="126"/>
      <c r="BD83" s="126"/>
      <c r="BE83" s="126"/>
      <c r="BF83" s="127">
        <v>1418</v>
      </c>
      <c r="BG83" s="97" t="s">
        <v>132</v>
      </c>
      <c r="BH83" s="127">
        <v>95511.67</v>
      </c>
      <c r="BI83" s="120">
        <v>1418</v>
      </c>
      <c r="BJ83" s="113" t="s">
        <v>132</v>
      </c>
      <c r="BK83" s="120">
        <v>87312.87</v>
      </c>
    </row>
    <row r="84" spans="2:63" x14ac:dyDescent="0.25">
      <c r="B84" s="121">
        <v>141805</v>
      </c>
      <c r="C84" s="122" t="s">
        <v>97</v>
      </c>
      <c r="D84" s="123">
        <v>1165.2</v>
      </c>
      <c r="E84" s="123">
        <v>1502.45</v>
      </c>
      <c r="F84" s="123">
        <v>1395.97</v>
      </c>
      <c r="G84" s="123">
        <v>1941.37</v>
      </c>
      <c r="H84" s="123">
        <v>1804.84</v>
      </c>
      <c r="I84" s="123">
        <v>1582.98</v>
      </c>
      <c r="J84" s="123">
        <v>1168.06</v>
      </c>
      <c r="K84" s="123">
        <v>1178.6600000000001</v>
      </c>
      <c r="L84" s="123">
        <v>1435.63</v>
      </c>
      <c r="M84" s="123">
        <v>1297</v>
      </c>
      <c r="N84" s="123">
        <v>1477.5</v>
      </c>
      <c r="O84" s="123">
        <v>1331.94</v>
      </c>
      <c r="P84" s="123">
        <v>989.67</v>
      </c>
      <c r="Q84" s="123">
        <v>1285.6199999999999</v>
      </c>
      <c r="R84" s="123">
        <v>1218.26</v>
      </c>
      <c r="S84" s="123">
        <v>927.33</v>
      </c>
      <c r="T84" s="123">
        <v>934.91</v>
      </c>
      <c r="U84" s="123">
        <v>1127.3</v>
      </c>
      <c r="V84" s="123">
        <v>662.3</v>
      </c>
      <c r="W84" s="123">
        <v>594.54999999999995</v>
      </c>
      <c r="X84" s="123">
        <v>1169.97</v>
      </c>
      <c r="Y84" s="123">
        <v>1960.84</v>
      </c>
      <c r="Z84" s="123">
        <v>2432.33</v>
      </c>
      <c r="AA84" s="123">
        <v>2873.22</v>
      </c>
      <c r="AB84" s="123">
        <v>3016.83</v>
      </c>
      <c r="AC84" s="124">
        <v>1805.41</v>
      </c>
      <c r="AD84" s="124">
        <v>1111.9000000000001</v>
      </c>
      <c r="AE84" s="124">
        <v>1649.86</v>
      </c>
      <c r="AF84" s="124">
        <v>2340.84</v>
      </c>
      <c r="AG84" s="124">
        <v>2050.59</v>
      </c>
      <c r="AH84" s="124">
        <v>2462.2600000000002</v>
      </c>
      <c r="AI84" s="124">
        <v>2373.6799999999998</v>
      </c>
      <c r="AJ84" s="124">
        <v>1768.31</v>
      </c>
      <c r="AK84" s="124">
        <v>1080.25</v>
      </c>
      <c r="AL84" s="124">
        <v>1920.85</v>
      </c>
      <c r="AM84" s="124">
        <v>2613.2199999999998</v>
      </c>
      <c r="AN84" s="124">
        <v>1905.42</v>
      </c>
      <c r="AO84" s="125">
        <v>2347.75</v>
      </c>
      <c r="AP84" s="125">
        <v>2293.13</v>
      </c>
      <c r="AQ84" s="125">
        <v>2039.32</v>
      </c>
      <c r="AR84" s="125">
        <v>2972.36</v>
      </c>
      <c r="AS84" s="125">
        <v>2255.67</v>
      </c>
      <c r="AT84" s="125">
        <v>2872.1</v>
      </c>
      <c r="AU84" s="125">
        <v>2189.1999999999998</v>
      </c>
      <c r="AV84" s="125">
        <v>2579.04</v>
      </c>
      <c r="AW84" s="125">
        <v>2499.3000000000002</v>
      </c>
      <c r="AX84" s="125">
        <v>1910.89</v>
      </c>
      <c r="AY84" s="126"/>
      <c r="AZ84" s="126"/>
      <c r="BA84" s="126"/>
      <c r="BB84" s="126"/>
      <c r="BC84" s="126"/>
      <c r="BD84" s="126"/>
      <c r="BE84" s="126"/>
      <c r="BF84" s="127">
        <v>141805</v>
      </c>
      <c r="BG84" s="97" t="s">
        <v>97</v>
      </c>
      <c r="BH84" s="127">
        <v>2462.2600000000002</v>
      </c>
      <c r="BI84" s="127">
        <v>141805</v>
      </c>
      <c r="BJ84" s="97" t="s">
        <v>97</v>
      </c>
      <c r="BK84" s="127">
        <v>2373.6799999999998</v>
      </c>
    </row>
    <row r="85" spans="2:63" x14ac:dyDescent="0.25">
      <c r="B85" s="121">
        <v>141810</v>
      </c>
      <c r="C85" s="122" t="s">
        <v>99</v>
      </c>
      <c r="D85" s="123">
        <v>2085.7800000000002</v>
      </c>
      <c r="E85" s="123">
        <v>1959.44</v>
      </c>
      <c r="F85" s="123">
        <v>1721.46</v>
      </c>
      <c r="G85" s="123">
        <v>1990.47</v>
      </c>
      <c r="H85" s="123">
        <v>2567.1</v>
      </c>
      <c r="I85" s="123">
        <v>1637.97</v>
      </c>
      <c r="J85" s="123">
        <v>1602.03</v>
      </c>
      <c r="K85" s="123">
        <v>1628.42</v>
      </c>
      <c r="L85" s="123">
        <v>1490.03</v>
      </c>
      <c r="M85" s="123">
        <v>1672.6</v>
      </c>
      <c r="N85" s="123">
        <v>1530.51</v>
      </c>
      <c r="O85" s="123">
        <v>2169.2399999999998</v>
      </c>
      <c r="P85" s="123">
        <v>2203.65</v>
      </c>
      <c r="Q85" s="123">
        <v>1576.43</v>
      </c>
      <c r="R85" s="123">
        <v>817.52</v>
      </c>
      <c r="S85" s="123">
        <v>652.37</v>
      </c>
      <c r="T85" s="123">
        <v>839.6</v>
      </c>
      <c r="U85" s="123">
        <v>371.88</v>
      </c>
      <c r="V85" s="123">
        <v>557.70000000000005</v>
      </c>
      <c r="W85" s="123">
        <v>1027.69</v>
      </c>
      <c r="X85" s="123">
        <v>2332.46</v>
      </c>
      <c r="Y85" s="123">
        <v>3198.77</v>
      </c>
      <c r="Z85" s="123">
        <v>3662.62</v>
      </c>
      <c r="AA85" s="123">
        <v>4485.82</v>
      </c>
      <c r="AB85" s="123">
        <v>4336.8599999999997</v>
      </c>
      <c r="AC85" s="124">
        <v>3100.4</v>
      </c>
      <c r="AD85" s="124">
        <v>2820</v>
      </c>
      <c r="AE85" s="124">
        <v>3384.41</v>
      </c>
      <c r="AF85" s="124">
        <v>4206.0600000000004</v>
      </c>
      <c r="AG85" s="124">
        <v>3104.47</v>
      </c>
      <c r="AH85" s="124">
        <v>3420.79</v>
      </c>
      <c r="AI85" s="124">
        <v>3288.57</v>
      </c>
      <c r="AJ85" s="124">
        <v>2827.76</v>
      </c>
      <c r="AK85" s="124">
        <v>2934.51</v>
      </c>
      <c r="AL85" s="124">
        <v>3614.47</v>
      </c>
      <c r="AM85" s="124">
        <v>3785.38</v>
      </c>
      <c r="AN85" s="124">
        <v>3633.23</v>
      </c>
      <c r="AO85" s="125">
        <v>3798.91</v>
      </c>
      <c r="AP85" s="125">
        <v>3462.28</v>
      </c>
      <c r="AQ85" s="125">
        <v>3614.83</v>
      </c>
      <c r="AR85" s="125">
        <v>3856.23</v>
      </c>
      <c r="AS85" s="125">
        <v>3570.63</v>
      </c>
      <c r="AT85" s="125">
        <v>4186.1499999999996</v>
      </c>
      <c r="AU85" s="125">
        <v>3673.97</v>
      </c>
      <c r="AV85" s="125">
        <v>3205.4</v>
      </c>
      <c r="AW85" s="125">
        <v>3085.09</v>
      </c>
      <c r="AX85" s="125">
        <v>2808.07</v>
      </c>
      <c r="AY85" s="126"/>
      <c r="AZ85" s="126"/>
      <c r="BA85" s="126"/>
      <c r="BB85" s="126"/>
      <c r="BC85" s="126"/>
      <c r="BD85" s="126"/>
      <c r="BE85" s="126"/>
      <c r="BF85" s="127">
        <v>141810</v>
      </c>
      <c r="BG85" s="97" t="s">
        <v>99</v>
      </c>
      <c r="BH85" s="127">
        <v>3420.79</v>
      </c>
      <c r="BI85" s="127">
        <v>141810</v>
      </c>
      <c r="BJ85" s="97" t="s">
        <v>99</v>
      </c>
      <c r="BK85" s="127">
        <v>3288.57</v>
      </c>
    </row>
    <row r="86" spans="2:63" x14ac:dyDescent="0.25">
      <c r="B86" s="121">
        <v>141815</v>
      </c>
      <c r="C86" s="122" t="s">
        <v>101</v>
      </c>
      <c r="D86" s="123">
        <v>2571.65</v>
      </c>
      <c r="E86" s="123">
        <v>2866.23</v>
      </c>
      <c r="F86" s="123">
        <v>3041.22</v>
      </c>
      <c r="G86" s="123">
        <v>4302.82</v>
      </c>
      <c r="H86" s="123">
        <v>4359.87</v>
      </c>
      <c r="I86" s="123">
        <v>3164.71</v>
      </c>
      <c r="J86" s="123">
        <v>2887.95</v>
      </c>
      <c r="K86" s="123">
        <v>2923.8</v>
      </c>
      <c r="L86" s="123">
        <v>2962.66</v>
      </c>
      <c r="M86" s="123">
        <v>3009.48</v>
      </c>
      <c r="N86" s="123">
        <v>2568.04</v>
      </c>
      <c r="O86" s="123">
        <v>1668.81</v>
      </c>
      <c r="P86" s="123">
        <v>1204.72</v>
      </c>
      <c r="Q86" s="123">
        <v>1222.1600000000001</v>
      </c>
      <c r="R86" s="123">
        <v>1406.8</v>
      </c>
      <c r="S86" s="123">
        <v>1127.49</v>
      </c>
      <c r="T86" s="123">
        <v>844.05</v>
      </c>
      <c r="U86" s="123">
        <v>855.22</v>
      </c>
      <c r="V86" s="123">
        <v>868.25</v>
      </c>
      <c r="W86" s="123">
        <v>1350.71</v>
      </c>
      <c r="X86" s="123">
        <v>3799.32</v>
      </c>
      <c r="Y86" s="123">
        <v>5538.3</v>
      </c>
      <c r="Z86" s="123">
        <v>6437.37</v>
      </c>
      <c r="AA86" s="123">
        <v>7148.32</v>
      </c>
      <c r="AB86" s="123">
        <v>6775.32</v>
      </c>
      <c r="AC86" s="124">
        <v>5259.71</v>
      </c>
      <c r="AD86" s="124">
        <v>4543.07</v>
      </c>
      <c r="AE86" s="124">
        <v>5753.33</v>
      </c>
      <c r="AF86" s="124">
        <v>6375.92</v>
      </c>
      <c r="AG86" s="124">
        <v>5160.6400000000003</v>
      </c>
      <c r="AH86" s="124">
        <v>5261.92</v>
      </c>
      <c r="AI86" s="124">
        <v>5022.6400000000003</v>
      </c>
      <c r="AJ86" s="124">
        <v>4739.71</v>
      </c>
      <c r="AK86" s="124">
        <v>4605.13</v>
      </c>
      <c r="AL86" s="124">
        <v>6237.31</v>
      </c>
      <c r="AM86" s="124">
        <v>5952.15</v>
      </c>
      <c r="AN86" s="124">
        <v>5291.76</v>
      </c>
      <c r="AO86" s="125">
        <v>5709.22</v>
      </c>
      <c r="AP86" s="125">
        <v>5531.74</v>
      </c>
      <c r="AQ86" s="125">
        <v>5762.04</v>
      </c>
      <c r="AR86" s="125">
        <v>6136.47</v>
      </c>
      <c r="AS86" s="125">
        <v>5612.01</v>
      </c>
      <c r="AT86" s="125">
        <v>7059.09</v>
      </c>
      <c r="AU86" s="125">
        <v>5859.23</v>
      </c>
      <c r="AV86" s="125">
        <v>5363.05</v>
      </c>
      <c r="AW86" s="125">
        <v>5619.68</v>
      </c>
      <c r="AX86" s="125">
        <v>4720.91</v>
      </c>
      <c r="AY86" s="126"/>
      <c r="AZ86" s="126"/>
      <c r="BA86" s="126"/>
      <c r="BB86" s="126"/>
      <c r="BC86" s="126"/>
      <c r="BD86" s="126"/>
      <c r="BE86" s="126"/>
      <c r="BF86" s="127">
        <v>141815</v>
      </c>
      <c r="BG86" s="97" t="s">
        <v>101</v>
      </c>
      <c r="BH86" s="127">
        <v>5261.92</v>
      </c>
      <c r="BI86" s="127">
        <v>141815</v>
      </c>
      <c r="BJ86" s="97" t="s">
        <v>101</v>
      </c>
      <c r="BK86" s="127">
        <v>5022.6400000000003</v>
      </c>
    </row>
    <row r="87" spans="2:63" x14ac:dyDescent="0.25">
      <c r="B87" s="121">
        <v>141820</v>
      </c>
      <c r="C87" s="122" t="s">
        <v>102</v>
      </c>
      <c r="D87" s="123">
        <v>6294.84</v>
      </c>
      <c r="E87" s="123">
        <v>6120.43</v>
      </c>
      <c r="F87" s="123">
        <v>6460.34</v>
      </c>
      <c r="G87" s="123">
        <v>9158.5</v>
      </c>
      <c r="H87" s="123">
        <v>8793.9</v>
      </c>
      <c r="I87" s="123">
        <v>5770.55</v>
      </c>
      <c r="J87" s="123">
        <v>4669.5600000000004</v>
      </c>
      <c r="K87" s="123">
        <v>4252.5600000000004</v>
      </c>
      <c r="L87" s="123">
        <v>3530.18</v>
      </c>
      <c r="M87" s="123">
        <v>2787.57</v>
      </c>
      <c r="N87" s="123">
        <v>2528.5700000000002</v>
      </c>
      <c r="O87" s="123">
        <v>2262.02</v>
      </c>
      <c r="P87" s="123">
        <v>1995.74</v>
      </c>
      <c r="Q87" s="123">
        <v>1721.84</v>
      </c>
      <c r="R87" s="123">
        <v>1744.62</v>
      </c>
      <c r="S87" s="123">
        <v>1770.36</v>
      </c>
      <c r="T87" s="123">
        <v>1791.84</v>
      </c>
      <c r="U87" s="123">
        <v>1816.61</v>
      </c>
      <c r="V87" s="123">
        <v>1838.95</v>
      </c>
      <c r="W87" s="123">
        <v>3359.87</v>
      </c>
      <c r="X87" s="123">
        <v>8529.6</v>
      </c>
      <c r="Y87" s="123">
        <v>11283.9</v>
      </c>
      <c r="Z87" s="123">
        <v>13212.78</v>
      </c>
      <c r="AA87" s="123">
        <v>14662.17</v>
      </c>
      <c r="AB87" s="123">
        <v>14034.53</v>
      </c>
      <c r="AC87" s="124">
        <v>10524.09</v>
      </c>
      <c r="AD87" s="124">
        <v>9390.9500000000007</v>
      </c>
      <c r="AE87" s="124">
        <v>12371.21</v>
      </c>
      <c r="AF87" s="124">
        <v>13706.97</v>
      </c>
      <c r="AG87" s="124">
        <v>11115.02</v>
      </c>
      <c r="AH87" s="124">
        <v>11239.79</v>
      </c>
      <c r="AI87" s="124">
        <v>10815</v>
      </c>
      <c r="AJ87" s="124">
        <v>10233.9</v>
      </c>
      <c r="AK87" s="124">
        <v>9461.4</v>
      </c>
      <c r="AL87" s="124">
        <v>12754.93</v>
      </c>
      <c r="AM87" s="124">
        <v>12467.23</v>
      </c>
      <c r="AN87" s="124">
        <v>11168.27</v>
      </c>
      <c r="AO87" s="125">
        <v>11163.29</v>
      </c>
      <c r="AP87" s="125">
        <v>11156.36</v>
      </c>
      <c r="AQ87" s="125">
        <v>11561.54</v>
      </c>
      <c r="AR87" s="125">
        <v>12204.59</v>
      </c>
      <c r="AS87" s="125">
        <v>11415.14</v>
      </c>
      <c r="AT87" s="125">
        <v>14736.63</v>
      </c>
      <c r="AU87" s="125">
        <v>12564.83</v>
      </c>
      <c r="AV87" s="125">
        <v>11523.34</v>
      </c>
      <c r="AW87" s="125">
        <v>11470.7</v>
      </c>
      <c r="AX87" s="125">
        <v>9574.9599999999991</v>
      </c>
      <c r="AY87" s="126"/>
      <c r="AZ87" s="126"/>
      <c r="BA87" s="126"/>
      <c r="BB87" s="126"/>
      <c r="BC87" s="126"/>
      <c r="BD87" s="126"/>
      <c r="BE87" s="126"/>
      <c r="BF87" s="127">
        <v>141820</v>
      </c>
      <c r="BG87" s="97" t="s">
        <v>102</v>
      </c>
      <c r="BH87" s="127">
        <v>11239.79</v>
      </c>
      <c r="BI87" s="127">
        <v>141820</v>
      </c>
      <c r="BJ87" s="97" t="s">
        <v>102</v>
      </c>
      <c r="BK87" s="127">
        <v>10815</v>
      </c>
    </row>
    <row r="88" spans="2:63" x14ac:dyDescent="0.25">
      <c r="B88" s="121">
        <v>141825</v>
      </c>
      <c r="C88" s="122" t="s">
        <v>103</v>
      </c>
      <c r="D88" s="123">
        <v>14084.19</v>
      </c>
      <c r="E88" s="123">
        <v>12986.98</v>
      </c>
      <c r="F88" s="123">
        <v>11875.64</v>
      </c>
      <c r="G88" s="123">
        <v>11186.63</v>
      </c>
      <c r="H88" s="123">
        <v>10073.65</v>
      </c>
      <c r="I88" s="123">
        <v>9400.7199999999993</v>
      </c>
      <c r="J88" s="123">
        <v>5651.65</v>
      </c>
      <c r="K88" s="123">
        <v>5081.8599999999997</v>
      </c>
      <c r="L88" s="123">
        <v>4804.84</v>
      </c>
      <c r="M88" s="123">
        <v>4524.16</v>
      </c>
      <c r="N88" s="123">
        <v>4237.8100000000004</v>
      </c>
      <c r="O88" s="123">
        <v>3949.62</v>
      </c>
      <c r="P88" s="123">
        <v>3655.91</v>
      </c>
      <c r="Q88" s="123">
        <v>3360.02</v>
      </c>
      <c r="R88" s="123">
        <v>3060.22</v>
      </c>
      <c r="S88" s="123">
        <v>2753.8</v>
      </c>
      <c r="T88" s="123">
        <v>2445.9699999999998</v>
      </c>
      <c r="U88" s="123">
        <v>2133.0100000000002</v>
      </c>
      <c r="V88" s="123">
        <v>1816.96</v>
      </c>
      <c r="W88" s="123">
        <v>13856.66</v>
      </c>
      <c r="X88" s="123">
        <v>81008.429999999993</v>
      </c>
      <c r="Y88" s="123">
        <v>104098.81</v>
      </c>
      <c r="Z88" s="123">
        <v>118786.56</v>
      </c>
      <c r="AA88" s="123">
        <v>112935.55</v>
      </c>
      <c r="AB88" s="123">
        <v>104647.32</v>
      </c>
      <c r="AC88" s="124">
        <v>80719.19</v>
      </c>
      <c r="AD88" s="124">
        <v>63150.41</v>
      </c>
      <c r="AE88" s="124">
        <v>92073.65</v>
      </c>
      <c r="AF88" s="124">
        <v>101725.95</v>
      </c>
      <c r="AG88" s="124">
        <v>75074.740000000005</v>
      </c>
      <c r="AH88" s="124">
        <v>73126.91</v>
      </c>
      <c r="AI88" s="124">
        <v>65812.98</v>
      </c>
      <c r="AJ88" s="124">
        <v>79740.08</v>
      </c>
      <c r="AK88" s="124">
        <v>65263.49</v>
      </c>
      <c r="AL88" s="124">
        <v>93944.63</v>
      </c>
      <c r="AM88" s="124">
        <v>78793.86</v>
      </c>
      <c r="AN88" s="124">
        <v>70991.95</v>
      </c>
      <c r="AO88" s="125">
        <v>78691.070000000007</v>
      </c>
      <c r="AP88" s="125">
        <v>76059.839999999997</v>
      </c>
      <c r="AQ88" s="125">
        <v>74776.37</v>
      </c>
      <c r="AR88" s="125">
        <v>79969.509999999995</v>
      </c>
      <c r="AS88" s="125">
        <v>75434.070000000007</v>
      </c>
      <c r="AT88" s="125">
        <v>85066.15</v>
      </c>
      <c r="AU88" s="125">
        <v>54817.89</v>
      </c>
      <c r="AV88" s="125">
        <v>45343.73</v>
      </c>
      <c r="AW88" s="125">
        <v>43733.45</v>
      </c>
      <c r="AX88" s="125">
        <v>37223.57</v>
      </c>
      <c r="AY88" s="126"/>
      <c r="AZ88" s="126"/>
      <c r="BA88" s="126"/>
      <c r="BB88" s="126"/>
      <c r="BC88" s="126"/>
      <c r="BD88" s="126"/>
      <c r="BE88" s="126"/>
      <c r="BF88" s="120">
        <v>141825</v>
      </c>
      <c r="BG88" s="113" t="s">
        <v>103</v>
      </c>
      <c r="BH88" s="120">
        <v>73126.91</v>
      </c>
      <c r="BI88" s="127">
        <v>141825</v>
      </c>
      <c r="BJ88" s="97" t="s">
        <v>103</v>
      </c>
      <c r="BK88" s="127">
        <v>65812.98</v>
      </c>
    </row>
    <row r="89" spans="2:63" x14ac:dyDescent="0.25">
      <c r="B89" s="121">
        <v>1420</v>
      </c>
      <c r="C89" s="122" t="s">
        <v>133</v>
      </c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3">
        <v>13747.92</v>
      </c>
      <c r="Y89" s="123">
        <v>33930.449999999997</v>
      </c>
      <c r="Z89" s="123">
        <v>33900.54</v>
      </c>
      <c r="AA89" s="123">
        <v>37038.19</v>
      </c>
      <c r="AB89" s="123">
        <v>94865.44</v>
      </c>
      <c r="AC89" s="124">
        <v>129942.19</v>
      </c>
      <c r="AD89" s="124">
        <v>153677.07</v>
      </c>
      <c r="AE89" s="124">
        <v>100932.02</v>
      </c>
      <c r="AF89" s="124">
        <v>102908.48</v>
      </c>
      <c r="AG89" s="124">
        <v>114241.05</v>
      </c>
      <c r="AH89" s="124">
        <v>113714.14</v>
      </c>
      <c r="AI89" s="124">
        <v>56568.43</v>
      </c>
      <c r="AJ89" s="124">
        <v>97631.58</v>
      </c>
      <c r="AK89" s="124">
        <v>73219.25</v>
      </c>
      <c r="AL89" s="124">
        <v>119937.59</v>
      </c>
      <c r="AM89" s="124">
        <v>92995.09</v>
      </c>
      <c r="AN89" s="124">
        <v>76810.63</v>
      </c>
      <c r="AO89" s="125">
        <v>78018.2</v>
      </c>
      <c r="AP89" s="125">
        <v>107902.06</v>
      </c>
      <c r="AQ89" s="125">
        <v>94486.22</v>
      </c>
      <c r="AR89" s="125">
        <v>45461.35</v>
      </c>
      <c r="AS89" s="125">
        <v>25926.7</v>
      </c>
      <c r="AT89" s="125">
        <v>36182.68</v>
      </c>
      <c r="AU89" s="125">
        <v>35653.360000000001</v>
      </c>
      <c r="AV89" s="125">
        <v>34776.33</v>
      </c>
      <c r="AW89" s="125">
        <v>34573.33</v>
      </c>
      <c r="AX89" s="125">
        <v>22485.73</v>
      </c>
      <c r="AY89" s="126"/>
      <c r="AZ89" s="126"/>
      <c r="BA89" s="126"/>
      <c r="BB89" s="126"/>
      <c r="BC89" s="126"/>
      <c r="BD89" s="126"/>
      <c r="BE89" s="126"/>
      <c r="BF89" s="127">
        <v>1420</v>
      </c>
      <c r="BG89" s="97" t="s">
        <v>133</v>
      </c>
      <c r="BH89" s="127">
        <v>113714.14</v>
      </c>
      <c r="BI89" s="120">
        <v>1420</v>
      </c>
      <c r="BJ89" s="113" t="s">
        <v>133</v>
      </c>
      <c r="BK89" s="120">
        <v>56568.43</v>
      </c>
    </row>
    <row r="90" spans="2:63" x14ac:dyDescent="0.25">
      <c r="B90" s="121">
        <v>142005</v>
      </c>
      <c r="C90" s="122" t="s">
        <v>126</v>
      </c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3">
        <v>142.34</v>
      </c>
      <c r="Y90" s="123">
        <v>180.75</v>
      </c>
      <c r="Z90" s="123">
        <v>297.47000000000003</v>
      </c>
      <c r="AA90" s="123">
        <v>159.88</v>
      </c>
      <c r="AB90" s="123">
        <v>264.32</v>
      </c>
      <c r="AC90" s="124">
        <v>739.13</v>
      </c>
      <c r="AD90" s="124">
        <v>1975.3</v>
      </c>
      <c r="AE90" s="124">
        <v>1268.31</v>
      </c>
      <c r="AF90" s="124">
        <v>1551.33</v>
      </c>
      <c r="AG90" s="124">
        <v>1777.05</v>
      </c>
      <c r="AH90" s="124">
        <v>2571.08</v>
      </c>
      <c r="AI90" s="124">
        <v>1412.84</v>
      </c>
      <c r="AJ90" s="124">
        <v>1049.51</v>
      </c>
      <c r="AK90" s="124">
        <v>770.81</v>
      </c>
      <c r="AL90" s="124">
        <v>1046.4000000000001</v>
      </c>
      <c r="AM90" s="124">
        <v>850.11</v>
      </c>
      <c r="AN90" s="124">
        <v>1189.3399999999999</v>
      </c>
      <c r="AO90" s="125">
        <v>1560.87</v>
      </c>
      <c r="AP90" s="125">
        <v>2403.1799999999998</v>
      </c>
      <c r="AQ90" s="125">
        <v>2194.4899999999998</v>
      </c>
      <c r="AR90" s="125">
        <v>1849.17</v>
      </c>
      <c r="AS90" s="125">
        <v>944.79</v>
      </c>
      <c r="AT90" s="125">
        <v>1017.6</v>
      </c>
      <c r="AU90" s="125">
        <v>1023.57</v>
      </c>
      <c r="AV90" s="125">
        <v>694.56</v>
      </c>
      <c r="AW90" s="125">
        <v>1211.32</v>
      </c>
      <c r="AX90" s="125">
        <v>562.91</v>
      </c>
      <c r="AY90" s="126"/>
      <c r="AZ90" s="126"/>
      <c r="BA90" s="126"/>
      <c r="BB90" s="126"/>
      <c r="BC90" s="126"/>
      <c r="BD90" s="126"/>
      <c r="BE90" s="126"/>
      <c r="BF90" s="127">
        <v>142005</v>
      </c>
      <c r="BG90" s="97" t="s">
        <v>126</v>
      </c>
      <c r="BH90" s="127">
        <v>2571.08</v>
      </c>
      <c r="BI90" s="127">
        <v>142005</v>
      </c>
      <c r="BJ90" s="97" t="s">
        <v>126</v>
      </c>
      <c r="BK90" s="127">
        <v>1412.84</v>
      </c>
    </row>
    <row r="91" spans="2:63" x14ac:dyDescent="0.25">
      <c r="B91" s="121">
        <v>142010</v>
      </c>
      <c r="C91" s="122" t="s">
        <v>127</v>
      </c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3">
        <v>297.47000000000003</v>
      </c>
      <c r="Y91" s="123">
        <v>461.57</v>
      </c>
      <c r="Z91" s="123">
        <v>617.77</v>
      </c>
      <c r="AA91" s="123">
        <v>739.13</v>
      </c>
      <c r="AB91" s="123">
        <v>1718.4</v>
      </c>
      <c r="AC91" s="124">
        <v>2699.8</v>
      </c>
      <c r="AD91" s="124">
        <v>3495.11</v>
      </c>
      <c r="AE91" s="124">
        <v>2140.87</v>
      </c>
      <c r="AF91" s="124">
        <v>2237.54</v>
      </c>
      <c r="AG91" s="124">
        <v>2608.69</v>
      </c>
      <c r="AH91" s="124">
        <v>2594.35</v>
      </c>
      <c r="AI91" s="124">
        <v>1452.84</v>
      </c>
      <c r="AJ91" s="124">
        <v>1979.77</v>
      </c>
      <c r="AK91" s="124">
        <v>2092.46</v>
      </c>
      <c r="AL91" s="124">
        <v>2021.68</v>
      </c>
      <c r="AM91" s="124">
        <v>1989.49</v>
      </c>
      <c r="AN91" s="124">
        <v>1762.86</v>
      </c>
      <c r="AO91" s="125">
        <v>2314.81</v>
      </c>
      <c r="AP91" s="125">
        <v>2522.37</v>
      </c>
      <c r="AQ91" s="125">
        <v>3295.15</v>
      </c>
      <c r="AR91" s="125">
        <v>2027.05</v>
      </c>
      <c r="AS91" s="125">
        <v>972.63</v>
      </c>
      <c r="AT91" s="125">
        <v>1378.98</v>
      </c>
      <c r="AU91" s="125">
        <v>1414.32</v>
      </c>
      <c r="AV91" s="125">
        <v>1435.25</v>
      </c>
      <c r="AW91" s="125">
        <v>1455.81</v>
      </c>
      <c r="AX91" s="125">
        <v>1161.69</v>
      </c>
      <c r="AY91" s="126"/>
      <c r="AZ91" s="126"/>
      <c r="BA91" s="126"/>
      <c r="BB91" s="126"/>
      <c r="BC91" s="126"/>
      <c r="BD91" s="126"/>
      <c r="BE91" s="126"/>
      <c r="BF91" s="127">
        <v>142010</v>
      </c>
      <c r="BG91" s="97" t="s">
        <v>127</v>
      </c>
      <c r="BH91" s="127">
        <v>2594.35</v>
      </c>
      <c r="BI91" s="127">
        <v>142010</v>
      </c>
      <c r="BJ91" s="97" t="s">
        <v>127</v>
      </c>
      <c r="BK91" s="127">
        <v>1452.84</v>
      </c>
    </row>
    <row r="92" spans="2:63" x14ac:dyDescent="0.25">
      <c r="B92" s="121">
        <v>142015</v>
      </c>
      <c r="C92" s="122" t="s">
        <v>128</v>
      </c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3">
        <v>459.36</v>
      </c>
      <c r="Y92" s="123">
        <v>955.72</v>
      </c>
      <c r="Z92" s="123">
        <v>970.54</v>
      </c>
      <c r="AA92" s="123">
        <v>1646.66</v>
      </c>
      <c r="AB92" s="123">
        <v>3494.66</v>
      </c>
      <c r="AC92" s="124">
        <v>4744.79</v>
      </c>
      <c r="AD92" s="124">
        <v>5545.9</v>
      </c>
      <c r="AE92" s="124">
        <v>3308.94</v>
      </c>
      <c r="AF92" s="124">
        <v>3455.1</v>
      </c>
      <c r="AG92" s="124">
        <v>4028.89</v>
      </c>
      <c r="AH92" s="124">
        <v>4137.24</v>
      </c>
      <c r="AI92" s="124">
        <v>2246.2800000000002</v>
      </c>
      <c r="AJ92" s="124">
        <v>3922.57</v>
      </c>
      <c r="AK92" s="124">
        <v>3308.24</v>
      </c>
      <c r="AL92" s="124">
        <v>4055.68</v>
      </c>
      <c r="AM92" s="124">
        <v>2932.4</v>
      </c>
      <c r="AN92" s="124">
        <v>2359.27</v>
      </c>
      <c r="AO92" s="125">
        <v>3508.78</v>
      </c>
      <c r="AP92" s="125">
        <v>4322.2700000000004</v>
      </c>
      <c r="AQ92" s="125">
        <v>5206.1000000000004</v>
      </c>
      <c r="AR92" s="125">
        <v>3146.51</v>
      </c>
      <c r="AS92" s="125">
        <v>1507.35</v>
      </c>
      <c r="AT92" s="125">
        <v>2175.5700000000002</v>
      </c>
      <c r="AU92" s="125">
        <v>2192.85</v>
      </c>
      <c r="AV92" s="125">
        <v>2225.3200000000002</v>
      </c>
      <c r="AW92" s="125">
        <v>2283.58</v>
      </c>
      <c r="AX92" s="125">
        <v>1821.99</v>
      </c>
      <c r="AY92" s="126"/>
      <c r="AZ92" s="126"/>
      <c r="BA92" s="126"/>
      <c r="BB92" s="126"/>
      <c r="BC92" s="126"/>
      <c r="BD92" s="126"/>
      <c r="BE92" s="126"/>
      <c r="BF92" s="127">
        <v>142015</v>
      </c>
      <c r="BG92" s="97" t="s">
        <v>128</v>
      </c>
      <c r="BH92" s="127">
        <v>4137.24</v>
      </c>
      <c r="BI92" s="127">
        <v>142015</v>
      </c>
      <c r="BJ92" s="97" t="s">
        <v>128</v>
      </c>
      <c r="BK92" s="127">
        <v>2246.2800000000002</v>
      </c>
    </row>
    <row r="93" spans="2:63" x14ac:dyDescent="0.25">
      <c r="B93" s="121">
        <v>142020</v>
      </c>
      <c r="C93" s="122" t="s">
        <v>129</v>
      </c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3">
        <v>992.88</v>
      </c>
      <c r="Y93" s="123">
        <v>2014.97</v>
      </c>
      <c r="Z93" s="123">
        <v>2061.58</v>
      </c>
      <c r="AA93" s="123">
        <v>3040.88</v>
      </c>
      <c r="AB93" s="123">
        <v>7206.13</v>
      </c>
      <c r="AC93" s="124">
        <v>9717.58</v>
      </c>
      <c r="AD93" s="124">
        <v>10303.42</v>
      </c>
      <c r="AE93" s="124">
        <v>7208.05</v>
      </c>
      <c r="AF93" s="124">
        <v>7144.64</v>
      </c>
      <c r="AG93" s="124">
        <v>8744.7099999999991</v>
      </c>
      <c r="AH93" s="124">
        <v>8495.91</v>
      </c>
      <c r="AI93" s="124">
        <v>4863.75</v>
      </c>
      <c r="AJ93" s="124">
        <v>8528.52</v>
      </c>
      <c r="AK93" s="124">
        <v>6604.42</v>
      </c>
      <c r="AL93" s="124">
        <v>8477.7999999999993</v>
      </c>
      <c r="AM93" s="124">
        <v>6264.45</v>
      </c>
      <c r="AN93" s="124">
        <v>5594.43</v>
      </c>
      <c r="AO93" s="125">
        <v>7440.02</v>
      </c>
      <c r="AP93" s="125">
        <v>8237.93</v>
      </c>
      <c r="AQ93" s="125">
        <v>11251.04</v>
      </c>
      <c r="AR93" s="125">
        <v>6387.53</v>
      </c>
      <c r="AS93" s="125">
        <v>3248.88</v>
      </c>
      <c r="AT93" s="125">
        <v>4248.66</v>
      </c>
      <c r="AU93" s="125">
        <v>4723.59</v>
      </c>
      <c r="AV93" s="125">
        <v>4793.53</v>
      </c>
      <c r="AW93" s="125">
        <v>4411.7700000000004</v>
      </c>
      <c r="AX93" s="125">
        <v>3868.14</v>
      </c>
      <c r="AY93" s="126"/>
      <c r="AZ93" s="126"/>
      <c r="BA93" s="126"/>
      <c r="BB93" s="126"/>
      <c r="BC93" s="126"/>
      <c r="BD93" s="126"/>
      <c r="BE93" s="126"/>
      <c r="BF93" s="127">
        <v>142020</v>
      </c>
      <c r="BG93" s="97" t="s">
        <v>129</v>
      </c>
      <c r="BH93" s="127">
        <v>8495.91</v>
      </c>
      <c r="BI93" s="127">
        <v>142020</v>
      </c>
      <c r="BJ93" s="97" t="s">
        <v>129</v>
      </c>
      <c r="BK93" s="127">
        <v>4863.75</v>
      </c>
    </row>
    <row r="94" spans="2:63" x14ac:dyDescent="0.25">
      <c r="B94" s="121">
        <v>142025</v>
      </c>
      <c r="C94" s="122" t="s">
        <v>130</v>
      </c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3">
        <v>11855.87</v>
      </c>
      <c r="Y94" s="123">
        <v>30317.439999999999</v>
      </c>
      <c r="Z94" s="123">
        <v>29953.18</v>
      </c>
      <c r="AA94" s="123">
        <v>31451.64</v>
      </c>
      <c r="AB94" s="123">
        <v>82181.929999999993</v>
      </c>
      <c r="AC94" s="124">
        <v>112040.89</v>
      </c>
      <c r="AD94" s="124">
        <v>132357.34</v>
      </c>
      <c r="AE94" s="124">
        <v>87005.85</v>
      </c>
      <c r="AF94" s="124">
        <v>88519.87</v>
      </c>
      <c r="AG94" s="124">
        <v>97081.71</v>
      </c>
      <c r="AH94" s="124">
        <v>95915.56</v>
      </c>
      <c r="AI94" s="124">
        <v>46592.72</v>
      </c>
      <c r="AJ94" s="124">
        <v>82151.210000000006</v>
      </c>
      <c r="AK94" s="124">
        <v>60443.32</v>
      </c>
      <c r="AL94" s="124">
        <v>104336.03</v>
      </c>
      <c r="AM94" s="124">
        <v>80958.64</v>
      </c>
      <c r="AN94" s="124">
        <v>65904.73</v>
      </c>
      <c r="AO94" s="125">
        <v>63193.72</v>
      </c>
      <c r="AP94" s="125">
        <v>90416.31</v>
      </c>
      <c r="AQ94" s="125">
        <v>72539.44</v>
      </c>
      <c r="AR94" s="125">
        <v>32051.09</v>
      </c>
      <c r="AS94" s="125">
        <v>19253.05</v>
      </c>
      <c r="AT94" s="125">
        <v>27361.87</v>
      </c>
      <c r="AU94" s="125">
        <v>26299.03</v>
      </c>
      <c r="AV94" s="125">
        <v>25627.67</v>
      </c>
      <c r="AW94" s="125">
        <v>25210.85</v>
      </c>
      <c r="AX94" s="125">
        <v>15071</v>
      </c>
      <c r="AY94" s="126"/>
      <c r="AZ94" s="126"/>
      <c r="BA94" s="126"/>
      <c r="BB94" s="126"/>
      <c r="BC94" s="126"/>
      <c r="BD94" s="126"/>
      <c r="BE94" s="126"/>
      <c r="BF94" s="127">
        <v>142025</v>
      </c>
      <c r="BG94" s="97" t="s">
        <v>130</v>
      </c>
      <c r="BH94" s="127">
        <v>95915.56</v>
      </c>
      <c r="BI94" s="127">
        <v>142025</v>
      </c>
      <c r="BJ94" s="97" t="s">
        <v>130</v>
      </c>
      <c r="BK94" s="127">
        <v>46592.72</v>
      </c>
    </row>
    <row r="95" spans="2:63" ht="22.5" customHeight="1" x14ac:dyDescent="0.25">
      <c r="B95" s="121">
        <v>1425</v>
      </c>
      <c r="C95" s="122" t="s">
        <v>134</v>
      </c>
      <c r="D95" s="141"/>
      <c r="E95" s="141"/>
      <c r="F95" s="141"/>
      <c r="G95" s="141"/>
      <c r="H95" s="141"/>
      <c r="I95" s="141"/>
      <c r="J95" s="141"/>
      <c r="K95" s="116">
        <v>71995.58</v>
      </c>
      <c r="L95" s="116">
        <v>69881.13</v>
      </c>
      <c r="M95" s="116">
        <v>120662.9</v>
      </c>
      <c r="N95" s="116">
        <v>65579.67</v>
      </c>
      <c r="O95" s="116">
        <v>111206.1</v>
      </c>
      <c r="P95" s="116">
        <v>61207.519999999997</v>
      </c>
      <c r="Q95" s="116">
        <v>56762.77</v>
      </c>
      <c r="R95" s="116">
        <v>56762.77</v>
      </c>
      <c r="S95" s="116">
        <v>52229.42</v>
      </c>
      <c r="T95" s="116">
        <v>49934.69</v>
      </c>
      <c r="U95" s="116">
        <v>47634.83</v>
      </c>
      <c r="V95" s="116">
        <v>45302.73</v>
      </c>
      <c r="W95" s="116">
        <v>42963.94</v>
      </c>
      <c r="X95" s="116">
        <v>40593.85</v>
      </c>
      <c r="Y95" s="116">
        <v>38215.49</v>
      </c>
      <c r="Z95" s="116">
        <v>60992.55</v>
      </c>
      <c r="AA95" s="116">
        <v>33388.92</v>
      </c>
      <c r="AB95" s="116">
        <v>55185.63</v>
      </c>
      <c r="AC95" s="124">
        <v>52245.08</v>
      </c>
      <c r="AD95" s="124">
        <v>28482.21</v>
      </c>
      <c r="AE95" s="124">
        <v>46284.39</v>
      </c>
      <c r="AF95" s="124">
        <v>83840.649999999994</v>
      </c>
      <c r="AG95" s="124">
        <v>51341.599999999999</v>
      </c>
      <c r="AH95" s="124">
        <v>26695.99</v>
      </c>
      <c r="AI95" s="124">
        <v>44647.41</v>
      </c>
      <c r="AJ95" s="124">
        <v>51366.04</v>
      </c>
      <c r="AK95" s="124">
        <v>28326.03</v>
      </c>
      <c r="AL95" s="124">
        <v>24645.21</v>
      </c>
      <c r="AM95" s="124">
        <v>0</v>
      </c>
      <c r="AN95" s="124">
        <v>0</v>
      </c>
      <c r="AO95" s="125">
        <v>67647.22</v>
      </c>
      <c r="AP95" s="125">
        <v>0</v>
      </c>
      <c r="AQ95" s="125">
        <v>9254.51</v>
      </c>
      <c r="AR95" s="125">
        <v>0</v>
      </c>
      <c r="AS95" s="125">
        <v>0</v>
      </c>
      <c r="AT95" s="125">
        <v>0</v>
      </c>
      <c r="AU95" s="125">
        <v>0</v>
      </c>
      <c r="AV95" s="125">
        <v>9272.61</v>
      </c>
      <c r="AW95" s="125">
        <v>0</v>
      </c>
      <c r="AX95" s="125">
        <v>0</v>
      </c>
      <c r="AY95" s="126"/>
      <c r="AZ95" s="126"/>
      <c r="BA95" s="126"/>
      <c r="BB95" s="126"/>
      <c r="BC95" s="126"/>
      <c r="BD95" s="126"/>
      <c r="BE95" s="126"/>
      <c r="BF95" s="127">
        <v>1425</v>
      </c>
      <c r="BG95" s="97" t="s">
        <v>134</v>
      </c>
      <c r="BH95" s="127">
        <v>26695.99</v>
      </c>
      <c r="BI95" s="127">
        <v>1425</v>
      </c>
      <c r="BJ95" s="97" t="s">
        <v>134</v>
      </c>
      <c r="BK95" s="127">
        <v>44647.41</v>
      </c>
    </row>
    <row r="96" spans="2:63" x14ac:dyDescent="0.25">
      <c r="B96" s="121">
        <v>142505</v>
      </c>
      <c r="C96" s="122" t="s">
        <v>97</v>
      </c>
      <c r="D96" s="128"/>
      <c r="E96" s="128"/>
      <c r="F96" s="128"/>
      <c r="G96" s="128"/>
      <c r="H96" s="128"/>
      <c r="I96" s="128"/>
      <c r="J96" s="128"/>
      <c r="K96" s="123">
        <v>6415.91</v>
      </c>
      <c r="L96" s="123">
        <v>6469.83</v>
      </c>
      <c r="M96" s="123">
        <v>14279.5</v>
      </c>
      <c r="N96" s="123">
        <v>6577.26</v>
      </c>
      <c r="O96" s="123">
        <v>14562.12</v>
      </c>
      <c r="P96" s="123">
        <v>6687.22</v>
      </c>
      <c r="Q96" s="123">
        <v>4533.3500000000004</v>
      </c>
      <c r="R96" s="123">
        <v>6828.08</v>
      </c>
      <c r="S96" s="123">
        <v>4594.59</v>
      </c>
      <c r="T96" s="123">
        <v>4631.96</v>
      </c>
      <c r="U96" s="123">
        <v>4670.8900000000003</v>
      </c>
      <c r="V96" s="123">
        <v>4708.88</v>
      </c>
      <c r="W96" s="123">
        <v>4748.45</v>
      </c>
      <c r="X96" s="123">
        <v>4776.71</v>
      </c>
      <c r="Y96" s="123">
        <v>4826.57</v>
      </c>
      <c r="Z96" s="123">
        <v>5806.92</v>
      </c>
      <c r="AA96" s="123">
        <v>4906.71</v>
      </c>
      <c r="AB96" s="123">
        <v>5420.7</v>
      </c>
      <c r="AC96" s="124">
        <v>5960.69</v>
      </c>
      <c r="AD96" s="124">
        <v>7516.65</v>
      </c>
      <c r="AE96" s="124">
        <v>6055.09</v>
      </c>
      <c r="AF96" s="124">
        <v>8309.82</v>
      </c>
      <c r="AG96" s="124">
        <v>6694.19</v>
      </c>
      <c r="AH96" s="124">
        <v>5739.1</v>
      </c>
      <c r="AI96" s="124">
        <v>6291.61</v>
      </c>
      <c r="AJ96" s="124">
        <v>7134.37</v>
      </c>
      <c r="AK96" s="124">
        <v>6356.65</v>
      </c>
      <c r="AL96" s="124">
        <v>6420.02</v>
      </c>
      <c r="AM96" s="124">
        <v>0</v>
      </c>
      <c r="AN96" s="124">
        <v>0</v>
      </c>
      <c r="AO96" s="125">
        <v>3477.9</v>
      </c>
      <c r="AP96" s="125">
        <v>0</v>
      </c>
      <c r="AQ96" s="125">
        <v>1164.32</v>
      </c>
      <c r="AR96" s="125">
        <v>0</v>
      </c>
      <c r="AS96" s="125">
        <v>0</v>
      </c>
      <c r="AT96" s="125">
        <v>0</v>
      </c>
      <c r="AU96" s="125">
        <v>0</v>
      </c>
      <c r="AV96" s="125">
        <v>279.3</v>
      </c>
      <c r="AW96" s="125">
        <v>0</v>
      </c>
      <c r="AX96" s="125">
        <v>0</v>
      </c>
      <c r="AY96" s="126"/>
      <c r="AZ96" s="126"/>
      <c r="BA96" s="126"/>
      <c r="BB96" s="126"/>
      <c r="BC96" s="126"/>
      <c r="BD96" s="126"/>
      <c r="BE96" s="126"/>
      <c r="BF96" s="127">
        <v>142505</v>
      </c>
      <c r="BG96" s="97" t="s">
        <v>97</v>
      </c>
      <c r="BH96" s="127">
        <v>5739.1</v>
      </c>
      <c r="BI96" s="127">
        <v>142505</v>
      </c>
      <c r="BJ96" s="97" t="s">
        <v>97</v>
      </c>
      <c r="BK96" s="127">
        <v>6291.61</v>
      </c>
    </row>
    <row r="97" spans="2:63" x14ac:dyDescent="0.25">
      <c r="B97" s="121">
        <v>142510</v>
      </c>
      <c r="C97" s="122" t="s">
        <v>99</v>
      </c>
      <c r="D97" s="128"/>
      <c r="E97" s="128"/>
      <c r="F97" s="128"/>
      <c r="G97" s="128"/>
      <c r="H97" s="128"/>
      <c r="I97" s="128"/>
      <c r="J97" s="128"/>
      <c r="K97" s="123">
        <v>2168.37</v>
      </c>
      <c r="L97" s="123">
        <v>2203.7800000000002</v>
      </c>
      <c r="M97" s="123">
        <v>7499.78</v>
      </c>
      <c r="N97" s="123">
        <v>2239.64</v>
      </c>
      <c r="O97" s="123">
        <v>9913.5499999999993</v>
      </c>
      <c r="P97" s="123">
        <v>4585.6099999999997</v>
      </c>
      <c r="Q97" s="123">
        <v>4594.59</v>
      </c>
      <c r="R97" s="123">
        <v>2299.86</v>
      </c>
      <c r="S97" s="123">
        <v>2332.1</v>
      </c>
      <c r="T97" s="123">
        <v>2338.79</v>
      </c>
      <c r="U97" s="123">
        <v>2370.09</v>
      </c>
      <c r="V97" s="123">
        <v>2378.36</v>
      </c>
      <c r="W97" s="123">
        <v>2398.35</v>
      </c>
      <c r="X97" s="123">
        <v>2428.2199999999998</v>
      </c>
      <c r="Y97" s="123">
        <v>2438.91</v>
      </c>
      <c r="Z97" s="123">
        <v>2940.55</v>
      </c>
      <c r="AA97" s="123">
        <v>2480.15</v>
      </c>
      <c r="AB97" s="123">
        <v>6008.99</v>
      </c>
      <c r="AC97" s="124">
        <v>6055.09</v>
      </c>
      <c r="AD97" s="124">
        <v>2543.33</v>
      </c>
      <c r="AE97" s="124">
        <v>3064.87</v>
      </c>
      <c r="AF97" s="124">
        <v>5840.27</v>
      </c>
      <c r="AG97" s="124">
        <v>3661.63</v>
      </c>
      <c r="AH97" s="124">
        <v>3177.24</v>
      </c>
      <c r="AI97" s="124">
        <v>4235.1099999999997</v>
      </c>
      <c r="AJ97" s="124">
        <v>4039.12</v>
      </c>
      <c r="AK97" s="124">
        <v>3744.19</v>
      </c>
      <c r="AL97" s="124">
        <v>528.23</v>
      </c>
      <c r="AM97" s="124">
        <v>0</v>
      </c>
      <c r="AN97" s="124">
        <v>0</v>
      </c>
      <c r="AO97" s="125">
        <v>3611.75</v>
      </c>
      <c r="AP97" s="125">
        <v>0</v>
      </c>
      <c r="AQ97" s="125">
        <v>1180.75</v>
      </c>
      <c r="AR97" s="125">
        <v>0</v>
      </c>
      <c r="AS97" s="125">
        <v>0</v>
      </c>
      <c r="AT97" s="125">
        <v>0</v>
      </c>
      <c r="AU97" s="125">
        <v>0</v>
      </c>
      <c r="AV97" s="125">
        <v>287.93</v>
      </c>
      <c r="AW97" s="125">
        <v>0</v>
      </c>
      <c r="AX97" s="125">
        <v>0</v>
      </c>
      <c r="AY97" s="126"/>
      <c r="AZ97" s="126"/>
      <c r="BA97" s="126"/>
      <c r="BB97" s="126"/>
      <c r="BC97" s="126"/>
      <c r="BD97" s="126"/>
      <c r="BE97" s="126"/>
      <c r="BF97" s="127">
        <v>142510</v>
      </c>
      <c r="BG97" s="97" t="s">
        <v>99</v>
      </c>
      <c r="BH97" s="127">
        <v>3177.24</v>
      </c>
      <c r="BI97" s="127">
        <v>142510</v>
      </c>
      <c r="BJ97" s="97" t="s">
        <v>99</v>
      </c>
      <c r="BK97" s="127">
        <v>4235.1099999999997</v>
      </c>
    </row>
    <row r="98" spans="2:63" x14ac:dyDescent="0.25">
      <c r="B98" s="121">
        <v>142515</v>
      </c>
      <c r="C98" s="122" t="s">
        <v>101</v>
      </c>
      <c r="D98" s="128"/>
      <c r="E98" s="128"/>
      <c r="F98" s="128"/>
      <c r="G98" s="128"/>
      <c r="H98" s="128"/>
      <c r="I98" s="128"/>
      <c r="J98" s="128"/>
      <c r="K98" s="123">
        <v>6648.53</v>
      </c>
      <c r="L98" s="123">
        <v>6687.22</v>
      </c>
      <c r="M98" s="123">
        <v>14911.42</v>
      </c>
      <c r="N98" s="123">
        <v>6828.08</v>
      </c>
      <c r="O98" s="123">
        <v>12892.6</v>
      </c>
      <c r="P98" s="123">
        <v>4631.96</v>
      </c>
      <c r="Q98" s="123">
        <v>7040.98</v>
      </c>
      <c r="R98" s="123">
        <v>7040.98</v>
      </c>
      <c r="S98" s="123">
        <v>7087.24</v>
      </c>
      <c r="T98" s="123">
        <v>7146.8</v>
      </c>
      <c r="U98" s="123">
        <v>7204.93</v>
      </c>
      <c r="V98" s="123">
        <v>7265.48</v>
      </c>
      <c r="W98" s="123">
        <v>7334.93</v>
      </c>
      <c r="X98" s="123">
        <v>7386.86</v>
      </c>
      <c r="Y98" s="123">
        <v>7456</v>
      </c>
      <c r="Z98" s="123">
        <v>8975.23</v>
      </c>
      <c r="AA98" s="123">
        <v>7579.83</v>
      </c>
      <c r="AB98" s="123">
        <v>6591.51</v>
      </c>
      <c r="AC98" s="124">
        <v>6157.25</v>
      </c>
      <c r="AD98" s="124">
        <v>7767.63</v>
      </c>
      <c r="AE98" s="124">
        <v>9347.4699999999993</v>
      </c>
      <c r="AF98" s="124">
        <v>12875.96</v>
      </c>
      <c r="AG98" s="124">
        <v>10338.74</v>
      </c>
      <c r="AH98" s="124">
        <v>8867.39</v>
      </c>
      <c r="AI98" s="124">
        <v>7795.32</v>
      </c>
      <c r="AJ98" s="124">
        <v>5580.34</v>
      </c>
      <c r="AK98" s="124">
        <v>1614.7</v>
      </c>
      <c r="AL98" s="124">
        <v>1629.61</v>
      </c>
      <c r="AM98" s="124">
        <v>0</v>
      </c>
      <c r="AN98" s="124">
        <v>0</v>
      </c>
      <c r="AO98" s="125">
        <v>5498.65</v>
      </c>
      <c r="AP98" s="125">
        <v>0</v>
      </c>
      <c r="AQ98" s="125">
        <v>1812.64</v>
      </c>
      <c r="AR98" s="125">
        <v>0</v>
      </c>
      <c r="AS98" s="125">
        <v>0</v>
      </c>
      <c r="AT98" s="125">
        <v>0</v>
      </c>
      <c r="AU98" s="125">
        <v>0</v>
      </c>
      <c r="AV98" s="125">
        <v>441.31</v>
      </c>
      <c r="AW98" s="125">
        <v>0</v>
      </c>
      <c r="AX98" s="125">
        <v>0</v>
      </c>
      <c r="AY98" s="126"/>
      <c r="AZ98" s="126"/>
      <c r="BA98" s="126"/>
      <c r="BB98" s="126"/>
      <c r="BC98" s="126"/>
      <c r="BD98" s="126"/>
      <c r="BE98" s="126"/>
      <c r="BF98" s="127">
        <v>142515</v>
      </c>
      <c r="BG98" s="97" t="s">
        <v>101</v>
      </c>
      <c r="BH98" s="127">
        <v>8867.39</v>
      </c>
      <c r="BI98" s="127">
        <v>142515</v>
      </c>
      <c r="BJ98" s="97" t="s">
        <v>101</v>
      </c>
      <c r="BK98" s="127">
        <v>7795.32</v>
      </c>
    </row>
    <row r="99" spans="2:63" x14ac:dyDescent="0.25">
      <c r="B99" s="121">
        <v>142520</v>
      </c>
      <c r="C99" s="122" t="s">
        <v>102</v>
      </c>
      <c r="D99" s="128"/>
      <c r="E99" s="128"/>
      <c r="F99" s="128"/>
      <c r="G99" s="128"/>
      <c r="H99" s="128"/>
      <c r="I99" s="128"/>
      <c r="J99" s="128"/>
      <c r="K99" s="123">
        <v>13798.83</v>
      </c>
      <c r="L99" s="123">
        <v>13926.45</v>
      </c>
      <c r="M99" s="123">
        <v>30933.1</v>
      </c>
      <c r="N99" s="123">
        <v>14117.55</v>
      </c>
      <c r="O99" s="123">
        <v>31474.720000000001</v>
      </c>
      <c r="P99" s="123">
        <v>14352.72</v>
      </c>
      <c r="Q99" s="123">
        <v>12111.64</v>
      </c>
      <c r="R99" s="123">
        <v>14591.79</v>
      </c>
      <c r="S99" s="123">
        <v>14721.48</v>
      </c>
      <c r="T99" s="123">
        <v>14851.58</v>
      </c>
      <c r="U99" s="123">
        <v>14966.69</v>
      </c>
      <c r="V99" s="123">
        <v>15097.48</v>
      </c>
      <c r="W99" s="123">
        <v>15215.98</v>
      </c>
      <c r="X99" s="123">
        <v>15347.46</v>
      </c>
      <c r="Y99" s="123">
        <v>15469.39</v>
      </c>
      <c r="Z99" s="123">
        <v>18624.64</v>
      </c>
      <c r="AA99" s="123">
        <v>15725.53</v>
      </c>
      <c r="AB99" s="123">
        <v>18939.240000000002</v>
      </c>
      <c r="AC99" s="124">
        <v>16375.09</v>
      </c>
      <c r="AD99" s="124">
        <v>10654.6</v>
      </c>
      <c r="AE99" s="124">
        <v>11206.47</v>
      </c>
      <c r="AF99" s="124">
        <v>15773.34</v>
      </c>
      <c r="AG99" s="124">
        <v>7671.7</v>
      </c>
      <c r="AH99" s="124">
        <v>1747.02</v>
      </c>
      <c r="AI99" s="124">
        <v>5061.7700000000004</v>
      </c>
      <c r="AJ99" s="124">
        <v>6039.85</v>
      </c>
      <c r="AK99" s="124">
        <v>3344.47</v>
      </c>
      <c r="AL99" s="124">
        <v>3379.29</v>
      </c>
      <c r="AM99" s="124">
        <v>0</v>
      </c>
      <c r="AN99" s="124">
        <v>0</v>
      </c>
      <c r="AO99" s="125">
        <v>11461.32</v>
      </c>
      <c r="AP99" s="125">
        <v>0</v>
      </c>
      <c r="AQ99" s="125">
        <v>3786.41</v>
      </c>
      <c r="AR99" s="125">
        <v>0</v>
      </c>
      <c r="AS99" s="125">
        <v>0</v>
      </c>
      <c r="AT99" s="125">
        <v>0</v>
      </c>
      <c r="AU99" s="125">
        <v>0</v>
      </c>
      <c r="AV99" s="125">
        <v>931.31</v>
      </c>
      <c r="AW99" s="125">
        <v>0</v>
      </c>
      <c r="AX99" s="125">
        <v>0</v>
      </c>
      <c r="AY99" s="126"/>
      <c r="AZ99" s="126"/>
      <c r="BA99" s="126"/>
      <c r="BB99" s="126"/>
      <c r="BC99" s="126"/>
      <c r="BD99" s="126"/>
      <c r="BE99" s="126"/>
      <c r="BF99" s="127">
        <v>142520</v>
      </c>
      <c r="BG99" s="97" t="s">
        <v>102</v>
      </c>
      <c r="BH99" s="127">
        <v>1747.02</v>
      </c>
      <c r="BI99" s="127">
        <v>142520</v>
      </c>
      <c r="BJ99" s="97" t="s">
        <v>102</v>
      </c>
      <c r="BK99" s="127">
        <v>5061.7700000000004</v>
      </c>
    </row>
    <row r="100" spans="2:63" x14ac:dyDescent="0.25">
      <c r="B100" s="121">
        <v>142525</v>
      </c>
      <c r="C100" s="122" t="s">
        <v>103</v>
      </c>
      <c r="D100" s="128"/>
      <c r="E100" s="128"/>
      <c r="F100" s="128"/>
      <c r="G100" s="128"/>
      <c r="H100" s="128"/>
      <c r="I100" s="128"/>
      <c r="J100" s="128"/>
      <c r="K100" s="123">
        <v>42963.94</v>
      </c>
      <c r="L100" s="123">
        <v>40593.85</v>
      </c>
      <c r="M100" s="123">
        <v>53039.1</v>
      </c>
      <c r="N100" s="123">
        <v>35817.14</v>
      </c>
      <c r="O100" s="123">
        <v>42363.11</v>
      </c>
      <c r="P100" s="123">
        <v>30950.01</v>
      </c>
      <c r="Q100" s="123">
        <v>28482.21</v>
      </c>
      <c r="R100" s="123">
        <v>26002.06</v>
      </c>
      <c r="S100" s="123">
        <v>23494.01</v>
      </c>
      <c r="T100" s="123">
        <v>20965.560000000001</v>
      </c>
      <c r="U100" s="123">
        <v>18422.23</v>
      </c>
      <c r="V100" s="123">
        <v>15852.53</v>
      </c>
      <c r="W100" s="123">
        <v>13266.23</v>
      </c>
      <c r="X100" s="123">
        <v>10654.6</v>
      </c>
      <c r="Y100" s="123">
        <v>8024.62</v>
      </c>
      <c r="Z100" s="123">
        <v>24645.21</v>
      </c>
      <c r="AA100" s="123">
        <v>2696.7</v>
      </c>
      <c r="AB100" s="123">
        <v>18225.189999999999</v>
      </c>
      <c r="AC100" s="124">
        <v>17696.96</v>
      </c>
      <c r="AD100" s="129"/>
      <c r="AE100" s="124">
        <v>16610.490000000002</v>
      </c>
      <c r="AF100" s="124">
        <v>41041.26</v>
      </c>
      <c r="AG100" s="124">
        <v>22975.34</v>
      </c>
      <c r="AH100" s="124">
        <v>7165.24</v>
      </c>
      <c r="AI100" s="124">
        <v>21263.599999999999</v>
      </c>
      <c r="AJ100" s="124">
        <v>28572.36</v>
      </c>
      <c r="AK100" s="124">
        <v>13266.02</v>
      </c>
      <c r="AL100" s="124">
        <v>12688.06</v>
      </c>
      <c r="AM100" s="124">
        <v>0</v>
      </c>
      <c r="AN100" s="124">
        <v>0</v>
      </c>
      <c r="AO100" s="125">
        <v>43597.599999999999</v>
      </c>
      <c r="AP100" s="125">
        <v>0</v>
      </c>
      <c r="AQ100" s="125">
        <v>1310.3900000000001</v>
      </c>
      <c r="AR100" s="125">
        <v>0</v>
      </c>
      <c r="AS100" s="125">
        <v>0</v>
      </c>
      <c r="AT100" s="125">
        <v>0</v>
      </c>
      <c r="AU100" s="125">
        <v>0</v>
      </c>
      <c r="AV100" s="125">
        <v>7332.76</v>
      </c>
      <c r="AW100" s="125">
        <v>0</v>
      </c>
      <c r="AX100" s="125">
        <v>0</v>
      </c>
      <c r="AY100" s="126"/>
      <c r="AZ100" s="126"/>
      <c r="BA100" s="126"/>
      <c r="BB100" s="126"/>
      <c r="BC100" s="126"/>
      <c r="BD100" s="126"/>
      <c r="BE100" s="126"/>
      <c r="BF100" s="127">
        <v>142525</v>
      </c>
      <c r="BG100" s="97" t="s">
        <v>103</v>
      </c>
      <c r="BH100" s="127">
        <v>7165.24</v>
      </c>
      <c r="BI100" s="127">
        <v>142525</v>
      </c>
      <c r="BJ100" s="97" t="s">
        <v>103</v>
      </c>
      <c r="BK100" s="127">
        <v>21263.599999999999</v>
      </c>
    </row>
    <row r="101" spans="2:63" x14ac:dyDescent="0.25">
      <c r="B101" s="121">
        <v>1426</v>
      </c>
      <c r="C101" s="122" t="s">
        <v>135</v>
      </c>
      <c r="D101" s="116">
        <v>189630.16</v>
      </c>
      <c r="E101" s="116">
        <v>208610.96</v>
      </c>
      <c r="F101" s="116">
        <v>170644.88</v>
      </c>
      <c r="G101" s="116">
        <v>198369.93</v>
      </c>
      <c r="H101" s="116">
        <v>295190.45</v>
      </c>
      <c r="I101" s="116">
        <v>345086.15</v>
      </c>
      <c r="J101" s="116">
        <v>389150.87</v>
      </c>
      <c r="K101" s="116">
        <v>404101.41</v>
      </c>
      <c r="L101" s="116">
        <v>527609.93999999994</v>
      </c>
      <c r="M101" s="116">
        <v>574711.52</v>
      </c>
      <c r="N101" s="116">
        <v>735583.98</v>
      </c>
      <c r="O101" s="116">
        <v>743351.67</v>
      </c>
      <c r="P101" s="116">
        <v>720126.37</v>
      </c>
      <c r="Q101" s="116">
        <v>1263863.99</v>
      </c>
      <c r="R101" s="116">
        <v>1417129.89</v>
      </c>
      <c r="S101" s="116">
        <v>1317581.8400000001</v>
      </c>
      <c r="T101" s="116">
        <v>1257748</v>
      </c>
      <c r="U101" s="116">
        <v>1334641.0900000001</v>
      </c>
      <c r="V101" s="116">
        <v>1325151.57</v>
      </c>
      <c r="W101" s="116">
        <v>1337626.4099999999</v>
      </c>
      <c r="X101" s="116">
        <v>1175593.82</v>
      </c>
      <c r="Y101" s="116">
        <v>1239264.6000000001</v>
      </c>
      <c r="Z101" s="116">
        <v>3107586.58</v>
      </c>
      <c r="AA101" s="116">
        <v>1292095.8899999999</v>
      </c>
      <c r="AB101" s="116">
        <v>1257856.43</v>
      </c>
      <c r="AC101" s="124">
        <v>1267284.3799999999</v>
      </c>
      <c r="AD101" s="124">
        <v>1402547.24</v>
      </c>
      <c r="AE101" s="124">
        <v>1558335.35</v>
      </c>
      <c r="AF101" s="124">
        <v>1033212.31</v>
      </c>
      <c r="AG101" s="124">
        <v>1179102.3400000001</v>
      </c>
      <c r="AH101" s="124">
        <v>1244410.81</v>
      </c>
      <c r="AI101" s="124">
        <v>1105785.08</v>
      </c>
      <c r="AJ101" s="124">
        <v>1364010.26</v>
      </c>
      <c r="AK101" s="124">
        <v>1266527</v>
      </c>
      <c r="AL101" s="124">
        <v>1429252.6</v>
      </c>
      <c r="AM101" s="124">
        <v>637091.72</v>
      </c>
      <c r="AN101" s="124">
        <v>354003.72</v>
      </c>
      <c r="AO101" s="125">
        <v>253248.33</v>
      </c>
      <c r="AP101" s="125">
        <v>374599.78</v>
      </c>
      <c r="AQ101" s="125">
        <v>346967.77</v>
      </c>
      <c r="AR101" s="125">
        <v>406888.42</v>
      </c>
      <c r="AS101" s="125">
        <v>301091.19</v>
      </c>
      <c r="AT101" s="125">
        <v>301560.53000000003</v>
      </c>
      <c r="AU101" s="125">
        <v>342591.59</v>
      </c>
      <c r="AV101" s="125">
        <v>309941.43</v>
      </c>
      <c r="AW101" s="125">
        <v>326390.56</v>
      </c>
      <c r="AX101" s="125">
        <v>525323.29</v>
      </c>
      <c r="AY101" s="126"/>
      <c r="AZ101" s="126"/>
      <c r="BA101" s="126"/>
      <c r="BB101" s="126"/>
      <c r="BC101" s="126"/>
      <c r="BD101" s="126"/>
      <c r="BE101" s="126"/>
      <c r="BF101" s="127">
        <v>1426</v>
      </c>
      <c r="BG101" s="97" t="s">
        <v>135</v>
      </c>
      <c r="BH101" s="127">
        <v>1244410.81</v>
      </c>
      <c r="BI101" s="127">
        <v>1426</v>
      </c>
      <c r="BJ101" s="97" t="s">
        <v>135</v>
      </c>
      <c r="BK101" s="127">
        <v>1105785.08</v>
      </c>
    </row>
    <row r="102" spans="2:63" x14ac:dyDescent="0.25">
      <c r="B102" s="121">
        <v>142605</v>
      </c>
      <c r="C102" s="122" t="s">
        <v>97</v>
      </c>
      <c r="D102" s="123">
        <v>43695.87</v>
      </c>
      <c r="E102" s="123">
        <v>41810.269999999997</v>
      </c>
      <c r="F102" s="123">
        <v>35394.6</v>
      </c>
      <c r="G102" s="123">
        <v>33264.400000000001</v>
      </c>
      <c r="H102" s="123">
        <v>38853.019999999997</v>
      </c>
      <c r="I102" s="123">
        <v>34284.769999999997</v>
      </c>
      <c r="J102" s="123">
        <v>36328.42</v>
      </c>
      <c r="K102" s="123">
        <v>32357.27</v>
      </c>
      <c r="L102" s="123">
        <v>46622.51</v>
      </c>
      <c r="M102" s="123">
        <v>51231.74</v>
      </c>
      <c r="N102" s="123">
        <v>63042.53</v>
      </c>
      <c r="O102" s="123">
        <v>66471.740000000005</v>
      </c>
      <c r="P102" s="123">
        <v>63274.95</v>
      </c>
      <c r="Q102" s="123">
        <v>71441.48</v>
      </c>
      <c r="R102" s="123">
        <v>87516.91</v>
      </c>
      <c r="S102" s="123">
        <v>84111.9</v>
      </c>
      <c r="T102" s="123">
        <v>80091.210000000006</v>
      </c>
      <c r="U102" s="123">
        <v>87220.41</v>
      </c>
      <c r="V102" s="123">
        <v>91939.99</v>
      </c>
      <c r="W102" s="123">
        <v>100219.75</v>
      </c>
      <c r="X102" s="123">
        <v>95006.42</v>
      </c>
      <c r="Y102" s="123">
        <v>102285.26</v>
      </c>
      <c r="Z102" s="123">
        <v>430947.7</v>
      </c>
      <c r="AA102" s="123">
        <v>104766.45</v>
      </c>
      <c r="AB102" s="123">
        <v>104285.95</v>
      </c>
      <c r="AC102" s="124">
        <v>107358.22</v>
      </c>
      <c r="AD102" s="124">
        <v>125540.34</v>
      </c>
      <c r="AE102" s="124">
        <v>132522.9</v>
      </c>
      <c r="AF102" s="124">
        <v>116894.65</v>
      </c>
      <c r="AG102" s="124">
        <v>121935.92</v>
      </c>
      <c r="AH102" s="124">
        <v>132859.17000000001</v>
      </c>
      <c r="AI102" s="124">
        <v>132147.16</v>
      </c>
      <c r="AJ102" s="124">
        <v>143183.84</v>
      </c>
      <c r="AK102" s="124">
        <v>134557.92000000001</v>
      </c>
      <c r="AL102" s="124">
        <v>133931.14000000001</v>
      </c>
      <c r="AM102" s="124">
        <v>43890.06</v>
      </c>
      <c r="AN102" s="124">
        <v>30517.15</v>
      </c>
      <c r="AO102" s="125">
        <v>20227.5</v>
      </c>
      <c r="AP102" s="125">
        <v>21127.86</v>
      </c>
      <c r="AQ102" s="125">
        <v>19916.509999999998</v>
      </c>
      <c r="AR102" s="125">
        <v>24704.720000000001</v>
      </c>
      <c r="AS102" s="125">
        <v>20713.740000000002</v>
      </c>
      <c r="AT102" s="125">
        <v>23624.639999999999</v>
      </c>
      <c r="AU102" s="125">
        <v>19962.2</v>
      </c>
      <c r="AV102" s="125">
        <v>22893.38</v>
      </c>
      <c r="AW102" s="125">
        <v>19864.47</v>
      </c>
      <c r="AX102" s="125">
        <v>24275.49</v>
      </c>
      <c r="AY102" s="126"/>
      <c r="AZ102" s="126"/>
      <c r="BA102" s="126"/>
      <c r="BB102" s="126"/>
      <c r="BC102" s="126"/>
      <c r="BD102" s="126"/>
      <c r="BE102" s="126"/>
      <c r="BF102" s="127">
        <v>142605</v>
      </c>
      <c r="BG102" s="97" t="s">
        <v>97</v>
      </c>
      <c r="BH102" s="127">
        <v>132859.17000000001</v>
      </c>
      <c r="BI102" s="127">
        <v>142605</v>
      </c>
      <c r="BJ102" s="97" t="s">
        <v>97</v>
      </c>
      <c r="BK102" s="127">
        <v>132147.16</v>
      </c>
    </row>
    <row r="103" spans="2:63" x14ac:dyDescent="0.25">
      <c r="B103" s="121">
        <v>142610</v>
      </c>
      <c r="C103" s="122" t="s">
        <v>99</v>
      </c>
      <c r="D103" s="123">
        <v>26432.09</v>
      </c>
      <c r="E103" s="123">
        <v>21794.59</v>
      </c>
      <c r="F103" s="123">
        <v>14886.38</v>
      </c>
      <c r="G103" s="123">
        <v>14607.85</v>
      </c>
      <c r="H103" s="123">
        <v>19001.8</v>
      </c>
      <c r="I103" s="123">
        <v>16546.740000000002</v>
      </c>
      <c r="J103" s="123">
        <v>19209.63</v>
      </c>
      <c r="K103" s="123">
        <v>19191.509999999998</v>
      </c>
      <c r="L103" s="123">
        <v>28516.29</v>
      </c>
      <c r="M103" s="123">
        <v>32828.85</v>
      </c>
      <c r="N103" s="123">
        <v>38692.1</v>
      </c>
      <c r="O103" s="123">
        <v>43208.959999999999</v>
      </c>
      <c r="P103" s="123">
        <v>44806.720000000001</v>
      </c>
      <c r="Q103" s="123">
        <v>72186.12</v>
      </c>
      <c r="R103" s="123">
        <v>86155.53</v>
      </c>
      <c r="S103" s="123">
        <v>84892.98</v>
      </c>
      <c r="T103" s="123">
        <v>80853.86</v>
      </c>
      <c r="U103" s="123">
        <v>85942.02</v>
      </c>
      <c r="V103" s="123">
        <v>88108.71</v>
      </c>
      <c r="W103" s="123">
        <v>98337.59</v>
      </c>
      <c r="X103" s="123">
        <v>90651.25</v>
      </c>
      <c r="Y103" s="123">
        <v>99538.18</v>
      </c>
      <c r="Z103" s="123">
        <v>381100.1</v>
      </c>
      <c r="AA103" s="123">
        <v>99406.41</v>
      </c>
      <c r="AB103" s="123">
        <v>107201.22</v>
      </c>
      <c r="AC103" s="124">
        <v>107631.45</v>
      </c>
      <c r="AD103" s="124">
        <v>120051.97</v>
      </c>
      <c r="AE103" s="124">
        <v>126019.24</v>
      </c>
      <c r="AF103" s="124">
        <v>115578.69</v>
      </c>
      <c r="AG103" s="124">
        <v>116845.72</v>
      </c>
      <c r="AH103" s="124">
        <v>122589.75</v>
      </c>
      <c r="AI103" s="124">
        <v>121512.26</v>
      </c>
      <c r="AJ103" s="124">
        <v>124046.42</v>
      </c>
      <c r="AK103" s="124">
        <v>116993.05</v>
      </c>
      <c r="AL103" s="124">
        <v>108790.7</v>
      </c>
      <c r="AM103" s="124">
        <v>36348.71</v>
      </c>
      <c r="AN103" s="124">
        <v>24085.65</v>
      </c>
      <c r="AO103" s="125">
        <v>16175.84</v>
      </c>
      <c r="AP103" s="125">
        <v>18511.03</v>
      </c>
      <c r="AQ103" s="125">
        <v>17944.32</v>
      </c>
      <c r="AR103" s="125">
        <v>24186.84</v>
      </c>
      <c r="AS103" s="125">
        <v>19667.560000000001</v>
      </c>
      <c r="AT103" s="125">
        <v>21539.22</v>
      </c>
      <c r="AU103" s="125">
        <v>19176.27</v>
      </c>
      <c r="AV103" s="125">
        <v>21507.81</v>
      </c>
      <c r="AW103" s="125">
        <v>17388.62</v>
      </c>
      <c r="AX103" s="125">
        <v>23231.32</v>
      </c>
      <c r="AY103" s="126"/>
      <c r="AZ103" s="126"/>
      <c r="BA103" s="126"/>
      <c r="BB103" s="126"/>
      <c r="BC103" s="126"/>
      <c r="BD103" s="126"/>
      <c r="BE103" s="126"/>
      <c r="BF103" s="127">
        <v>142610</v>
      </c>
      <c r="BG103" s="97" t="s">
        <v>99</v>
      </c>
      <c r="BH103" s="127">
        <v>122589.75</v>
      </c>
      <c r="BI103" s="127">
        <v>142610</v>
      </c>
      <c r="BJ103" s="97" t="s">
        <v>99</v>
      </c>
      <c r="BK103" s="127">
        <v>121512.26</v>
      </c>
    </row>
    <row r="104" spans="2:63" x14ac:dyDescent="0.25">
      <c r="B104" s="121">
        <v>142615</v>
      </c>
      <c r="C104" s="122" t="s">
        <v>101</v>
      </c>
      <c r="D104" s="123">
        <v>22166.78</v>
      </c>
      <c r="E104" s="123">
        <v>19751.439999999999</v>
      </c>
      <c r="F104" s="123">
        <v>14462.39</v>
      </c>
      <c r="G104" s="123">
        <v>15044.52</v>
      </c>
      <c r="H104" s="123">
        <v>23115.94</v>
      </c>
      <c r="I104" s="123">
        <v>23758.45</v>
      </c>
      <c r="J104" s="123">
        <v>29404.69</v>
      </c>
      <c r="K104" s="123">
        <v>30158.97</v>
      </c>
      <c r="L104" s="123">
        <v>40250.559999999998</v>
      </c>
      <c r="M104" s="123">
        <v>48424.56</v>
      </c>
      <c r="N104" s="123">
        <v>61681.59</v>
      </c>
      <c r="O104" s="123">
        <v>65233.43</v>
      </c>
      <c r="P104" s="123">
        <v>66076.850000000006</v>
      </c>
      <c r="Q104" s="123">
        <v>111327.33</v>
      </c>
      <c r="R104" s="123">
        <v>129611.74</v>
      </c>
      <c r="S104" s="123">
        <v>126935.56</v>
      </c>
      <c r="T104" s="123">
        <v>119469.08</v>
      </c>
      <c r="U104" s="123">
        <v>130509.87</v>
      </c>
      <c r="V104" s="123">
        <v>138870.67000000001</v>
      </c>
      <c r="W104" s="123">
        <v>147197.22</v>
      </c>
      <c r="X104" s="123">
        <v>135111.89000000001</v>
      </c>
      <c r="Y104" s="123">
        <v>145442.01999999999</v>
      </c>
      <c r="Z104" s="123">
        <v>496804.82</v>
      </c>
      <c r="AA104" s="123">
        <v>156390.64000000001</v>
      </c>
      <c r="AB104" s="123">
        <v>156496.41</v>
      </c>
      <c r="AC104" s="124">
        <v>159180.87</v>
      </c>
      <c r="AD104" s="124">
        <v>178650.61</v>
      </c>
      <c r="AE104" s="124">
        <v>192429.22</v>
      </c>
      <c r="AF104" s="124">
        <v>162173.85999999999</v>
      </c>
      <c r="AG104" s="124">
        <v>164047.29999999999</v>
      </c>
      <c r="AH104" s="124">
        <v>163359.97</v>
      </c>
      <c r="AI104" s="124">
        <v>150612.87</v>
      </c>
      <c r="AJ104" s="124">
        <v>150261.23000000001</v>
      </c>
      <c r="AK104" s="124">
        <v>137290.51999999999</v>
      </c>
      <c r="AL104" s="124">
        <v>133448.17000000001</v>
      </c>
      <c r="AM104" s="124">
        <v>48294.12</v>
      </c>
      <c r="AN104" s="124">
        <v>32635.93</v>
      </c>
      <c r="AO104" s="125">
        <v>22635.58</v>
      </c>
      <c r="AP104" s="125">
        <v>28825.47</v>
      </c>
      <c r="AQ104" s="125">
        <v>28170.27</v>
      </c>
      <c r="AR104" s="125">
        <v>34294.410000000003</v>
      </c>
      <c r="AS104" s="125">
        <v>27321.8</v>
      </c>
      <c r="AT104" s="125">
        <v>29922.75</v>
      </c>
      <c r="AU104" s="125">
        <v>24787.65</v>
      </c>
      <c r="AV104" s="125">
        <v>27120.23</v>
      </c>
      <c r="AW104" s="125">
        <v>25245.66</v>
      </c>
      <c r="AX104" s="125">
        <v>33294.839999999997</v>
      </c>
      <c r="AY104" s="126"/>
      <c r="AZ104" s="126"/>
      <c r="BA104" s="126"/>
      <c r="BB104" s="126"/>
      <c r="BC104" s="126"/>
      <c r="BD104" s="126"/>
      <c r="BE104" s="126"/>
      <c r="BF104" s="127">
        <v>142615</v>
      </c>
      <c r="BG104" s="97" t="s">
        <v>101</v>
      </c>
      <c r="BH104" s="127">
        <v>163359.97</v>
      </c>
      <c r="BI104" s="127">
        <v>142615</v>
      </c>
      <c r="BJ104" s="97" t="s">
        <v>101</v>
      </c>
      <c r="BK104" s="127">
        <v>150612.87</v>
      </c>
    </row>
    <row r="105" spans="2:63" x14ac:dyDescent="0.25">
      <c r="B105" s="121">
        <v>142620</v>
      </c>
      <c r="C105" s="122" t="s">
        <v>102</v>
      </c>
      <c r="D105" s="123">
        <v>18495.55</v>
      </c>
      <c r="E105" s="123">
        <v>22195.91</v>
      </c>
      <c r="F105" s="123">
        <v>20875.32</v>
      </c>
      <c r="G105" s="123">
        <v>27861.97</v>
      </c>
      <c r="H105" s="123">
        <v>43962.34</v>
      </c>
      <c r="I105" s="123">
        <v>50281.98</v>
      </c>
      <c r="J105" s="123">
        <v>61371.040000000001</v>
      </c>
      <c r="K105" s="123">
        <v>64432.959999999999</v>
      </c>
      <c r="L105" s="123">
        <v>85830.87</v>
      </c>
      <c r="M105" s="123">
        <v>97680.04</v>
      </c>
      <c r="N105" s="123">
        <v>125806.99</v>
      </c>
      <c r="O105" s="123">
        <v>133213</v>
      </c>
      <c r="P105" s="123">
        <v>137617.92000000001</v>
      </c>
      <c r="Q105" s="123">
        <v>221340.37</v>
      </c>
      <c r="R105" s="123">
        <v>261837.2</v>
      </c>
      <c r="S105" s="123">
        <v>260490.85</v>
      </c>
      <c r="T105" s="123">
        <v>245236.06</v>
      </c>
      <c r="U105" s="123">
        <v>267808.62</v>
      </c>
      <c r="V105" s="123">
        <v>274933.65999999997</v>
      </c>
      <c r="W105" s="123">
        <v>293577.68</v>
      </c>
      <c r="X105" s="123">
        <v>275156.52</v>
      </c>
      <c r="Y105" s="123">
        <v>275318.57</v>
      </c>
      <c r="Z105" s="123">
        <v>746271.27</v>
      </c>
      <c r="AA105" s="123">
        <v>296028.58</v>
      </c>
      <c r="AB105" s="123">
        <v>292460.76</v>
      </c>
      <c r="AC105" s="124">
        <v>281208.63</v>
      </c>
      <c r="AD105" s="124">
        <v>301898.56</v>
      </c>
      <c r="AE105" s="124">
        <v>300756.28999999998</v>
      </c>
      <c r="AF105" s="124">
        <v>221084.28</v>
      </c>
      <c r="AG105" s="124">
        <v>217922.07</v>
      </c>
      <c r="AH105" s="124">
        <v>217478.75</v>
      </c>
      <c r="AI105" s="124">
        <v>196199.67999999999</v>
      </c>
      <c r="AJ105" s="124">
        <v>217497.47</v>
      </c>
      <c r="AK105" s="124">
        <v>205608.79</v>
      </c>
      <c r="AL105" s="124">
        <v>230750.26</v>
      </c>
      <c r="AM105" s="124">
        <v>89361.99</v>
      </c>
      <c r="AN105" s="124">
        <v>56049.25</v>
      </c>
      <c r="AO105" s="125">
        <v>42501.18</v>
      </c>
      <c r="AP105" s="125">
        <v>57391.33</v>
      </c>
      <c r="AQ105" s="125">
        <v>55508.77</v>
      </c>
      <c r="AR105" s="125">
        <v>61712.3</v>
      </c>
      <c r="AS105" s="125">
        <v>42745.86</v>
      </c>
      <c r="AT105" s="125">
        <v>49041.83</v>
      </c>
      <c r="AU105" s="125">
        <v>46697.35</v>
      </c>
      <c r="AV105" s="125">
        <v>47434.64</v>
      </c>
      <c r="AW105" s="125">
        <v>41996.52</v>
      </c>
      <c r="AX105" s="125">
        <v>60998.38</v>
      </c>
      <c r="AY105" s="126"/>
      <c r="AZ105" s="126"/>
      <c r="BA105" s="126"/>
      <c r="BB105" s="126"/>
      <c r="BC105" s="126"/>
      <c r="BD105" s="126"/>
      <c r="BE105" s="126"/>
      <c r="BF105" s="127">
        <v>142620</v>
      </c>
      <c r="BG105" s="97" t="s">
        <v>102</v>
      </c>
      <c r="BH105" s="127">
        <v>217478.75</v>
      </c>
      <c r="BI105" s="127">
        <v>142620</v>
      </c>
      <c r="BJ105" s="97" t="s">
        <v>102</v>
      </c>
      <c r="BK105" s="127">
        <v>196199.67999999999</v>
      </c>
    </row>
    <row r="106" spans="2:63" x14ac:dyDescent="0.25">
      <c r="B106" s="121">
        <v>142625</v>
      </c>
      <c r="C106" s="122" t="s">
        <v>103</v>
      </c>
      <c r="D106" s="123">
        <v>78839.87</v>
      </c>
      <c r="E106" s="123">
        <v>103058.75</v>
      </c>
      <c r="F106" s="123">
        <v>85026.19</v>
      </c>
      <c r="G106" s="123">
        <v>107591.19</v>
      </c>
      <c r="H106" s="123">
        <v>170257.35</v>
      </c>
      <c r="I106" s="123">
        <v>220214.21</v>
      </c>
      <c r="J106" s="123">
        <v>242837.09</v>
      </c>
      <c r="K106" s="123">
        <v>257960.7</v>
      </c>
      <c r="L106" s="123">
        <v>326389.71000000002</v>
      </c>
      <c r="M106" s="123">
        <v>344546.33</v>
      </c>
      <c r="N106" s="123">
        <v>446360.77</v>
      </c>
      <c r="O106" s="123">
        <v>435224.54</v>
      </c>
      <c r="P106" s="123">
        <v>408349.93</v>
      </c>
      <c r="Q106" s="123">
        <v>787568.69</v>
      </c>
      <c r="R106" s="123">
        <v>852008.51</v>
      </c>
      <c r="S106" s="123">
        <v>761150.55</v>
      </c>
      <c r="T106" s="123">
        <v>732097.79</v>
      </c>
      <c r="U106" s="123">
        <v>763160.17</v>
      </c>
      <c r="V106" s="123">
        <v>731298.54</v>
      </c>
      <c r="W106" s="123">
        <v>698294.17</v>
      </c>
      <c r="X106" s="123">
        <v>579667.74</v>
      </c>
      <c r="Y106" s="123">
        <v>616680.56999999995</v>
      </c>
      <c r="Z106" s="123">
        <v>1052462.69</v>
      </c>
      <c r="AA106" s="123">
        <v>635503.81000000006</v>
      </c>
      <c r="AB106" s="123">
        <v>597412.09</v>
      </c>
      <c r="AC106" s="124">
        <v>611905.21</v>
      </c>
      <c r="AD106" s="124">
        <v>676405.76000000001</v>
      </c>
      <c r="AE106" s="124">
        <v>806607.7</v>
      </c>
      <c r="AF106" s="124">
        <v>417480.83</v>
      </c>
      <c r="AG106" s="124">
        <v>558351.32999999996</v>
      </c>
      <c r="AH106" s="124">
        <v>608123.17000000004</v>
      </c>
      <c r="AI106" s="124">
        <v>505313.11</v>
      </c>
      <c r="AJ106" s="124">
        <v>729021.3</v>
      </c>
      <c r="AK106" s="124">
        <v>672076.72</v>
      </c>
      <c r="AL106" s="124">
        <v>822332.33</v>
      </c>
      <c r="AM106" s="124">
        <v>419196.84</v>
      </c>
      <c r="AN106" s="124">
        <v>210715.74</v>
      </c>
      <c r="AO106" s="125">
        <v>151708.23000000001</v>
      </c>
      <c r="AP106" s="125">
        <v>248744.09</v>
      </c>
      <c r="AQ106" s="125">
        <v>225427.9</v>
      </c>
      <c r="AR106" s="125">
        <v>261990.15</v>
      </c>
      <c r="AS106" s="125">
        <v>190642.23</v>
      </c>
      <c r="AT106" s="125">
        <v>177432.09</v>
      </c>
      <c r="AU106" s="125">
        <v>231968.12</v>
      </c>
      <c r="AV106" s="125">
        <v>190985.37</v>
      </c>
      <c r="AW106" s="125">
        <v>221895.29</v>
      </c>
      <c r="AX106" s="125">
        <v>383523.26</v>
      </c>
      <c r="AY106" s="126"/>
      <c r="AZ106" s="126"/>
      <c r="BA106" s="126"/>
      <c r="BB106" s="126"/>
      <c r="BC106" s="126"/>
      <c r="BD106" s="126"/>
      <c r="BE106" s="126"/>
      <c r="BF106" s="127">
        <v>142625</v>
      </c>
      <c r="BG106" s="97" t="s">
        <v>103</v>
      </c>
      <c r="BH106" s="127">
        <v>608123.17000000004</v>
      </c>
      <c r="BI106" s="127">
        <v>142625</v>
      </c>
      <c r="BJ106" s="97" t="s">
        <v>103</v>
      </c>
      <c r="BK106" s="127">
        <v>505313.11</v>
      </c>
    </row>
    <row r="107" spans="2:63" x14ac:dyDescent="0.25">
      <c r="B107" s="121">
        <v>1428</v>
      </c>
      <c r="C107" s="122" t="s">
        <v>136</v>
      </c>
      <c r="D107" s="116">
        <v>20039.169999999998</v>
      </c>
      <c r="E107" s="116">
        <v>18829.93</v>
      </c>
      <c r="F107" s="116">
        <v>33151.379999999997</v>
      </c>
      <c r="G107" s="116">
        <v>32375.06</v>
      </c>
      <c r="H107" s="116">
        <v>31586.04</v>
      </c>
      <c r="I107" s="116">
        <v>15853.47</v>
      </c>
      <c r="J107" s="116">
        <v>15261.39</v>
      </c>
      <c r="K107" s="116">
        <v>38595.599999999999</v>
      </c>
      <c r="L107" s="116">
        <v>57904.32</v>
      </c>
      <c r="M107" s="116">
        <v>70918.3</v>
      </c>
      <c r="N107" s="116">
        <v>88858.76</v>
      </c>
      <c r="O107" s="116">
        <v>123733.14</v>
      </c>
      <c r="P107" s="116">
        <v>129973.64</v>
      </c>
      <c r="Q107" s="116">
        <v>286430.26</v>
      </c>
      <c r="R107" s="116">
        <v>441081.7</v>
      </c>
      <c r="S107" s="116">
        <v>347559.75</v>
      </c>
      <c r="T107" s="116">
        <v>491274.13</v>
      </c>
      <c r="U107" s="116">
        <v>579062.61</v>
      </c>
      <c r="V107" s="116">
        <v>716437.08</v>
      </c>
      <c r="W107" s="116">
        <v>839452.84</v>
      </c>
      <c r="X107" s="116">
        <v>683775.62</v>
      </c>
      <c r="Y107" s="116">
        <v>644747.39</v>
      </c>
      <c r="Z107" s="116">
        <v>749282.91</v>
      </c>
      <c r="AA107" s="116">
        <v>837335.04000000004</v>
      </c>
      <c r="AB107" s="116">
        <v>810672.57</v>
      </c>
      <c r="AC107" s="124">
        <v>869923.52</v>
      </c>
      <c r="AD107" s="124">
        <v>906482.42</v>
      </c>
      <c r="AE107" s="124">
        <v>987704.9</v>
      </c>
      <c r="AF107" s="124">
        <v>734216.33</v>
      </c>
      <c r="AG107" s="124">
        <v>949010.07</v>
      </c>
      <c r="AH107" s="124">
        <v>828137.98</v>
      </c>
      <c r="AI107" s="124">
        <v>840483.32</v>
      </c>
      <c r="AJ107" s="124">
        <v>1211445.82</v>
      </c>
      <c r="AK107" s="124">
        <v>1123003.99</v>
      </c>
      <c r="AL107" s="124">
        <v>1142092.6200000001</v>
      </c>
      <c r="AM107" s="124">
        <v>514018.41</v>
      </c>
      <c r="AN107" s="124">
        <v>346511.06</v>
      </c>
      <c r="AO107" s="125">
        <v>245823.24</v>
      </c>
      <c r="AP107" s="125">
        <v>337969.48</v>
      </c>
      <c r="AQ107" s="125">
        <v>296952.82</v>
      </c>
      <c r="AR107" s="125">
        <v>183124.62</v>
      </c>
      <c r="AS107" s="125">
        <v>126781.66</v>
      </c>
      <c r="AT107" s="125">
        <v>204296.33</v>
      </c>
      <c r="AU107" s="125">
        <v>253408.33</v>
      </c>
      <c r="AV107" s="125">
        <v>328743.7</v>
      </c>
      <c r="AW107" s="125">
        <v>279754.7</v>
      </c>
      <c r="AX107" s="125">
        <v>196086.78</v>
      </c>
      <c r="AY107" s="126"/>
      <c r="AZ107" s="126"/>
      <c r="BA107" s="126"/>
      <c r="BB107" s="126"/>
      <c r="BC107" s="126"/>
      <c r="BD107" s="126"/>
      <c r="BE107" s="126"/>
      <c r="BF107" s="127">
        <v>1428</v>
      </c>
      <c r="BG107" s="97" t="s">
        <v>136</v>
      </c>
      <c r="BH107" s="127">
        <v>828137.98</v>
      </c>
      <c r="BI107" s="127">
        <v>1428</v>
      </c>
      <c r="BJ107" s="97" t="s">
        <v>136</v>
      </c>
      <c r="BK107" s="127">
        <v>840483.32</v>
      </c>
    </row>
    <row r="108" spans="2:63" x14ac:dyDescent="0.25">
      <c r="B108" s="121">
        <v>142805</v>
      </c>
      <c r="C108" s="122" t="s">
        <v>97</v>
      </c>
      <c r="D108" s="123">
        <v>3004.75</v>
      </c>
      <c r="E108" s="123">
        <v>2368.27</v>
      </c>
      <c r="F108" s="123">
        <v>2417.2800000000002</v>
      </c>
      <c r="G108" s="123">
        <v>2456.83</v>
      </c>
      <c r="H108" s="123">
        <v>2512.81</v>
      </c>
      <c r="I108" s="123">
        <v>1814.04</v>
      </c>
      <c r="J108" s="123">
        <v>1469.88</v>
      </c>
      <c r="K108" s="123">
        <v>2350.41</v>
      </c>
      <c r="L108" s="123">
        <v>2246.4699999999998</v>
      </c>
      <c r="M108" s="123">
        <v>3424.27</v>
      </c>
      <c r="N108" s="123">
        <v>4301.7299999999996</v>
      </c>
      <c r="O108" s="123">
        <v>7510.23</v>
      </c>
      <c r="P108" s="123">
        <v>8622.9</v>
      </c>
      <c r="Q108" s="123">
        <v>12472.14</v>
      </c>
      <c r="R108" s="123">
        <v>17944.2</v>
      </c>
      <c r="S108" s="123">
        <v>15713.35</v>
      </c>
      <c r="T108" s="123">
        <v>18581.45</v>
      </c>
      <c r="U108" s="123">
        <v>22407.439999999999</v>
      </c>
      <c r="V108" s="123">
        <v>27395.42</v>
      </c>
      <c r="W108" s="123">
        <v>38807.919999999998</v>
      </c>
      <c r="X108" s="123">
        <v>30658.16</v>
      </c>
      <c r="Y108" s="123">
        <v>31637.52</v>
      </c>
      <c r="Z108" s="123">
        <v>37154.26</v>
      </c>
      <c r="AA108" s="123">
        <v>40252.54</v>
      </c>
      <c r="AB108" s="123">
        <v>35486.269999999997</v>
      </c>
      <c r="AC108" s="124">
        <v>46426.49</v>
      </c>
      <c r="AD108" s="124">
        <v>39570.089999999997</v>
      </c>
      <c r="AE108" s="124">
        <v>49218.2</v>
      </c>
      <c r="AF108" s="124">
        <v>42993.45</v>
      </c>
      <c r="AG108" s="124">
        <v>52612.77</v>
      </c>
      <c r="AH108" s="124">
        <v>48339.03</v>
      </c>
      <c r="AI108" s="124">
        <v>44269.67</v>
      </c>
      <c r="AJ108" s="124">
        <v>57748.26</v>
      </c>
      <c r="AK108" s="124">
        <v>54163.33</v>
      </c>
      <c r="AL108" s="124">
        <v>57169.45</v>
      </c>
      <c r="AM108" s="124">
        <v>20992.59</v>
      </c>
      <c r="AN108" s="124">
        <v>16885.13</v>
      </c>
      <c r="AO108" s="125">
        <v>11916.93</v>
      </c>
      <c r="AP108" s="125">
        <v>15970.72</v>
      </c>
      <c r="AQ108" s="125">
        <v>13687.7</v>
      </c>
      <c r="AR108" s="125">
        <v>8609.26</v>
      </c>
      <c r="AS108" s="125">
        <v>7360.64</v>
      </c>
      <c r="AT108" s="125">
        <v>7966.54</v>
      </c>
      <c r="AU108" s="125">
        <v>9156.1299999999992</v>
      </c>
      <c r="AV108" s="125">
        <v>12511.97</v>
      </c>
      <c r="AW108" s="125">
        <v>10766.71</v>
      </c>
      <c r="AX108" s="125">
        <v>7673</v>
      </c>
      <c r="AY108" s="126"/>
      <c r="AZ108" s="126"/>
      <c r="BA108" s="126"/>
      <c r="BB108" s="126"/>
      <c r="BC108" s="126"/>
      <c r="BD108" s="126"/>
      <c r="BE108" s="126"/>
      <c r="BF108" s="127">
        <v>142805</v>
      </c>
      <c r="BG108" s="97" t="s">
        <v>97</v>
      </c>
      <c r="BH108" s="127">
        <v>48339.03</v>
      </c>
      <c r="BI108" s="127">
        <v>142805</v>
      </c>
      <c r="BJ108" s="97" t="s">
        <v>97</v>
      </c>
      <c r="BK108" s="127">
        <v>44269.67</v>
      </c>
    </row>
    <row r="109" spans="2:63" x14ac:dyDescent="0.25">
      <c r="B109" s="121">
        <v>142810</v>
      </c>
      <c r="C109" s="122" t="s">
        <v>99</v>
      </c>
      <c r="D109" s="123">
        <v>1180.95</v>
      </c>
      <c r="E109" s="123">
        <v>1200.27</v>
      </c>
      <c r="F109" s="123">
        <v>1660.87</v>
      </c>
      <c r="G109" s="123">
        <v>1688.44</v>
      </c>
      <c r="H109" s="123">
        <v>1333.93</v>
      </c>
      <c r="I109" s="123">
        <v>492.49</v>
      </c>
      <c r="J109" s="123">
        <v>493.14</v>
      </c>
      <c r="K109" s="123">
        <v>1374.49</v>
      </c>
      <c r="L109" s="123">
        <v>1564.49</v>
      </c>
      <c r="M109" s="123">
        <v>2380.96</v>
      </c>
      <c r="N109" s="123">
        <v>2988.64</v>
      </c>
      <c r="O109" s="123">
        <v>5118.87</v>
      </c>
      <c r="P109" s="123">
        <v>6095.06</v>
      </c>
      <c r="Q109" s="123">
        <v>12839.69</v>
      </c>
      <c r="R109" s="123">
        <v>18067.78</v>
      </c>
      <c r="S109" s="123">
        <v>15635.01</v>
      </c>
      <c r="T109" s="123">
        <v>18831.14</v>
      </c>
      <c r="U109" s="123">
        <v>22764.28</v>
      </c>
      <c r="V109" s="123">
        <v>26651.73</v>
      </c>
      <c r="W109" s="123">
        <v>34559.620000000003</v>
      </c>
      <c r="X109" s="123">
        <v>27610.26</v>
      </c>
      <c r="Y109" s="123">
        <v>28695.81</v>
      </c>
      <c r="Z109" s="123">
        <v>33851.56</v>
      </c>
      <c r="AA109" s="123">
        <v>36488.699999999997</v>
      </c>
      <c r="AB109" s="123">
        <v>36301.26</v>
      </c>
      <c r="AC109" s="124">
        <v>45210.85</v>
      </c>
      <c r="AD109" s="124">
        <v>38298.83</v>
      </c>
      <c r="AE109" s="124">
        <v>45390.94</v>
      </c>
      <c r="AF109" s="124">
        <v>39866.910000000003</v>
      </c>
      <c r="AG109" s="124">
        <v>45478.27</v>
      </c>
      <c r="AH109" s="124">
        <v>42207.14</v>
      </c>
      <c r="AI109" s="124">
        <v>42226.17</v>
      </c>
      <c r="AJ109" s="124">
        <v>56562.58</v>
      </c>
      <c r="AK109" s="124">
        <v>54281.55</v>
      </c>
      <c r="AL109" s="124">
        <v>56165.56</v>
      </c>
      <c r="AM109" s="124">
        <v>21407.64</v>
      </c>
      <c r="AN109" s="124">
        <v>14127.97</v>
      </c>
      <c r="AO109" s="125">
        <v>11856.71</v>
      </c>
      <c r="AP109" s="125">
        <v>15547.64</v>
      </c>
      <c r="AQ109" s="125">
        <v>13111.65</v>
      </c>
      <c r="AR109" s="125">
        <v>7448.42</v>
      </c>
      <c r="AS109" s="125">
        <v>5358.49</v>
      </c>
      <c r="AT109" s="125">
        <v>7217.49</v>
      </c>
      <c r="AU109" s="125">
        <v>9018.9599999999991</v>
      </c>
      <c r="AV109" s="125">
        <v>12119.55</v>
      </c>
      <c r="AW109" s="125">
        <v>10152.86</v>
      </c>
      <c r="AX109" s="125">
        <v>7680.96</v>
      </c>
      <c r="AY109" s="126"/>
      <c r="AZ109" s="126"/>
      <c r="BA109" s="126"/>
      <c r="BB109" s="126"/>
      <c r="BC109" s="126"/>
      <c r="BD109" s="126"/>
      <c r="BE109" s="126"/>
      <c r="BF109" s="127">
        <v>142810</v>
      </c>
      <c r="BG109" s="97" t="s">
        <v>99</v>
      </c>
      <c r="BH109" s="127">
        <v>42207.14</v>
      </c>
      <c r="BI109" s="127">
        <v>142810</v>
      </c>
      <c r="BJ109" s="97" t="s">
        <v>99</v>
      </c>
      <c r="BK109" s="127">
        <v>42226.17</v>
      </c>
    </row>
    <row r="110" spans="2:63" x14ac:dyDescent="0.25">
      <c r="B110" s="121">
        <v>142815</v>
      </c>
      <c r="C110" s="122" t="s">
        <v>101</v>
      </c>
      <c r="D110" s="123">
        <v>1814.04</v>
      </c>
      <c r="E110" s="123">
        <v>1469.88</v>
      </c>
      <c r="F110" s="123">
        <v>1817.55</v>
      </c>
      <c r="G110" s="123">
        <v>1465.64</v>
      </c>
      <c r="H110" s="123">
        <v>1488.84</v>
      </c>
      <c r="I110" s="123">
        <v>765.1</v>
      </c>
      <c r="J110" s="123">
        <v>784.36</v>
      </c>
      <c r="K110" s="123">
        <v>2134.61</v>
      </c>
      <c r="L110" s="123">
        <v>2424.4299999999998</v>
      </c>
      <c r="M110" s="123">
        <v>3751.73</v>
      </c>
      <c r="N110" s="123">
        <v>4705.8900000000003</v>
      </c>
      <c r="O110" s="123">
        <v>8183.2</v>
      </c>
      <c r="P110" s="123">
        <v>9287.18</v>
      </c>
      <c r="Q110" s="123">
        <v>19303.330000000002</v>
      </c>
      <c r="R110" s="123">
        <v>28022.6</v>
      </c>
      <c r="S110" s="123">
        <v>24190.15</v>
      </c>
      <c r="T110" s="123">
        <v>28805.58</v>
      </c>
      <c r="U110" s="123">
        <v>34486.15</v>
      </c>
      <c r="V110" s="123">
        <v>43475.83</v>
      </c>
      <c r="W110" s="123">
        <v>57978.09</v>
      </c>
      <c r="X110" s="123">
        <v>48151.24</v>
      </c>
      <c r="Y110" s="123">
        <v>49202.26</v>
      </c>
      <c r="Z110" s="123">
        <v>56610.75</v>
      </c>
      <c r="AA110" s="123">
        <v>61606.42</v>
      </c>
      <c r="AB110" s="123">
        <v>52242.99</v>
      </c>
      <c r="AC110" s="124">
        <v>62548.1</v>
      </c>
      <c r="AD110" s="124">
        <v>58804.82</v>
      </c>
      <c r="AE110" s="124">
        <v>68429.88</v>
      </c>
      <c r="AF110" s="124">
        <v>54132.12</v>
      </c>
      <c r="AG110" s="124">
        <v>66910.33</v>
      </c>
      <c r="AH110" s="124">
        <v>66765.960000000006</v>
      </c>
      <c r="AI110" s="124">
        <v>64291.45</v>
      </c>
      <c r="AJ110" s="124">
        <v>85988.15</v>
      </c>
      <c r="AK110" s="124">
        <v>84842.43</v>
      </c>
      <c r="AL110" s="124">
        <v>86801.33</v>
      </c>
      <c r="AM110" s="124">
        <v>32130.92</v>
      </c>
      <c r="AN110" s="124">
        <v>18888.91</v>
      </c>
      <c r="AO110" s="125">
        <v>15111.01</v>
      </c>
      <c r="AP110" s="125">
        <v>22663.24</v>
      </c>
      <c r="AQ110" s="125">
        <v>20476.41</v>
      </c>
      <c r="AR110" s="125">
        <v>11821.94</v>
      </c>
      <c r="AS110" s="125">
        <v>9295.14</v>
      </c>
      <c r="AT110" s="125">
        <v>12112.23</v>
      </c>
      <c r="AU110" s="125">
        <v>14825.68</v>
      </c>
      <c r="AV110" s="125">
        <v>20037.23</v>
      </c>
      <c r="AW110" s="125">
        <v>17296.36</v>
      </c>
      <c r="AX110" s="125">
        <v>12331.99</v>
      </c>
      <c r="AY110" s="126"/>
      <c r="AZ110" s="126"/>
      <c r="BA110" s="126"/>
      <c r="BB110" s="126"/>
      <c r="BC110" s="126"/>
      <c r="BD110" s="126"/>
      <c r="BE110" s="126"/>
      <c r="BF110" s="127">
        <v>142815</v>
      </c>
      <c r="BG110" s="97" t="s">
        <v>101</v>
      </c>
      <c r="BH110" s="127">
        <v>66765.960000000006</v>
      </c>
      <c r="BI110" s="127">
        <v>142815</v>
      </c>
      <c r="BJ110" s="97" t="s">
        <v>101</v>
      </c>
      <c r="BK110" s="127">
        <v>64291.45</v>
      </c>
    </row>
    <row r="111" spans="2:63" x14ac:dyDescent="0.25">
      <c r="B111" s="121">
        <v>142820</v>
      </c>
      <c r="C111" s="122" t="s">
        <v>102</v>
      </c>
      <c r="D111" s="123">
        <v>1525.42</v>
      </c>
      <c r="E111" s="123">
        <v>1542.97</v>
      </c>
      <c r="F111" s="123">
        <v>2831.75</v>
      </c>
      <c r="G111" s="123">
        <v>3190.54</v>
      </c>
      <c r="H111" s="123">
        <v>3228.62</v>
      </c>
      <c r="I111" s="123">
        <v>1664.93</v>
      </c>
      <c r="J111" s="123">
        <v>1685.42</v>
      </c>
      <c r="K111" s="123">
        <v>4629.62</v>
      </c>
      <c r="L111" s="123">
        <v>5272.36</v>
      </c>
      <c r="M111" s="123">
        <v>7909.93</v>
      </c>
      <c r="N111" s="123">
        <v>9936.3799999999992</v>
      </c>
      <c r="O111" s="123">
        <v>17163.3</v>
      </c>
      <c r="P111" s="123">
        <v>19898.72</v>
      </c>
      <c r="Q111" s="123">
        <v>41796.400000000001</v>
      </c>
      <c r="R111" s="123">
        <v>58419.23</v>
      </c>
      <c r="S111" s="123">
        <v>52746.75</v>
      </c>
      <c r="T111" s="123">
        <v>62217.72</v>
      </c>
      <c r="U111" s="123">
        <v>74412.22</v>
      </c>
      <c r="V111" s="123">
        <v>88441.68</v>
      </c>
      <c r="W111" s="123">
        <v>121743.12</v>
      </c>
      <c r="X111" s="123">
        <v>97674.23</v>
      </c>
      <c r="Y111" s="123">
        <v>91390.61</v>
      </c>
      <c r="Z111" s="123">
        <v>104249.34</v>
      </c>
      <c r="AA111" s="123">
        <v>108885.99</v>
      </c>
      <c r="AB111" s="123">
        <v>108750.66</v>
      </c>
      <c r="AC111" s="124">
        <v>112303.67</v>
      </c>
      <c r="AD111" s="124">
        <v>114290.87</v>
      </c>
      <c r="AE111" s="124">
        <v>132110.57</v>
      </c>
      <c r="AF111" s="124">
        <v>108440.46</v>
      </c>
      <c r="AG111" s="124">
        <v>138363.85999999999</v>
      </c>
      <c r="AH111" s="124">
        <v>124339.35</v>
      </c>
      <c r="AI111" s="124">
        <v>123850.06</v>
      </c>
      <c r="AJ111" s="124">
        <v>162792.81</v>
      </c>
      <c r="AK111" s="124">
        <v>145319.35</v>
      </c>
      <c r="AL111" s="124">
        <v>145194.26</v>
      </c>
      <c r="AM111" s="124">
        <v>61317.93</v>
      </c>
      <c r="AN111" s="124">
        <v>37922.410000000003</v>
      </c>
      <c r="AO111" s="125">
        <v>31422.86</v>
      </c>
      <c r="AP111" s="125">
        <v>44753.07</v>
      </c>
      <c r="AQ111" s="125">
        <v>41882.339999999997</v>
      </c>
      <c r="AR111" s="125">
        <v>23465.59</v>
      </c>
      <c r="AS111" s="125">
        <v>17343.689999999999</v>
      </c>
      <c r="AT111" s="125">
        <v>24260.03</v>
      </c>
      <c r="AU111" s="125">
        <v>30519.56</v>
      </c>
      <c r="AV111" s="125">
        <v>41897.69</v>
      </c>
      <c r="AW111" s="125">
        <v>35090.58</v>
      </c>
      <c r="AX111" s="125">
        <v>24751.95</v>
      </c>
      <c r="AY111" s="126"/>
      <c r="AZ111" s="126"/>
      <c r="BA111" s="126"/>
      <c r="BB111" s="126"/>
      <c r="BC111" s="126"/>
      <c r="BD111" s="126"/>
      <c r="BE111" s="126"/>
      <c r="BF111" s="127">
        <v>142820</v>
      </c>
      <c r="BG111" s="97" t="s">
        <v>102</v>
      </c>
      <c r="BH111" s="127">
        <v>124339.35</v>
      </c>
      <c r="BI111" s="127">
        <v>142820</v>
      </c>
      <c r="BJ111" s="97" t="s">
        <v>102</v>
      </c>
      <c r="BK111" s="127">
        <v>123850.06</v>
      </c>
    </row>
    <row r="112" spans="2:63" x14ac:dyDescent="0.25">
      <c r="B112" s="121">
        <v>142825</v>
      </c>
      <c r="C112" s="122" t="s">
        <v>103</v>
      </c>
      <c r="D112" s="123">
        <v>12514.01</v>
      </c>
      <c r="E112" s="123">
        <v>12248.54</v>
      </c>
      <c r="F112" s="123">
        <v>24423.93</v>
      </c>
      <c r="G112" s="123">
        <v>23573.61</v>
      </c>
      <c r="H112" s="123">
        <v>23021.84</v>
      </c>
      <c r="I112" s="123">
        <v>11116.91</v>
      </c>
      <c r="J112" s="123">
        <v>10828.59</v>
      </c>
      <c r="K112" s="123">
        <v>28106.47</v>
      </c>
      <c r="L112" s="123">
        <v>46396.57</v>
      </c>
      <c r="M112" s="123">
        <v>53451.41</v>
      </c>
      <c r="N112" s="123">
        <v>66926.12</v>
      </c>
      <c r="O112" s="123">
        <v>85757.54</v>
      </c>
      <c r="P112" s="123">
        <v>86069.78</v>
      </c>
      <c r="Q112" s="123">
        <v>200018.7</v>
      </c>
      <c r="R112" s="123">
        <v>318627.89</v>
      </c>
      <c r="S112" s="123">
        <v>239274.49</v>
      </c>
      <c r="T112" s="123">
        <v>362838.24</v>
      </c>
      <c r="U112" s="123">
        <v>424992.52</v>
      </c>
      <c r="V112" s="123">
        <v>530472.42000000004</v>
      </c>
      <c r="W112" s="123">
        <v>586364.09</v>
      </c>
      <c r="X112" s="123">
        <v>479681.73</v>
      </c>
      <c r="Y112" s="123">
        <v>443821.19</v>
      </c>
      <c r="Z112" s="123">
        <v>517417</v>
      </c>
      <c r="AA112" s="123">
        <v>590101.39</v>
      </c>
      <c r="AB112" s="123">
        <v>577891.39</v>
      </c>
      <c r="AC112" s="124">
        <v>603434.41</v>
      </c>
      <c r="AD112" s="124">
        <v>655517.81000000006</v>
      </c>
      <c r="AE112" s="124">
        <v>692555.31</v>
      </c>
      <c r="AF112" s="124">
        <v>488783.39</v>
      </c>
      <c r="AG112" s="124">
        <v>645644.84</v>
      </c>
      <c r="AH112" s="124">
        <v>546486.5</v>
      </c>
      <c r="AI112" s="124">
        <v>565845.97</v>
      </c>
      <c r="AJ112" s="124">
        <v>848354.02</v>
      </c>
      <c r="AK112" s="124">
        <v>784397.33</v>
      </c>
      <c r="AL112" s="124">
        <v>796762.02</v>
      </c>
      <c r="AM112" s="124">
        <v>378169.33</v>
      </c>
      <c r="AN112" s="124">
        <v>258686.64</v>
      </c>
      <c r="AO112" s="125">
        <v>175515.73</v>
      </c>
      <c r="AP112" s="125">
        <v>239034.81</v>
      </c>
      <c r="AQ112" s="125">
        <v>207794.72</v>
      </c>
      <c r="AR112" s="125">
        <v>131779.41</v>
      </c>
      <c r="AS112" s="125">
        <v>87423.7</v>
      </c>
      <c r="AT112" s="125">
        <v>152740.04</v>
      </c>
      <c r="AU112" s="125">
        <v>189888</v>
      </c>
      <c r="AV112" s="125">
        <v>242177.26</v>
      </c>
      <c r="AW112" s="125">
        <v>206448.19</v>
      </c>
      <c r="AX112" s="125">
        <v>143648.88</v>
      </c>
      <c r="AY112" s="126"/>
      <c r="AZ112" s="126"/>
      <c r="BA112" s="126"/>
      <c r="BB112" s="126"/>
      <c r="BC112" s="126"/>
      <c r="BD112" s="126"/>
      <c r="BE112" s="126"/>
      <c r="BF112" s="127">
        <v>142825</v>
      </c>
      <c r="BG112" s="97" t="s">
        <v>103</v>
      </c>
      <c r="BH112" s="127">
        <v>546486.5</v>
      </c>
      <c r="BI112" s="127">
        <v>142825</v>
      </c>
      <c r="BJ112" s="97" t="s">
        <v>103</v>
      </c>
      <c r="BK112" s="127">
        <v>565845.97</v>
      </c>
    </row>
    <row r="113" spans="2:63" ht="22.5" customHeight="1" x14ac:dyDescent="0.25">
      <c r="B113" s="121">
        <v>1434</v>
      </c>
      <c r="C113" s="122" t="s">
        <v>137</v>
      </c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16">
        <v>6439.92</v>
      </c>
      <c r="U113" s="116">
        <v>18249.72</v>
      </c>
      <c r="V113" s="116">
        <v>6135.4</v>
      </c>
      <c r="W113" s="116">
        <v>5981.42</v>
      </c>
      <c r="X113" s="116">
        <v>5822.78</v>
      </c>
      <c r="Y113" s="116">
        <v>5664.6</v>
      </c>
      <c r="Z113" s="116">
        <v>30121.03</v>
      </c>
      <c r="AA113" s="116">
        <v>49876.68</v>
      </c>
      <c r="AB113" s="116">
        <v>68138.960000000006</v>
      </c>
      <c r="AC113" s="124">
        <v>56200.45</v>
      </c>
      <c r="AD113" s="124">
        <v>72084.639999999999</v>
      </c>
      <c r="AE113" s="124">
        <v>48936.25</v>
      </c>
      <c r="AF113" s="124">
        <v>48137.440000000002</v>
      </c>
      <c r="AG113" s="124">
        <v>89951.3</v>
      </c>
      <c r="AH113" s="124">
        <v>137358.14000000001</v>
      </c>
      <c r="AI113" s="124">
        <v>157247.29999999999</v>
      </c>
      <c r="AJ113" s="124">
        <v>93605.53</v>
      </c>
      <c r="AK113" s="124">
        <v>127380.21</v>
      </c>
      <c r="AL113" s="124">
        <v>124802.04</v>
      </c>
      <c r="AM113" s="124">
        <v>9158</v>
      </c>
      <c r="AN113" s="124">
        <v>4680.9799999999996</v>
      </c>
      <c r="AO113" s="125">
        <v>15614.36</v>
      </c>
      <c r="AP113" s="125">
        <v>4388.49</v>
      </c>
      <c r="AQ113" s="125">
        <v>39614.959999999999</v>
      </c>
      <c r="AR113" s="125">
        <v>12209.27</v>
      </c>
      <c r="AS113" s="125">
        <v>11896.75</v>
      </c>
      <c r="AT113" s="125">
        <v>34815.03</v>
      </c>
      <c r="AU113" s="125">
        <v>0</v>
      </c>
      <c r="AV113" s="125">
        <v>7855.36</v>
      </c>
      <c r="AW113" s="125">
        <v>0</v>
      </c>
      <c r="AX113" s="125">
        <v>0</v>
      </c>
      <c r="AY113" s="126"/>
      <c r="AZ113" s="126"/>
      <c r="BA113" s="126"/>
      <c r="BB113" s="126"/>
      <c r="BC113" s="126"/>
      <c r="BD113" s="126"/>
      <c r="BE113" s="126"/>
      <c r="BF113" s="127">
        <v>1434</v>
      </c>
      <c r="BG113" s="97" t="s">
        <v>137</v>
      </c>
      <c r="BH113" s="127">
        <v>137358.14000000001</v>
      </c>
      <c r="BI113" s="127">
        <v>1434</v>
      </c>
      <c r="BJ113" s="97" t="s">
        <v>137</v>
      </c>
      <c r="BK113" s="127">
        <v>157247.29999999999</v>
      </c>
    </row>
    <row r="114" spans="2:63" x14ac:dyDescent="0.25">
      <c r="B114" s="121">
        <v>143405</v>
      </c>
      <c r="C114" s="122" t="s">
        <v>126</v>
      </c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3">
        <v>304.52</v>
      </c>
      <c r="U114" s="123">
        <v>651.33000000000004</v>
      </c>
      <c r="V114" s="123">
        <v>312.62</v>
      </c>
      <c r="W114" s="123">
        <v>316.82</v>
      </c>
      <c r="X114" s="123">
        <v>318.49</v>
      </c>
      <c r="Y114" s="123">
        <v>325.14999999999998</v>
      </c>
      <c r="Z114" s="123">
        <v>931.86</v>
      </c>
      <c r="AA114" s="123">
        <v>1604.94</v>
      </c>
      <c r="AB114" s="123">
        <v>1922.27</v>
      </c>
      <c r="AC114" s="124">
        <v>1761.02</v>
      </c>
      <c r="AD114" s="124">
        <v>1971.94</v>
      </c>
      <c r="AE114" s="124">
        <v>1568.36</v>
      </c>
      <c r="AF114" s="124">
        <v>1567.85</v>
      </c>
      <c r="AG114" s="124">
        <v>2857.98</v>
      </c>
      <c r="AH114" s="124">
        <v>3870.96</v>
      </c>
      <c r="AI114" s="124">
        <v>4341.92</v>
      </c>
      <c r="AJ114" s="124">
        <v>3251.77</v>
      </c>
      <c r="AK114" s="124">
        <v>5242.38</v>
      </c>
      <c r="AL114" s="124">
        <v>4639.8900000000003</v>
      </c>
      <c r="AM114" s="124">
        <v>599.74</v>
      </c>
      <c r="AN114" s="124">
        <v>292.49</v>
      </c>
      <c r="AO114" s="125">
        <v>488.01</v>
      </c>
      <c r="AP114" s="125">
        <v>303.86</v>
      </c>
      <c r="AQ114" s="125">
        <v>1420.62</v>
      </c>
      <c r="AR114" s="125">
        <v>634.20000000000005</v>
      </c>
      <c r="AS114" s="125">
        <v>642.72</v>
      </c>
      <c r="AT114" s="125">
        <v>1127.04</v>
      </c>
      <c r="AU114" s="125">
        <v>0</v>
      </c>
      <c r="AV114" s="125">
        <v>175.59</v>
      </c>
      <c r="AW114" s="125">
        <v>0</v>
      </c>
      <c r="AX114" s="125">
        <v>0</v>
      </c>
      <c r="AY114" s="126"/>
      <c r="AZ114" s="126"/>
      <c r="BA114" s="126"/>
      <c r="BB114" s="126"/>
      <c r="BC114" s="126"/>
      <c r="BD114" s="126"/>
      <c r="BE114" s="126"/>
      <c r="BF114" s="127">
        <v>143405</v>
      </c>
      <c r="BG114" s="97" t="s">
        <v>126</v>
      </c>
      <c r="BH114" s="127">
        <v>3870.96</v>
      </c>
      <c r="BI114" s="127">
        <v>143405</v>
      </c>
      <c r="BJ114" s="97" t="s">
        <v>126</v>
      </c>
      <c r="BK114" s="127">
        <v>4341.92</v>
      </c>
    </row>
    <row r="115" spans="2:63" x14ac:dyDescent="0.25">
      <c r="B115" s="121">
        <v>143410</v>
      </c>
      <c r="C115" s="122" t="s">
        <v>127</v>
      </c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3">
        <v>312.62</v>
      </c>
      <c r="U115" s="123">
        <v>494.07</v>
      </c>
      <c r="V115" s="123">
        <v>318.49</v>
      </c>
      <c r="W115" s="123">
        <v>325.14999999999998</v>
      </c>
      <c r="X115" s="123">
        <v>329.51</v>
      </c>
      <c r="Y115" s="123">
        <v>333.8</v>
      </c>
      <c r="Z115" s="123">
        <v>956.66</v>
      </c>
      <c r="AA115" s="123">
        <v>1437.79</v>
      </c>
      <c r="AB115" s="123">
        <v>1996.87</v>
      </c>
      <c r="AC115" s="124">
        <v>1850.89</v>
      </c>
      <c r="AD115" s="124">
        <v>1992.62</v>
      </c>
      <c r="AE115" s="124">
        <v>1587.66</v>
      </c>
      <c r="AF115" s="124">
        <v>1607.07</v>
      </c>
      <c r="AG115" s="124">
        <v>2931.32</v>
      </c>
      <c r="AH115" s="124">
        <v>3915.78</v>
      </c>
      <c r="AI115" s="124">
        <v>4452.62</v>
      </c>
      <c r="AJ115" s="124">
        <v>3375.06</v>
      </c>
      <c r="AK115" s="124">
        <v>4027.42</v>
      </c>
      <c r="AL115" s="124">
        <v>4079.86</v>
      </c>
      <c r="AM115" s="124">
        <v>612.11</v>
      </c>
      <c r="AN115" s="124">
        <v>303.86</v>
      </c>
      <c r="AO115" s="125">
        <v>519.74</v>
      </c>
      <c r="AP115" s="125">
        <v>308.27</v>
      </c>
      <c r="AQ115" s="125">
        <v>1424.99</v>
      </c>
      <c r="AR115" s="125">
        <v>651.07000000000005</v>
      </c>
      <c r="AS115" s="125">
        <v>659.82</v>
      </c>
      <c r="AT115" s="125">
        <v>1143.83</v>
      </c>
      <c r="AU115" s="125">
        <v>0</v>
      </c>
      <c r="AV115" s="125">
        <v>183.66</v>
      </c>
      <c r="AW115" s="125">
        <v>0</v>
      </c>
      <c r="AX115" s="125">
        <v>0</v>
      </c>
      <c r="AY115" s="126"/>
      <c r="AZ115" s="126"/>
      <c r="BA115" s="126"/>
      <c r="BB115" s="126"/>
      <c r="BC115" s="126"/>
      <c r="BD115" s="126"/>
      <c r="BE115" s="126"/>
      <c r="BF115" s="127">
        <v>143410</v>
      </c>
      <c r="BG115" s="97" t="s">
        <v>127</v>
      </c>
      <c r="BH115" s="127">
        <v>3915.78</v>
      </c>
      <c r="BI115" s="127">
        <v>143410</v>
      </c>
      <c r="BJ115" s="97" t="s">
        <v>127</v>
      </c>
      <c r="BK115" s="127">
        <v>4452.62</v>
      </c>
    </row>
    <row r="116" spans="2:63" x14ac:dyDescent="0.25">
      <c r="B116" s="121">
        <v>143415</v>
      </c>
      <c r="C116" s="122" t="s">
        <v>128</v>
      </c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3">
        <v>483.33</v>
      </c>
      <c r="U116" s="123">
        <v>1025.48</v>
      </c>
      <c r="V116" s="123">
        <v>498.64</v>
      </c>
      <c r="W116" s="123">
        <v>502.96</v>
      </c>
      <c r="X116" s="123">
        <v>509.72</v>
      </c>
      <c r="Y116" s="123">
        <v>518.37</v>
      </c>
      <c r="Z116" s="123">
        <v>1488.74</v>
      </c>
      <c r="AA116" s="123">
        <v>2572.54</v>
      </c>
      <c r="AB116" s="123">
        <v>3037.74</v>
      </c>
      <c r="AC116" s="124">
        <v>2840.72</v>
      </c>
      <c r="AD116" s="124">
        <v>3070.54</v>
      </c>
      <c r="AE116" s="124">
        <v>2447.2600000000002</v>
      </c>
      <c r="AF116" s="124">
        <v>2477.19</v>
      </c>
      <c r="AG116" s="124">
        <v>4520.5200000000004</v>
      </c>
      <c r="AH116" s="124">
        <v>6175.84</v>
      </c>
      <c r="AI116" s="124">
        <v>6866.18</v>
      </c>
      <c r="AJ116" s="124">
        <v>5029.0200000000004</v>
      </c>
      <c r="AK116" s="124">
        <v>6307.23</v>
      </c>
      <c r="AL116" s="124">
        <v>6389.45</v>
      </c>
      <c r="AM116" s="124">
        <v>963.13</v>
      </c>
      <c r="AN116" s="124">
        <v>464.67</v>
      </c>
      <c r="AO116" s="125">
        <v>788.72</v>
      </c>
      <c r="AP116" s="125">
        <v>477.12</v>
      </c>
      <c r="AQ116" s="125">
        <v>2201.44</v>
      </c>
      <c r="AR116" s="125">
        <v>1006.97</v>
      </c>
      <c r="AS116" s="125">
        <v>1020.49</v>
      </c>
      <c r="AT116" s="125">
        <v>1799.74</v>
      </c>
      <c r="AU116" s="125">
        <v>0</v>
      </c>
      <c r="AV116" s="125">
        <v>283.04000000000002</v>
      </c>
      <c r="AW116" s="125">
        <v>0</v>
      </c>
      <c r="AX116" s="125">
        <v>0</v>
      </c>
      <c r="AY116" s="126"/>
      <c r="AZ116" s="126"/>
      <c r="BA116" s="126"/>
      <c r="BB116" s="126"/>
      <c r="BC116" s="126"/>
      <c r="BD116" s="126"/>
      <c r="BE116" s="126"/>
      <c r="BF116" s="127">
        <v>143415</v>
      </c>
      <c r="BG116" s="97" t="s">
        <v>128</v>
      </c>
      <c r="BH116" s="127">
        <v>6175.84</v>
      </c>
      <c r="BI116" s="127">
        <v>143415</v>
      </c>
      <c r="BJ116" s="97" t="s">
        <v>128</v>
      </c>
      <c r="BK116" s="127">
        <v>6866.18</v>
      </c>
    </row>
    <row r="117" spans="2:63" x14ac:dyDescent="0.25">
      <c r="B117" s="121">
        <v>143420</v>
      </c>
      <c r="C117" s="122" t="s">
        <v>129</v>
      </c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3">
        <v>852.17</v>
      </c>
      <c r="U117" s="123">
        <v>2185.9699999999998</v>
      </c>
      <c r="V117" s="123">
        <v>874.84</v>
      </c>
      <c r="W117" s="123">
        <v>1071.6400000000001</v>
      </c>
      <c r="X117" s="123">
        <v>1086.04</v>
      </c>
      <c r="Y117" s="123">
        <v>908.26</v>
      </c>
      <c r="Z117" s="123">
        <v>3147.09</v>
      </c>
      <c r="AA117" s="123">
        <v>5197.25</v>
      </c>
      <c r="AB117" s="123">
        <v>6454.72</v>
      </c>
      <c r="AC117" s="124">
        <v>5968.55</v>
      </c>
      <c r="AD117" s="124">
        <v>5991.88</v>
      </c>
      <c r="AE117" s="124">
        <v>5224.3500000000004</v>
      </c>
      <c r="AF117" s="124">
        <v>5273</v>
      </c>
      <c r="AG117" s="124">
        <v>9523.52</v>
      </c>
      <c r="AH117" s="124">
        <v>12930.78</v>
      </c>
      <c r="AI117" s="124">
        <v>14580.24</v>
      </c>
      <c r="AJ117" s="124">
        <v>11126.62</v>
      </c>
      <c r="AK117" s="124">
        <v>12823.01</v>
      </c>
      <c r="AL117" s="124">
        <v>13029.13</v>
      </c>
      <c r="AM117" s="124">
        <v>2023.29</v>
      </c>
      <c r="AN117" s="124">
        <v>987.81</v>
      </c>
      <c r="AO117" s="125">
        <v>1659.15</v>
      </c>
      <c r="AP117" s="125">
        <v>1012.94</v>
      </c>
      <c r="AQ117" s="125">
        <v>4711.7</v>
      </c>
      <c r="AR117" s="125">
        <v>2145.08</v>
      </c>
      <c r="AS117" s="125">
        <v>2177.0700000000002</v>
      </c>
      <c r="AT117" s="125">
        <v>3818.07</v>
      </c>
      <c r="AU117" s="125">
        <v>0</v>
      </c>
      <c r="AV117" s="125">
        <v>610.29</v>
      </c>
      <c r="AW117" s="125">
        <v>0</v>
      </c>
      <c r="AX117" s="125">
        <v>0</v>
      </c>
      <c r="AY117" s="126"/>
      <c r="AZ117" s="126"/>
      <c r="BA117" s="126"/>
      <c r="BB117" s="126"/>
      <c r="BC117" s="126"/>
      <c r="BD117" s="126"/>
      <c r="BE117" s="126"/>
      <c r="BF117" s="127">
        <v>143420</v>
      </c>
      <c r="BG117" s="97" t="s">
        <v>129</v>
      </c>
      <c r="BH117" s="127">
        <v>12930.78</v>
      </c>
      <c r="BI117" s="127">
        <v>143420</v>
      </c>
      <c r="BJ117" s="97" t="s">
        <v>129</v>
      </c>
      <c r="BK117" s="127">
        <v>14580.24</v>
      </c>
    </row>
    <row r="118" spans="2:63" x14ac:dyDescent="0.25">
      <c r="B118" s="121">
        <v>143425</v>
      </c>
      <c r="C118" s="122" t="s">
        <v>130</v>
      </c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3">
        <v>4487.28</v>
      </c>
      <c r="U118" s="123">
        <v>13892.87</v>
      </c>
      <c r="V118" s="123">
        <v>4130.8100000000004</v>
      </c>
      <c r="W118" s="123">
        <v>3764.85</v>
      </c>
      <c r="X118" s="123">
        <v>3579.02</v>
      </c>
      <c r="Y118" s="123">
        <v>3579.02</v>
      </c>
      <c r="Z118" s="123">
        <v>23596.68</v>
      </c>
      <c r="AA118" s="123">
        <v>39064.160000000003</v>
      </c>
      <c r="AB118" s="123">
        <v>54727.360000000001</v>
      </c>
      <c r="AC118" s="124">
        <v>43779.27</v>
      </c>
      <c r="AD118" s="124">
        <v>59057.66</v>
      </c>
      <c r="AE118" s="124">
        <v>38108.620000000003</v>
      </c>
      <c r="AF118" s="124">
        <v>37212.33</v>
      </c>
      <c r="AG118" s="124">
        <v>70117.960000000006</v>
      </c>
      <c r="AH118" s="124">
        <v>110464.78</v>
      </c>
      <c r="AI118" s="124">
        <v>127006.34</v>
      </c>
      <c r="AJ118" s="124">
        <v>70823.06</v>
      </c>
      <c r="AK118" s="124">
        <v>98980.17</v>
      </c>
      <c r="AL118" s="124">
        <v>96663.71</v>
      </c>
      <c r="AM118" s="124">
        <v>4959.7299999999996</v>
      </c>
      <c r="AN118" s="124">
        <v>2632.15</v>
      </c>
      <c r="AO118" s="125">
        <v>12158.74</v>
      </c>
      <c r="AP118" s="125">
        <v>2286.3000000000002</v>
      </c>
      <c r="AQ118" s="125">
        <v>29856.21</v>
      </c>
      <c r="AR118" s="125">
        <v>7771.95</v>
      </c>
      <c r="AS118" s="125">
        <v>7396.65</v>
      </c>
      <c r="AT118" s="125">
        <v>26926.35</v>
      </c>
      <c r="AU118" s="125">
        <v>0</v>
      </c>
      <c r="AV118" s="125">
        <v>6602.78</v>
      </c>
      <c r="AW118" s="125">
        <v>0</v>
      </c>
      <c r="AX118" s="125">
        <v>0</v>
      </c>
      <c r="AY118" s="126"/>
      <c r="AZ118" s="126"/>
      <c r="BA118" s="126"/>
      <c r="BB118" s="126"/>
      <c r="BC118" s="126"/>
      <c r="BD118" s="126"/>
      <c r="BE118" s="126"/>
      <c r="BF118" s="127">
        <v>143425</v>
      </c>
      <c r="BG118" s="97" t="s">
        <v>130</v>
      </c>
      <c r="BH118" s="127">
        <v>110464.78</v>
      </c>
      <c r="BI118" s="127">
        <v>143425</v>
      </c>
      <c r="BJ118" s="97" t="s">
        <v>130</v>
      </c>
      <c r="BK118" s="127">
        <v>127006.34</v>
      </c>
    </row>
    <row r="119" spans="2:63" ht="22.5" customHeight="1" x14ac:dyDescent="0.25">
      <c r="B119" s="121">
        <v>1436</v>
      </c>
      <c r="C119" s="122" t="s">
        <v>138</v>
      </c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  <c r="AA119" s="123">
        <v>38691.39</v>
      </c>
      <c r="AB119" s="123">
        <v>50769.61</v>
      </c>
      <c r="AC119" s="124">
        <v>72369.5</v>
      </c>
      <c r="AD119" s="124">
        <v>33103.74</v>
      </c>
      <c r="AE119" s="124">
        <v>45798.28</v>
      </c>
      <c r="AF119" s="124">
        <v>63407.31</v>
      </c>
      <c r="AG119" s="124">
        <v>47233.82</v>
      </c>
      <c r="AH119" s="124">
        <v>59447.839999999997</v>
      </c>
      <c r="AI119" s="124">
        <v>66801.759999999995</v>
      </c>
      <c r="AJ119" s="124">
        <v>73468</v>
      </c>
      <c r="AK119" s="124">
        <v>92843.75</v>
      </c>
      <c r="AL119" s="124">
        <v>69489.39</v>
      </c>
      <c r="AM119" s="124">
        <v>12377.46</v>
      </c>
      <c r="AN119" s="124">
        <v>3292.93</v>
      </c>
      <c r="AO119" s="125">
        <v>3254.18</v>
      </c>
      <c r="AP119" s="125">
        <v>3216.33</v>
      </c>
      <c r="AQ119" s="125">
        <v>15421.73</v>
      </c>
      <c r="AR119" s="125">
        <v>3134.98</v>
      </c>
      <c r="AS119" s="125">
        <v>3095.53</v>
      </c>
      <c r="AT119" s="125">
        <v>15286.29</v>
      </c>
      <c r="AU119" s="125">
        <v>15103.6</v>
      </c>
      <c r="AV119" s="125">
        <v>14911.66</v>
      </c>
      <c r="AW119" s="125">
        <v>14723.58</v>
      </c>
      <c r="AX119" s="125">
        <v>11645.35</v>
      </c>
      <c r="AY119" s="126"/>
      <c r="AZ119" s="126"/>
      <c r="BA119" s="126"/>
      <c r="BB119" s="126"/>
      <c r="BC119" s="126"/>
      <c r="BD119" s="126"/>
      <c r="BE119" s="126"/>
      <c r="BF119" s="127">
        <v>1436</v>
      </c>
      <c r="BG119" s="97" t="s">
        <v>138</v>
      </c>
      <c r="BH119" s="127">
        <v>59447.839999999997</v>
      </c>
      <c r="BI119" s="127">
        <v>1436</v>
      </c>
      <c r="BJ119" s="97" t="s">
        <v>138</v>
      </c>
      <c r="BK119" s="127">
        <v>66801.759999999995</v>
      </c>
    </row>
    <row r="120" spans="2:63" x14ac:dyDescent="0.25">
      <c r="B120" s="121">
        <v>143605</v>
      </c>
      <c r="C120" s="122" t="s">
        <v>126</v>
      </c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  <c r="AA120" s="123">
        <v>641</v>
      </c>
      <c r="AB120" s="123">
        <v>981.4</v>
      </c>
      <c r="AC120" s="124">
        <v>1380.78</v>
      </c>
      <c r="AD120" s="124">
        <v>658.73</v>
      </c>
      <c r="AE120" s="124">
        <v>897.76</v>
      </c>
      <c r="AF120" s="124">
        <v>1165.92</v>
      </c>
      <c r="AG120" s="124">
        <v>875.19</v>
      </c>
      <c r="AH120" s="124">
        <v>1121.46</v>
      </c>
      <c r="AI120" s="124">
        <v>1253.74</v>
      </c>
      <c r="AJ120" s="124">
        <v>1440.17</v>
      </c>
      <c r="AK120" s="124">
        <v>1857.05</v>
      </c>
      <c r="AL120" s="124">
        <v>1380.39</v>
      </c>
      <c r="AM120" s="124">
        <v>263.72000000000003</v>
      </c>
      <c r="AN120" s="124">
        <v>76.599999999999994</v>
      </c>
      <c r="AO120" s="125">
        <v>76.2</v>
      </c>
      <c r="AP120" s="125">
        <v>81.349999999999994</v>
      </c>
      <c r="AQ120" s="125">
        <v>373.02</v>
      </c>
      <c r="AR120" s="125">
        <v>80.77</v>
      </c>
      <c r="AS120" s="125">
        <v>81.849999999999994</v>
      </c>
      <c r="AT120" s="125">
        <v>374.63</v>
      </c>
      <c r="AU120" s="125">
        <v>380.02</v>
      </c>
      <c r="AV120" s="125">
        <v>378.86</v>
      </c>
      <c r="AW120" s="125">
        <v>390.66</v>
      </c>
      <c r="AX120" s="125">
        <v>308.89</v>
      </c>
      <c r="AY120" s="126"/>
      <c r="AZ120" s="126"/>
      <c r="BA120" s="126"/>
      <c r="BB120" s="126"/>
      <c r="BC120" s="126"/>
      <c r="BD120" s="126"/>
      <c r="BE120" s="126"/>
      <c r="BF120" s="127">
        <v>143605</v>
      </c>
      <c r="BG120" s="97" t="s">
        <v>126</v>
      </c>
      <c r="BH120" s="127">
        <v>1121.46</v>
      </c>
      <c r="BI120" s="127">
        <v>143605</v>
      </c>
      <c r="BJ120" s="97" t="s">
        <v>126</v>
      </c>
      <c r="BK120" s="127">
        <v>1253.74</v>
      </c>
    </row>
    <row r="121" spans="2:63" x14ac:dyDescent="0.25">
      <c r="B121" s="121">
        <v>143610</v>
      </c>
      <c r="C121" s="122" t="s">
        <v>127</v>
      </c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  <c r="AA121" s="123">
        <v>641.82000000000005</v>
      </c>
      <c r="AB121" s="123">
        <v>1033.3699999999999</v>
      </c>
      <c r="AC121" s="124">
        <v>1489.49</v>
      </c>
      <c r="AD121" s="124">
        <v>662.12</v>
      </c>
      <c r="AE121" s="124">
        <v>901.61</v>
      </c>
      <c r="AF121" s="124">
        <v>1199.6300000000001</v>
      </c>
      <c r="AG121" s="124">
        <v>901.23</v>
      </c>
      <c r="AH121" s="124">
        <v>1126.6400000000001</v>
      </c>
      <c r="AI121" s="124">
        <v>1289.17</v>
      </c>
      <c r="AJ121" s="124">
        <v>1517.19</v>
      </c>
      <c r="AK121" s="124">
        <v>1909.96</v>
      </c>
      <c r="AL121" s="124">
        <v>1418.33</v>
      </c>
      <c r="AM121" s="124">
        <v>265.70999999999998</v>
      </c>
      <c r="AN121" s="124">
        <v>81.349999999999994</v>
      </c>
      <c r="AO121" s="125">
        <v>82.45</v>
      </c>
      <c r="AP121" s="125">
        <v>80.77</v>
      </c>
      <c r="AQ121" s="125">
        <v>369.5</v>
      </c>
      <c r="AR121" s="125">
        <v>82.91</v>
      </c>
      <c r="AS121" s="125">
        <v>84.03</v>
      </c>
      <c r="AT121" s="125">
        <v>378.86</v>
      </c>
      <c r="AU121" s="125">
        <v>390.66</v>
      </c>
      <c r="AV121" s="125">
        <v>396.27</v>
      </c>
      <c r="AW121" s="125">
        <v>401.79</v>
      </c>
      <c r="AX121" s="125">
        <v>317.86</v>
      </c>
      <c r="AY121" s="126"/>
      <c r="AZ121" s="126"/>
      <c r="BA121" s="126"/>
      <c r="BB121" s="126"/>
      <c r="BC121" s="126"/>
      <c r="BD121" s="126"/>
      <c r="BE121" s="126"/>
      <c r="BF121" s="127">
        <v>143610</v>
      </c>
      <c r="BG121" s="97" t="s">
        <v>127</v>
      </c>
      <c r="BH121" s="127">
        <v>1126.6400000000001</v>
      </c>
      <c r="BI121" s="127">
        <v>143610</v>
      </c>
      <c r="BJ121" s="97" t="s">
        <v>127</v>
      </c>
      <c r="BK121" s="127">
        <v>1289.17</v>
      </c>
    </row>
    <row r="122" spans="2:63" x14ac:dyDescent="0.25">
      <c r="B122" s="121">
        <v>143615</v>
      </c>
      <c r="C122" s="122" t="s">
        <v>128</v>
      </c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  <c r="AA122" s="123">
        <v>1057.47</v>
      </c>
      <c r="AB122" s="123">
        <v>1560.63</v>
      </c>
      <c r="AC122" s="124">
        <v>2280.1999999999998</v>
      </c>
      <c r="AD122" s="124">
        <v>1020.61</v>
      </c>
      <c r="AE122" s="124">
        <v>1389.9</v>
      </c>
      <c r="AF122" s="124">
        <v>1850.09</v>
      </c>
      <c r="AG122" s="124">
        <v>1390.76</v>
      </c>
      <c r="AH122" s="124">
        <v>1809.55</v>
      </c>
      <c r="AI122" s="124">
        <v>1989.19</v>
      </c>
      <c r="AJ122" s="124">
        <v>2341.9499999999998</v>
      </c>
      <c r="AK122" s="124">
        <v>3027.5</v>
      </c>
      <c r="AL122" s="124">
        <v>2245.16</v>
      </c>
      <c r="AM122" s="124">
        <v>436.06</v>
      </c>
      <c r="AN122" s="124">
        <v>121.3</v>
      </c>
      <c r="AO122" s="125">
        <v>124.23</v>
      </c>
      <c r="AP122" s="125">
        <v>124.56</v>
      </c>
      <c r="AQ122" s="125">
        <v>570.79999999999995</v>
      </c>
      <c r="AR122" s="125">
        <v>127.87</v>
      </c>
      <c r="AS122" s="125">
        <v>129.58000000000001</v>
      </c>
      <c r="AT122" s="125">
        <v>601.66999999999996</v>
      </c>
      <c r="AU122" s="125">
        <v>603.96</v>
      </c>
      <c r="AV122" s="125">
        <v>612.65</v>
      </c>
      <c r="AW122" s="125">
        <v>632.96</v>
      </c>
      <c r="AX122" s="125">
        <v>501.27</v>
      </c>
      <c r="AY122" s="126"/>
      <c r="AZ122" s="126"/>
      <c r="BA122" s="126"/>
      <c r="BB122" s="126"/>
      <c r="BC122" s="126"/>
      <c r="BD122" s="126"/>
      <c r="BE122" s="126"/>
      <c r="BF122" s="127">
        <v>143615</v>
      </c>
      <c r="BG122" s="97" t="s">
        <v>128</v>
      </c>
      <c r="BH122" s="127">
        <v>1809.55</v>
      </c>
      <c r="BI122" s="127">
        <v>143615</v>
      </c>
      <c r="BJ122" s="97" t="s">
        <v>128</v>
      </c>
      <c r="BK122" s="127">
        <v>1989.19</v>
      </c>
    </row>
    <row r="123" spans="2:63" x14ac:dyDescent="0.25">
      <c r="B123" s="121">
        <v>143620</v>
      </c>
      <c r="C123" s="122" t="s">
        <v>129</v>
      </c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  <c r="AA123" s="123">
        <v>1894.63</v>
      </c>
      <c r="AB123" s="123">
        <v>3356.98</v>
      </c>
      <c r="AC123" s="124">
        <v>4798.49</v>
      </c>
      <c r="AD123" s="124">
        <v>2171.39</v>
      </c>
      <c r="AE123" s="124">
        <v>3014.58</v>
      </c>
      <c r="AF123" s="124">
        <v>4003.64</v>
      </c>
      <c r="AG123" s="124">
        <v>3037.24</v>
      </c>
      <c r="AH123" s="124">
        <v>3864.01</v>
      </c>
      <c r="AI123" s="124">
        <v>4333.8500000000004</v>
      </c>
      <c r="AJ123" s="124">
        <v>5099</v>
      </c>
      <c r="AK123" s="124">
        <v>6291.26</v>
      </c>
      <c r="AL123" s="124">
        <v>4682.67</v>
      </c>
      <c r="AM123" s="124">
        <v>895.62</v>
      </c>
      <c r="AN123" s="124">
        <v>258.77</v>
      </c>
      <c r="AO123" s="125">
        <v>260.94</v>
      </c>
      <c r="AP123" s="125">
        <v>264.44</v>
      </c>
      <c r="AQ123" s="125">
        <v>1234.6300000000001</v>
      </c>
      <c r="AR123" s="125">
        <v>273.86</v>
      </c>
      <c r="AS123" s="125">
        <v>278.64999999999998</v>
      </c>
      <c r="AT123" s="125">
        <v>1281.69</v>
      </c>
      <c r="AU123" s="125">
        <v>1305.5999999999999</v>
      </c>
      <c r="AV123" s="125">
        <v>1324.36</v>
      </c>
      <c r="AW123" s="125">
        <v>1325.71</v>
      </c>
      <c r="AX123" s="125">
        <v>1054.74</v>
      </c>
      <c r="AY123" s="126"/>
      <c r="AZ123" s="126"/>
      <c r="BA123" s="126"/>
      <c r="BB123" s="126"/>
      <c r="BC123" s="126"/>
      <c r="BD123" s="126"/>
      <c r="BE123" s="126"/>
      <c r="BF123" s="127">
        <v>143620</v>
      </c>
      <c r="BG123" s="97" t="s">
        <v>129</v>
      </c>
      <c r="BH123" s="127">
        <v>3864.01</v>
      </c>
      <c r="BI123" s="127">
        <v>143620</v>
      </c>
      <c r="BJ123" s="97" t="s">
        <v>129</v>
      </c>
      <c r="BK123" s="127">
        <v>4333.8500000000004</v>
      </c>
    </row>
    <row r="124" spans="2:63" x14ac:dyDescent="0.25">
      <c r="B124" s="121">
        <v>143625</v>
      </c>
      <c r="C124" s="122" t="s">
        <v>130</v>
      </c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  <c r="AA124" s="123">
        <v>34456.47</v>
      </c>
      <c r="AB124" s="123">
        <v>43837.23</v>
      </c>
      <c r="AC124" s="124">
        <v>62420.54</v>
      </c>
      <c r="AD124" s="124">
        <v>28590.89</v>
      </c>
      <c r="AE124" s="124">
        <v>39594.43</v>
      </c>
      <c r="AF124" s="124">
        <v>55188.03</v>
      </c>
      <c r="AG124" s="124">
        <v>41029.4</v>
      </c>
      <c r="AH124" s="124">
        <v>51526.18</v>
      </c>
      <c r="AI124" s="124">
        <v>57935.81</v>
      </c>
      <c r="AJ124" s="124">
        <v>63069.69</v>
      </c>
      <c r="AK124" s="124">
        <v>79757.98</v>
      </c>
      <c r="AL124" s="124">
        <v>59762.84</v>
      </c>
      <c r="AM124" s="124">
        <v>10516.35</v>
      </c>
      <c r="AN124" s="124">
        <v>2754.91</v>
      </c>
      <c r="AO124" s="125">
        <v>2710.36</v>
      </c>
      <c r="AP124" s="125">
        <v>2665.21</v>
      </c>
      <c r="AQ124" s="125">
        <v>12873.78</v>
      </c>
      <c r="AR124" s="125">
        <v>2569.5700000000002</v>
      </c>
      <c r="AS124" s="125">
        <v>2521.42</v>
      </c>
      <c r="AT124" s="125">
        <v>12649.44</v>
      </c>
      <c r="AU124" s="125">
        <v>12423.36</v>
      </c>
      <c r="AV124" s="125">
        <v>12199.52</v>
      </c>
      <c r="AW124" s="125">
        <v>11972.46</v>
      </c>
      <c r="AX124" s="125">
        <v>9462.59</v>
      </c>
      <c r="AY124" s="126"/>
      <c r="AZ124" s="126"/>
      <c r="BA124" s="126"/>
      <c r="BB124" s="126"/>
      <c r="BC124" s="126"/>
      <c r="BD124" s="126"/>
      <c r="BE124" s="126"/>
      <c r="BF124" s="127">
        <v>143625</v>
      </c>
      <c r="BG124" s="97" t="s">
        <v>130</v>
      </c>
      <c r="BH124" s="127">
        <v>51526.18</v>
      </c>
      <c r="BI124" s="127">
        <v>143625</v>
      </c>
      <c r="BJ124" s="97" t="s">
        <v>130</v>
      </c>
      <c r="BK124" s="127">
        <v>57935.81</v>
      </c>
    </row>
    <row r="125" spans="2:63" ht="22.5" customHeight="1" x14ac:dyDescent="0.25">
      <c r="B125" s="121">
        <v>1442</v>
      </c>
      <c r="C125" s="122" t="s">
        <v>139</v>
      </c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3">
        <v>3498.08</v>
      </c>
      <c r="AA125" s="123">
        <v>21287.71</v>
      </c>
      <c r="AB125" s="123">
        <v>37138.93</v>
      </c>
      <c r="AC125" s="124">
        <v>86692.61</v>
      </c>
      <c r="AD125" s="124">
        <v>98654.47</v>
      </c>
      <c r="AE125" s="124">
        <v>74016.259999999995</v>
      </c>
      <c r="AF125" s="124">
        <v>58650.64</v>
      </c>
      <c r="AG125" s="124">
        <v>86397.59</v>
      </c>
      <c r="AH125" s="124">
        <v>85186.559999999998</v>
      </c>
      <c r="AI125" s="124">
        <v>77444.13</v>
      </c>
      <c r="AJ125" s="124">
        <v>98618.39</v>
      </c>
      <c r="AK125" s="124">
        <v>113339.85</v>
      </c>
      <c r="AL125" s="124">
        <v>90467.29</v>
      </c>
      <c r="AM125" s="124">
        <v>20893.810000000001</v>
      </c>
      <c r="AN125" s="124">
        <v>22248.41</v>
      </c>
      <c r="AO125" s="125">
        <v>11838.7</v>
      </c>
      <c r="AP125" s="125">
        <v>13096.41</v>
      </c>
      <c r="AQ125" s="125">
        <v>11433.64</v>
      </c>
      <c r="AR125" s="125">
        <v>2783.64</v>
      </c>
      <c r="AS125" s="125">
        <v>11660.02</v>
      </c>
      <c r="AT125" s="125">
        <v>2550.38</v>
      </c>
      <c r="AU125" s="125">
        <v>35438.120000000003</v>
      </c>
      <c r="AV125" s="125">
        <v>17125.400000000001</v>
      </c>
      <c r="AW125" s="125">
        <v>16775.77</v>
      </c>
      <c r="AX125" s="125">
        <v>12188.24</v>
      </c>
      <c r="AY125" s="126"/>
      <c r="AZ125" s="126"/>
      <c r="BA125" s="126"/>
      <c r="BB125" s="126"/>
      <c r="BC125" s="126"/>
      <c r="BD125" s="126"/>
      <c r="BE125" s="126"/>
      <c r="BF125" s="127">
        <v>1442</v>
      </c>
      <c r="BG125" s="97" t="s">
        <v>139</v>
      </c>
      <c r="BH125" s="127">
        <v>85186.559999999998</v>
      </c>
      <c r="BI125" s="127">
        <v>1442</v>
      </c>
      <c r="BJ125" s="97" t="s">
        <v>139</v>
      </c>
      <c r="BK125" s="127">
        <v>77444.13</v>
      </c>
    </row>
    <row r="126" spans="2:63" x14ac:dyDescent="0.25">
      <c r="B126" s="121">
        <v>144205</v>
      </c>
      <c r="C126" s="122" t="s">
        <v>126</v>
      </c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3">
        <v>159.46</v>
      </c>
      <c r="AA126" s="123">
        <v>519.99</v>
      </c>
      <c r="AB126" s="123">
        <v>1000.54</v>
      </c>
      <c r="AC126" s="124">
        <v>2563.5100000000002</v>
      </c>
      <c r="AD126" s="124">
        <v>2683.75</v>
      </c>
      <c r="AE126" s="124">
        <v>2123.9899999999998</v>
      </c>
      <c r="AF126" s="124">
        <v>1770.08</v>
      </c>
      <c r="AG126" s="124">
        <v>2401</v>
      </c>
      <c r="AH126" s="124">
        <v>2432.16</v>
      </c>
      <c r="AI126" s="124">
        <v>2213.0500000000002</v>
      </c>
      <c r="AJ126" s="124">
        <v>3030.66</v>
      </c>
      <c r="AK126" s="124">
        <v>3613.71</v>
      </c>
      <c r="AL126" s="124">
        <v>3252.8</v>
      </c>
      <c r="AM126" s="124">
        <v>414.47</v>
      </c>
      <c r="AN126" s="124">
        <v>517.13</v>
      </c>
      <c r="AO126" s="125">
        <v>405.06</v>
      </c>
      <c r="AP126" s="125">
        <v>526.08000000000004</v>
      </c>
      <c r="AQ126" s="125">
        <v>430.74</v>
      </c>
      <c r="AR126" s="125">
        <v>233.26</v>
      </c>
      <c r="AS126" s="125">
        <v>610.80999999999995</v>
      </c>
      <c r="AT126" s="125">
        <v>239.46</v>
      </c>
      <c r="AU126" s="125">
        <v>946.39</v>
      </c>
      <c r="AV126" s="125">
        <v>703.91</v>
      </c>
      <c r="AW126" s="125">
        <v>720.34</v>
      </c>
      <c r="AX126" s="125">
        <v>1028.18</v>
      </c>
      <c r="AY126" s="126"/>
      <c r="AZ126" s="126"/>
      <c r="BA126" s="126"/>
      <c r="BB126" s="126"/>
      <c r="BC126" s="126"/>
      <c r="BD126" s="126"/>
      <c r="BE126" s="126"/>
      <c r="BF126" s="127">
        <v>144205</v>
      </c>
      <c r="BG126" s="97" t="s">
        <v>126</v>
      </c>
      <c r="BH126" s="127">
        <v>2432.16</v>
      </c>
      <c r="BI126" s="127">
        <v>144205</v>
      </c>
      <c r="BJ126" s="97" t="s">
        <v>126</v>
      </c>
      <c r="BK126" s="127">
        <v>2213.0500000000002</v>
      </c>
    </row>
    <row r="127" spans="2:63" x14ac:dyDescent="0.25">
      <c r="B127" s="121">
        <v>144210</v>
      </c>
      <c r="C127" s="122" t="s">
        <v>127</v>
      </c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3">
        <v>163.71</v>
      </c>
      <c r="AA127" s="123">
        <v>524.95000000000005</v>
      </c>
      <c r="AB127" s="123">
        <v>1042.1600000000001</v>
      </c>
      <c r="AC127" s="124">
        <v>2676.16</v>
      </c>
      <c r="AD127" s="124">
        <v>2712.97</v>
      </c>
      <c r="AE127" s="124">
        <v>2147.98</v>
      </c>
      <c r="AF127" s="124">
        <v>1817.18</v>
      </c>
      <c r="AG127" s="124">
        <v>2464.7600000000002</v>
      </c>
      <c r="AH127" s="124">
        <v>2461.5300000000002</v>
      </c>
      <c r="AI127" s="124">
        <v>2270.84</v>
      </c>
      <c r="AJ127" s="124">
        <v>3154.11</v>
      </c>
      <c r="AK127" s="124">
        <v>3709.49</v>
      </c>
      <c r="AL127" s="124">
        <v>3339.19</v>
      </c>
      <c r="AM127" s="124">
        <v>416.65</v>
      </c>
      <c r="AN127" s="124">
        <v>548.66</v>
      </c>
      <c r="AO127" s="125">
        <v>430.74</v>
      </c>
      <c r="AP127" s="125">
        <v>529</v>
      </c>
      <c r="AQ127" s="125">
        <v>432.2</v>
      </c>
      <c r="AR127" s="125">
        <v>239.46</v>
      </c>
      <c r="AS127" s="125">
        <v>627.07000000000005</v>
      </c>
      <c r="AT127" s="125">
        <v>244.89</v>
      </c>
      <c r="AU127" s="125">
        <v>969.87</v>
      </c>
      <c r="AV127" s="125">
        <v>729.97</v>
      </c>
      <c r="AW127" s="125">
        <v>739.39</v>
      </c>
      <c r="AX127" s="125">
        <v>746.05</v>
      </c>
      <c r="AY127" s="126"/>
      <c r="AZ127" s="126"/>
      <c r="BA127" s="126"/>
      <c r="BB127" s="126"/>
      <c r="BC127" s="126"/>
      <c r="BD127" s="126"/>
      <c r="BE127" s="126"/>
      <c r="BF127" s="127">
        <v>144210</v>
      </c>
      <c r="BG127" s="97" t="s">
        <v>127</v>
      </c>
      <c r="BH127" s="127">
        <v>2461.5300000000002</v>
      </c>
      <c r="BI127" s="127">
        <v>144210</v>
      </c>
      <c r="BJ127" s="97" t="s">
        <v>127</v>
      </c>
      <c r="BK127" s="127">
        <v>2270.84</v>
      </c>
    </row>
    <row r="128" spans="2:63" x14ac:dyDescent="0.25">
      <c r="B128" s="121">
        <v>144215</v>
      </c>
      <c r="C128" s="122" t="s">
        <v>128</v>
      </c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3">
        <v>254.41</v>
      </c>
      <c r="AA128" s="123">
        <v>840.7</v>
      </c>
      <c r="AB128" s="123">
        <v>1584.87</v>
      </c>
      <c r="AC128" s="124">
        <v>3809.26</v>
      </c>
      <c r="AD128" s="124">
        <v>3924.25</v>
      </c>
      <c r="AE128" s="124">
        <v>3049.43</v>
      </c>
      <c r="AF128" s="124">
        <v>2530.8200000000002</v>
      </c>
      <c r="AG128" s="124">
        <v>3529.41</v>
      </c>
      <c r="AH128" s="124">
        <v>3605.46</v>
      </c>
      <c r="AI128" s="124">
        <v>3224.71</v>
      </c>
      <c r="AJ128" s="124">
        <v>4585.3999999999996</v>
      </c>
      <c r="AK128" s="124">
        <v>5814.25</v>
      </c>
      <c r="AL128" s="124">
        <v>5228.82</v>
      </c>
      <c r="AM128" s="124">
        <v>680.26</v>
      </c>
      <c r="AN128" s="124">
        <v>818.14</v>
      </c>
      <c r="AO128" s="125">
        <v>654.76</v>
      </c>
      <c r="AP128" s="125">
        <v>817.39</v>
      </c>
      <c r="AQ128" s="125">
        <v>667.55</v>
      </c>
      <c r="AR128" s="125">
        <v>370.7</v>
      </c>
      <c r="AS128" s="125">
        <v>969.66</v>
      </c>
      <c r="AT128" s="125">
        <v>381.51</v>
      </c>
      <c r="AU128" s="125">
        <v>1494.35</v>
      </c>
      <c r="AV128" s="125">
        <v>1128.03</v>
      </c>
      <c r="AW128" s="125">
        <v>1155.0999999999999</v>
      </c>
      <c r="AX128" s="125">
        <v>1629.88</v>
      </c>
      <c r="AY128" s="126"/>
      <c r="AZ128" s="126"/>
      <c r="BA128" s="126"/>
      <c r="BB128" s="126"/>
      <c r="BC128" s="126"/>
      <c r="BD128" s="126"/>
      <c r="BE128" s="126"/>
      <c r="BF128" s="127">
        <v>144215</v>
      </c>
      <c r="BG128" s="97" t="s">
        <v>128</v>
      </c>
      <c r="BH128" s="127">
        <v>3605.46</v>
      </c>
      <c r="BI128" s="127">
        <v>144215</v>
      </c>
      <c r="BJ128" s="97" t="s">
        <v>128</v>
      </c>
      <c r="BK128" s="127">
        <v>3224.71</v>
      </c>
    </row>
    <row r="129" spans="2:63" x14ac:dyDescent="0.25">
      <c r="B129" s="121">
        <v>144220</v>
      </c>
      <c r="C129" s="122" t="s">
        <v>129</v>
      </c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3">
        <v>538.53</v>
      </c>
      <c r="AA129" s="123">
        <v>1635.82</v>
      </c>
      <c r="AB129" s="123">
        <v>3378.61</v>
      </c>
      <c r="AC129" s="124">
        <v>8657.7999999999993</v>
      </c>
      <c r="AD129" s="124">
        <v>8748.27</v>
      </c>
      <c r="AE129" s="124">
        <v>7080.77</v>
      </c>
      <c r="AF129" s="124">
        <v>5859.59</v>
      </c>
      <c r="AG129" s="124">
        <v>8140.84</v>
      </c>
      <c r="AH129" s="124">
        <v>8101.47</v>
      </c>
      <c r="AI129" s="124">
        <v>7501.6</v>
      </c>
      <c r="AJ129" s="124">
        <v>10427.64</v>
      </c>
      <c r="AK129" s="124">
        <v>11594</v>
      </c>
      <c r="AL129" s="124">
        <v>10666.06</v>
      </c>
      <c r="AM129" s="124">
        <v>1256.1199999999999</v>
      </c>
      <c r="AN129" s="124">
        <v>1604.21</v>
      </c>
      <c r="AO129" s="125">
        <v>1379.49</v>
      </c>
      <c r="AP129" s="125">
        <v>1626.94</v>
      </c>
      <c r="AQ129" s="125">
        <v>1427.57</v>
      </c>
      <c r="AR129" s="125">
        <v>788.32</v>
      </c>
      <c r="AS129" s="125">
        <v>2069.6999999999998</v>
      </c>
      <c r="AT129" s="125">
        <v>809.37</v>
      </c>
      <c r="AU129" s="125">
        <v>3201.43</v>
      </c>
      <c r="AV129" s="125">
        <v>2412.96</v>
      </c>
      <c r="AW129" s="125">
        <v>2426.44</v>
      </c>
      <c r="AX129" s="125">
        <v>3443.96</v>
      </c>
      <c r="AY129" s="126"/>
      <c r="AZ129" s="126"/>
      <c r="BA129" s="126"/>
      <c r="BB129" s="126"/>
      <c r="BC129" s="126"/>
      <c r="BD129" s="126"/>
      <c r="BE129" s="126"/>
      <c r="BF129" s="127">
        <v>144220</v>
      </c>
      <c r="BG129" s="97" t="s">
        <v>129</v>
      </c>
      <c r="BH129" s="127">
        <v>8101.47</v>
      </c>
      <c r="BI129" s="127">
        <v>144220</v>
      </c>
      <c r="BJ129" s="97" t="s">
        <v>129</v>
      </c>
      <c r="BK129" s="127">
        <v>7501.6</v>
      </c>
    </row>
    <row r="130" spans="2:63" x14ac:dyDescent="0.25">
      <c r="B130" s="121">
        <v>144225</v>
      </c>
      <c r="C130" s="122" t="s">
        <v>140</v>
      </c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3">
        <v>2381.9699999999998</v>
      </c>
      <c r="AA130" s="123">
        <v>17766.25</v>
      </c>
      <c r="AB130" s="123">
        <v>30132.75</v>
      </c>
      <c r="AC130" s="124">
        <v>68985.88</v>
      </c>
      <c r="AD130" s="124">
        <v>80585.23</v>
      </c>
      <c r="AE130" s="124">
        <v>59614.09</v>
      </c>
      <c r="AF130" s="124">
        <v>46672.97</v>
      </c>
      <c r="AG130" s="124">
        <v>69861.58</v>
      </c>
      <c r="AH130" s="124">
        <v>68585.94</v>
      </c>
      <c r="AI130" s="124">
        <v>62233.93</v>
      </c>
      <c r="AJ130" s="124">
        <v>77420.58</v>
      </c>
      <c r="AK130" s="124">
        <v>88608.4</v>
      </c>
      <c r="AL130" s="124">
        <v>67980.42</v>
      </c>
      <c r="AM130" s="124">
        <v>18126.310000000001</v>
      </c>
      <c r="AN130" s="124">
        <v>18760.27</v>
      </c>
      <c r="AO130" s="125">
        <v>8968.65</v>
      </c>
      <c r="AP130" s="125">
        <v>9597</v>
      </c>
      <c r="AQ130" s="125">
        <v>8475.58</v>
      </c>
      <c r="AR130" s="125">
        <v>1151.9000000000001</v>
      </c>
      <c r="AS130" s="125">
        <v>7382.78</v>
      </c>
      <c r="AT130" s="125">
        <v>875.15</v>
      </c>
      <c r="AU130" s="125">
        <v>28826.080000000002</v>
      </c>
      <c r="AV130" s="125">
        <v>12150.53</v>
      </c>
      <c r="AW130" s="125">
        <v>11734.5</v>
      </c>
      <c r="AX130" s="125">
        <v>5340.17</v>
      </c>
      <c r="AY130" s="126"/>
      <c r="AZ130" s="126"/>
      <c r="BA130" s="126"/>
      <c r="BB130" s="126"/>
      <c r="BC130" s="126"/>
      <c r="BD130" s="126"/>
      <c r="BE130" s="126"/>
      <c r="BF130" s="127">
        <v>144225</v>
      </c>
      <c r="BG130" s="97" t="s">
        <v>140</v>
      </c>
      <c r="BH130" s="127">
        <v>68585.94</v>
      </c>
      <c r="BI130" s="127">
        <v>144225</v>
      </c>
      <c r="BJ130" s="97" t="s">
        <v>140</v>
      </c>
      <c r="BK130" s="127">
        <v>62233.93</v>
      </c>
    </row>
    <row r="131" spans="2:63" ht="22.5" customHeight="1" x14ac:dyDescent="0.25">
      <c r="B131" s="121">
        <v>1444</v>
      </c>
      <c r="C131" s="122" t="s">
        <v>141</v>
      </c>
      <c r="D131" s="116">
        <v>6055.34</v>
      </c>
      <c r="E131" s="116">
        <v>5812.46</v>
      </c>
      <c r="F131" s="116">
        <v>5562.54</v>
      </c>
      <c r="G131" s="116">
        <v>5311.6</v>
      </c>
      <c r="H131" s="116">
        <v>5056.55</v>
      </c>
      <c r="I131" s="116">
        <v>4789.32</v>
      </c>
      <c r="J131" s="116">
        <v>4525.7299999999996</v>
      </c>
      <c r="K131" s="116">
        <v>4255.4399999999996</v>
      </c>
      <c r="L131" s="116">
        <v>3983.11</v>
      </c>
      <c r="M131" s="116">
        <v>3704.23</v>
      </c>
      <c r="N131" s="116">
        <v>3422.89</v>
      </c>
      <c r="O131" s="116">
        <v>3136.94</v>
      </c>
      <c r="P131" s="116">
        <v>2844.66</v>
      </c>
      <c r="Q131" s="116">
        <v>2247.66</v>
      </c>
      <c r="R131" s="116">
        <v>1942.48</v>
      </c>
      <c r="S131" s="116">
        <v>1632.31</v>
      </c>
      <c r="T131" s="116">
        <v>1314.48</v>
      </c>
      <c r="U131" s="116">
        <v>994.04</v>
      </c>
      <c r="V131" s="116">
        <v>667.83</v>
      </c>
      <c r="W131" s="116">
        <v>336.81</v>
      </c>
      <c r="X131" s="141"/>
      <c r="Y131" s="141"/>
      <c r="Z131" s="141"/>
      <c r="AA131" s="116">
        <v>13454.74</v>
      </c>
      <c r="AB131" s="116">
        <v>13308.11</v>
      </c>
      <c r="AC131" s="124">
        <v>13153.05</v>
      </c>
      <c r="AD131" s="129"/>
      <c r="AE131" s="124">
        <v>51865.24</v>
      </c>
      <c r="AF131" s="124">
        <v>48261.27</v>
      </c>
      <c r="AG131" s="124">
        <v>35049.550000000003</v>
      </c>
      <c r="AH131" s="124">
        <v>34492.519999999997</v>
      </c>
      <c r="AI131" s="124">
        <v>89840.34</v>
      </c>
      <c r="AJ131" s="124">
        <v>92439.35</v>
      </c>
      <c r="AK131" s="124">
        <v>107562.28</v>
      </c>
      <c r="AL131" s="124">
        <v>106594.18</v>
      </c>
      <c r="AM131" s="124">
        <v>58626.18</v>
      </c>
      <c r="AN131" s="124">
        <v>73434.91</v>
      </c>
      <c r="AO131" s="125">
        <v>71792.100000000006</v>
      </c>
      <c r="AP131" s="125">
        <v>40128.339999999997</v>
      </c>
      <c r="AQ131" s="125">
        <v>27840.65</v>
      </c>
      <c r="AR131" s="125">
        <v>34770.660000000003</v>
      </c>
      <c r="AS131" s="125">
        <v>42435.71</v>
      </c>
      <c r="AT131" s="125">
        <v>31705.85</v>
      </c>
      <c r="AU131" s="125">
        <v>31383.13</v>
      </c>
      <c r="AV131" s="125">
        <v>23139.08</v>
      </c>
      <c r="AW131" s="125">
        <v>15852.28</v>
      </c>
      <c r="AX131" s="125">
        <v>1538.31</v>
      </c>
      <c r="AY131" s="126"/>
      <c r="AZ131" s="126"/>
      <c r="BA131" s="126"/>
      <c r="BB131" s="126"/>
      <c r="BC131" s="126"/>
      <c r="BD131" s="126"/>
      <c r="BE131" s="126"/>
      <c r="BF131" s="127">
        <v>1444</v>
      </c>
      <c r="BG131" s="97" t="s">
        <v>141</v>
      </c>
      <c r="BH131" s="127">
        <v>34492.519999999997</v>
      </c>
      <c r="BI131" s="127">
        <v>1444</v>
      </c>
      <c r="BJ131" s="97" t="s">
        <v>141</v>
      </c>
      <c r="BK131" s="127">
        <v>89840.34</v>
      </c>
    </row>
    <row r="132" spans="2:63" x14ac:dyDescent="0.25">
      <c r="B132" s="121">
        <v>144405</v>
      </c>
      <c r="C132" s="122" t="s">
        <v>126</v>
      </c>
      <c r="D132" s="123">
        <v>743.74</v>
      </c>
      <c r="E132" s="123">
        <v>1023.14</v>
      </c>
      <c r="F132" s="123">
        <v>773.22</v>
      </c>
      <c r="G132" s="123">
        <v>785.87</v>
      </c>
      <c r="H132" s="123">
        <v>801.11</v>
      </c>
      <c r="I132" s="123">
        <v>806.21</v>
      </c>
      <c r="J132" s="123">
        <v>821.5</v>
      </c>
      <c r="K132" s="123">
        <v>832.55</v>
      </c>
      <c r="L132" s="123">
        <v>846.17</v>
      </c>
      <c r="M132" s="123">
        <v>859.57</v>
      </c>
      <c r="N132" s="123">
        <v>873.64</v>
      </c>
      <c r="O132" s="123">
        <v>889.28</v>
      </c>
      <c r="P132" s="123">
        <v>902.18</v>
      </c>
      <c r="Q132" s="123">
        <v>933.18</v>
      </c>
      <c r="R132" s="123">
        <v>628</v>
      </c>
      <c r="S132" s="123">
        <v>638.27</v>
      </c>
      <c r="T132" s="123">
        <v>646.65</v>
      </c>
      <c r="U132" s="123">
        <v>657.23</v>
      </c>
      <c r="V132" s="123">
        <v>667.83</v>
      </c>
      <c r="W132" s="123">
        <v>336.81</v>
      </c>
      <c r="X132" s="128"/>
      <c r="Y132" s="128"/>
      <c r="Z132" s="128"/>
      <c r="AA132" s="123">
        <v>301.69</v>
      </c>
      <c r="AB132" s="123">
        <v>306.10000000000002</v>
      </c>
      <c r="AC132" s="124">
        <v>304.3</v>
      </c>
      <c r="AD132" s="129"/>
      <c r="AE132" s="124">
        <v>1480.22</v>
      </c>
      <c r="AF132" s="124">
        <v>1411.76</v>
      </c>
      <c r="AG132" s="124">
        <v>1104.78</v>
      </c>
      <c r="AH132" s="124">
        <v>1121.6400000000001</v>
      </c>
      <c r="AI132" s="124">
        <v>2335.17</v>
      </c>
      <c r="AJ132" s="124">
        <v>2513.87</v>
      </c>
      <c r="AK132" s="124">
        <v>2916.17</v>
      </c>
      <c r="AL132" s="124">
        <v>3238.96</v>
      </c>
      <c r="AM132" s="124">
        <v>2201.75</v>
      </c>
      <c r="AN132" s="124">
        <v>2571.09</v>
      </c>
      <c r="AO132" s="125">
        <v>2095.87</v>
      </c>
      <c r="AP132" s="125">
        <v>1668.8</v>
      </c>
      <c r="AQ132" s="125">
        <v>789.68</v>
      </c>
      <c r="AR132" s="125">
        <v>900.96</v>
      </c>
      <c r="AS132" s="125">
        <v>1046.5</v>
      </c>
      <c r="AT132" s="125">
        <v>665.2</v>
      </c>
      <c r="AU132" s="125">
        <v>674.92</v>
      </c>
      <c r="AV132" s="125">
        <v>534.53</v>
      </c>
      <c r="AW132" s="125">
        <v>416.9</v>
      </c>
      <c r="AX132" s="125">
        <v>40</v>
      </c>
      <c r="AY132" s="126"/>
      <c r="AZ132" s="126"/>
      <c r="BA132" s="126"/>
      <c r="BB132" s="126"/>
      <c r="BC132" s="126"/>
      <c r="BD132" s="126"/>
      <c r="BE132" s="126"/>
      <c r="BF132" s="127">
        <v>144405</v>
      </c>
      <c r="BG132" s="97" t="s">
        <v>126</v>
      </c>
      <c r="BH132" s="127">
        <v>1121.6400000000001</v>
      </c>
      <c r="BI132" s="127">
        <v>144405</v>
      </c>
      <c r="BJ132" s="97" t="s">
        <v>126</v>
      </c>
      <c r="BK132" s="127">
        <v>2335.17</v>
      </c>
    </row>
    <row r="133" spans="2:63" x14ac:dyDescent="0.25">
      <c r="B133" s="121">
        <v>144410</v>
      </c>
      <c r="C133" s="122" t="s">
        <v>127</v>
      </c>
      <c r="D133" s="123">
        <v>522.28</v>
      </c>
      <c r="E133" s="123">
        <v>263.58999999999997</v>
      </c>
      <c r="F133" s="123">
        <v>533.88</v>
      </c>
      <c r="G133" s="123">
        <v>542.62</v>
      </c>
      <c r="H133" s="123">
        <v>551.21</v>
      </c>
      <c r="I133" s="123">
        <v>560.22</v>
      </c>
      <c r="J133" s="123">
        <v>567.29</v>
      </c>
      <c r="K133" s="123">
        <v>578.23</v>
      </c>
      <c r="L133" s="123">
        <v>587.69000000000005</v>
      </c>
      <c r="M133" s="123">
        <v>597</v>
      </c>
      <c r="N133" s="123">
        <v>606.77</v>
      </c>
      <c r="O133" s="123">
        <v>615.35</v>
      </c>
      <c r="P133" s="123">
        <v>628</v>
      </c>
      <c r="Q133" s="123">
        <v>320.44</v>
      </c>
      <c r="R133" s="123">
        <v>646.65</v>
      </c>
      <c r="S133" s="123">
        <v>657.23</v>
      </c>
      <c r="T133" s="123">
        <v>667.83</v>
      </c>
      <c r="U133" s="123">
        <v>336.81</v>
      </c>
      <c r="V133" s="128"/>
      <c r="W133" s="128"/>
      <c r="X133" s="128"/>
      <c r="Y133" s="128"/>
      <c r="Z133" s="128"/>
      <c r="AA133" s="123">
        <v>304.3</v>
      </c>
      <c r="AB133" s="123">
        <v>320.89</v>
      </c>
      <c r="AC133" s="124">
        <v>325.58</v>
      </c>
      <c r="AD133" s="129"/>
      <c r="AE133" s="124">
        <v>1499.09</v>
      </c>
      <c r="AF133" s="124">
        <v>1455.18</v>
      </c>
      <c r="AG133" s="124">
        <v>1139.32</v>
      </c>
      <c r="AH133" s="124">
        <v>1139.78</v>
      </c>
      <c r="AI133" s="124">
        <v>2404.54</v>
      </c>
      <c r="AJ133" s="124">
        <v>2632.24</v>
      </c>
      <c r="AK133" s="124">
        <v>3001.17</v>
      </c>
      <c r="AL133" s="124">
        <v>3336.4</v>
      </c>
      <c r="AM133" s="124">
        <v>2241.4499999999998</v>
      </c>
      <c r="AN133" s="124">
        <v>2713.87</v>
      </c>
      <c r="AO133" s="125">
        <v>2199.38</v>
      </c>
      <c r="AP133" s="125">
        <v>1681.34</v>
      </c>
      <c r="AQ133" s="125">
        <v>786.33</v>
      </c>
      <c r="AR133" s="125">
        <v>859.42</v>
      </c>
      <c r="AS133" s="125">
        <v>1012.41</v>
      </c>
      <c r="AT133" s="125">
        <v>604.29999999999995</v>
      </c>
      <c r="AU133" s="125">
        <v>624.15</v>
      </c>
      <c r="AV133" s="125">
        <v>492.71</v>
      </c>
      <c r="AW133" s="125">
        <v>428.28</v>
      </c>
      <c r="AX133" s="125">
        <v>40.75</v>
      </c>
      <c r="AY133" s="126"/>
      <c r="AZ133" s="126"/>
      <c r="BA133" s="126"/>
      <c r="BB133" s="126"/>
      <c r="BC133" s="126"/>
      <c r="BD133" s="126"/>
      <c r="BE133" s="126"/>
      <c r="BF133" s="127">
        <v>144410</v>
      </c>
      <c r="BG133" s="97" t="s">
        <v>127</v>
      </c>
      <c r="BH133" s="127">
        <v>1139.78</v>
      </c>
      <c r="BI133" s="127">
        <v>144410</v>
      </c>
      <c r="BJ133" s="97" t="s">
        <v>127</v>
      </c>
      <c r="BK133" s="127">
        <v>2404.54</v>
      </c>
    </row>
    <row r="134" spans="2:63" x14ac:dyDescent="0.25">
      <c r="B134" s="121">
        <v>144415</v>
      </c>
      <c r="C134" s="122" t="s">
        <v>128</v>
      </c>
      <c r="D134" s="123">
        <v>806.21</v>
      </c>
      <c r="E134" s="123">
        <v>821.5</v>
      </c>
      <c r="F134" s="123">
        <v>832.55</v>
      </c>
      <c r="G134" s="123">
        <v>846.17</v>
      </c>
      <c r="H134" s="123">
        <v>859.57</v>
      </c>
      <c r="I134" s="123">
        <v>873.64</v>
      </c>
      <c r="J134" s="123">
        <v>889.28</v>
      </c>
      <c r="K134" s="123">
        <v>902.18</v>
      </c>
      <c r="L134" s="123">
        <v>916.94</v>
      </c>
      <c r="M134" s="123">
        <v>933.18</v>
      </c>
      <c r="N134" s="123">
        <v>948.44</v>
      </c>
      <c r="O134" s="123">
        <v>964.48</v>
      </c>
      <c r="P134" s="123">
        <v>977.67</v>
      </c>
      <c r="Q134" s="123">
        <v>994.04</v>
      </c>
      <c r="R134" s="123">
        <v>667.83</v>
      </c>
      <c r="S134" s="123">
        <v>336.81</v>
      </c>
      <c r="T134" s="128"/>
      <c r="U134" s="128"/>
      <c r="V134" s="128"/>
      <c r="W134" s="128"/>
      <c r="X134" s="128"/>
      <c r="Y134" s="128"/>
      <c r="Z134" s="128"/>
      <c r="AA134" s="123">
        <v>491.76</v>
      </c>
      <c r="AB134" s="123">
        <v>486.83</v>
      </c>
      <c r="AC134" s="124">
        <v>499.72</v>
      </c>
      <c r="AD134" s="129"/>
      <c r="AE134" s="124">
        <v>2320.02</v>
      </c>
      <c r="AF134" s="124">
        <v>2255.46</v>
      </c>
      <c r="AG134" s="124">
        <v>1767.23</v>
      </c>
      <c r="AH134" s="124">
        <v>1811.11</v>
      </c>
      <c r="AI134" s="124">
        <v>3723.89</v>
      </c>
      <c r="AJ134" s="124">
        <v>4074.25</v>
      </c>
      <c r="AK134" s="124">
        <v>4734.37</v>
      </c>
      <c r="AL134" s="124">
        <v>5265.34</v>
      </c>
      <c r="AM134" s="124">
        <v>3601.4</v>
      </c>
      <c r="AN134" s="124">
        <v>4107.37</v>
      </c>
      <c r="AO134" s="125">
        <v>3381.6</v>
      </c>
      <c r="AP134" s="125">
        <v>2607.1799999999998</v>
      </c>
      <c r="AQ134" s="125">
        <v>1214.8800000000001</v>
      </c>
      <c r="AR134" s="125">
        <v>1428.18</v>
      </c>
      <c r="AS134" s="125">
        <v>1661.14</v>
      </c>
      <c r="AT134" s="125">
        <v>1064.67</v>
      </c>
      <c r="AU134" s="125">
        <v>1072.53</v>
      </c>
      <c r="AV134" s="125">
        <v>860.82</v>
      </c>
      <c r="AW134" s="125">
        <v>672.74</v>
      </c>
      <c r="AX134" s="125">
        <v>64.09</v>
      </c>
      <c r="AY134" s="126"/>
      <c r="AZ134" s="126"/>
      <c r="BA134" s="126"/>
      <c r="BB134" s="126"/>
      <c r="BC134" s="126"/>
      <c r="BD134" s="126"/>
      <c r="BE134" s="126"/>
      <c r="BF134" s="127">
        <v>144415</v>
      </c>
      <c r="BG134" s="97" t="s">
        <v>128</v>
      </c>
      <c r="BH134" s="127">
        <v>1811.11</v>
      </c>
      <c r="BI134" s="127">
        <v>144415</v>
      </c>
      <c r="BJ134" s="97" t="s">
        <v>128</v>
      </c>
      <c r="BK134" s="127">
        <v>3723.89</v>
      </c>
    </row>
    <row r="135" spans="2:63" x14ac:dyDescent="0.25">
      <c r="B135" s="121">
        <v>144420</v>
      </c>
      <c r="C135" s="122" t="s">
        <v>129</v>
      </c>
      <c r="D135" s="123">
        <v>1735.45</v>
      </c>
      <c r="E135" s="123">
        <v>1761.75</v>
      </c>
      <c r="F135" s="123">
        <v>1790.58</v>
      </c>
      <c r="G135" s="123">
        <v>1822.46</v>
      </c>
      <c r="H135" s="123">
        <v>1850.62</v>
      </c>
      <c r="I135" s="123">
        <v>1881.42</v>
      </c>
      <c r="J135" s="123">
        <v>1910.85</v>
      </c>
      <c r="K135" s="123">
        <v>1942.48</v>
      </c>
      <c r="L135" s="123">
        <v>1632.31</v>
      </c>
      <c r="M135" s="123">
        <v>1314.48</v>
      </c>
      <c r="N135" s="123">
        <v>994.04</v>
      </c>
      <c r="O135" s="123">
        <v>667.83</v>
      </c>
      <c r="P135" s="123">
        <v>336.81</v>
      </c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3">
        <v>1024.32</v>
      </c>
      <c r="AB135" s="123">
        <v>1044.6600000000001</v>
      </c>
      <c r="AC135" s="124">
        <v>1054.19</v>
      </c>
      <c r="AD135" s="129"/>
      <c r="AE135" s="124">
        <v>5012.75</v>
      </c>
      <c r="AF135" s="124">
        <v>4874.49</v>
      </c>
      <c r="AG135" s="124">
        <v>3837.09</v>
      </c>
      <c r="AH135" s="124">
        <v>3881.55</v>
      </c>
      <c r="AI135" s="124">
        <v>8089.87</v>
      </c>
      <c r="AJ135" s="124">
        <v>8826.6200000000008</v>
      </c>
      <c r="AK135" s="124">
        <v>9923.92</v>
      </c>
      <c r="AL135" s="124">
        <v>11112.2</v>
      </c>
      <c r="AM135" s="124">
        <v>7543.12</v>
      </c>
      <c r="AN135" s="124">
        <v>8813.84</v>
      </c>
      <c r="AO135" s="125">
        <v>6876.05</v>
      </c>
      <c r="AP135" s="125">
        <v>4850.79</v>
      </c>
      <c r="AQ135" s="125">
        <v>2617.17</v>
      </c>
      <c r="AR135" s="125">
        <v>3064.36</v>
      </c>
      <c r="AS135" s="125">
        <v>3588.64</v>
      </c>
      <c r="AT135" s="125">
        <v>2270.11</v>
      </c>
      <c r="AU135" s="125">
        <v>2312.91</v>
      </c>
      <c r="AV135" s="125">
        <v>1850.99</v>
      </c>
      <c r="AW135" s="125">
        <v>1402.87</v>
      </c>
      <c r="AX135" s="125">
        <v>134.05000000000001</v>
      </c>
      <c r="AY135" s="126"/>
      <c r="AZ135" s="126"/>
      <c r="BA135" s="126"/>
      <c r="BB135" s="126"/>
      <c r="BC135" s="126"/>
      <c r="BD135" s="126"/>
      <c r="BE135" s="126"/>
      <c r="BF135" s="127">
        <v>144420</v>
      </c>
      <c r="BG135" s="97" t="s">
        <v>129</v>
      </c>
      <c r="BH135" s="127">
        <v>3881.55</v>
      </c>
      <c r="BI135" s="127">
        <v>144420</v>
      </c>
      <c r="BJ135" s="97" t="s">
        <v>129</v>
      </c>
      <c r="BK135" s="127">
        <v>8089.87</v>
      </c>
    </row>
    <row r="136" spans="2:63" x14ac:dyDescent="0.25">
      <c r="B136" s="121">
        <v>144425</v>
      </c>
      <c r="C136" s="122" t="s">
        <v>130</v>
      </c>
      <c r="D136" s="123">
        <v>2247.66</v>
      </c>
      <c r="E136" s="123">
        <v>1942.48</v>
      </c>
      <c r="F136" s="123">
        <v>1632.31</v>
      </c>
      <c r="G136" s="123">
        <v>1314.48</v>
      </c>
      <c r="H136" s="123">
        <v>994.04</v>
      </c>
      <c r="I136" s="123">
        <v>667.83</v>
      </c>
      <c r="J136" s="123">
        <v>336.81</v>
      </c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3">
        <v>11332.67</v>
      </c>
      <c r="AB136" s="123">
        <v>11149.63</v>
      </c>
      <c r="AC136" s="124">
        <v>10969.26</v>
      </c>
      <c r="AD136" s="129"/>
      <c r="AE136" s="124">
        <v>41553.160000000003</v>
      </c>
      <c r="AF136" s="124">
        <v>38264.379999999997</v>
      </c>
      <c r="AG136" s="124">
        <v>27201.13</v>
      </c>
      <c r="AH136" s="124">
        <v>26538.44</v>
      </c>
      <c r="AI136" s="124">
        <v>73286.87</v>
      </c>
      <c r="AJ136" s="124">
        <v>74392.37</v>
      </c>
      <c r="AK136" s="124">
        <v>86986.65</v>
      </c>
      <c r="AL136" s="124">
        <v>83641.279999999999</v>
      </c>
      <c r="AM136" s="124">
        <v>43038.46</v>
      </c>
      <c r="AN136" s="124">
        <v>55228.74</v>
      </c>
      <c r="AO136" s="125">
        <v>57239.199999999997</v>
      </c>
      <c r="AP136" s="125">
        <v>29320.23</v>
      </c>
      <c r="AQ136" s="125">
        <v>22432.59</v>
      </c>
      <c r="AR136" s="125">
        <v>28517.74</v>
      </c>
      <c r="AS136" s="125">
        <v>35127.019999999997</v>
      </c>
      <c r="AT136" s="125">
        <v>27101.57</v>
      </c>
      <c r="AU136" s="125">
        <v>26698.62</v>
      </c>
      <c r="AV136" s="125">
        <v>19400.03</v>
      </c>
      <c r="AW136" s="125">
        <v>12931.49</v>
      </c>
      <c r="AX136" s="125">
        <v>1259.42</v>
      </c>
      <c r="AY136" s="126"/>
      <c r="AZ136" s="126"/>
      <c r="BA136" s="126"/>
      <c r="BB136" s="126"/>
      <c r="BC136" s="126"/>
      <c r="BD136" s="126"/>
      <c r="BE136" s="126"/>
      <c r="BF136" s="127">
        <v>144425</v>
      </c>
      <c r="BG136" s="97" t="s">
        <v>130</v>
      </c>
      <c r="BH136" s="127">
        <v>26538.44</v>
      </c>
      <c r="BI136" s="127">
        <v>144425</v>
      </c>
      <c r="BJ136" s="97" t="s">
        <v>130</v>
      </c>
      <c r="BK136" s="127">
        <v>73286.87</v>
      </c>
    </row>
    <row r="137" spans="2:63" x14ac:dyDescent="0.25">
      <c r="B137" s="121">
        <v>1449</v>
      </c>
      <c r="C137" s="122" t="s">
        <v>142</v>
      </c>
      <c r="D137" s="116">
        <v>4977.33</v>
      </c>
      <c r="E137" s="116">
        <v>4977.33</v>
      </c>
      <c r="F137" s="116">
        <v>4977.33</v>
      </c>
      <c r="G137" s="116">
        <v>92</v>
      </c>
      <c r="H137" s="116">
        <v>91</v>
      </c>
      <c r="I137" s="116">
        <v>90</v>
      </c>
      <c r="J137" s="116">
        <v>90</v>
      </c>
      <c r="K137" s="116">
        <v>2206.75</v>
      </c>
      <c r="L137" s="116">
        <v>4322.2</v>
      </c>
      <c r="M137" s="116">
        <v>8913.02</v>
      </c>
      <c r="N137" s="116">
        <v>8622.66</v>
      </c>
      <c r="O137" s="116">
        <v>13371.9</v>
      </c>
      <c r="P137" s="116">
        <v>12994.81</v>
      </c>
      <c r="Q137" s="116">
        <v>17439.560000000001</v>
      </c>
      <c r="R137" s="116">
        <v>17439.560000000001</v>
      </c>
      <c r="S137" s="116">
        <v>21972.91</v>
      </c>
      <c r="T137" s="116">
        <v>24267.64</v>
      </c>
      <c r="U137" s="116">
        <v>26567.5</v>
      </c>
      <c r="V137" s="116">
        <v>28899.599999999999</v>
      </c>
      <c r="W137" s="116">
        <v>31237.39</v>
      </c>
      <c r="X137" s="116">
        <v>34455</v>
      </c>
      <c r="Y137" s="116">
        <v>35985.839999999997</v>
      </c>
      <c r="Z137" s="116">
        <v>38851.58</v>
      </c>
      <c r="AA137" s="116">
        <v>40812.410000000003</v>
      </c>
      <c r="AB137" s="116">
        <v>43726.04</v>
      </c>
      <c r="AC137" s="124">
        <v>46190.87</v>
      </c>
      <c r="AD137" s="124">
        <v>45718.12</v>
      </c>
      <c r="AE137" s="124">
        <v>51201.7</v>
      </c>
      <c r="AF137" s="124">
        <v>54680.53</v>
      </c>
      <c r="AG137" s="124">
        <v>57171.95</v>
      </c>
      <c r="AH137" s="124">
        <v>59148.1</v>
      </c>
      <c r="AI137" s="124">
        <v>61977.120000000003</v>
      </c>
      <c r="AJ137" s="124">
        <v>64968.51</v>
      </c>
      <c r="AK137" s="124">
        <v>66680.12</v>
      </c>
      <c r="AL137" s="124">
        <v>69873.320000000007</v>
      </c>
      <c r="AM137" s="124">
        <v>87</v>
      </c>
      <c r="AN137" s="124">
        <v>87</v>
      </c>
      <c r="AO137" s="125">
        <v>1604.2</v>
      </c>
      <c r="AP137" s="125">
        <v>72</v>
      </c>
      <c r="AQ137" s="125">
        <v>641.5</v>
      </c>
      <c r="AR137" s="125">
        <v>72</v>
      </c>
      <c r="AS137" s="125">
        <v>72</v>
      </c>
      <c r="AT137" s="125">
        <v>72</v>
      </c>
      <c r="AU137" s="125">
        <v>71</v>
      </c>
      <c r="AV137" s="125">
        <v>133.91</v>
      </c>
      <c r="AW137" s="125">
        <v>71</v>
      </c>
      <c r="AX137" s="125">
        <v>71</v>
      </c>
      <c r="AY137" s="126"/>
      <c r="AZ137" s="126"/>
      <c r="BA137" s="126"/>
      <c r="BB137" s="126"/>
      <c r="BC137" s="126"/>
      <c r="BD137" s="126"/>
      <c r="BE137" s="126"/>
      <c r="BF137" s="127">
        <v>1449</v>
      </c>
      <c r="BG137" s="97" t="s">
        <v>142</v>
      </c>
      <c r="BH137" s="127">
        <v>59148.1</v>
      </c>
      <c r="BI137" s="127">
        <v>1449</v>
      </c>
      <c r="BJ137" s="97" t="s">
        <v>142</v>
      </c>
      <c r="BK137" s="127">
        <v>61977.120000000003</v>
      </c>
    </row>
    <row r="138" spans="2:63" x14ac:dyDescent="0.25">
      <c r="B138" s="121">
        <v>144910</v>
      </c>
      <c r="C138" s="122" t="s">
        <v>127</v>
      </c>
      <c r="D138" s="128"/>
      <c r="E138" s="128"/>
      <c r="F138" s="128"/>
      <c r="G138" s="128"/>
      <c r="H138" s="128"/>
      <c r="I138" s="128"/>
      <c r="J138" s="128"/>
      <c r="K138" s="123">
        <v>2116.75</v>
      </c>
      <c r="L138" s="123">
        <v>2114.4499999999998</v>
      </c>
      <c r="M138" s="123">
        <v>4591.82</v>
      </c>
      <c r="N138" s="123">
        <v>2150.3000000000002</v>
      </c>
      <c r="O138" s="123">
        <v>4749.24</v>
      </c>
      <c r="P138" s="123">
        <v>2203.7800000000002</v>
      </c>
      <c r="Q138" s="123">
        <v>4444.75</v>
      </c>
      <c r="R138" s="123">
        <v>4444.75</v>
      </c>
      <c r="S138" s="123">
        <v>4533.3500000000004</v>
      </c>
      <c r="T138" s="123">
        <v>6828.08</v>
      </c>
      <c r="U138" s="123">
        <v>4594.59</v>
      </c>
      <c r="V138" s="123">
        <v>4631.96</v>
      </c>
      <c r="W138" s="123">
        <v>4670.8900000000003</v>
      </c>
      <c r="X138" s="123">
        <v>5556.4</v>
      </c>
      <c r="Y138" s="123">
        <v>4748.45</v>
      </c>
      <c r="Z138" s="123">
        <v>5244.1</v>
      </c>
      <c r="AA138" s="123">
        <v>4826.57</v>
      </c>
      <c r="AB138" s="123">
        <v>5342.85</v>
      </c>
      <c r="AC138" s="124">
        <v>5379.46</v>
      </c>
      <c r="AD138" s="124">
        <v>2467.8000000000002</v>
      </c>
      <c r="AE138" s="124">
        <v>5483.58</v>
      </c>
      <c r="AF138" s="124">
        <v>6482.26</v>
      </c>
      <c r="AG138" s="124">
        <v>6465.63</v>
      </c>
      <c r="AH138" s="124">
        <v>5645.63</v>
      </c>
      <c r="AI138" s="124">
        <v>6199.02</v>
      </c>
      <c r="AJ138" s="124">
        <v>6620.71</v>
      </c>
      <c r="AK138" s="124">
        <v>5746.02</v>
      </c>
      <c r="AL138" s="124">
        <v>6249.52</v>
      </c>
      <c r="AM138" s="124">
        <v>0</v>
      </c>
      <c r="AN138" s="124">
        <v>0</v>
      </c>
      <c r="AO138" s="125">
        <v>1517.2</v>
      </c>
      <c r="AP138" s="125">
        <v>0</v>
      </c>
      <c r="AQ138" s="125">
        <v>569.5</v>
      </c>
      <c r="AR138" s="125">
        <v>0</v>
      </c>
      <c r="AS138" s="125">
        <v>0</v>
      </c>
      <c r="AT138" s="125">
        <v>0</v>
      </c>
      <c r="AU138" s="125">
        <v>0</v>
      </c>
      <c r="AV138" s="125">
        <v>62.91</v>
      </c>
      <c r="AW138" s="125">
        <v>0</v>
      </c>
      <c r="AX138" s="125">
        <v>0</v>
      </c>
      <c r="AY138" s="126"/>
      <c r="AZ138" s="126"/>
      <c r="BA138" s="126"/>
      <c r="BB138" s="126"/>
      <c r="BC138" s="126"/>
      <c r="BD138" s="126"/>
      <c r="BE138" s="126"/>
      <c r="BF138" s="127">
        <v>144910</v>
      </c>
      <c r="BG138" s="97" t="s">
        <v>127</v>
      </c>
      <c r="BH138" s="127">
        <v>5645.63</v>
      </c>
      <c r="BI138" s="127">
        <v>144910</v>
      </c>
      <c r="BJ138" s="97" t="s">
        <v>127</v>
      </c>
      <c r="BK138" s="127">
        <v>6199.02</v>
      </c>
    </row>
    <row r="139" spans="2:63" x14ac:dyDescent="0.25">
      <c r="B139" s="121">
        <v>144915</v>
      </c>
      <c r="C139" s="122" t="s">
        <v>128</v>
      </c>
      <c r="D139" s="128"/>
      <c r="E139" s="128"/>
      <c r="F139" s="128"/>
      <c r="G139" s="128"/>
      <c r="H139" s="128"/>
      <c r="I139" s="128"/>
      <c r="J139" s="128"/>
      <c r="K139" s="128"/>
      <c r="L139" s="123">
        <v>2116.75</v>
      </c>
      <c r="M139" s="123">
        <v>4231.2</v>
      </c>
      <c r="N139" s="123">
        <v>6382.36</v>
      </c>
      <c r="O139" s="123">
        <v>6415.91</v>
      </c>
      <c r="P139" s="123">
        <v>6469.83</v>
      </c>
      <c r="Q139" s="123">
        <v>6522.45</v>
      </c>
      <c r="R139" s="123">
        <v>4372.1499999999996</v>
      </c>
      <c r="S139" s="123">
        <v>6648.53</v>
      </c>
      <c r="T139" s="123">
        <v>4444.75</v>
      </c>
      <c r="U139" s="123">
        <v>6772.99</v>
      </c>
      <c r="V139" s="123">
        <v>6828.08</v>
      </c>
      <c r="W139" s="123">
        <v>6885.47</v>
      </c>
      <c r="X139" s="123">
        <v>6926.69</v>
      </c>
      <c r="Y139" s="123">
        <v>6970.75</v>
      </c>
      <c r="Z139" s="123">
        <v>7040.98</v>
      </c>
      <c r="AA139" s="123">
        <v>7087.24</v>
      </c>
      <c r="AB139" s="123">
        <v>7146.8</v>
      </c>
      <c r="AC139" s="124">
        <v>7204.93</v>
      </c>
      <c r="AD139" s="124">
        <v>7265.48</v>
      </c>
      <c r="AE139" s="124">
        <v>7334.93</v>
      </c>
      <c r="AF139" s="124">
        <v>7386.86</v>
      </c>
      <c r="AG139" s="124">
        <v>7456</v>
      </c>
      <c r="AH139" s="124">
        <v>7784.35</v>
      </c>
      <c r="AI139" s="124">
        <v>7579.83</v>
      </c>
      <c r="AJ139" s="124">
        <v>7641.48</v>
      </c>
      <c r="AK139" s="124">
        <v>7699.33</v>
      </c>
      <c r="AL139" s="124">
        <v>7846.7</v>
      </c>
      <c r="AM139" s="124">
        <v>0</v>
      </c>
      <c r="AN139" s="124">
        <v>0</v>
      </c>
      <c r="AO139" s="125">
        <v>0</v>
      </c>
      <c r="AP139" s="125">
        <v>0</v>
      </c>
      <c r="AQ139" s="125">
        <v>0</v>
      </c>
      <c r="AR139" s="125">
        <v>0</v>
      </c>
      <c r="AS139" s="125">
        <v>0</v>
      </c>
      <c r="AT139" s="125">
        <v>0</v>
      </c>
      <c r="AU139" s="125">
        <v>0</v>
      </c>
      <c r="AV139" s="125">
        <v>0</v>
      </c>
      <c r="AW139" s="125">
        <v>0</v>
      </c>
      <c r="AX139" s="125">
        <v>0</v>
      </c>
      <c r="AY139" s="126"/>
      <c r="AZ139" s="126"/>
      <c r="BA139" s="126"/>
      <c r="BB139" s="126"/>
      <c r="BC139" s="126"/>
      <c r="BD139" s="126"/>
      <c r="BE139" s="126"/>
      <c r="BF139" s="127">
        <v>144915</v>
      </c>
      <c r="BG139" s="97" t="s">
        <v>128</v>
      </c>
      <c r="BH139" s="127">
        <v>7784.35</v>
      </c>
      <c r="BI139" s="127">
        <v>144915</v>
      </c>
      <c r="BJ139" s="97" t="s">
        <v>128</v>
      </c>
      <c r="BK139" s="127">
        <v>7579.83</v>
      </c>
    </row>
    <row r="140" spans="2:63" x14ac:dyDescent="0.25">
      <c r="B140" s="121">
        <v>144920</v>
      </c>
      <c r="C140" s="122" t="s">
        <v>129</v>
      </c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3">
        <v>2116.75</v>
      </c>
      <c r="P140" s="123">
        <v>4231.2</v>
      </c>
      <c r="Q140" s="123">
        <v>6382.36</v>
      </c>
      <c r="R140" s="123">
        <v>8532.66</v>
      </c>
      <c r="S140" s="123">
        <v>10701.03</v>
      </c>
      <c r="T140" s="123">
        <v>12904.81</v>
      </c>
      <c r="U140" s="123">
        <v>12993.17</v>
      </c>
      <c r="V140" s="123">
        <v>13118.36</v>
      </c>
      <c r="W140" s="123">
        <v>13209.67</v>
      </c>
      <c r="X140" s="123">
        <v>13350.25</v>
      </c>
      <c r="Y140" s="123">
        <v>13476.61</v>
      </c>
      <c r="Z140" s="123">
        <v>13572.69</v>
      </c>
      <c r="AA140" s="123">
        <v>13699.68</v>
      </c>
      <c r="AB140" s="123">
        <v>13798.83</v>
      </c>
      <c r="AC140" s="124">
        <v>13926.45</v>
      </c>
      <c r="AD140" s="124">
        <v>14013.93</v>
      </c>
      <c r="AE140" s="124">
        <v>14117.55</v>
      </c>
      <c r="AF140" s="124">
        <v>14245.91</v>
      </c>
      <c r="AG140" s="124">
        <v>14352.72</v>
      </c>
      <c r="AH140" s="124">
        <v>14481.73</v>
      </c>
      <c r="AI140" s="124">
        <v>14591.79</v>
      </c>
      <c r="AJ140" s="124">
        <v>14721.48</v>
      </c>
      <c r="AK140" s="124">
        <v>14851.58</v>
      </c>
      <c r="AL140" s="124">
        <v>14966.69</v>
      </c>
      <c r="AM140" s="124">
        <v>0</v>
      </c>
      <c r="AN140" s="124">
        <v>0</v>
      </c>
      <c r="AO140" s="125">
        <v>0</v>
      </c>
      <c r="AP140" s="125">
        <v>0</v>
      </c>
      <c r="AQ140" s="125">
        <v>0</v>
      </c>
      <c r="AR140" s="125">
        <v>0</v>
      </c>
      <c r="AS140" s="125">
        <v>0</v>
      </c>
      <c r="AT140" s="125">
        <v>0</v>
      </c>
      <c r="AU140" s="125">
        <v>0</v>
      </c>
      <c r="AV140" s="125">
        <v>0</v>
      </c>
      <c r="AW140" s="125">
        <v>0</v>
      </c>
      <c r="AX140" s="125">
        <v>0</v>
      </c>
      <c r="AY140" s="126"/>
      <c r="AZ140" s="126"/>
      <c r="BA140" s="126"/>
      <c r="BB140" s="126"/>
      <c r="BC140" s="126"/>
      <c r="BD140" s="126"/>
      <c r="BE140" s="126"/>
      <c r="BF140" s="127">
        <v>144920</v>
      </c>
      <c r="BG140" s="97" t="s">
        <v>129</v>
      </c>
      <c r="BH140" s="127">
        <v>14481.73</v>
      </c>
      <c r="BI140" s="127">
        <v>144920</v>
      </c>
      <c r="BJ140" s="97" t="s">
        <v>129</v>
      </c>
      <c r="BK140" s="127">
        <v>14591.79</v>
      </c>
    </row>
    <row r="141" spans="2:63" x14ac:dyDescent="0.25">
      <c r="B141" s="121">
        <v>144925</v>
      </c>
      <c r="C141" s="122" t="s">
        <v>130</v>
      </c>
      <c r="D141" s="123">
        <v>4977.33</v>
      </c>
      <c r="E141" s="123">
        <v>4977.33</v>
      </c>
      <c r="F141" s="123">
        <v>4977.33</v>
      </c>
      <c r="G141" s="123">
        <v>92</v>
      </c>
      <c r="H141" s="123">
        <v>91</v>
      </c>
      <c r="I141" s="123">
        <v>90</v>
      </c>
      <c r="J141" s="123">
        <v>90</v>
      </c>
      <c r="K141" s="123">
        <v>90</v>
      </c>
      <c r="L141" s="123">
        <v>91</v>
      </c>
      <c r="M141" s="123">
        <v>90</v>
      </c>
      <c r="N141" s="123">
        <v>90</v>
      </c>
      <c r="O141" s="123">
        <v>90</v>
      </c>
      <c r="P141" s="123">
        <v>90</v>
      </c>
      <c r="Q141" s="123">
        <v>90</v>
      </c>
      <c r="R141" s="123">
        <v>90</v>
      </c>
      <c r="S141" s="123">
        <v>90</v>
      </c>
      <c r="T141" s="123">
        <v>90</v>
      </c>
      <c r="U141" s="123">
        <v>2206.75</v>
      </c>
      <c r="V141" s="123">
        <v>4321.2</v>
      </c>
      <c r="W141" s="123">
        <v>6471.36</v>
      </c>
      <c r="X141" s="123">
        <v>8621.66</v>
      </c>
      <c r="Y141" s="123">
        <v>10790.03</v>
      </c>
      <c r="Z141" s="123">
        <v>12993.81</v>
      </c>
      <c r="AA141" s="123">
        <v>15198.92</v>
      </c>
      <c r="AB141" s="123">
        <v>17437.560000000001</v>
      </c>
      <c r="AC141" s="124">
        <v>19680.03</v>
      </c>
      <c r="AD141" s="124">
        <v>21970.91</v>
      </c>
      <c r="AE141" s="124">
        <v>24265.64</v>
      </c>
      <c r="AF141" s="124">
        <v>26565.5</v>
      </c>
      <c r="AG141" s="124">
        <v>28897.599999999999</v>
      </c>
      <c r="AH141" s="124">
        <v>31236.39</v>
      </c>
      <c r="AI141" s="124">
        <v>33606.480000000003</v>
      </c>
      <c r="AJ141" s="124">
        <v>35984.839999999997</v>
      </c>
      <c r="AK141" s="124">
        <v>38383.19</v>
      </c>
      <c r="AL141" s="124">
        <v>40810.410000000003</v>
      </c>
      <c r="AM141" s="124">
        <v>87</v>
      </c>
      <c r="AN141" s="124">
        <v>87</v>
      </c>
      <c r="AO141" s="125">
        <v>87</v>
      </c>
      <c r="AP141" s="125">
        <v>72</v>
      </c>
      <c r="AQ141" s="125">
        <v>72</v>
      </c>
      <c r="AR141" s="125">
        <v>72</v>
      </c>
      <c r="AS141" s="125">
        <v>72</v>
      </c>
      <c r="AT141" s="125">
        <v>72</v>
      </c>
      <c r="AU141" s="125">
        <v>71</v>
      </c>
      <c r="AV141" s="125">
        <v>71</v>
      </c>
      <c r="AW141" s="125">
        <v>71</v>
      </c>
      <c r="AX141" s="125">
        <v>71</v>
      </c>
      <c r="AY141" s="126"/>
      <c r="AZ141" s="126"/>
      <c r="BA141" s="126"/>
      <c r="BB141" s="126"/>
      <c r="BC141" s="126"/>
      <c r="BD141" s="126"/>
      <c r="BE141" s="126"/>
      <c r="BF141" s="127">
        <v>144925</v>
      </c>
      <c r="BG141" s="97" t="s">
        <v>130</v>
      </c>
      <c r="BH141" s="127">
        <v>31236.39</v>
      </c>
      <c r="BI141" s="127">
        <v>144925</v>
      </c>
      <c r="BJ141" s="97" t="s">
        <v>130</v>
      </c>
      <c r="BK141" s="127">
        <v>33606.480000000003</v>
      </c>
    </row>
    <row r="142" spans="2:63" x14ac:dyDescent="0.25">
      <c r="B142" s="121">
        <v>1450</v>
      </c>
      <c r="C142" s="122" t="s">
        <v>143</v>
      </c>
      <c r="D142" s="116">
        <v>364692.61</v>
      </c>
      <c r="E142" s="116">
        <v>324812.78999999998</v>
      </c>
      <c r="F142" s="116">
        <v>223084.57</v>
      </c>
      <c r="G142" s="116">
        <v>201230.54</v>
      </c>
      <c r="H142" s="116">
        <v>197096.15</v>
      </c>
      <c r="I142" s="116">
        <v>196557.89</v>
      </c>
      <c r="J142" s="116">
        <v>190425.28</v>
      </c>
      <c r="K142" s="116">
        <v>154053.54</v>
      </c>
      <c r="L142" s="116">
        <v>148984.68</v>
      </c>
      <c r="M142" s="116">
        <v>145609.56</v>
      </c>
      <c r="N142" s="116">
        <v>151585.34</v>
      </c>
      <c r="O142" s="116">
        <v>148274.75</v>
      </c>
      <c r="P142" s="116">
        <v>150435.48000000001</v>
      </c>
      <c r="Q142" s="116">
        <v>199412.76</v>
      </c>
      <c r="R142" s="116">
        <v>223720.37</v>
      </c>
      <c r="S142" s="116">
        <v>243863.93</v>
      </c>
      <c r="T142" s="116">
        <v>258493.51</v>
      </c>
      <c r="U142" s="116">
        <v>284657.69</v>
      </c>
      <c r="V142" s="116">
        <v>314838.39</v>
      </c>
      <c r="W142" s="116">
        <v>341910.63</v>
      </c>
      <c r="X142" s="116">
        <v>355274.84</v>
      </c>
      <c r="Y142" s="116">
        <v>395988.65</v>
      </c>
      <c r="Z142" s="116">
        <v>562174.46</v>
      </c>
      <c r="AA142" s="116">
        <v>415477.75</v>
      </c>
      <c r="AB142" s="116">
        <v>449923.5</v>
      </c>
      <c r="AC142" s="124">
        <v>481446.37</v>
      </c>
      <c r="AD142" s="124">
        <v>513616.79</v>
      </c>
      <c r="AE142" s="124">
        <v>552630.36</v>
      </c>
      <c r="AF142" s="124">
        <v>567299.19999999995</v>
      </c>
      <c r="AG142" s="124">
        <v>607558.54</v>
      </c>
      <c r="AH142" s="124">
        <v>642280.15</v>
      </c>
      <c r="AI142" s="124">
        <v>670168.05000000005</v>
      </c>
      <c r="AJ142" s="124">
        <v>704279.91</v>
      </c>
      <c r="AK142" s="124">
        <v>733791.6</v>
      </c>
      <c r="AL142" s="124">
        <v>779668.36</v>
      </c>
      <c r="AM142" s="124">
        <v>63584.14</v>
      </c>
      <c r="AN142" s="124">
        <v>54544.74</v>
      </c>
      <c r="AO142" s="125">
        <v>43396.85</v>
      </c>
      <c r="AP142" s="125">
        <v>44878.44</v>
      </c>
      <c r="AQ142" s="125">
        <v>44364.4</v>
      </c>
      <c r="AR142" s="125">
        <v>45510.93</v>
      </c>
      <c r="AS142" s="125">
        <v>44539.59</v>
      </c>
      <c r="AT142" s="125">
        <v>43618.7</v>
      </c>
      <c r="AU142" s="125">
        <v>45236.480000000003</v>
      </c>
      <c r="AV142" s="125">
        <v>47027.360000000001</v>
      </c>
      <c r="AW142" s="125">
        <v>46263.12</v>
      </c>
      <c r="AX142" s="125">
        <v>48498.31</v>
      </c>
      <c r="AY142" s="126"/>
      <c r="AZ142" s="126"/>
      <c r="BA142" s="126"/>
      <c r="BB142" s="126"/>
      <c r="BC142" s="126"/>
      <c r="BD142" s="126"/>
      <c r="BE142" s="126"/>
      <c r="BF142" s="127">
        <v>1450</v>
      </c>
      <c r="BG142" s="97" t="s">
        <v>143</v>
      </c>
      <c r="BH142" s="127">
        <v>642280.15</v>
      </c>
      <c r="BI142" s="127">
        <v>1450</v>
      </c>
      <c r="BJ142" s="97" t="s">
        <v>143</v>
      </c>
      <c r="BK142" s="127">
        <v>670168.05000000005</v>
      </c>
    </row>
    <row r="143" spans="2:63" x14ac:dyDescent="0.25">
      <c r="B143" s="121">
        <v>145005</v>
      </c>
      <c r="C143" s="122" t="s">
        <v>126</v>
      </c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9"/>
      <c r="AD143" s="129"/>
      <c r="AE143" s="129"/>
      <c r="AF143" s="129"/>
      <c r="AG143" s="124">
        <v>19999.71</v>
      </c>
      <c r="AH143" s="129"/>
      <c r="AI143" s="124">
        <v>5997.16</v>
      </c>
      <c r="AJ143" s="124">
        <v>0</v>
      </c>
      <c r="AK143" s="124">
        <v>0</v>
      </c>
      <c r="AL143" s="124">
        <v>0</v>
      </c>
      <c r="AM143" s="124">
        <v>0</v>
      </c>
      <c r="AN143" s="124">
        <v>0</v>
      </c>
      <c r="AO143" s="125">
        <v>0</v>
      </c>
      <c r="AP143" s="125">
        <v>0</v>
      </c>
      <c r="AQ143" s="125">
        <v>0</v>
      </c>
      <c r="AR143" s="125">
        <v>0</v>
      </c>
      <c r="AS143" s="125">
        <v>0</v>
      </c>
      <c r="AT143" s="125">
        <v>0</v>
      </c>
      <c r="AU143" s="125">
        <v>0</v>
      </c>
      <c r="AV143" s="125">
        <v>0</v>
      </c>
      <c r="AW143" s="125">
        <v>0</v>
      </c>
      <c r="AX143" s="125">
        <v>0</v>
      </c>
      <c r="AY143" s="126"/>
      <c r="AZ143" s="126"/>
      <c r="BA143" s="126"/>
      <c r="BB143" s="126"/>
      <c r="BC143" s="126"/>
      <c r="BD143" s="126"/>
      <c r="BE143" s="126"/>
      <c r="BI143" s="127">
        <v>145005</v>
      </c>
      <c r="BJ143" s="97" t="s">
        <v>126</v>
      </c>
      <c r="BK143" s="127">
        <v>5997.16</v>
      </c>
    </row>
    <row r="144" spans="2:63" x14ac:dyDescent="0.25">
      <c r="B144" s="121">
        <v>145010</v>
      </c>
      <c r="C144" s="122" t="s">
        <v>127</v>
      </c>
      <c r="D144" s="123">
        <v>14918.64</v>
      </c>
      <c r="E144" s="123">
        <v>14266.74</v>
      </c>
      <c r="F144" s="123">
        <v>11899.92</v>
      </c>
      <c r="G144" s="123">
        <v>9752.24</v>
      </c>
      <c r="H144" s="123">
        <v>16283.07</v>
      </c>
      <c r="I144" s="123">
        <v>13798.15</v>
      </c>
      <c r="J144" s="123">
        <v>14737.77</v>
      </c>
      <c r="K144" s="123">
        <v>12422.9</v>
      </c>
      <c r="L144" s="123">
        <v>16482.38</v>
      </c>
      <c r="M144" s="123">
        <v>17314.71</v>
      </c>
      <c r="N144" s="123">
        <v>20479.810000000001</v>
      </c>
      <c r="O144" s="123">
        <v>21052.79</v>
      </c>
      <c r="P144" s="123">
        <v>20944.22</v>
      </c>
      <c r="Q144" s="123">
        <v>57993.279999999999</v>
      </c>
      <c r="R144" s="123">
        <v>64627.69</v>
      </c>
      <c r="S144" s="123">
        <v>68934.320000000007</v>
      </c>
      <c r="T144" s="123">
        <v>67683.41</v>
      </c>
      <c r="U144" s="123">
        <v>71769.3</v>
      </c>
      <c r="V144" s="123">
        <v>77632.22</v>
      </c>
      <c r="W144" s="123">
        <v>84577.23</v>
      </c>
      <c r="X144" s="123">
        <v>78635.649999999994</v>
      </c>
      <c r="Y144" s="123">
        <v>91634.42</v>
      </c>
      <c r="Z144" s="123">
        <v>251567</v>
      </c>
      <c r="AA144" s="123">
        <v>84414.47</v>
      </c>
      <c r="AB144" s="123">
        <v>89310.55</v>
      </c>
      <c r="AC144" s="124">
        <v>91681.38</v>
      </c>
      <c r="AD144" s="124">
        <v>95878.28</v>
      </c>
      <c r="AE144" s="124">
        <v>102912.56</v>
      </c>
      <c r="AF144" s="124">
        <v>96332.13</v>
      </c>
      <c r="AG144" s="124">
        <v>99985.67</v>
      </c>
      <c r="AH144" s="124">
        <v>118411.13</v>
      </c>
      <c r="AI144" s="124">
        <v>123967.43</v>
      </c>
      <c r="AJ144" s="124">
        <v>131785.51999999999</v>
      </c>
      <c r="AK144" s="124">
        <v>130140.83</v>
      </c>
      <c r="AL144" s="124">
        <v>126653.05</v>
      </c>
      <c r="AM144" s="124">
        <v>27218.05</v>
      </c>
      <c r="AN144" s="124">
        <v>22744.48</v>
      </c>
      <c r="AO144" s="125">
        <v>13791.71</v>
      </c>
      <c r="AP144" s="125">
        <v>14699.59</v>
      </c>
      <c r="AQ144" s="125">
        <v>13076.64</v>
      </c>
      <c r="AR144" s="125">
        <v>14384.68</v>
      </c>
      <c r="AS144" s="125">
        <v>11496.63</v>
      </c>
      <c r="AT144" s="125">
        <v>15477.52</v>
      </c>
      <c r="AU144" s="125">
        <v>14372.67</v>
      </c>
      <c r="AV144" s="125">
        <v>16659.21</v>
      </c>
      <c r="AW144" s="125">
        <v>14109.26</v>
      </c>
      <c r="AX144" s="125">
        <v>15911.92</v>
      </c>
      <c r="AY144" s="126"/>
      <c r="AZ144" s="126"/>
      <c r="BA144" s="126"/>
      <c r="BB144" s="126"/>
      <c r="BC144" s="126"/>
      <c r="BD144" s="126"/>
      <c r="BE144" s="126"/>
      <c r="BF144" s="127">
        <v>145010</v>
      </c>
      <c r="BG144" s="97" t="s">
        <v>127</v>
      </c>
      <c r="BH144" s="127">
        <v>118411.13</v>
      </c>
      <c r="BI144" s="127">
        <v>145010</v>
      </c>
      <c r="BJ144" s="97" t="s">
        <v>127</v>
      </c>
      <c r="BK144" s="127">
        <v>123967.43</v>
      </c>
    </row>
    <row r="145" spans="2:63" x14ac:dyDescent="0.25">
      <c r="B145" s="121">
        <v>145015</v>
      </c>
      <c r="C145" s="122" t="s">
        <v>128</v>
      </c>
      <c r="D145" s="123">
        <v>38881.660000000003</v>
      </c>
      <c r="E145" s="123">
        <v>37006.910000000003</v>
      </c>
      <c r="F145" s="123">
        <v>26212.42</v>
      </c>
      <c r="G145" s="123">
        <v>28778.33</v>
      </c>
      <c r="H145" s="123">
        <v>25936.12</v>
      </c>
      <c r="I145" s="123">
        <v>30226.44</v>
      </c>
      <c r="J145" s="123">
        <v>31928.32</v>
      </c>
      <c r="K145" s="123">
        <v>28142.1</v>
      </c>
      <c r="L145" s="123">
        <v>27896.12</v>
      </c>
      <c r="M145" s="123">
        <v>31182.32</v>
      </c>
      <c r="N145" s="123">
        <v>32901.79</v>
      </c>
      <c r="O145" s="123">
        <v>37953.19</v>
      </c>
      <c r="P145" s="123">
        <v>40044.33</v>
      </c>
      <c r="Q145" s="123">
        <v>45740.46</v>
      </c>
      <c r="R145" s="123">
        <v>52819.98</v>
      </c>
      <c r="S145" s="123">
        <v>57592.3</v>
      </c>
      <c r="T145" s="123">
        <v>63094.06</v>
      </c>
      <c r="U145" s="123">
        <v>70182.34</v>
      </c>
      <c r="V145" s="123">
        <v>75390.070000000007</v>
      </c>
      <c r="W145" s="123">
        <v>78946.320000000007</v>
      </c>
      <c r="X145" s="123">
        <v>79272.820000000007</v>
      </c>
      <c r="Y145" s="123">
        <v>83929.64</v>
      </c>
      <c r="Z145" s="123">
        <v>83715.87</v>
      </c>
      <c r="AA145" s="123">
        <v>84982.69</v>
      </c>
      <c r="AB145" s="123">
        <v>86741.99</v>
      </c>
      <c r="AC145" s="124">
        <v>90221.73</v>
      </c>
      <c r="AD145" s="124">
        <v>95516.84</v>
      </c>
      <c r="AE145" s="124">
        <v>98662.54</v>
      </c>
      <c r="AF145" s="124">
        <v>99464.59</v>
      </c>
      <c r="AG145" s="124">
        <v>102253.45</v>
      </c>
      <c r="AH145" s="124">
        <v>109093.48</v>
      </c>
      <c r="AI145" s="124">
        <v>108121.59</v>
      </c>
      <c r="AJ145" s="124">
        <v>110149.98</v>
      </c>
      <c r="AK145" s="124">
        <v>121913.14</v>
      </c>
      <c r="AL145" s="124">
        <v>133600.12</v>
      </c>
      <c r="AM145" s="124">
        <v>13386.75</v>
      </c>
      <c r="AN145" s="124">
        <v>9154.0499999999993</v>
      </c>
      <c r="AO145" s="125">
        <v>6608.82</v>
      </c>
      <c r="AP145" s="125">
        <v>6512.26</v>
      </c>
      <c r="AQ145" s="125">
        <v>5779.54</v>
      </c>
      <c r="AR145" s="125">
        <v>4572.79</v>
      </c>
      <c r="AS145" s="125">
        <v>4764.8999999999996</v>
      </c>
      <c r="AT145" s="125">
        <v>4396.2</v>
      </c>
      <c r="AU145" s="125">
        <v>6643.56</v>
      </c>
      <c r="AV145" s="125">
        <v>6115.56</v>
      </c>
      <c r="AW145" s="125">
        <v>6943.41</v>
      </c>
      <c r="AX145" s="125">
        <v>6583.6</v>
      </c>
      <c r="AY145" s="126"/>
      <c r="AZ145" s="126"/>
      <c r="BA145" s="126"/>
      <c r="BB145" s="126"/>
      <c r="BC145" s="126"/>
      <c r="BD145" s="126"/>
      <c r="BE145" s="126"/>
      <c r="BF145" s="127">
        <v>145015</v>
      </c>
      <c r="BG145" s="97" t="s">
        <v>128</v>
      </c>
      <c r="BH145" s="127">
        <v>109093.48</v>
      </c>
      <c r="BI145" s="127">
        <v>145015</v>
      </c>
      <c r="BJ145" s="97" t="s">
        <v>128</v>
      </c>
      <c r="BK145" s="127">
        <v>108121.59</v>
      </c>
    </row>
    <row r="146" spans="2:63" x14ac:dyDescent="0.25">
      <c r="B146" s="121">
        <v>145020</v>
      </c>
      <c r="C146" s="122" t="s">
        <v>144</v>
      </c>
      <c r="D146" s="123">
        <v>35942.400000000001</v>
      </c>
      <c r="E146" s="123">
        <v>33398.11</v>
      </c>
      <c r="F146" s="123">
        <v>24481.61</v>
      </c>
      <c r="G146" s="123">
        <v>24801.39</v>
      </c>
      <c r="H146" s="123">
        <v>23291.62</v>
      </c>
      <c r="I146" s="123">
        <v>22783.02</v>
      </c>
      <c r="J146" s="123">
        <v>22845.43</v>
      </c>
      <c r="K146" s="123">
        <v>20360.8</v>
      </c>
      <c r="L146" s="123">
        <v>23133.24</v>
      </c>
      <c r="M146" s="123">
        <v>24049.200000000001</v>
      </c>
      <c r="N146" s="123">
        <v>25043.19</v>
      </c>
      <c r="O146" s="123">
        <v>22819.22</v>
      </c>
      <c r="P146" s="123">
        <v>26341.66</v>
      </c>
      <c r="Q146" s="123">
        <v>29107.27</v>
      </c>
      <c r="R146" s="123">
        <v>34639.480000000003</v>
      </c>
      <c r="S146" s="123">
        <v>36452.53</v>
      </c>
      <c r="T146" s="123">
        <v>42771.81</v>
      </c>
      <c r="U146" s="123">
        <v>49310.83</v>
      </c>
      <c r="V146" s="123">
        <v>56132.23</v>
      </c>
      <c r="W146" s="123">
        <v>61571.43</v>
      </c>
      <c r="X146" s="123">
        <v>64863.73</v>
      </c>
      <c r="Y146" s="123">
        <v>69848.73</v>
      </c>
      <c r="Z146" s="123">
        <v>75661.22</v>
      </c>
      <c r="AA146" s="123">
        <v>73216.039999999994</v>
      </c>
      <c r="AB146" s="123">
        <v>77932.7</v>
      </c>
      <c r="AC146" s="124">
        <v>79452.52</v>
      </c>
      <c r="AD146" s="124">
        <v>79241.42</v>
      </c>
      <c r="AE146" s="124">
        <v>81463.820000000007</v>
      </c>
      <c r="AF146" s="124">
        <v>83303.91</v>
      </c>
      <c r="AG146" s="124">
        <v>83870.44</v>
      </c>
      <c r="AH146" s="124">
        <v>88032.69</v>
      </c>
      <c r="AI146" s="124">
        <v>89389.93</v>
      </c>
      <c r="AJ146" s="124">
        <v>95750.83</v>
      </c>
      <c r="AK146" s="124">
        <v>95974.23</v>
      </c>
      <c r="AL146" s="124">
        <v>103217.25</v>
      </c>
      <c r="AM146" s="124">
        <v>5365.65</v>
      </c>
      <c r="AN146" s="124">
        <v>6283.07</v>
      </c>
      <c r="AO146" s="125">
        <v>4665.8999999999996</v>
      </c>
      <c r="AP146" s="125">
        <v>4750.3500000000004</v>
      </c>
      <c r="AQ146" s="125">
        <v>4956.0600000000004</v>
      </c>
      <c r="AR146" s="125">
        <v>4913.21</v>
      </c>
      <c r="AS146" s="125">
        <v>5272.24</v>
      </c>
      <c r="AT146" s="125">
        <v>4620.41</v>
      </c>
      <c r="AU146" s="125">
        <v>3793.75</v>
      </c>
      <c r="AV146" s="125">
        <v>2487.66</v>
      </c>
      <c r="AW146" s="125">
        <v>2728.52</v>
      </c>
      <c r="AX146" s="125">
        <v>3023.61</v>
      </c>
      <c r="AY146" s="126"/>
      <c r="AZ146" s="126"/>
      <c r="BA146" s="126"/>
      <c r="BB146" s="126"/>
      <c r="BC146" s="126"/>
      <c r="BD146" s="126"/>
      <c r="BE146" s="126"/>
      <c r="BF146" s="127">
        <v>145020</v>
      </c>
      <c r="BG146" s="97" t="s">
        <v>144</v>
      </c>
      <c r="BH146" s="127">
        <v>88032.69</v>
      </c>
      <c r="BI146" s="127">
        <v>145020</v>
      </c>
      <c r="BJ146" s="97" t="s">
        <v>144</v>
      </c>
      <c r="BK146" s="127">
        <v>89389.93</v>
      </c>
    </row>
    <row r="147" spans="2:63" x14ac:dyDescent="0.25">
      <c r="B147" s="121">
        <v>145025</v>
      </c>
      <c r="C147" s="122" t="s">
        <v>145</v>
      </c>
      <c r="D147" s="123">
        <v>274949.90999999997</v>
      </c>
      <c r="E147" s="123">
        <v>240141.03</v>
      </c>
      <c r="F147" s="123">
        <v>160490.62</v>
      </c>
      <c r="G147" s="123">
        <v>137898.57999999999</v>
      </c>
      <c r="H147" s="123">
        <v>131585.34</v>
      </c>
      <c r="I147" s="123">
        <v>129750.28</v>
      </c>
      <c r="J147" s="123">
        <v>120913.76</v>
      </c>
      <c r="K147" s="123">
        <v>93127.74</v>
      </c>
      <c r="L147" s="123">
        <v>81472.94</v>
      </c>
      <c r="M147" s="123">
        <v>73063.33</v>
      </c>
      <c r="N147" s="123">
        <v>73160.55</v>
      </c>
      <c r="O147" s="123">
        <v>66449.55</v>
      </c>
      <c r="P147" s="123">
        <v>63105.27</v>
      </c>
      <c r="Q147" s="123">
        <v>66571.75</v>
      </c>
      <c r="R147" s="123">
        <v>71633.22</v>
      </c>
      <c r="S147" s="123">
        <v>80884.78</v>
      </c>
      <c r="T147" s="123">
        <v>84944.23</v>
      </c>
      <c r="U147" s="123">
        <v>93395.22</v>
      </c>
      <c r="V147" s="123">
        <v>105683.87</v>
      </c>
      <c r="W147" s="123">
        <v>116815.65</v>
      </c>
      <c r="X147" s="123">
        <v>132502.64000000001</v>
      </c>
      <c r="Y147" s="123">
        <v>150575.85999999999</v>
      </c>
      <c r="Z147" s="123">
        <v>151230.37</v>
      </c>
      <c r="AA147" s="123">
        <v>172864.55</v>
      </c>
      <c r="AB147" s="123">
        <v>195938.26</v>
      </c>
      <c r="AC147" s="124">
        <v>220090.74</v>
      </c>
      <c r="AD147" s="124">
        <v>242980.25</v>
      </c>
      <c r="AE147" s="124">
        <v>269591.44</v>
      </c>
      <c r="AF147" s="124">
        <v>288198.57</v>
      </c>
      <c r="AG147" s="124">
        <v>301449.27</v>
      </c>
      <c r="AH147" s="124">
        <v>326742.84999999998</v>
      </c>
      <c r="AI147" s="124">
        <v>342691.94</v>
      </c>
      <c r="AJ147" s="124">
        <v>366593.58</v>
      </c>
      <c r="AK147" s="124">
        <v>385763.4</v>
      </c>
      <c r="AL147" s="124">
        <v>416197.94</v>
      </c>
      <c r="AM147" s="124">
        <v>14615.09</v>
      </c>
      <c r="AN147" s="124">
        <v>16363.14</v>
      </c>
      <c r="AO147" s="125">
        <v>18330.419999999998</v>
      </c>
      <c r="AP147" s="125">
        <v>18916.240000000002</v>
      </c>
      <c r="AQ147" s="125">
        <v>20552.16</v>
      </c>
      <c r="AR147" s="125">
        <v>21640.25</v>
      </c>
      <c r="AS147" s="125">
        <v>23005.82</v>
      </c>
      <c r="AT147" s="125">
        <v>19124.57</v>
      </c>
      <c r="AU147" s="125">
        <v>20426.5</v>
      </c>
      <c r="AV147" s="125">
        <v>21764.93</v>
      </c>
      <c r="AW147" s="125">
        <v>22481.93</v>
      </c>
      <c r="AX147" s="125">
        <v>22979.18</v>
      </c>
      <c r="AY147" s="126"/>
      <c r="AZ147" s="126"/>
      <c r="BA147" s="126"/>
      <c r="BB147" s="126"/>
      <c r="BC147" s="126"/>
      <c r="BD147" s="126"/>
      <c r="BE147" s="126"/>
      <c r="BF147" s="127">
        <v>145025</v>
      </c>
      <c r="BG147" s="97" t="s">
        <v>145</v>
      </c>
      <c r="BH147" s="127">
        <v>326742.84999999998</v>
      </c>
      <c r="BI147" s="127">
        <v>145025</v>
      </c>
      <c r="BJ147" s="97" t="s">
        <v>145</v>
      </c>
      <c r="BK147" s="127">
        <v>342691.94</v>
      </c>
    </row>
    <row r="148" spans="2:63" x14ac:dyDescent="0.25">
      <c r="B148" s="121">
        <v>1451</v>
      </c>
      <c r="C148" s="122" t="s">
        <v>146</v>
      </c>
      <c r="D148" s="116">
        <v>1</v>
      </c>
      <c r="E148" s="116">
        <v>1</v>
      </c>
      <c r="F148" s="116">
        <v>1</v>
      </c>
      <c r="G148" s="116">
        <v>1</v>
      </c>
      <c r="H148" s="116">
        <v>1</v>
      </c>
      <c r="I148" s="116">
        <v>1</v>
      </c>
      <c r="J148" s="116">
        <v>1</v>
      </c>
      <c r="K148" s="116">
        <v>1</v>
      </c>
      <c r="L148" s="116">
        <v>1</v>
      </c>
      <c r="M148" s="116">
        <v>1</v>
      </c>
      <c r="N148" s="116">
        <v>1</v>
      </c>
      <c r="O148" s="116">
        <v>1</v>
      </c>
      <c r="P148" s="116">
        <v>1</v>
      </c>
      <c r="Q148" s="116">
        <v>1</v>
      </c>
      <c r="R148" s="116">
        <v>1</v>
      </c>
      <c r="S148" s="116">
        <v>1</v>
      </c>
      <c r="T148" s="116">
        <v>1</v>
      </c>
      <c r="U148" s="116">
        <v>1</v>
      </c>
      <c r="V148" s="116">
        <v>1</v>
      </c>
      <c r="W148" s="116">
        <v>1</v>
      </c>
      <c r="X148" s="116">
        <v>1</v>
      </c>
      <c r="Y148" s="116">
        <v>1</v>
      </c>
      <c r="Z148" s="116">
        <v>1</v>
      </c>
      <c r="AA148" s="116">
        <v>1</v>
      </c>
      <c r="AB148" s="116">
        <v>1</v>
      </c>
      <c r="AC148" s="129"/>
      <c r="AD148" s="129"/>
      <c r="AE148" s="129"/>
      <c r="AF148" s="129"/>
      <c r="AG148" s="129"/>
      <c r="AH148" s="129"/>
      <c r="AI148" s="129"/>
      <c r="AJ148" s="129"/>
      <c r="AK148" s="129"/>
      <c r="AL148" s="129"/>
      <c r="AM148" s="129"/>
      <c r="AN148" s="129"/>
      <c r="AO148" s="125">
        <v>0</v>
      </c>
      <c r="AP148" s="125">
        <v>0</v>
      </c>
      <c r="AQ148" s="125">
        <v>0</v>
      </c>
      <c r="AR148" s="125">
        <v>0</v>
      </c>
      <c r="AS148" s="125">
        <v>0</v>
      </c>
      <c r="AT148" s="125">
        <v>0</v>
      </c>
      <c r="AU148" s="125">
        <v>0</v>
      </c>
      <c r="AV148" s="125">
        <v>0</v>
      </c>
      <c r="AW148" s="125">
        <v>0</v>
      </c>
      <c r="AX148" s="125">
        <v>0</v>
      </c>
      <c r="AY148" s="126"/>
      <c r="AZ148" s="126"/>
      <c r="BA148" s="126"/>
      <c r="BB148" s="126"/>
      <c r="BC148" s="126"/>
      <c r="BD148" s="126"/>
      <c r="BE148" s="126"/>
    </row>
    <row r="149" spans="2:63" x14ac:dyDescent="0.25">
      <c r="B149" s="121">
        <v>145110</v>
      </c>
      <c r="C149" s="122" t="s">
        <v>127</v>
      </c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9"/>
      <c r="AD149" s="129"/>
      <c r="AE149" s="129"/>
      <c r="AF149" s="129"/>
      <c r="AG149" s="129"/>
      <c r="AH149" s="129"/>
      <c r="AI149" s="129"/>
      <c r="AJ149" s="129"/>
      <c r="AK149" s="129"/>
      <c r="AL149" s="129"/>
      <c r="AM149" s="129"/>
      <c r="AN149" s="129"/>
      <c r="AO149" s="125">
        <v>0</v>
      </c>
      <c r="AP149" s="125">
        <v>0</v>
      </c>
      <c r="AQ149" s="125">
        <v>0</v>
      </c>
      <c r="AR149" s="125">
        <v>0</v>
      </c>
      <c r="AS149" s="125">
        <v>0</v>
      </c>
      <c r="AT149" s="125">
        <v>0</v>
      </c>
      <c r="AU149" s="125">
        <v>0</v>
      </c>
      <c r="AV149" s="125">
        <v>0</v>
      </c>
      <c r="AW149" s="125">
        <v>0</v>
      </c>
      <c r="AX149" s="125">
        <v>0</v>
      </c>
      <c r="AY149" s="126"/>
      <c r="AZ149" s="126"/>
      <c r="BA149" s="126"/>
      <c r="BB149" s="126"/>
      <c r="BC149" s="126"/>
      <c r="BD149" s="126"/>
      <c r="BE149" s="126"/>
    </row>
    <row r="150" spans="2:63" x14ac:dyDescent="0.25">
      <c r="B150" s="121">
        <v>145115</v>
      </c>
      <c r="C150" s="122" t="s">
        <v>147</v>
      </c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9"/>
      <c r="AD150" s="129"/>
      <c r="AE150" s="129"/>
      <c r="AF150" s="129"/>
      <c r="AG150" s="129"/>
      <c r="AH150" s="129"/>
      <c r="AI150" s="129"/>
      <c r="AJ150" s="129"/>
      <c r="AK150" s="129"/>
      <c r="AL150" s="129"/>
      <c r="AM150" s="129"/>
      <c r="AN150" s="129"/>
      <c r="AO150" s="125">
        <v>0</v>
      </c>
      <c r="AP150" s="125">
        <v>0</v>
      </c>
      <c r="AQ150" s="125">
        <v>0</v>
      </c>
      <c r="AR150" s="125">
        <v>0</v>
      </c>
      <c r="AS150" s="125">
        <v>0</v>
      </c>
      <c r="AT150" s="125">
        <v>0</v>
      </c>
      <c r="AU150" s="125">
        <v>0</v>
      </c>
      <c r="AV150" s="125">
        <v>0</v>
      </c>
      <c r="AW150" s="125">
        <v>0</v>
      </c>
      <c r="AX150" s="125">
        <v>0</v>
      </c>
      <c r="AY150" s="126"/>
      <c r="AZ150" s="126"/>
      <c r="BA150" s="126"/>
      <c r="BB150" s="126"/>
      <c r="BC150" s="126"/>
      <c r="BD150" s="126"/>
      <c r="BE150" s="126"/>
    </row>
    <row r="151" spans="2:63" x14ac:dyDescent="0.25">
      <c r="B151" s="121">
        <v>145120</v>
      </c>
      <c r="C151" s="122" t="s">
        <v>148</v>
      </c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9"/>
      <c r="AD151" s="129"/>
      <c r="AE151" s="129"/>
      <c r="AF151" s="129"/>
      <c r="AG151" s="129"/>
      <c r="AH151" s="129"/>
      <c r="AI151" s="129"/>
      <c r="AJ151" s="129"/>
      <c r="AK151" s="129"/>
      <c r="AL151" s="129"/>
      <c r="AM151" s="129"/>
      <c r="AN151" s="129"/>
      <c r="AO151" s="125">
        <v>0</v>
      </c>
      <c r="AP151" s="125">
        <v>0</v>
      </c>
      <c r="AQ151" s="125">
        <v>0</v>
      </c>
      <c r="AR151" s="125">
        <v>0</v>
      </c>
      <c r="AS151" s="125">
        <v>0</v>
      </c>
      <c r="AT151" s="125">
        <v>0</v>
      </c>
      <c r="AU151" s="125">
        <v>0</v>
      </c>
      <c r="AV151" s="125">
        <v>0</v>
      </c>
      <c r="AW151" s="125">
        <v>0</v>
      </c>
      <c r="AX151" s="125">
        <v>0</v>
      </c>
      <c r="AY151" s="126"/>
      <c r="AZ151" s="126"/>
      <c r="BA151" s="126"/>
      <c r="BB151" s="126"/>
      <c r="BC151" s="126"/>
      <c r="BD151" s="126"/>
      <c r="BE151" s="126"/>
    </row>
    <row r="152" spans="2:63" x14ac:dyDescent="0.25">
      <c r="B152" s="121">
        <v>145125</v>
      </c>
      <c r="C152" s="122" t="s">
        <v>149</v>
      </c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9"/>
      <c r="AD152" s="129"/>
      <c r="AE152" s="129"/>
      <c r="AF152" s="129"/>
      <c r="AG152" s="129"/>
      <c r="AH152" s="129"/>
      <c r="AI152" s="129"/>
      <c r="AJ152" s="129"/>
      <c r="AK152" s="129"/>
      <c r="AL152" s="129"/>
      <c r="AM152" s="129"/>
      <c r="AN152" s="129"/>
      <c r="AO152" s="125">
        <v>0</v>
      </c>
      <c r="AP152" s="125">
        <v>0</v>
      </c>
      <c r="AQ152" s="125">
        <v>0</v>
      </c>
      <c r="AR152" s="125">
        <v>0</v>
      </c>
      <c r="AS152" s="125">
        <v>0</v>
      </c>
      <c r="AT152" s="125">
        <v>0</v>
      </c>
      <c r="AU152" s="125">
        <v>0</v>
      </c>
      <c r="AV152" s="125">
        <v>0</v>
      </c>
      <c r="AW152" s="125">
        <v>0</v>
      </c>
      <c r="AX152" s="125">
        <v>0</v>
      </c>
      <c r="AY152" s="126"/>
      <c r="AZ152" s="126"/>
      <c r="BA152" s="126"/>
      <c r="BB152" s="126"/>
      <c r="BC152" s="126"/>
      <c r="BD152" s="126"/>
      <c r="BE152" s="126"/>
    </row>
    <row r="153" spans="2:63" x14ac:dyDescent="0.25">
      <c r="B153" s="121">
        <v>145130</v>
      </c>
      <c r="C153" s="122" t="s">
        <v>150</v>
      </c>
      <c r="D153" s="123">
        <v>1</v>
      </c>
      <c r="E153" s="123">
        <v>1</v>
      </c>
      <c r="F153" s="123">
        <v>1</v>
      </c>
      <c r="G153" s="123">
        <v>1</v>
      </c>
      <c r="H153" s="123">
        <v>1</v>
      </c>
      <c r="I153" s="123">
        <v>1</v>
      </c>
      <c r="J153" s="123">
        <v>1</v>
      </c>
      <c r="K153" s="123">
        <v>1</v>
      </c>
      <c r="L153" s="123">
        <v>1</v>
      </c>
      <c r="M153" s="123">
        <v>1</v>
      </c>
      <c r="N153" s="123">
        <v>1</v>
      </c>
      <c r="O153" s="123">
        <v>1</v>
      </c>
      <c r="P153" s="123">
        <v>1</v>
      </c>
      <c r="Q153" s="123">
        <v>1</v>
      </c>
      <c r="R153" s="123">
        <v>1</v>
      </c>
      <c r="S153" s="123">
        <v>1</v>
      </c>
      <c r="T153" s="123">
        <v>1</v>
      </c>
      <c r="U153" s="123">
        <v>1</v>
      </c>
      <c r="V153" s="123">
        <v>1</v>
      </c>
      <c r="W153" s="123">
        <v>1</v>
      </c>
      <c r="X153" s="123">
        <v>1</v>
      </c>
      <c r="Y153" s="123">
        <v>1</v>
      </c>
      <c r="Z153" s="123">
        <v>1</v>
      </c>
      <c r="AA153" s="123">
        <v>1</v>
      </c>
      <c r="AB153" s="123">
        <v>1</v>
      </c>
      <c r="AC153" s="129"/>
      <c r="AD153" s="129"/>
      <c r="AE153" s="129"/>
      <c r="AF153" s="129"/>
      <c r="AG153" s="129"/>
      <c r="AH153" s="129"/>
      <c r="AI153" s="129"/>
      <c r="AJ153" s="129"/>
      <c r="AK153" s="129"/>
      <c r="AL153" s="129"/>
      <c r="AM153" s="129"/>
      <c r="AN153" s="129"/>
      <c r="AO153" s="125">
        <v>0</v>
      </c>
      <c r="AP153" s="125">
        <v>0</v>
      </c>
      <c r="AQ153" s="125">
        <v>0</v>
      </c>
      <c r="AR153" s="125">
        <v>0</v>
      </c>
      <c r="AS153" s="125">
        <v>0</v>
      </c>
      <c r="AT153" s="125">
        <v>0</v>
      </c>
      <c r="AU153" s="125">
        <v>0</v>
      </c>
      <c r="AV153" s="125">
        <v>0</v>
      </c>
      <c r="AW153" s="125">
        <v>0</v>
      </c>
      <c r="AX153" s="125">
        <v>0</v>
      </c>
      <c r="AY153" s="126"/>
      <c r="AZ153" s="126"/>
      <c r="BA153" s="126"/>
      <c r="BB153" s="126"/>
      <c r="BC153" s="126"/>
      <c r="BD153" s="126"/>
      <c r="BE153" s="126"/>
    </row>
    <row r="154" spans="2:63" x14ac:dyDescent="0.25">
      <c r="B154" s="121">
        <v>1452</v>
      </c>
      <c r="C154" s="122" t="s">
        <v>151</v>
      </c>
      <c r="D154" s="116">
        <v>113551.52</v>
      </c>
      <c r="E154" s="116">
        <v>87506.51</v>
      </c>
      <c r="F154" s="116">
        <v>74172.33</v>
      </c>
      <c r="G154" s="116">
        <v>70269.960000000006</v>
      </c>
      <c r="H154" s="116">
        <v>65637.5</v>
      </c>
      <c r="I154" s="116">
        <v>60532.63</v>
      </c>
      <c r="J154" s="116">
        <v>59748.79</v>
      </c>
      <c r="K154" s="116">
        <v>52052.54</v>
      </c>
      <c r="L154" s="116">
        <v>42702.32</v>
      </c>
      <c r="M154" s="116">
        <v>35858.6</v>
      </c>
      <c r="N154" s="116">
        <v>28379.48</v>
      </c>
      <c r="O154" s="116">
        <v>28970.11</v>
      </c>
      <c r="P154" s="116">
        <v>30731.11</v>
      </c>
      <c r="Q154" s="116">
        <v>38775.339999999997</v>
      </c>
      <c r="R154" s="116">
        <v>40957.43</v>
      </c>
      <c r="S154" s="116">
        <v>43977.82</v>
      </c>
      <c r="T154" s="116">
        <v>49936.68</v>
      </c>
      <c r="U154" s="116">
        <v>56540.06</v>
      </c>
      <c r="V154" s="116">
        <v>65878.649999999994</v>
      </c>
      <c r="W154" s="116">
        <v>79549.88</v>
      </c>
      <c r="X154" s="116">
        <v>77004.899999999994</v>
      </c>
      <c r="Y154" s="116">
        <v>84048.74</v>
      </c>
      <c r="Z154" s="116">
        <v>87203.69</v>
      </c>
      <c r="AA154" s="116">
        <v>95510.24</v>
      </c>
      <c r="AB154" s="116">
        <v>101586.67</v>
      </c>
      <c r="AC154" s="124">
        <v>116122.15</v>
      </c>
      <c r="AD154" s="124">
        <v>117226.73</v>
      </c>
      <c r="AE154" s="124">
        <v>130605.71</v>
      </c>
      <c r="AF154" s="124">
        <v>143043.60999999999</v>
      </c>
      <c r="AG154" s="124">
        <v>161565.29999999999</v>
      </c>
      <c r="AH154" s="124">
        <v>173513.62</v>
      </c>
      <c r="AI154" s="124">
        <v>175486.39</v>
      </c>
      <c r="AJ154" s="124">
        <v>193598.2</v>
      </c>
      <c r="AK154" s="124">
        <v>193320.84</v>
      </c>
      <c r="AL154" s="124">
        <v>210430.65</v>
      </c>
      <c r="AM154" s="124">
        <v>18998.16</v>
      </c>
      <c r="AN154" s="124">
        <v>15527.82</v>
      </c>
      <c r="AO154" s="125">
        <v>16857.57</v>
      </c>
      <c r="AP154" s="125">
        <v>11844.24</v>
      </c>
      <c r="AQ154" s="125">
        <v>9085.81</v>
      </c>
      <c r="AR154" s="125">
        <v>5549.54</v>
      </c>
      <c r="AS154" s="125">
        <v>4525.07</v>
      </c>
      <c r="AT154" s="125">
        <v>6167.28</v>
      </c>
      <c r="AU154" s="125">
        <v>7968.63</v>
      </c>
      <c r="AV154" s="125">
        <v>11906.77</v>
      </c>
      <c r="AW154" s="125">
        <v>10152.66</v>
      </c>
      <c r="AX154" s="125">
        <v>5944.48</v>
      </c>
      <c r="AY154" s="126"/>
      <c r="AZ154" s="126"/>
      <c r="BA154" s="126"/>
      <c r="BB154" s="126"/>
      <c r="BC154" s="126"/>
      <c r="BD154" s="126"/>
      <c r="BE154" s="126"/>
      <c r="BF154" s="127">
        <v>1452</v>
      </c>
      <c r="BG154" s="97" t="s">
        <v>151</v>
      </c>
      <c r="BH154" s="127">
        <v>173513.62</v>
      </c>
      <c r="BI154" s="127">
        <v>1452</v>
      </c>
      <c r="BJ154" s="97" t="s">
        <v>151</v>
      </c>
      <c r="BK154" s="127">
        <v>175486.39</v>
      </c>
    </row>
    <row r="155" spans="2:63" x14ac:dyDescent="0.25">
      <c r="B155" s="121">
        <v>145205</v>
      </c>
      <c r="C155" s="122" t="s">
        <v>126</v>
      </c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9"/>
      <c r="AD155" s="129"/>
      <c r="AE155" s="129"/>
      <c r="AF155" s="129"/>
      <c r="AG155" s="129"/>
      <c r="AH155" s="129"/>
      <c r="AI155" s="129"/>
      <c r="AJ155" s="129"/>
      <c r="AK155" s="129"/>
      <c r="AL155" s="129"/>
      <c r="AM155" s="129"/>
      <c r="AN155" s="129"/>
      <c r="AO155" s="125">
        <v>0</v>
      </c>
      <c r="AP155" s="125">
        <v>0</v>
      </c>
      <c r="AQ155" s="125">
        <v>0</v>
      </c>
      <c r="AR155" s="125">
        <v>0</v>
      </c>
      <c r="AS155" s="125">
        <v>0</v>
      </c>
      <c r="AT155" s="125">
        <v>0</v>
      </c>
      <c r="AU155" s="125">
        <v>0</v>
      </c>
      <c r="AV155" s="125">
        <v>0</v>
      </c>
      <c r="AW155" s="125">
        <v>0</v>
      </c>
      <c r="AX155" s="125">
        <v>0</v>
      </c>
      <c r="AY155" s="126"/>
      <c r="AZ155" s="126"/>
      <c r="BA155" s="126"/>
      <c r="BB155" s="126"/>
      <c r="BC155" s="126"/>
      <c r="BD155" s="126"/>
      <c r="BE155" s="126"/>
    </row>
    <row r="156" spans="2:63" x14ac:dyDescent="0.25">
      <c r="B156" s="121">
        <v>145210</v>
      </c>
      <c r="C156" s="122" t="s">
        <v>127</v>
      </c>
      <c r="D156" s="123">
        <v>1299.9000000000001</v>
      </c>
      <c r="E156" s="123">
        <v>1209.24</v>
      </c>
      <c r="F156" s="123">
        <v>1449.51</v>
      </c>
      <c r="G156" s="123">
        <v>776.32</v>
      </c>
      <c r="H156" s="123">
        <v>789.02</v>
      </c>
      <c r="I156" s="123">
        <v>608.19000000000005</v>
      </c>
      <c r="J156" s="123">
        <v>592.08000000000004</v>
      </c>
      <c r="K156" s="123">
        <v>1020.6</v>
      </c>
      <c r="L156" s="123">
        <v>1092.21</v>
      </c>
      <c r="M156" s="123">
        <v>1130.73</v>
      </c>
      <c r="N156" s="123">
        <v>1378.42</v>
      </c>
      <c r="O156" s="123">
        <v>2252.06</v>
      </c>
      <c r="P156" s="123">
        <v>2832.52</v>
      </c>
      <c r="Q156" s="123">
        <v>9393.16</v>
      </c>
      <c r="R156" s="123">
        <v>13110.95</v>
      </c>
      <c r="S156" s="123">
        <v>12393.1</v>
      </c>
      <c r="T156" s="123">
        <v>14574.78</v>
      </c>
      <c r="U156" s="123">
        <v>16391.22</v>
      </c>
      <c r="V156" s="123">
        <v>20950.93</v>
      </c>
      <c r="W156" s="123">
        <v>28438.14</v>
      </c>
      <c r="X156" s="123">
        <v>22181.1</v>
      </c>
      <c r="Y156" s="123">
        <v>23847.25</v>
      </c>
      <c r="Z156" s="123">
        <v>27034.82</v>
      </c>
      <c r="AA156" s="123">
        <v>28874.9</v>
      </c>
      <c r="AB156" s="123">
        <v>27436.57</v>
      </c>
      <c r="AC156" s="124">
        <v>34120.730000000003</v>
      </c>
      <c r="AD156" s="124">
        <v>31111.45</v>
      </c>
      <c r="AE156" s="124">
        <v>35457.51</v>
      </c>
      <c r="AF156" s="124">
        <v>36816.82</v>
      </c>
      <c r="AG156" s="124">
        <v>40477.72</v>
      </c>
      <c r="AH156" s="124">
        <v>42005.19</v>
      </c>
      <c r="AI156" s="124">
        <v>42074.53</v>
      </c>
      <c r="AJ156" s="124">
        <v>47013.08</v>
      </c>
      <c r="AK156" s="124">
        <v>46442.83</v>
      </c>
      <c r="AL156" s="124">
        <v>46524.38</v>
      </c>
      <c r="AM156" s="124">
        <v>13671.07</v>
      </c>
      <c r="AN156" s="124">
        <v>13160.17</v>
      </c>
      <c r="AO156" s="125">
        <v>10588.83</v>
      </c>
      <c r="AP156" s="125">
        <v>9253.4599999999991</v>
      </c>
      <c r="AQ156" s="125">
        <v>8276.5</v>
      </c>
      <c r="AR156" s="125">
        <v>5109.2299999999996</v>
      </c>
      <c r="AS156" s="125">
        <v>4023.52</v>
      </c>
      <c r="AT156" s="125">
        <v>4859.95</v>
      </c>
      <c r="AU156" s="125">
        <v>5599.59</v>
      </c>
      <c r="AV156" s="125">
        <v>7911.8</v>
      </c>
      <c r="AW156" s="125">
        <v>5713.68</v>
      </c>
      <c r="AX156" s="125">
        <v>4064.17</v>
      </c>
      <c r="AY156" s="126"/>
      <c r="AZ156" s="126"/>
      <c r="BA156" s="126"/>
      <c r="BB156" s="126"/>
      <c r="BC156" s="126"/>
      <c r="BD156" s="126"/>
      <c r="BE156" s="126"/>
      <c r="BF156" s="127">
        <v>145210</v>
      </c>
      <c r="BG156" s="97" t="s">
        <v>127</v>
      </c>
      <c r="BH156" s="127">
        <v>42005.19</v>
      </c>
      <c r="BI156" s="127">
        <v>145210</v>
      </c>
      <c r="BJ156" s="97" t="s">
        <v>127</v>
      </c>
      <c r="BK156" s="127">
        <v>42074.53</v>
      </c>
    </row>
    <row r="157" spans="2:63" x14ac:dyDescent="0.25">
      <c r="B157" s="121">
        <v>145215</v>
      </c>
      <c r="C157" s="122" t="s">
        <v>128</v>
      </c>
      <c r="D157" s="123">
        <v>6412.99</v>
      </c>
      <c r="E157" s="123">
        <v>4474.12</v>
      </c>
      <c r="F157" s="123">
        <v>3777.72</v>
      </c>
      <c r="G157" s="123">
        <v>3958.65</v>
      </c>
      <c r="H157" s="123">
        <v>3435.07</v>
      </c>
      <c r="I157" s="123">
        <v>2368.27</v>
      </c>
      <c r="J157" s="123">
        <v>1744.49</v>
      </c>
      <c r="K157" s="123">
        <v>1773.03</v>
      </c>
      <c r="L157" s="123">
        <v>1810.09</v>
      </c>
      <c r="M157" s="123">
        <v>2026.12</v>
      </c>
      <c r="N157" s="123">
        <v>2352.69</v>
      </c>
      <c r="O157" s="123">
        <v>2788.66</v>
      </c>
      <c r="P157" s="123">
        <v>4079.52</v>
      </c>
      <c r="Q157" s="123">
        <v>5369.62</v>
      </c>
      <c r="R157" s="123">
        <v>7090.3</v>
      </c>
      <c r="S157" s="123">
        <v>9397.0300000000007</v>
      </c>
      <c r="T157" s="123">
        <v>10882.71</v>
      </c>
      <c r="U157" s="123">
        <v>12934.76</v>
      </c>
      <c r="V157" s="123">
        <v>14156.24</v>
      </c>
      <c r="W157" s="123">
        <v>16682.7</v>
      </c>
      <c r="X157" s="123">
        <v>17170.400000000001</v>
      </c>
      <c r="Y157" s="123">
        <v>18083.12</v>
      </c>
      <c r="Z157" s="123">
        <v>20280.509999999998</v>
      </c>
      <c r="AA157" s="123">
        <v>21002.39</v>
      </c>
      <c r="AB157" s="123">
        <v>22564.52</v>
      </c>
      <c r="AC157" s="124">
        <v>23981.94</v>
      </c>
      <c r="AD157" s="124">
        <v>26094.77</v>
      </c>
      <c r="AE157" s="124">
        <v>27506.91</v>
      </c>
      <c r="AF157" s="124">
        <v>30195.200000000001</v>
      </c>
      <c r="AG157" s="124">
        <v>35999.480000000003</v>
      </c>
      <c r="AH157" s="124">
        <v>36933.39</v>
      </c>
      <c r="AI157" s="124">
        <v>37569.47</v>
      </c>
      <c r="AJ157" s="124">
        <v>40607.82</v>
      </c>
      <c r="AK157" s="124">
        <v>38419.78</v>
      </c>
      <c r="AL157" s="124">
        <v>44914.55</v>
      </c>
      <c r="AM157" s="124">
        <v>4526.8599999999997</v>
      </c>
      <c r="AN157" s="124">
        <v>2040.65</v>
      </c>
      <c r="AO157" s="125">
        <v>5941.74</v>
      </c>
      <c r="AP157" s="125">
        <v>2264.7800000000002</v>
      </c>
      <c r="AQ157" s="125">
        <v>483.31</v>
      </c>
      <c r="AR157" s="125">
        <v>115.31</v>
      </c>
      <c r="AS157" s="125">
        <v>177.54</v>
      </c>
      <c r="AT157" s="125">
        <v>925.14</v>
      </c>
      <c r="AU157" s="125">
        <v>1929.73</v>
      </c>
      <c r="AV157" s="125">
        <v>3493.42</v>
      </c>
      <c r="AW157" s="125">
        <v>3080.63</v>
      </c>
      <c r="AX157" s="125">
        <v>914.19</v>
      </c>
      <c r="AY157" s="126"/>
      <c r="AZ157" s="126"/>
      <c r="BA157" s="126"/>
      <c r="BB157" s="126"/>
      <c r="BC157" s="126"/>
      <c r="BD157" s="126"/>
      <c r="BE157" s="126"/>
      <c r="BF157" s="127">
        <v>145215</v>
      </c>
      <c r="BG157" s="97" t="s">
        <v>128</v>
      </c>
      <c r="BH157" s="127">
        <v>36933.39</v>
      </c>
      <c r="BI157" s="127">
        <v>145215</v>
      </c>
      <c r="BJ157" s="97" t="s">
        <v>128</v>
      </c>
      <c r="BK157" s="127">
        <v>37569.47</v>
      </c>
    </row>
    <row r="158" spans="2:63" x14ac:dyDescent="0.25">
      <c r="B158" s="121">
        <v>145220</v>
      </c>
      <c r="C158" s="122" t="s">
        <v>129</v>
      </c>
      <c r="D158" s="123">
        <v>15577.34</v>
      </c>
      <c r="E158" s="123">
        <v>12103.23</v>
      </c>
      <c r="F158" s="123">
        <v>12079.03</v>
      </c>
      <c r="G158" s="123">
        <v>11359.5</v>
      </c>
      <c r="H158" s="123">
        <v>10665.46</v>
      </c>
      <c r="I158" s="123">
        <v>9841.34</v>
      </c>
      <c r="J158" s="123">
        <v>8813</v>
      </c>
      <c r="K158" s="123">
        <v>5374</v>
      </c>
      <c r="L158" s="123">
        <v>4599.32</v>
      </c>
      <c r="M158" s="123">
        <v>4357.8500000000004</v>
      </c>
      <c r="N158" s="123">
        <v>4020.14</v>
      </c>
      <c r="O158" s="123">
        <v>3796.29</v>
      </c>
      <c r="P158" s="123">
        <v>3558.53</v>
      </c>
      <c r="Q158" s="123">
        <v>3899.63</v>
      </c>
      <c r="R158" s="123">
        <v>4380.78</v>
      </c>
      <c r="S158" s="123">
        <v>5672.66</v>
      </c>
      <c r="T158" s="123">
        <v>7496.22</v>
      </c>
      <c r="U158" s="123">
        <v>9774.41</v>
      </c>
      <c r="V158" s="123">
        <v>12565.5</v>
      </c>
      <c r="W158" s="123">
        <v>15834.53</v>
      </c>
      <c r="X158" s="123">
        <v>19330.13</v>
      </c>
      <c r="Y158" s="123">
        <v>22256.79</v>
      </c>
      <c r="Z158" s="123">
        <v>25016.13</v>
      </c>
      <c r="AA158" s="123">
        <v>27857.22</v>
      </c>
      <c r="AB158" s="123">
        <v>29876.73</v>
      </c>
      <c r="AC158" s="124">
        <v>32227.23</v>
      </c>
      <c r="AD158" s="124">
        <v>34975.21</v>
      </c>
      <c r="AE158" s="124">
        <v>37785.07</v>
      </c>
      <c r="AF158" s="124">
        <v>40685.230000000003</v>
      </c>
      <c r="AG158" s="124">
        <v>44004.71</v>
      </c>
      <c r="AH158" s="124">
        <v>47275.75</v>
      </c>
      <c r="AI158" s="124">
        <v>48512.59</v>
      </c>
      <c r="AJ158" s="124">
        <v>51795.56</v>
      </c>
      <c r="AK158" s="124">
        <v>53591.61</v>
      </c>
      <c r="AL158" s="124">
        <v>57050.16</v>
      </c>
      <c r="AM158" s="124">
        <v>473.23</v>
      </c>
      <c r="AN158" s="124">
        <v>0</v>
      </c>
      <c r="AO158" s="125">
        <v>0</v>
      </c>
      <c r="AP158" s="125">
        <v>0</v>
      </c>
      <c r="AQ158" s="125">
        <v>0</v>
      </c>
      <c r="AR158" s="125">
        <v>0</v>
      </c>
      <c r="AS158" s="125">
        <v>0</v>
      </c>
      <c r="AT158" s="125">
        <v>0</v>
      </c>
      <c r="AU158" s="125">
        <v>0</v>
      </c>
      <c r="AV158" s="125">
        <v>0</v>
      </c>
      <c r="AW158" s="125">
        <v>0</v>
      </c>
      <c r="AX158" s="125">
        <v>0</v>
      </c>
      <c r="AY158" s="126"/>
      <c r="AZ158" s="126"/>
      <c r="BA158" s="126"/>
      <c r="BB158" s="126"/>
      <c r="BC158" s="126"/>
      <c r="BD158" s="126"/>
      <c r="BE158" s="126"/>
      <c r="BF158" s="127">
        <v>145220</v>
      </c>
      <c r="BG158" s="97" t="s">
        <v>129</v>
      </c>
      <c r="BH158" s="127">
        <v>47275.75</v>
      </c>
      <c r="BI158" s="127">
        <v>145220</v>
      </c>
      <c r="BJ158" s="97" t="s">
        <v>129</v>
      </c>
      <c r="BK158" s="127">
        <v>48512.59</v>
      </c>
    </row>
    <row r="159" spans="2:63" x14ac:dyDescent="0.25">
      <c r="B159" s="121">
        <v>145225</v>
      </c>
      <c r="C159" s="122" t="s">
        <v>130</v>
      </c>
      <c r="D159" s="123">
        <v>90261.29</v>
      </c>
      <c r="E159" s="123">
        <v>69719.92</v>
      </c>
      <c r="F159" s="123">
        <v>56866.07</v>
      </c>
      <c r="G159" s="123">
        <v>54175.49</v>
      </c>
      <c r="H159" s="123">
        <v>50747.95</v>
      </c>
      <c r="I159" s="123">
        <v>47714.83</v>
      </c>
      <c r="J159" s="123">
        <v>48599.22</v>
      </c>
      <c r="K159" s="123">
        <v>43884.91</v>
      </c>
      <c r="L159" s="123">
        <v>35200.699999999997</v>
      </c>
      <c r="M159" s="123">
        <v>28343.9</v>
      </c>
      <c r="N159" s="123">
        <v>20628.23</v>
      </c>
      <c r="O159" s="123">
        <v>20133.099999999999</v>
      </c>
      <c r="P159" s="123">
        <v>20260.54</v>
      </c>
      <c r="Q159" s="123">
        <v>20112.93</v>
      </c>
      <c r="R159" s="123">
        <v>16375.4</v>
      </c>
      <c r="S159" s="123">
        <v>16515.03</v>
      </c>
      <c r="T159" s="123">
        <v>16982.97</v>
      </c>
      <c r="U159" s="123">
        <v>17439.669999999998</v>
      </c>
      <c r="V159" s="123">
        <v>18205.98</v>
      </c>
      <c r="W159" s="123">
        <v>18594.509999999998</v>
      </c>
      <c r="X159" s="123">
        <v>18323.27</v>
      </c>
      <c r="Y159" s="123">
        <v>19861.580000000002</v>
      </c>
      <c r="Z159" s="123">
        <v>14872.23</v>
      </c>
      <c r="AA159" s="123">
        <v>17775.73</v>
      </c>
      <c r="AB159" s="123">
        <v>21708.85</v>
      </c>
      <c r="AC159" s="124">
        <v>25792.25</v>
      </c>
      <c r="AD159" s="124">
        <v>25045.3</v>
      </c>
      <c r="AE159" s="124">
        <v>29856.22</v>
      </c>
      <c r="AF159" s="124">
        <v>35346.36</v>
      </c>
      <c r="AG159" s="124">
        <v>41083.39</v>
      </c>
      <c r="AH159" s="124">
        <v>47299.29</v>
      </c>
      <c r="AI159" s="124">
        <v>47329.8</v>
      </c>
      <c r="AJ159" s="124">
        <v>54181.74</v>
      </c>
      <c r="AK159" s="124">
        <v>54866.62</v>
      </c>
      <c r="AL159" s="124">
        <v>61941.56</v>
      </c>
      <c r="AM159" s="124">
        <v>327</v>
      </c>
      <c r="AN159" s="124">
        <v>327</v>
      </c>
      <c r="AO159" s="125">
        <v>327</v>
      </c>
      <c r="AP159" s="125">
        <v>326</v>
      </c>
      <c r="AQ159" s="125">
        <v>326</v>
      </c>
      <c r="AR159" s="125">
        <v>325</v>
      </c>
      <c r="AS159" s="125">
        <v>324</v>
      </c>
      <c r="AT159" s="125">
        <v>324</v>
      </c>
      <c r="AU159" s="125">
        <v>324</v>
      </c>
      <c r="AV159" s="125">
        <v>324</v>
      </c>
      <c r="AW159" s="125">
        <v>324</v>
      </c>
      <c r="AX159" s="125">
        <v>323</v>
      </c>
      <c r="AY159" s="126"/>
      <c r="AZ159" s="126"/>
      <c r="BA159" s="126"/>
      <c r="BB159" s="126"/>
      <c r="BC159" s="126"/>
      <c r="BD159" s="126"/>
      <c r="BE159" s="126"/>
      <c r="BF159" s="127">
        <v>145225</v>
      </c>
      <c r="BG159" s="97" t="s">
        <v>130</v>
      </c>
      <c r="BH159" s="127">
        <v>47299.29</v>
      </c>
      <c r="BI159" s="127">
        <v>145225</v>
      </c>
      <c r="BJ159" s="97" t="s">
        <v>130</v>
      </c>
      <c r="BK159" s="127">
        <v>47329.8</v>
      </c>
    </row>
    <row r="160" spans="2:63" x14ac:dyDescent="0.25">
      <c r="B160" s="121">
        <v>1458</v>
      </c>
      <c r="C160" s="122" t="s">
        <v>152</v>
      </c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16">
        <v>156.37</v>
      </c>
      <c r="U160" s="116">
        <v>471.65</v>
      </c>
      <c r="V160" s="116">
        <v>460.89</v>
      </c>
      <c r="W160" s="116">
        <v>614.87</v>
      </c>
      <c r="X160" s="116">
        <v>773.51</v>
      </c>
      <c r="Y160" s="116">
        <v>931.69</v>
      </c>
      <c r="Z160" s="116">
        <v>1381.9</v>
      </c>
      <c r="AA160" s="116">
        <v>2159.48</v>
      </c>
      <c r="AB160" s="116">
        <v>2839.6</v>
      </c>
      <c r="AC160" s="124">
        <v>3460.01</v>
      </c>
      <c r="AD160" s="124">
        <v>4263.6400000000003</v>
      </c>
      <c r="AE160" s="124">
        <v>4815.6000000000004</v>
      </c>
      <c r="AF160" s="124">
        <v>5614.41</v>
      </c>
      <c r="AG160" s="124">
        <v>6795.75</v>
      </c>
      <c r="AH160" s="124">
        <v>8200.1</v>
      </c>
      <c r="AI160" s="124">
        <v>10105.49</v>
      </c>
      <c r="AJ160" s="124">
        <v>9718.3700000000008</v>
      </c>
      <c r="AK160" s="124">
        <v>11911.09</v>
      </c>
      <c r="AL160" s="124">
        <v>13236.36</v>
      </c>
      <c r="AM160" s="124">
        <v>517.6</v>
      </c>
      <c r="AN160" s="124">
        <v>423.47</v>
      </c>
      <c r="AO160" s="125">
        <v>569.75</v>
      </c>
      <c r="AP160" s="125">
        <v>900.43</v>
      </c>
      <c r="AQ160" s="125">
        <v>1387.6</v>
      </c>
      <c r="AR160" s="125">
        <v>805.25</v>
      </c>
      <c r="AS160" s="125">
        <v>626.97</v>
      </c>
      <c r="AT160" s="125">
        <v>559.62</v>
      </c>
      <c r="AU160" s="125">
        <v>0</v>
      </c>
      <c r="AV160" s="125">
        <v>59.16</v>
      </c>
      <c r="AW160" s="125">
        <v>0</v>
      </c>
      <c r="AX160" s="125">
        <v>0</v>
      </c>
      <c r="AY160" s="126"/>
      <c r="AZ160" s="126"/>
      <c r="BA160" s="126"/>
      <c r="BB160" s="126"/>
      <c r="BC160" s="126"/>
      <c r="BD160" s="126"/>
      <c r="BE160" s="126"/>
      <c r="BF160" s="127">
        <v>1458</v>
      </c>
      <c r="BG160" s="97" t="s">
        <v>152</v>
      </c>
      <c r="BH160" s="127">
        <v>8200.1</v>
      </c>
      <c r="BI160" s="127">
        <v>1458</v>
      </c>
      <c r="BJ160" s="97" t="s">
        <v>152</v>
      </c>
      <c r="BK160" s="127">
        <v>10105.49</v>
      </c>
    </row>
    <row r="161" spans="1:63" x14ac:dyDescent="0.25">
      <c r="B161" s="121">
        <v>145810</v>
      </c>
      <c r="C161" s="122" t="s">
        <v>127</v>
      </c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3">
        <v>156.37</v>
      </c>
      <c r="U161" s="123">
        <v>471.65</v>
      </c>
      <c r="V161" s="123">
        <v>304.52</v>
      </c>
      <c r="W161" s="123">
        <v>308.61</v>
      </c>
      <c r="X161" s="123">
        <v>312.62</v>
      </c>
      <c r="Y161" s="123">
        <v>316.82</v>
      </c>
      <c r="Z161" s="123">
        <v>608.39</v>
      </c>
      <c r="AA161" s="123">
        <v>1227.79</v>
      </c>
      <c r="AB161" s="123">
        <v>1457.7</v>
      </c>
      <c r="AC161" s="124">
        <v>1608.81</v>
      </c>
      <c r="AD161" s="124">
        <v>1690.4</v>
      </c>
      <c r="AE161" s="124">
        <v>1490.63</v>
      </c>
      <c r="AF161" s="124">
        <v>1548.8</v>
      </c>
      <c r="AG161" s="124">
        <v>1980.15</v>
      </c>
      <c r="AH161" s="124">
        <v>2585.69</v>
      </c>
      <c r="AI161" s="124">
        <v>3575.5</v>
      </c>
      <c r="AJ161" s="124">
        <v>2439.9899999999998</v>
      </c>
      <c r="AK161" s="124">
        <v>3684.05</v>
      </c>
      <c r="AL161" s="124">
        <v>3889.72</v>
      </c>
      <c r="AM161" s="124">
        <v>380.88</v>
      </c>
      <c r="AN161" s="124">
        <v>284.91000000000003</v>
      </c>
      <c r="AO161" s="125">
        <v>288.62</v>
      </c>
      <c r="AP161" s="125">
        <v>476.96</v>
      </c>
      <c r="AQ161" s="125">
        <v>817.85</v>
      </c>
      <c r="AR161" s="125">
        <v>472.05</v>
      </c>
      <c r="AS161" s="125">
        <v>468.2</v>
      </c>
      <c r="AT161" s="125">
        <v>559.62</v>
      </c>
      <c r="AU161" s="125">
        <v>0</v>
      </c>
      <c r="AV161" s="125">
        <v>59.16</v>
      </c>
      <c r="AW161" s="125">
        <v>0</v>
      </c>
      <c r="AX161" s="125">
        <v>0</v>
      </c>
      <c r="AY161" s="126"/>
      <c r="AZ161" s="126"/>
      <c r="BA161" s="126"/>
      <c r="BB161" s="126"/>
      <c r="BC161" s="126"/>
      <c r="BD161" s="126"/>
      <c r="BE161" s="126"/>
      <c r="BF161" s="127">
        <v>145810</v>
      </c>
      <c r="BG161" s="97" t="s">
        <v>127</v>
      </c>
      <c r="BH161" s="127">
        <v>2585.69</v>
      </c>
      <c r="BI161" s="127">
        <v>145810</v>
      </c>
      <c r="BJ161" s="97" t="s">
        <v>127</v>
      </c>
      <c r="BK161" s="127">
        <v>3575.5</v>
      </c>
    </row>
    <row r="162" spans="1:63" x14ac:dyDescent="0.25">
      <c r="B162" s="121">
        <v>145815</v>
      </c>
      <c r="C162" s="122" t="s">
        <v>128</v>
      </c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3">
        <v>156.37</v>
      </c>
      <c r="W162" s="123">
        <v>306.26</v>
      </c>
      <c r="X162" s="123">
        <v>460.89</v>
      </c>
      <c r="Y162" s="123">
        <v>458.5</v>
      </c>
      <c r="Z162" s="123">
        <v>467.25</v>
      </c>
      <c r="AA162" s="123">
        <v>470.8</v>
      </c>
      <c r="AB162" s="123">
        <v>767.03</v>
      </c>
      <c r="AC162" s="124">
        <v>1077.69</v>
      </c>
      <c r="AD162" s="124">
        <v>1641.55</v>
      </c>
      <c r="AE162" s="124">
        <v>1943.07</v>
      </c>
      <c r="AF162" s="124">
        <v>2214.41</v>
      </c>
      <c r="AG162" s="124">
        <v>2242.36</v>
      </c>
      <c r="AH162" s="124">
        <v>2289.44</v>
      </c>
      <c r="AI162" s="124">
        <v>2464.38</v>
      </c>
      <c r="AJ162" s="124">
        <v>2462.7800000000002</v>
      </c>
      <c r="AK162" s="124">
        <v>2612.63</v>
      </c>
      <c r="AL162" s="124">
        <v>2940.03</v>
      </c>
      <c r="AM162" s="124">
        <v>136.72</v>
      </c>
      <c r="AN162" s="124">
        <v>138.56</v>
      </c>
      <c r="AO162" s="125">
        <v>281.13</v>
      </c>
      <c r="AP162" s="125">
        <v>423.47</v>
      </c>
      <c r="AQ162" s="125">
        <v>431.19</v>
      </c>
      <c r="AR162" s="125">
        <v>333.2</v>
      </c>
      <c r="AS162" s="125">
        <v>158.77000000000001</v>
      </c>
      <c r="AT162" s="125">
        <v>0</v>
      </c>
      <c r="AU162" s="125">
        <v>0</v>
      </c>
      <c r="AV162" s="125">
        <v>0</v>
      </c>
      <c r="AW162" s="125">
        <v>0</v>
      </c>
      <c r="AX162" s="125">
        <v>0</v>
      </c>
      <c r="AY162" s="126"/>
      <c r="AZ162" s="126"/>
      <c r="BA162" s="126"/>
      <c r="BB162" s="126"/>
      <c r="BC162" s="126"/>
      <c r="BD162" s="126"/>
      <c r="BE162" s="126"/>
      <c r="BF162" s="127">
        <v>145815</v>
      </c>
      <c r="BG162" s="97" t="s">
        <v>128</v>
      </c>
      <c r="BH162" s="127">
        <v>2289.44</v>
      </c>
      <c r="BI162" s="127">
        <v>145815</v>
      </c>
      <c r="BJ162" s="97" t="s">
        <v>128</v>
      </c>
      <c r="BK162" s="127">
        <v>2464.38</v>
      </c>
    </row>
    <row r="163" spans="1:63" x14ac:dyDescent="0.25">
      <c r="B163" s="121">
        <v>145820</v>
      </c>
      <c r="C163" s="122" t="s">
        <v>144</v>
      </c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3">
        <v>156.37</v>
      </c>
      <c r="Z163" s="123">
        <v>306.26</v>
      </c>
      <c r="AA163" s="123">
        <v>460.89</v>
      </c>
      <c r="AB163" s="123">
        <v>458.5</v>
      </c>
      <c r="AC163" s="124">
        <v>467.25</v>
      </c>
      <c r="AD163" s="124">
        <v>470.8</v>
      </c>
      <c r="AE163" s="124">
        <v>767.03</v>
      </c>
      <c r="AF163" s="124">
        <v>1077.69</v>
      </c>
      <c r="AG163" s="124">
        <v>1641.55</v>
      </c>
      <c r="AH163" s="124">
        <v>1943.07</v>
      </c>
      <c r="AI163" s="124">
        <v>2214.41</v>
      </c>
      <c r="AJ163" s="124">
        <v>2242.36</v>
      </c>
      <c r="AK163" s="124">
        <v>2289.44</v>
      </c>
      <c r="AL163" s="124">
        <v>2341</v>
      </c>
      <c r="AM163" s="124">
        <v>0</v>
      </c>
      <c r="AN163" s="124">
        <v>0</v>
      </c>
      <c r="AO163" s="125">
        <v>0</v>
      </c>
      <c r="AP163" s="125">
        <v>0</v>
      </c>
      <c r="AQ163" s="125">
        <v>0</v>
      </c>
      <c r="AR163" s="125">
        <v>0</v>
      </c>
      <c r="AS163" s="125">
        <v>0</v>
      </c>
      <c r="AT163" s="125">
        <v>0</v>
      </c>
      <c r="AU163" s="125">
        <v>0</v>
      </c>
      <c r="AV163" s="125">
        <v>0</v>
      </c>
      <c r="AW163" s="125">
        <v>0</v>
      </c>
      <c r="AX163" s="125">
        <v>0</v>
      </c>
      <c r="AY163" s="126"/>
      <c r="AZ163" s="126"/>
      <c r="BA163" s="126"/>
      <c r="BB163" s="126"/>
      <c r="BC163" s="126"/>
      <c r="BD163" s="126"/>
      <c r="BE163" s="126"/>
      <c r="BF163" s="127">
        <v>145820</v>
      </c>
      <c r="BG163" s="97" t="s">
        <v>144</v>
      </c>
      <c r="BH163" s="127">
        <v>1943.07</v>
      </c>
      <c r="BI163" s="127">
        <v>145820</v>
      </c>
      <c r="BJ163" s="97" t="s">
        <v>144</v>
      </c>
      <c r="BK163" s="127">
        <v>2214.41</v>
      </c>
    </row>
    <row r="164" spans="1:63" x14ac:dyDescent="0.25">
      <c r="B164" s="121">
        <v>145825</v>
      </c>
      <c r="C164" s="122" t="s">
        <v>145</v>
      </c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3">
        <v>156.37</v>
      </c>
      <c r="AC164" s="124">
        <v>306.26</v>
      </c>
      <c r="AD164" s="124">
        <v>460.89</v>
      </c>
      <c r="AE164" s="124">
        <v>614.87</v>
      </c>
      <c r="AF164" s="124">
        <v>773.51</v>
      </c>
      <c r="AG164" s="124">
        <v>931.69</v>
      </c>
      <c r="AH164" s="124">
        <v>1381.9</v>
      </c>
      <c r="AI164" s="124">
        <v>1851.2</v>
      </c>
      <c r="AJ164" s="124">
        <v>2573.2399999999998</v>
      </c>
      <c r="AK164" s="124">
        <v>3324.97</v>
      </c>
      <c r="AL164" s="124">
        <v>4065.61</v>
      </c>
      <c r="AM164" s="124">
        <v>0</v>
      </c>
      <c r="AN164" s="124">
        <v>0</v>
      </c>
      <c r="AO164" s="125">
        <v>0</v>
      </c>
      <c r="AP164" s="125">
        <v>0</v>
      </c>
      <c r="AQ164" s="125">
        <v>0</v>
      </c>
      <c r="AR164" s="125">
        <v>0</v>
      </c>
      <c r="AS164" s="125">
        <v>0</v>
      </c>
      <c r="AT164" s="125">
        <v>0</v>
      </c>
      <c r="AU164" s="125">
        <v>0</v>
      </c>
      <c r="AV164" s="125">
        <v>0</v>
      </c>
      <c r="AW164" s="125">
        <v>0</v>
      </c>
      <c r="AX164" s="125">
        <v>0</v>
      </c>
      <c r="AY164" s="126"/>
      <c r="AZ164" s="126"/>
      <c r="BA164" s="126"/>
      <c r="BB164" s="126"/>
      <c r="BC164" s="126"/>
      <c r="BD164" s="126"/>
      <c r="BE164" s="126"/>
      <c r="BF164" s="127">
        <v>145825</v>
      </c>
      <c r="BG164" s="97" t="s">
        <v>145</v>
      </c>
      <c r="BH164" s="127">
        <v>1381.9</v>
      </c>
      <c r="BI164" s="127">
        <v>145825</v>
      </c>
      <c r="BJ164" s="97" t="s">
        <v>145</v>
      </c>
      <c r="BK164" s="127">
        <v>1851.2</v>
      </c>
    </row>
    <row r="165" spans="1:63" x14ac:dyDescent="0.25">
      <c r="B165" s="121">
        <v>1460</v>
      </c>
      <c r="C165" s="122" t="s">
        <v>153</v>
      </c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3">
        <v>323.01</v>
      </c>
      <c r="AB165" s="123">
        <v>273.38</v>
      </c>
      <c r="AC165" s="124">
        <v>634.84</v>
      </c>
      <c r="AD165" s="124">
        <v>661.96</v>
      </c>
      <c r="AE165" s="124">
        <v>792.67</v>
      </c>
      <c r="AF165" s="124">
        <v>1158.6099999999999</v>
      </c>
      <c r="AG165" s="124">
        <v>1146.5899999999999</v>
      </c>
      <c r="AH165" s="124">
        <v>1467.34</v>
      </c>
      <c r="AI165" s="124">
        <v>1779.44</v>
      </c>
      <c r="AJ165" s="124">
        <v>2518.6999999999998</v>
      </c>
      <c r="AK165" s="124">
        <v>3406.6</v>
      </c>
      <c r="AL165" s="124">
        <v>2411.8200000000002</v>
      </c>
      <c r="AM165" s="124">
        <v>132</v>
      </c>
      <c r="AN165" s="124">
        <v>0</v>
      </c>
      <c r="AO165" s="125">
        <v>38.75</v>
      </c>
      <c r="AP165" s="125">
        <v>76.599999999999994</v>
      </c>
      <c r="AQ165" s="125">
        <v>248.77</v>
      </c>
      <c r="AR165" s="125">
        <v>157.94999999999999</v>
      </c>
      <c r="AS165" s="125">
        <v>197.4</v>
      </c>
      <c r="AT165" s="125">
        <v>384.21</v>
      </c>
      <c r="AU165" s="125">
        <v>566.9</v>
      </c>
      <c r="AV165" s="125">
        <v>758.84</v>
      </c>
      <c r="AW165" s="125">
        <v>816.91</v>
      </c>
      <c r="AX165" s="125">
        <v>586.73</v>
      </c>
      <c r="AY165" s="126"/>
      <c r="AZ165" s="126"/>
      <c r="BA165" s="126"/>
      <c r="BB165" s="126"/>
      <c r="BC165" s="126"/>
      <c r="BD165" s="126"/>
      <c r="BE165" s="126"/>
      <c r="BF165" s="127">
        <v>1460</v>
      </c>
      <c r="BG165" s="97" t="s">
        <v>153</v>
      </c>
      <c r="BH165" s="127">
        <v>1467.34</v>
      </c>
      <c r="BI165" s="127">
        <v>1460</v>
      </c>
      <c r="BJ165" s="97" t="s">
        <v>153</v>
      </c>
      <c r="BK165" s="127">
        <v>1779.44</v>
      </c>
    </row>
    <row r="166" spans="1:63" x14ac:dyDescent="0.25">
      <c r="B166" s="121">
        <v>146010</v>
      </c>
      <c r="C166" s="122" t="s">
        <v>127</v>
      </c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3">
        <v>323.01</v>
      </c>
      <c r="AB166" s="123">
        <v>273.38</v>
      </c>
      <c r="AC166" s="124">
        <v>565.39</v>
      </c>
      <c r="AD166" s="124">
        <v>526.25</v>
      </c>
      <c r="AE166" s="124">
        <v>585.47</v>
      </c>
      <c r="AF166" s="124">
        <v>784.74</v>
      </c>
      <c r="AG166" s="124">
        <v>603.66999999999996</v>
      </c>
      <c r="AH166" s="124">
        <v>737.24</v>
      </c>
      <c r="AI166" s="124">
        <v>875.19</v>
      </c>
      <c r="AJ166" s="124">
        <v>1168.67</v>
      </c>
      <c r="AK166" s="124">
        <v>1627.16</v>
      </c>
      <c r="AL166" s="124">
        <v>954.63</v>
      </c>
      <c r="AM166" s="124">
        <v>132</v>
      </c>
      <c r="AN166" s="124">
        <v>0</v>
      </c>
      <c r="AO166" s="125">
        <v>38.75</v>
      </c>
      <c r="AP166" s="125">
        <v>76.599999999999994</v>
      </c>
      <c r="AQ166" s="125">
        <v>210.02</v>
      </c>
      <c r="AR166" s="125">
        <v>81.349999999999994</v>
      </c>
      <c r="AS166" s="125">
        <v>82.45</v>
      </c>
      <c r="AT166" s="125">
        <v>226.26</v>
      </c>
      <c r="AU166" s="125">
        <v>369.5</v>
      </c>
      <c r="AV166" s="125">
        <v>374.63</v>
      </c>
      <c r="AW166" s="125">
        <v>380.02</v>
      </c>
      <c r="AX166" s="125">
        <v>295.01</v>
      </c>
      <c r="AY166" s="126"/>
      <c r="AZ166" s="126"/>
      <c r="BA166" s="126"/>
      <c r="BB166" s="126"/>
      <c r="BC166" s="126"/>
      <c r="BD166" s="126"/>
      <c r="BE166" s="126"/>
      <c r="BF166" s="127">
        <v>146010</v>
      </c>
      <c r="BG166" s="97" t="s">
        <v>127</v>
      </c>
      <c r="BH166" s="127">
        <v>737.24</v>
      </c>
      <c r="BI166" s="127">
        <v>146010</v>
      </c>
      <c r="BJ166" s="97" t="s">
        <v>127</v>
      </c>
      <c r="BK166" s="127">
        <v>875.19</v>
      </c>
    </row>
    <row r="167" spans="1:63" x14ac:dyDescent="0.25">
      <c r="B167" s="121">
        <v>146015</v>
      </c>
      <c r="C167" s="122" t="s">
        <v>128</v>
      </c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4">
        <v>69.45</v>
      </c>
      <c r="AD167" s="124">
        <v>135.71</v>
      </c>
      <c r="AE167" s="124">
        <v>207.2</v>
      </c>
      <c r="AF167" s="124">
        <v>304.42</v>
      </c>
      <c r="AG167" s="124">
        <v>407.21</v>
      </c>
      <c r="AH167" s="124">
        <v>522.9</v>
      </c>
      <c r="AI167" s="124">
        <v>530.38</v>
      </c>
      <c r="AJ167" s="124">
        <v>807.11</v>
      </c>
      <c r="AK167" s="124">
        <v>1049.3399999999999</v>
      </c>
      <c r="AL167" s="124">
        <v>552.94000000000005</v>
      </c>
      <c r="AM167" s="124">
        <v>0</v>
      </c>
      <c r="AN167" s="124">
        <v>0</v>
      </c>
      <c r="AO167" s="125">
        <v>0</v>
      </c>
      <c r="AP167" s="125">
        <v>0</v>
      </c>
      <c r="AQ167" s="125">
        <v>0</v>
      </c>
      <c r="AR167" s="125">
        <v>0</v>
      </c>
      <c r="AS167" s="125">
        <v>0</v>
      </c>
      <c r="AT167" s="125">
        <v>0</v>
      </c>
      <c r="AU167" s="125">
        <v>0</v>
      </c>
      <c r="AV167" s="125">
        <v>0</v>
      </c>
      <c r="AW167" s="125">
        <v>0</v>
      </c>
      <c r="AX167" s="125">
        <v>0</v>
      </c>
      <c r="AY167" s="126"/>
      <c r="AZ167" s="126"/>
      <c r="BA167" s="126"/>
      <c r="BB167" s="126"/>
      <c r="BC167" s="126"/>
      <c r="BD167" s="126"/>
      <c r="BE167" s="126"/>
      <c r="BF167" s="127">
        <v>146015</v>
      </c>
      <c r="BG167" s="97" t="s">
        <v>128</v>
      </c>
      <c r="BH167" s="127">
        <v>522.9</v>
      </c>
      <c r="BI167" s="127">
        <v>146015</v>
      </c>
      <c r="BJ167" s="97" t="s">
        <v>128</v>
      </c>
      <c r="BK167" s="127">
        <v>530.38</v>
      </c>
    </row>
    <row r="168" spans="1:63" x14ac:dyDescent="0.25">
      <c r="B168" s="121">
        <v>146020</v>
      </c>
      <c r="C168" s="122" t="s">
        <v>129</v>
      </c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9"/>
      <c r="AD168" s="129"/>
      <c r="AE168" s="129"/>
      <c r="AF168" s="124">
        <v>69.45</v>
      </c>
      <c r="AG168" s="124">
        <v>135.71</v>
      </c>
      <c r="AH168" s="124">
        <v>207.2</v>
      </c>
      <c r="AI168" s="124">
        <v>373.87</v>
      </c>
      <c r="AJ168" s="124">
        <v>542.91999999999996</v>
      </c>
      <c r="AK168" s="124">
        <v>730.1</v>
      </c>
      <c r="AL168" s="124">
        <v>834.8</v>
      </c>
      <c r="AM168" s="124">
        <v>0</v>
      </c>
      <c r="AN168" s="124">
        <v>0</v>
      </c>
      <c r="AO168" s="125">
        <v>0</v>
      </c>
      <c r="AP168" s="125">
        <v>0</v>
      </c>
      <c r="AQ168" s="125">
        <v>0</v>
      </c>
      <c r="AR168" s="125">
        <v>0</v>
      </c>
      <c r="AS168" s="125">
        <v>0</v>
      </c>
      <c r="AT168" s="125">
        <v>0</v>
      </c>
      <c r="AU168" s="125">
        <v>0</v>
      </c>
      <c r="AV168" s="125">
        <v>0</v>
      </c>
      <c r="AW168" s="125">
        <v>0</v>
      </c>
      <c r="AX168" s="125">
        <v>0</v>
      </c>
      <c r="AY168" s="126"/>
      <c r="AZ168" s="126"/>
      <c r="BA168" s="126"/>
      <c r="BB168" s="126"/>
      <c r="BC168" s="126"/>
      <c r="BD168" s="126"/>
      <c r="BE168" s="126"/>
      <c r="BF168" s="127">
        <v>146020</v>
      </c>
      <c r="BG168" s="97" t="s">
        <v>129</v>
      </c>
      <c r="BH168" s="127">
        <v>207.2</v>
      </c>
      <c r="BI168" s="127">
        <v>146020</v>
      </c>
      <c r="BJ168" s="97" t="s">
        <v>129</v>
      </c>
      <c r="BK168" s="127">
        <v>373.87</v>
      </c>
    </row>
    <row r="169" spans="1:63" x14ac:dyDescent="0.25">
      <c r="B169" s="121">
        <v>1466</v>
      </c>
      <c r="C169" s="122" t="s">
        <v>154</v>
      </c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3">
        <v>77.400000000000006</v>
      </c>
      <c r="AA169" s="123">
        <v>336.98</v>
      </c>
      <c r="AB169" s="123">
        <v>720.31</v>
      </c>
      <c r="AC169" s="124">
        <v>1680.44</v>
      </c>
      <c r="AD169" s="124">
        <v>2063.91</v>
      </c>
      <c r="AE169" s="124">
        <v>2122.79</v>
      </c>
      <c r="AF169" s="124">
        <v>2384.39</v>
      </c>
      <c r="AG169" s="124">
        <v>3132.59</v>
      </c>
      <c r="AH169" s="124">
        <v>3963.72</v>
      </c>
      <c r="AI169" s="124">
        <v>4702.12</v>
      </c>
      <c r="AJ169" s="124">
        <v>5320.07</v>
      </c>
      <c r="AK169" s="124">
        <v>6808.21</v>
      </c>
      <c r="AL169" s="124">
        <v>7574.05</v>
      </c>
      <c r="AM169" s="124">
        <v>207.74</v>
      </c>
      <c r="AN169" s="124">
        <v>365.84</v>
      </c>
      <c r="AO169" s="125">
        <v>291.74</v>
      </c>
      <c r="AP169" s="125">
        <v>406.9</v>
      </c>
      <c r="AQ169" s="125">
        <v>294.36</v>
      </c>
      <c r="AR169" s="125">
        <v>117.47</v>
      </c>
      <c r="AS169" s="125">
        <v>414.31</v>
      </c>
      <c r="AT169" s="125">
        <v>350.73</v>
      </c>
      <c r="AU169" s="125">
        <v>697.77</v>
      </c>
      <c r="AV169" s="125">
        <v>457.55</v>
      </c>
      <c r="AW169" s="125">
        <v>655.21</v>
      </c>
      <c r="AX169" s="125">
        <v>756.13</v>
      </c>
      <c r="AY169" s="126"/>
      <c r="AZ169" s="126"/>
      <c r="BA169" s="126"/>
      <c r="BB169" s="126"/>
      <c r="BC169" s="126"/>
      <c r="BD169" s="126"/>
      <c r="BE169" s="126"/>
      <c r="BF169" s="127">
        <v>1466</v>
      </c>
      <c r="BG169" s="97" t="s">
        <v>154</v>
      </c>
      <c r="BH169" s="127">
        <v>3963.72</v>
      </c>
      <c r="BI169" s="127">
        <v>1466</v>
      </c>
      <c r="BJ169" s="97" t="s">
        <v>154</v>
      </c>
      <c r="BK169" s="127">
        <v>4702.12</v>
      </c>
    </row>
    <row r="170" spans="1:63" x14ac:dyDescent="0.25">
      <c r="B170" s="121">
        <v>146610</v>
      </c>
      <c r="C170" s="122" t="s">
        <v>127</v>
      </c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3">
        <v>77.400000000000006</v>
      </c>
      <c r="AA170" s="123">
        <v>336.98</v>
      </c>
      <c r="AB170" s="123">
        <v>642.91</v>
      </c>
      <c r="AC170" s="124">
        <v>1442.48</v>
      </c>
      <c r="AD170" s="124">
        <v>1618.99</v>
      </c>
      <c r="AE170" s="124">
        <v>1462.38</v>
      </c>
      <c r="AF170" s="124">
        <v>1591.95</v>
      </c>
      <c r="AG170" s="124">
        <v>1776.05</v>
      </c>
      <c r="AH170" s="124">
        <v>1915.98</v>
      </c>
      <c r="AI170" s="124">
        <v>2111.36</v>
      </c>
      <c r="AJ170" s="124">
        <v>2319.12</v>
      </c>
      <c r="AK170" s="124">
        <v>3016.11</v>
      </c>
      <c r="AL170" s="124">
        <v>2797.21</v>
      </c>
      <c r="AM170" s="124">
        <v>207.74</v>
      </c>
      <c r="AN170" s="124">
        <v>365.84</v>
      </c>
      <c r="AO170" s="125">
        <v>291.74</v>
      </c>
      <c r="AP170" s="125">
        <v>318.79000000000002</v>
      </c>
      <c r="AQ170" s="125">
        <v>294.36</v>
      </c>
      <c r="AR170" s="125">
        <v>117.47</v>
      </c>
      <c r="AS170" s="125">
        <v>414.31</v>
      </c>
      <c r="AT170" s="125">
        <v>233.26</v>
      </c>
      <c r="AU170" s="125">
        <v>575.14</v>
      </c>
      <c r="AV170" s="125">
        <v>339.57</v>
      </c>
      <c r="AW170" s="125">
        <v>536.79999999999995</v>
      </c>
      <c r="AX170" s="125">
        <v>706.46</v>
      </c>
      <c r="AY170" s="126"/>
      <c r="AZ170" s="126"/>
      <c r="BA170" s="126"/>
      <c r="BB170" s="126"/>
      <c r="BC170" s="126"/>
      <c r="BD170" s="126"/>
      <c r="BE170" s="126"/>
      <c r="BF170" s="127">
        <v>146610</v>
      </c>
      <c r="BG170" s="97" t="s">
        <v>127</v>
      </c>
      <c r="BH170" s="127">
        <v>1915.98</v>
      </c>
      <c r="BI170" s="127">
        <v>146610</v>
      </c>
      <c r="BJ170" s="97" t="s">
        <v>127</v>
      </c>
      <c r="BK170" s="127">
        <v>2111.36</v>
      </c>
    </row>
    <row r="171" spans="1:63" s="113" customFormat="1" x14ac:dyDescent="0.25">
      <c r="A171" s="97"/>
      <c r="B171" s="121">
        <v>146615</v>
      </c>
      <c r="C171" s="122" t="s">
        <v>128</v>
      </c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3">
        <v>77.400000000000006</v>
      </c>
      <c r="AC171" s="124">
        <v>237.96</v>
      </c>
      <c r="AD171" s="124">
        <v>444.92</v>
      </c>
      <c r="AE171" s="124">
        <v>583.01</v>
      </c>
      <c r="AF171" s="124">
        <v>635.09</v>
      </c>
      <c r="AG171" s="124">
        <v>992.23</v>
      </c>
      <c r="AH171" s="124">
        <v>1467.94</v>
      </c>
      <c r="AI171" s="124">
        <v>1798.32</v>
      </c>
      <c r="AJ171" s="124">
        <v>1831.3</v>
      </c>
      <c r="AK171" s="124">
        <v>2136.9</v>
      </c>
      <c r="AL171" s="124">
        <v>2549.7199999999998</v>
      </c>
      <c r="AM171" s="124">
        <v>0</v>
      </c>
      <c r="AN171" s="124">
        <v>0</v>
      </c>
      <c r="AO171" s="125">
        <v>0</v>
      </c>
      <c r="AP171" s="125">
        <v>0</v>
      </c>
      <c r="AQ171" s="125">
        <v>0</v>
      </c>
      <c r="AR171" s="125">
        <v>0</v>
      </c>
      <c r="AS171" s="125">
        <v>0</v>
      </c>
      <c r="AT171" s="125">
        <v>0</v>
      </c>
      <c r="AU171" s="125">
        <v>0</v>
      </c>
      <c r="AV171" s="125">
        <v>0</v>
      </c>
      <c r="AW171" s="125">
        <v>0</v>
      </c>
      <c r="AX171" s="125">
        <v>0</v>
      </c>
      <c r="AY171" s="126"/>
      <c r="AZ171" s="126"/>
      <c r="BA171" s="126"/>
      <c r="BB171" s="126"/>
      <c r="BC171" s="126"/>
      <c r="BD171" s="126"/>
      <c r="BE171" s="126"/>
      <c r="BF171" s="127">
        <v>146615</v>
      </c>
      <c r="BG171" s="97" t="s">
        <v>128</v>
      </c>
      <c r="BH171" s="127">
        <v>1467.94</v>
      </c>
      <c r="BI171" s="127">
        <v>146615</v>
      </c>
      <c r="BJ171" s="97" t="s">
        <v>128</v>
      </c>
      <c r="BK171" s="127">
        <v>1798.32</v>
      </c>
    </row>
    <row r="172" spans="1:63" x14ac:dyDescent="0.25">
      <c r="B172" s="121">
        <v>146620</v>
      </c>
      <c r="C172" s="122" t="s">
        <v>144</v>
      </c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9"/>
      <c r="AD172" s="129"/>
      <c r="AE172" s="124">
        <v>77.400000000000006</v>
      </c>
      <c r="AF172" s="124">
        <v>157.35</v>
      </c>
      <c r="AG172" s="124">
        <v>364.31</v>
      </c>
      <c r="AH172" s="124">
        <v>502.4</v>
      </c>
      <c r="AI172" s="124">
        <v>635.09</v>
      </c>
      <c r="AJ172" s="124">
        <v>805.34</v>
      </c>
      <c r="AK172" s="124">
        <v>1075.4000000000001</v>
      </c>
      <c r="AL172" s="124">
        <v>1434.68</v>
      </c>
      <c r="AM172" s="124">
        <v>0</v>
      </c>
      <c r="AN172" s="124">
        <v>0</v>
      </c>
      <c r="AO172" s="125">
        <v>0</v>
      </c>
      <c r="AP172" s="125">
        <v>0</v>
      </c>
      <c r="AQ172" s="125">
        <v>0</v>
      </c>
      <c r="AR172" s="125">
        <v>0</v>
      </c>
      <c r="AS172" s="125">
        <v>0</v>
      </c>
      <c r="AT172" s="125">
        <v>0</v>
      </c>
      <c r="AU172" s="125">
        <v>0</v>
      </c>
      <c r="AV172" s="125">
        <v>0</v>
      </c>
      <c r="AW172" s="125">
        <v>0</v>
      </c>
      <c r="AX172" s="125">
        <v>0</v>
      </c>
      <c r="AY172" s="126"/>
      <c r="AZ172" s="126"/>
      <c r="BA172" s="126"/>
      <c r="BB172" s="126"/>
      <c r="BC172" s="126"/>
      <c r="BD172" s="126"/>
      <c r="BE172" s="126"/>
      <c r="BF172" s="127">
        <v>146620</v>
      </c>
      <c r="BG172" s="97" t="s">
        <v>144</v>
      </c>
      <c r="BH172" s="127">
        <v>502.4</v>
      </c>
      <c r="BI172" s="127">
        <v>146620</v>
      </c>
      <c r="BJ172" s="97" t="s">
        <v>144</v>
      </c>
      <c r="BK172" s="127">
        <v>635.09</v>
      </c>
    </row>
    <row r="173" spans="1:63" x14ac:dyDescent="0.25">
      <c r="B173" s="121">
        <v>146625</v>
      </c>
      <c r="C173" s="122" t="s">
        <v>145</v>
      </c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9"/>
      <c r="AD173" s="129"/>
      <c r="AE173" s="129"/>
      <c r="AF173" s="129"/>
      <c r="AG173" s="129"/>
      <c r="AH173" s="124">
        <v>77.400000000000006</v>
      </c>
      <c r="AI173" s="124">
        <v>157.35</v>
      </c>
      <c r="AJ173" s="124">
        <v>364.31</v>
      </c>
      <c r="AK173" s="124">
        <v>579.79999999999995</v>
      </c>
      <c r="AL173" s="124">
        <v>792.44</v>
      </c>
      <c r="AM173" s="124">
        <v>0</v>
      </c>
      <c r="AN173" s="124">
        <v>0</v>
      </c>
      <c r="AO173" s="125">
        <v>0</v>
      </c>
      <c r="AP173" s="125">
        <v>0</v>
      </c>
      <c r="AQ173" s="125">
        <v>0</v>
      </c>
      <c r="AR173" s="125">
        <v>0</v>
      </c>
      <c r="AS173" s="125">
        <v>0</v>
      </c>
      <c r="AT173" s="125">
        <v>0</v>
      </c>
      <c r="AU173" s="125">
        <v>0</v>
      </c>
      <c r="AV173" s="125">
        <v>0</v>
      </c>
      <c r="AW173" s="125">
        <v>0</v>
      </c>
      <c r="AX173" s="125">
        <v>0</v>
      </c>
      <c r="AY173" s="126"/>
      <c r="AZ173" s="126"/>
      <c r="BA173" s="126"/>
      <c r="BB173" s="126"/>
      <c r="BC173" s="126"/>
      <c r="BD173" s="126"/>
      <c r="BE173" s="126"/>
      <c r="BF173" s="127">
        <v>146625</v>
      </c>
      <c r="BG173" s="97" t="s">
        <v>145</v>
      </c>
      <c r="BH173" s="127">
        <v>77.400000000000006</v>
      </c>
      <c r="BI173" s="127">
        <v>146625</v>
      </c>
      <c r="BJ173" s="97" t="s">
        <v>145</v>
      </c>
      <c r="BK173" s="127">
        <v>157.35</v>
      </c>
    </row>
    <row r="174" spans="1:63" x14ac:dyDescent="0.25">
      <c r="B174" s="121">
        <v>1468</v>
      </c>
      <c r="C174" s="122" t="s">
        <v>155</v>
      </c>
      <c r="D174" s="116">
        <v>1962.49</v>
      </c>
      <c r="E174" s="116">
        <v>1665.81</v>
      </c>
      <c r="F174" s="116">
        <v>1915.73</v>
      </c>
      <c r="G174" s="116">
        <v>2166.67</v>
      </c>
      <c r="H174" s="116">
        <v>2421.7199999999998</v>
      </c>
      <c r="I174" s="116">
        <v>2688.95</v>
      </c>
      <c r="J174" s="116">
        <v>2952.54</v>
      </c>
      <c r="K174" s="116">
        <v>3222.83</v>
      </c>
      <c r="L174" s="116">
        <v>3495.16</v>
      </c>
      <c r="M174" s="116">
        <v>3774.04</v>
      </c>
      <c r="N174" s="116">
        <v>4055.38</v>
      </c>
      <c r="O174" s="116">
        <v>4341.33</v>
      </c>
      <c r="P174" s="116">
        <v>4633.6099999999997</v>
      </c>
      <c r="Q174" s="116">
        <v>5230.6099999999997</v>
      </c>
      <c r="R174" s="116">
        <v>5494.1</v>
      </c>
      <c r="S174" s="116">
        <v>5604.27</v>
      </c>
      <c r="T174" s="116">
        <v>5123.8100000000004</v>
      </c>
      <c r="U174" s="116">
        <v>3444.25</v>
      </c>
      <c r="V174" s="116">
        <v>2870.46</v>
      </c>
      <c r="W174" s="116">
        <v>2491.79</v>
      </c>
      <c r="X174" s="116">
        <v>1452.6</v>
      </c>
      <c r="Y174" s="116">
        <v>1351.97</v>
      </c>
      <c r="Z174" s="116">
        <v>1231.24</v>
      </c>
      <c r="AA174" s="116">
        <v>1382.08</v>
      </c>
      <c r="AB174" s="116">
        <v>1377.87</v>
      </c>
      <c r="AC174" s="124">
        <v>1386.3</v>
      </c>
      <c r="AD174" s="124">
        <v>1231.24</v>
      </c>
      <c r="AE174" s="124">
        <v>512.67999999999995</v>
      </c>
      <c r="AF174" s="124">
        <v>880.92</v>
      </c>
      <c r="AG174" s="124">
        <v>709.33</v>
      </c>
      <c r="AH174" s="124">
        <v>1266.3599999999999</v>
      </c>
      <c r="AI174" s="124">
        <v>2014.01</v>
      </c>
      <c r="AJ174" s="124">
        <v>2012.82</v>
      </c>
      <c r="AK174" s="124">
        <v>2328.06</v>
      </c>
      <c r="AL174" s="124">
        <v>2609.5</v>
      </c>
      <c r="AM174" s="124">
        <v>591.85</v>
      </c>
      <c r="AN174" s="124">
        <v>1755.69</v>
      </c>
      <c r="AO174" s="125">
        <v>1613.22</v>
      </c>
      <c r="AP174" s="125">
        <v>1063.22</v>
      </c>
      <c r="AQ174" s="125">
        <v>557.37</v>
      </c>
      <c r="AR174" s="125">
        <v>790.11</v>
      </c>
      <c r="AS174" s="125">
        <v>550.55999999999995</v>
      </c>
      <c r="AT174" s="125">
        <v>472.57</v>
      </c>
      <c r="AU174" s="125">
        <v>759.71</v>
      </c>
      <c r="AV174" s="125">
        <v>569.74</v>
      </c>
      <c r="AW174" s="125">
        <v>336.41</v>
      </c>
      <c r="AX174" s="125">
        <v>173.42</v>
      </c>
      <c r="AY174" s="126"/>
      <c r="AZ174" s="126"/>
      <c r="BA174" s="126"/>
      <c r="BB174" s="126"/>
      <c r="BC174" s="126"/>
      <c r="BD174" s="126"/>
      <c r="BE174" s="126"/>
      <c r="BF174" s="127">
        <v>1468</v>
      </c>
      <c r="BG174" s="97" t="s">
        <v>155</v>
      </c>
      <c r="BH174" s="127">
        <v>1266.3599999999999</v>
      </c>
      <c r="BI174" s="127">
        <v>1468</v>
      </c>
      <c r="BJ174" s="97" t="s">
        <v>155</v>
      </c>
      <c r="BK174" s="127">
        <v>2014.01</v>
      </c>
    </row>
    <row r="175" spans="1:63" x14ac:dyDescent="0.25">
      <c r="B175" s="121">
        <v>146810</v>
      </c>
      <c r="C175" s="122" t="s">
        <v>156</v>
      </c>
      <c r="D175" s="123">
        <v>451.27</v>
      </c>
      <c r="E175" s="123">
        <v>242.88</v>
      </c>
      <c r="F175" s="123">
        <v>249.92</v>
      </c>
      <c r="G175" s="123">
        <v>250.94</v>
      </c>
      <c r="H175" s="123">
        <v>255.05</v>
      </c>
      <c r="I175" s="123">
        <v>267.23</v>
      </c>
      <c r="J175" s="123">
        <v>263.58999999999997</v>
      </c>
      <c r="K175" s="123">
        <v>270.29000000000002</v>
      </c>
      <c r="L175" s="123">
        <v>272.33</v>
      </c>
      <c r="M175" s="123">
        <v>278.88</v>
      </c>
      <c r="N175" s="123">
        <v>281.33999999999997</v>
      </c>
      <c r="O175" s="123">
        <v>285.95</v>
      </c>
      <c r="P175" s="123">
        <v>292.27999999999997</v>
      </c>
      <c r="Q175" s="123">
        <v>597</v>
      </c>
      <c r="R175" s="123">
        <v>606.77</v>
      </c>
      <c r="S175" s="123">
        <v>615.35</v>
      </c>
      <c r="T175" s="123">
        <v>628</v>
      </c>
      <c r="U175" s="123">
        <v>638.27</v>
      </c>
      <c r="V175" s="123">
        <v>646.65</v>
      </c>
      <c r="W175" s="123">
        <v>657.23</v>
      </c>
      <c r="X175" s="123">
        <v>221.36</v>
      </c>
      <c r="Y175" s="123">
        <v>120.73</v>
      </c>
      <c r="Z175" s="128"/>
      <c r="AA175" s="123">
        <v>150.84</v>
      </c>
      <c r="AB175" s="123">
        <v>146.63</v>
      </c>
      <c r="AC175" s="124">
        <v>155.06</v>
      </c>
      <c r="AD175" s="129"/>
      <c r="AE175" s="124">
        <v>512.67999999999995</v>
      </c>
      <c r="AF175" s="124">
        <v>879.92</v>
      </c>
      <c r="AG175" s="124">
        <v>708.33</v>
      </c>
      <c r="AH175" s="124">
        <v>1087.6300000000001</v>
      </c>
      <c r="AI175" s="124">
        <v>1676.58</v>
      </c>
      <c r="AJ175" s="124">
        <v>1628.39</v>
      </c>
      <c r="AK175" s="124">
        <v>2328.06</v>
      </c>
      <c r="AL175" s="124">
        <v>2042.4</v>
      </c>
      <c r="AM175" s="124">
        <v>591.85</v>
      </c>
      <c r="AN175" s="124">
        <v>1755.69</v>
      </c>
      <c r="AO175" s="125">
        <v>1199.4100000000001</v>
      </c>
      <c r="AP175" s="125">
        <v>1063.22</v>
      </c>
      <c r="AQ175" s="125">
        <v>550.70000000000005</v>
      </c>
      <c r="AR175" s="125">
        <v>766.28</v>
      </c>
      <c r="AS175" s="125">
        <v>509.34</v>
      </c>
      <c r="AT175" s="125">
        <v>411.57</v>
      </c>
      <c r="AU175" s="125">
        <v>620.35</v>
      </c>
      <c r="AV175" s="125">
        <v>346.5</v>
      </c>
      <c r="AW175" s="125">
        <v>220.31</v>
      </c>
      <c r="AX175" s="125">
        <v>38.01</v>
      </c>
      <c r="AY175" s="126"/>
      <c r="AZ175" s="126"/>
      <c r="BA175" s="126"/>
      <c r="BB175" s="126"/>
      <c r="BC175" s="126"/>
      <c r="BD175" s="126"/>
      <c r="BE175" s="126"/>
      <c r="BF175" s="127">
        <v>146810</v>
      </c>
      <c r="BG175" s="97" t="s">
        <v>156</v>
      </c>
      <c r="BH175" s="127">
        <v>1087.6300000000001</v>
      </c>
      <c r="BI175" s="127">
        <v>146810</v>
      </c>
      <c r="BJ175" s="97" t="s">
        <v>156</v>
      </c>
      <c r="BK175" s="127">
        <v>1676.58</v>
      </c>
    </row>
    <row r="176" spans="1:63" x14ac:dyDescent="0.25">
      <c r="B176" s="121">
        <v>146815</v>
      </c>
      <c r="C176" s="122" t="s">
        <v>157</v>
      </c>
      <c r="D176" s="123">
        <v>900.49</v>
      </c>
      <c r="E176" s="123">
        <v>614.72</v>
      </c>
      <c r="F176" s="123">
        <v>656.74</v>
      </c>
      <c r="G176" s="123">
        <v>701.83</v>
      </c>
      <c r="H176" s="123">
        <v>743.74</v>
      </c>
      <c r="I176" s="123">
        <v>755.91</v>
      </c>
      <c r="J176" s="123">
        <v>773.22</v>
      </c>
      <c r="K176" s="123">
        <v>785.87</v>
      </c>
      <c r="L176" s="123">
        <v>533.88</v>
      </c>
      <c r="M176" s="123">
        <v>542.62</v>
      </c>
      <c r="N176" s="123">
        <v>551.21</v>
      </c>
      <c r="O176" s="123">
        <v>560.22</v>
      </c>
      <c r="P176" s="123">
        <v>567.29</v>
      </c>
      <c r="Q176" s="123">
        <v>578.23</v>
      </c>
      <c r="R176" s="123">
        <v>873.64</v>
      </c>
      <c r="S176" s="123">
        <v>889.28</v>
      </c>
      <c r="T176" s="123">
        <v>902.18</v>
      </c>
      <c r="U176" s="123">
        <v>916.94</v>
      </c>
      <c r="V176" s="123">
        <v>842.57</v>
      </c>
      <c r="W176" s="123">
        <v>453.32</v>
      </c>
      <c r="X176" s="128"/>
      <c r="Y176" s="128"/>
      <c r="Z176" s="128"/>
      <c r="AA176" s="128"/>
      <c r="AB176" s="128"/>
      <c r="AC176" s="129"/>
      <c r="AD176" s="129"/>
      <c r="AE176" s="129"/>
      <c r="AF176" s="129"/>
      <c r="AG176" s="129"/>
      <c r="AH176" s="124">
        <v>177.73</v>
      </c>
      <c r="AI176" s="124">
        <v>337.43</v>
      </c>
      <c r="AJ176" s="124">
        <v>0</v>
      </c>
      <c r="AK176" s="124">
        <v>0</v>
      </c>
      <c r="AL176" s="124">
        <v>0</v>
      </c>
      <c r="AM176" s="124">
        <v>0</v>
      </c>
      <c r="AN176" s="124">
        <v>0</v>
      </c>
      <c r="AO176" s="125">
        <v>413.81</v>
      </c>
      <c r="AP176" s="125">
        <v>0</v>
      </c>
      <c r="AQ176" s="125">
        <v>6.67</v>
      </c>
      <c r="AR176" s="125">
        <v>23.83</v>
      </c>
      <c r="AS176" s="125">
        <v>41.22</v>
      </c>
      <c r="AT176" s="125">
        <v>54.33</v>
      </c>
      <c r="AU176" s="125">
        <v>115.53</v>
      </c>
      <c r="AV176" s="125">
        <v>182.02</v>
      </c>
      <c r="AW176" s="125">
        <v>55.1</v>
      </c>
      <c r="AX176" s="125">
        <v>56.52</v>
      </c>
      <c r="AY176" s="126"/>
      <c r="AZ176" s="126"/>
      <c r="BA176" s="126"/>
      <c r="BB176" s="126"/>
      <c r="BC176" s="126"/>
      <c r="BD176" s="126"/>
      <c r="BE176" s="126"/>
      <c r="BF176" s="127">
        <v>146815</v>
      </c>
      <c r="BG176" s="97" t="s">
        <v>157</v>
      </c>
      <c r="BH176" s="127">
        <v>177.73</v>
      </c>
      <c r="BI176" s="127">
        <v>146815</v>
      </c>
      <c r="BJ176" s="97" t="s">
        <v>157</v>
      </c>
      <c r="BK176" s="127">
        <v>337.43</v>
      </c>
    </row>
    <row r="177" spans="1:63" x14ac:dyDescent="0.25">
      <c r="B177" s="121">
        <v>146820</v>
      </c>
      <c r="C177" s="122" t="s">
        <v>158</v>
      </c>
      <c r="D177" s="123">
        <v>610.73</v>
      </c>
      <c r="E177" s="123">
        <v>808.21</v>
      </c>
      <c r="F177" s="123">
        <v>1009.07</v>
      </c>
      <c r="G177" s="123">
        <v>1172.21</v>
      </c>
      <c r="H177" s="123">
        <v>1195.51</v>
      </c>
      <c r="I177" s="123">
        <v>1248.23</v>
      </c>
      <c r="J177" s="123">
        <v>1305</v>
      </c>
      <c r="K177" s="123">
        <v>1358.46</v>
      </c>
      <c r="L177" s="123">
        <v>1679.88</v>
      </c>
      <c r="M177" s="123">
        <v>1738.64</v>
      </c>
      <c r="N177" s="123">
        <v>1557.02</v>
      </c>
      <c r="O177" s="123">
        <v>1579.43</v>
      </c>
      <c r="P177" s="123">
        <v>1607.37</v>
      </c>
      <c r="Q177" s="123">
        <v>1633.66</v>
      </c>
      <c r="R177" s="123">
        <v>1366.43</v>
      </c>
      <c r="S177" s="123">
        <v>1388.79</v>
      </c>
      <c r="T177" s="123">
        <v>1410.78</v>
      </c>
      <c r="U177" s="123">
        <v>507.8</v>
      </c>
      <c r="V177" s="128"/>
      <c r="W177" s="128"/>
      <c r="X177" s="128"/>
      <c r="Y177" s="128"/>
      <c r="Z177" s="128"/>
      <c r="AA177" s="128"/>
      <c r="AB177" s="128"/>
      <c r="AC177" s="129"/>
      <c r="AD177" s="129"/>
      <c r="AE177" s="129"/>
      <c r="AF177" s="129"/>
      <c r="AG177" s="129"/>
      <c r="AH177" s="129"/>
      <c r="AI177" s="129"/>
      <c r="AJ177" s="124">
        <v>0</v>
      </c>
      <c r="AK177" s="124">
        <v>0</v>
      </c>
      <c r="AL177" s="124">
        <v>0</v>
      </c>
      <c r="AM177" s="124">
        <v>0</v>
      </c>
      <c r="AN177" s="124">
        <v>0</v>
      </c>
      <c r="AO177" s="125">
        <v>0</v>
      </c>
      <c r="AP177" s="125">
        <v>0</v>
      </c>
      <c r="AQ177" s="125">
        <v>0</v>
      </c>
      <c r="AR177" s="125">
        <v>0</v>
      </c>
      <c r="AS177" s="125">
        <v>0</v>
      </c>
      <c r="AT177" s="125">
        <v>0</v>
      </c>
      <c r="AU177" s="125">
        <v>0</v>
      </c>
      <c r="AV177" s="125">
        <v>0</v>
      </c>
      <c r="AW177" s="125">
        <v>0</v>
      </c>
      <c r="AX177" s="125">
        <v>0</v>
      </c>
      <c r="AY177" s="126"/>
      <c r="AZ177" s="126"/>
      <c r="BA177" s="126"/>
      <c r="BB177" s="126"/>
      <c r="BC177" s="126"/>
      <c r="BD177" s="126"/>
      <c r="BE177" s="126"/>
    </row>
    <row r="178" spans="1:63" x14ac:dyDescent="0.25">
      <c r="B178" s="121">
        <v>146825</v>
      </c>
      <c r="C178" s="122" t="s">
        <v>159</v>
      </c>
      <c r="D178" s="128"/>
      <c r="E178" s="128"/>
      <c r="F178" s="128"/>
      <c r="G178" s="123">
        <v>41.69</v>
      </c>
      <c r="H178" s="123">
        <v>227.42</v>
      </c>
      <c r="I178" s="123">
        <v>417.58</v>
      </c>
      <c r="J178" s="123">
        <v>610.73</v>
      </c>
      <c r="K178" s="123">
        <v>808.21</v>
      </c>
      <c r="L178" s="123">
        <v>1009.07</v>
      </c>
      <c r="M178" s="123">
        <v>1213.9000000000001</v>
      </c>
      <c r="N178" s="123">
        <v>1665.81</v>
      </c>
      <c r="O178" s="123">
        <v>1915.73</v>
      </c>
      <c r="P178" s="123">
        <v>2166.67</v>
      </c>
      <c r="Q178" s="123">
        <v>2421.7199999999998</v>
      </c>
      <c r="R178" s="123">
        <v>2647.26</v>
      </c>
      <c r="S178" s="123">
        <v>2710.85</v>
      </c>
      <c r="T178" s="123">
        <v>2182.85</v>
      </c>
      <c r="U178" s="123">
        <v>1381.24</v>
      </c>
      <c r="V178" s="123">
        <v>1381.24</v>
      </c>
      <c r="W178" s="123">
        <v>1381.24</v>
      </c>
      <c r="X178" s="123">
        <v>1231.24</v>
      </c>
      <c r="Y178" s="123">
        <v>1231.24</v>
      </c>
      <c r="Z178" s="123">
        <v>1231.24</v>
      </c>
      <c r="AA178" s="123">
        <v>1231.24</v>
      </c>
      <c r="AB178" s="123">
        <v>1231.24</v>
      </c>
      <c r="AC178" s="124">
        <v>1231.24</v>
      </c>
      <c r="AD178" s="124">
        <v>1231.24</v>
      </c>
      <c r="AE178" s="129"/>
      <c r="AF178" s="124">
        <v>1</v>
      </c>
      <c r="AG178" s="124">
        <v>1</v>
      </c>
      <c r="AH178" s="124">
        <v>1</v>
      </c>
      <c r="AI178" s="129"/>
      <c r="AJ178" s="124">
        <v>0</v>
      </c>
      <c r="AK178" s="124">
        <v>0</v>
      </c>
      <c r="AL178" s="124">
        <v>0</v>
      </c>
      <c r="AM178" s="124">
        <v>0</v>
      </c>
      <c r="AN178" s="124">
        <v>0</v>
      </c>
      <c r="AO178" s="125">
        <v>0</v>
      </c>
      <c r="AP178" s="125">
        <v>0</v>
      </c>
      <c r="AQ178" s="125">
        <v>0</v>
      </c>
      <c r="AR178" s="125">
        <v>0</v>
      </c>
      <c r="AS178" s="125">
        <v>0</v>
      </c>
      <c r="AT178" s="125">
        <v>0</v>
      </c>
      <c r="AU178" s="125">
        <v>0</v>
      </c>
      <c r="AV178" s="125">
        <v>0</v>
      </c>
      <c r="AW178" s="125">
        <v>0</v>
      </c>
      <c r="AX178" s="125">
        <v>0</v>
      </c>
      <c r="AY178" s="126"/>
      <c r="AZ178" s="126"/>
      <c r="BA178" s="126"/>
      <c r="BB178" s="126"/>
      <c r="BC178" s="126"/>
      <c r="BD178" s="126"/>
      <c r="BE178" s="126"/>
      <c r="BF178" s="127">
        <v>146825</v>
      </c>
      <c r="BG178" s="97" t="s">
        <v>159</v>
      </c>
      <c r="BH178" s="127">
        <v>1</v>
      </c>
    </row>
    <row r="179" spans="1:63" x14ac:dyDescent="0.25">
      <c r="B179" s="121">
        <v>1491</v>
      </c>
      <c r="C179" s="122" t="s">
        <v>160</v>
      </c>
      <c r="D179" s="116">
        <v>84246.03</v>
      </c>
      <c r="E179" s="116">
        <v>57482.64</v>
      </c>
      <c r="F179" s="116">
        <v>80936.240000000005</v>
      </c>
      <c r="G179" s="116">
        <v>105607.01</v>
      </c>
      <c r="H179" s="116">
        <v>83869.429999999993</v>
      </c>
      <c r="I179" s="116">
        <v>83036.17</v>
      </c>
      <c r="J179" s="116">
        <v>64007.94</v>
      </c>
      <c r="K179" s="116">
        <v>53649.75</v>
      </c>
      <c r="L179" s="116">
        <v>43286.59</v>
      </c>
      <c r="M179" s="116">
        <v>42538.8</v>
      </c>
      <c r="N179" s="116">
        <v>41501.730000000003</v>
      </c>
      <c r="O179" s="116">
        <v>40462.94</v>
      </c>
      <c r="P179" s="116">
        <v>33973.81</v>
      </c>
      <c r="Q179" s="116">
        <v>33183.339999999997</v>
      </c>
      <c r="R179" s="116">
        <v>32381.94</v>
      </c>
      <c r="S179" s="116">
        <v>31526.11</v>
      </c>
      <c r="T179" s="116">
        <v>30982.560000000001</v>
      </c>
      <c r="U179" s="116">
        <v>29852.37</v>
      </c>
      <c r="V179" s="116">
        <v>29153.35</v>
      </c>
      <c r="W179" s="116">
        <v>27991.67</v>
      </c>
      <c r="X179" s="116">
        <v>27261.52</v>
      </c>
      <c r="Y179" s="116">
        <v>26597.58</v>
      </c>
      <c r="Z179" s="116">
        <v>25470.93</v>
      </c>
      <c r="AA179" s="116">
        <v>24871.48</v>
      </c>
      <c r="AB179" s="116">
        <v>17963.71</v>
      </c>
      <c r="AC179" s="124">
        <v>17574.72</v>
      </c>
      <c r="AD179" s="124">
        <v>16729.14</v>
      </c>
      <c r="AE179" s="124">
        <v>15104.9</v>
      </c>
      <c r="AF179" s="124">
        <v>14620.71</v>
      </c>
      <c r="AG179" s="124">
        <v>14123.3</v>
      </c>
      <c r="AH179" s="124">
        <v>13625.54</v>
      </c>
      <c r="AI179" s="124">
        <v>13114.82</v>
      </c>
      <c r="AJ179" s="124">
        <v>12603.11</v>
      </c>
      <c r="AK179" s="124">
        <v>12084.32</v>
      </c>
      <c r="AL179" s="124">
        <v>11552.97</v>
      </c>
      <c r="AM179" s="124">
        <v>13554.21</v>
      </c>
      <c r="AN179" s="124">
        <v>131362.76999999999</v>
      </c>
      <c r="AO179" s="125">
        <v>157444</v>
      </c>
      <c r="AP179" s="125">
        <v>156589.47</v>
      </c>
      <c r="AQ179" s="125">
        <v>123438.48</v>
      </c>
      <c r="AR179" s="125">
        <v>126359.67999999999</v>
      </c>
      <c r="AS179" s="125">
        <v>128834.32</v>
      </c>
      <c r="AT179" s="125">
        <v>126176.2</v>
      </c>
      <c r="AU179" s="125">
        <v>123914.41</v>
      </c>
      <c r="AV179" s="125">
        <v>115548.58</v>
      </c>
      <c r="AW179" s="125">
        <v>111914.43</v>
      </c>
      <c r="AX179" s="125">
        <v>98200.69</v>
      </c>
      <c r="AY179" s="126"/>
      <c r="AZ179" s="126"/>
      <c r="BA179" s="126"/>
      <c r="BB179" s="126"/>
      <c r="BC179" s="126"/>
      <c r="BD179" s="126"/>
      <c r="BE179" s="126"/>
      <c r="BF179" s="127">
        <v>1491</v>
      </c>
      <c r="BG179" s="97" t="s">
        <v>160</v>
      </c>
      <c r="BH179" s="127">
        <v>13625.54</v>
      </c>
      <c r="BI179" s="127">
        <v>1491</v>
      </c>
      <c r="BJ179" s="97" t="s">
        <v>160</v>
      </c>
      <c r="BK179" s="127">
        <v>13114.82</v>
      </c>
    </row>
    <row r="180" spans="1:63" x14ac:dyDescent="0.25">
      <c r="B180" s="121">
        <v>149105</v>
      </c>
      <c r="C180" s="122" t="s">
        <v>161</v>
      </c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  <c r="AA180" s="141"/>
      <c r="AB180" s="141"/>
      <c r="AC180" s="129"/>
      <c r="AD180" s="129"/>
      <c r="AE180" s="129"/>
      <c r="AF180" s="129"/>
      <c r="AG180" s="129"/>
      <c r="AH180" s="129"/>
      <c r="AI180" s="129"/>
      <c r="AJ180" s="124">
        <v>0</v>
      </c>
      <c r="AK180" s="124">
        <v>0</v>
      </c>
      <c r="AL180" s="124">
        <v>0</v>
      </c>
      <c r="AM180" s="124">
        <v>0</v>
      </c>
      <c r="AN180" s="124">
        <v>0</v>
      </c>
      <c r="AO180" s="125">
        <v>0</v>
      </c>
      <c r="AP180" s="125">
        <v>0</v>
      </c>
      <c r="AQ180" s="125">
        <v>0</v>
      </c>
      <c r="AR180" s="125">
        <v>0</v>
      </c>
      <c r="AS180" s="125">
        <v>0</v>
      </c>
      <c r="AT180" s="125">
        <v>0</v>
      </c>
      <c r="AU180" s="125">
        <v>0</v>
      </c>
      <c r="AV180" s="125">
        <v>0</v>
      </c>
      <c r="AW180" s="125">
        <v>0</v>
      </c>
      <c r="AX180" s="125">
        <v>0</v>
      </c>
      <c r="AY180" s="126"/>
      <c r="AZ180" s="126"/>
      <c r="BA180" s="126"/>
      <c r="BB180" s="126"/>
      <c r="BC180" s="126"/>
      <c r="BD180" s="126"/>
      <c r="BE180" s="126"/>
    </row>
    <row r="181" spans="1:63" x14ac:dyDescent="0.25">
      <c r="B181" s="121">
        <v>149120</v>
      </c>
      <c r="C181" s="122" t="s">
        <v>162</v>
      </c>
      <c r="D181" s="123">
        <v>84246.03</v>
      </c>
      <c r="E181" s="123">
        <v>57482.64</v>
      </c>
      <c r="F181" s="123">
        <v>80936.240000000005</v>
      </c>
      <c r="G181" s="123">
        <v>105607.01</v>
      </c>
      <c r="H181" s="123">
        <v>83869.429999999993</v>
      </c>
      <c r="I181" s="123">
        <v>83036.17</v>
      </c>
      <c r="J181" s="123">
        <v>64007.94</v>
      </c>
      <c r="K181" s="123">
        <v>53649.75</v>
      </c>
      <c r="L181" s="123">
        <v>43286.59</v>
      </c>
      <c r="M181" s="123">
        <v>42538.8</v>
      </c>
      <c r="N181" s="123">
        <v>41501.730000000003</v>
      </c>
      <c r="O181" s="123">
        <v>40462.94</v>
      </c>
      <c r="P181" s="123">
        <v>33973.81</v>
      </c>
      <c r="Q181" s="123">
        <v>33183.339999999997</v>
      </c>
      <c r="R181" s="123">
        <v>32381.94</v>
      </c>
      <c r="S181" s="123">
        <v>31526.11</v>
      </c>
      <c r="T181" s="123">
        <v>30982.560000000001</v>
      </c>
      <c r="U181" s="123">
        <v>29852.37</v>
      </c>
      <c r="V181" s="123">
        <v>29153.35</v>
      </c>
      <c r="W181" s="123">
        <v>27991.67</v>
      </c>
      <c r="X181" s="123">
        <v>27261.52</v>
      </c>
      <c r="Y181" s="123">
        <v>26597.58</v>
      </c>
      <c r="Z181" s="123">
        <v>25470.93</v>
      </c>
      <c r="AA181" s="123">
        <v>24871.48</v>
      </c>
      <c r="AB181" s="123">
        <v>17963.71</v>
      </c>
      <c r="AC181" s="124">
        <v>17574.72</v>
      </c>
      <c r="AD181" s="124">
        <v>16729.14</v>
      </c>
      <c r="AE181" s="124">
        <v>15104.9</v>
      </c>
      <c r="AF181" s="124">
        <v>14620.71</v>
      </c>
      <c r="AG181" s="124">
        <v>14123.3</v>
      </c>
      <c r="AH181" s="124">
        <v>13625.54</v>
      </c>
      <c r="AI181" s="124">
        <v>13114.82</v>
      </c>
      <c r="AJ181" s="124">
        <v>12603.11</v>
      </c>
      <c r="AK181" s="124">
        <v>12084.32</v>
      </c>
      <c r="AL181" s="124">
        <v>11552.97</v>
      </c>
      <c r="AM181" s="124">
        <v>13554.21</v>
      </c>
      <c r="AN181" s="124">
        <v>10061.92</v>
      </c>
      <c r="AO181" s="125">
        <v>36197.050000000003</v>
      </c>
      <c r="AP181" s="125">
        <v>35645.019999999997</v>
      </c>
      <c r="AQ181" s="125">
        <v>15683.27</v>
      </c>
      <c r="AR181" s="125">
        <v>14960.53</v>
      </c>
      <c r="AS181" s="125">
        <v>19425.490000000002</v>
      </c>
      <c r="AT181" s="125">
        <v>18687.830000000002</v>
      </c>
      <c r="AU181" s="125">
        <v>12743.45</v>
      </c>
      <c r="AV181" s="125">
        <v>11985.61</v>
      </c>
      <c r="AW181" s="125">
        <v>11219.23</v>
      </c>
      <c r="AX181" s="125">
        <v>10487.23</v>
      </c>
      <c r="AY181" s="126"/>
      <c r="AZ181" s="126"/>
      <c r="BA181" s="126"/>
      <c r="BB181" s="126"/>
      <c r="BC181" s="126"/>
      <c r="BD181" s="126"/>
      <c r="BE181" s="126"/>
      <c r="BF181" s="127">
        <v>149120</v>
      </c>
      <c r="BG181" s="97" t="s">
        <v>162</v>
      </c>
      <c r="BH181" s="127">
        <v>13625.54</v>
      </c>
      <c r="BI181" s="127">
        <v>149120</v>
      </c>
      <c r="BJ181" s="97" t="s">
        <v>162</v>
      </c>
      <c r="BK181" s="127">
        <v>13114.82</v>
      </c>
    </row>
    <row r="182" spans="1:63" x14ac:dyDescent="0.25">
      <c r="B182" s="121">
        <v>1492</v>
      </c>
      <c r="C182" s="122" t="s">
        <v>163</v>
      </c>
      <c r="D182" s="116">
        <v>70547.75</v>
      </c>
      <c r="E182" s="116">
        <v>81370.399999999994</v>
      </c>
      <c r="F182" s="116">
        <v>57302.13</v>
      </c>
      <c r="G182" s="116">
        <v>6390.75</v>
      </c>
      <c r="H182" s="116">
        <v>17657.82</v>
      </c>
      <c r="I182" s="116">
        <v>6105.32</v>
      </c>
      <c r="J182" s="116">
        <v>15297.51</v>
      </c>
      <c r="K182" s="116">
        <v>15052.53</v>
      </c>
      <c r="L182" s="116">
        <v>24105.93</v>
      </c>
      <c r="M182" s="116">
        <v>5711.94</v>
      </c>
      <c r="N182" s="116">
        <v>5611.52</v>
      </c>
      <c r="O182" s="116">
        <v>5507.21</v>
      </c>
      <c r="P182" s="116">
        <v>5403.96</v>
      </c>
      <c r="Q182" s="116">
        <v>5190.71</v>
      </c>
      <c r="R182" s="116">
        <v>5190.71</v>
      </c>
      <c r="S182" s="116">
        <v>4967.16</v>
      </c>
      <c r="T182" s="116">
        <v>4967.16</v>
      </c>
      <c r="U182" s="116">
        <v>4742.03</v>
      </c>
      <c r="V182" s="116">
        <v>4742.03</v>
      </c>
      <c r="W182" s="116">
        <v>4510.7299999999996</v>
      </c>
      <c r="X182" s="116">
        <v>4393.7</v>
      </c>
      <c r="Y182" s="116">
        <v>4393.7</v>
      </c>
      <c r="Z182" s="116">
        <v>4152.8500000000004</v>
      </c>
      <c r="AA182" s="116">
        <v>4152.8500000000004</v>
      </c>
      <c r="AB182" s="116">
        <v>9567.83</v>
      </c>
      <c r="AC182" s="124">
        <v>9124.5400000000009</v>
      </c>
      <c r="AD182" s="124">
        <v>9124.5400000000009</v>
      </c>
      <c r="AE182" s="124">
        <v>9188.2999999999993</v>
      </c>
      <c r="AF182" s="124">
        <v>9188.2999999999993</v>
      </c>
      <c r="AG182" s="124">
        <v>7936.77</v>
      </c>
      <c r="AH182" s="124">
        <v>7936.77</v>
      </c>
      <c r="AI182" s="124">
        <v>6650.95</v>
      </c>
      <c r="AJ182" s="124">
        <v>5996.29</v>
      </c>
      <c r="AK182" s="124">
        <v>5996.29</v>
      </c>
      <c r="AL182" s="124">
        <v>4830.8599999999997</v>
      </c>
      <c r="AM182" s="124">
        <v>0</v>
      </c>
      <c r="AN182" s="124">
        <v>7726.95</v>
      </c>
      <c r="AO182" s="125">
        <v>1157.73</v>
      </c>
      <c r="AP182" s="125">
        <v>0</v>
      </c>
      <c r="AQ182" s="125">
        <v>16670.740000000002</v>
      </c>
      <c r="AR182" s="125">
        <v>10917.38</v>
      </c>
      <c r="AS182" s="125">
        <v>5703.51</v>
      </c>
      <c r="AT182" s="125">
        <v>5471.66</v>
      </c>
      <c r="AU182" s="125">
        <v>4982.58</v>
      </c>
      <c r="AV182" s="125">
        <v>10229.94</v>
      </c>
      <c r="AW182" s="125">
        <v>6285.92</v>
      </c>
      <c r="AX182" s="125">
        <v>16622.560000000001</v>
      </c>
      <c r="AY182" s="126"/>
      <c r="AZ182" s="126"/>
      <c r="BA182" s="126"/>
      <c r="BB182" s="126"/>
      <c r="BC182" s="126"/>
      <c r="BD182" s="126"/>
      <c r="BE182" s="126"/>
      <c r="BF182" s="127">
        <v>1492</v>
      </c>
      <c r="BG182" s="97" t="s">
        <v>163</v>
      </c>
      <c r="BH182" s="127">
        <v>7936.77</v>
      </c>
      <c r="BI182" s="127">
        <v>1492</v>
      </c>
      <c r="BJ182" s="97" t="s">
        <v>163</v>
      </c>
      <c r="BK182" s="127">
        <v>6650.95</v>
      </c>
    </row>
    <row r="183" spans="1:63" x14ac:dyDescent="0.25">
      <c r="B183" s="121">
        <v>149220</v>
      </c>
      <c r="C183" s="122" t="s">
        <v>164</v>
      </c>
      <c r="D183" s="123">
        <v>70547.75</v>
      </c>
      <c r="E183" s="123">
        <v>81370.399999999994</v>
      </c>
      <c r="F183" s="123">
        <v>57302.13</v>
      </c>
      <c r="G183" s="123">
        <v>6390.75</v>
      </c>
      <c r="H183" s="123">
        <v>17657.82</v>
      </c>
      <c r="I183" s="123">
        <v>6105.32</v>
      </c>
      <c r="J183" s="123">
        <v>15297.51</v>
      </c>
      <c r="K183" s="123">
        <v>15052.53</v>
      </c>
      <c r="L183" s="123">
        <v>24105.93</v>
      </c>
      <c r="M183" s="123">
        <v>5711.94</v>
      </c>
      <c r="N183" s="123">
        <v>5611.52</v>
      </c>
      <c r="O183" s="123">
        <v>5507.21</v>
      </c>
      <c r="P183" s="123">
        <v>5403.96</v>
      </c>
      <c r="Q183" s="123">
        <v>5190.71</v>
      </c>
      <c r="R183" s="123">
        <v>5190.71</v>
      </c>
      <c r="S183" s="123">
        <v>4967.16</v>
      </c>
      <c r="T183" s="123">
        <v>4967.16</v>
      </c>
      <c r="U183" s="123">
        <v>4742.03</v>
      </c>
      <c r="V183" s="123">
        <v>4742.03</v>
      </c>
      <c r="W183" s="123">
        <v>4510.7299999999996</v>
      </c>
      <c r="X183" s="123">
        <v>4393.7</v>
      </c>
      <c r="Y183" s="123">
        <v>4393.7</v>
      </c>
      <c r="Z183" s="123">
        <v>4152.8500000000004</v>
      </c>
      <c r="AA183" s="123">
        <v>4152.8500000000004</v>
      </c>
      <c r="AB183" s="123">
        <v>9567.83</v>
      </c>
      <c r="AC183" s="124">
        <v>9124.5400000000009</v>
      </c>
      <c r="AD183" s="124">
        <v>9124.5400000000009</v>
      </c>
      <c r="AE183" s="124">
        <v>9188.2999999999993</v>
      </c>
      <c r="AF183" s="124">
        <v>9188.2999999999993</v>
      </c>
      <c r="AG183" s="124">
        <v>7936.77</v>
      </c>
      <c r="AH183" s="124">
        <v>7936.77</v>
      </c>
      <c r="AI183" s="124">
        <v>6650.95</v>
      </c>
      <c r="AJ183" s="124">
        <v>5996.29</v>
      </c>
      <c r="AK183" s="124">
        <v>5996.29</v>
      </c>
      <c r="AL183" s="124">
        <v>4830.8599999999997</v>
      </c>
      <c r="AM183" s="124">
        <v>0</v>
      </c>
      <c r="AN183" s="124">
        <v>7726.95</v>
      </c>
      <c r="AO183" s="125">
        <v>1157.73</v>
      </c>
      <c r="AP183" s="125">
        <v>0</v>
      </c>
      <c r="AQ183" s="125">
        <v>5194.78</v>
      </c>
      <c r="AR183" s="125">
        <v>4988.71</v>
      </c>
      <c r="AS183" s="125">
        <v>0</v>
      </c>
      <c r="AT183" s="125">
        <v>0</v>
      </c>
      <c r="AU183" s="125">
        <v>4982.58</v>
      </c>
      <c r="AV183" s="125">
        <v>4765.6400000000003</v>
      </c>
      <c r="AW183" s="125">
        <v>0</v>
      </c>
      <c r="AX183" s="125">
        <v>0</v>
      </c>
      <c r="AY183" s="126"/>
      <c r="AZ183" s="126"/>
      <c r="BA183" s="126"/>
      <c r="BB183" s="126"/>
      <c r="BC183" s="126"/>
      <c r="BD183" s="126"/>
      <c r="BE183" s="126"/>
      <c r="BF183" s="127">
        <v>149220</v>
      </c>
      <c r="BG183" s="97" t="s">
        <v>164</v>
      </c>
      <c r="BH183" s="127">
        <v>7936.77</v>
      </c>
      <c r="BI183" s="127">
        <v>149220</v>
      </c>
      <c r="BJ183" s="97" t="s">
        <v>164</v>
      </c>
      <c r="BK183" s="127">
        <v>6650.95</v>
      </c>
    </row>
    <row r="184" spans="1:63" x14ac:dyDescent="0.25">
      <c r="B184" s="121">
        <v>1493</v>
      </c>
      <c r="C184" s="122" t="s">
        <v>165</v>
      </c>
      <c r="D184" s="116">
        <v>6599.5</v>
      </c>
      <c r="E184" s="116">
        <v>7654.73</v>
      </c>
      <c r="F184" s="116">
        <v>5117.46</v>
      </c>
      <c r="G184" s="116">
        <v>776.92</v>
      </c>
      <c r="H184" s="116">
        <v>1218.6099999999999</v>
      </c>
      <c r="I184" s="116">
        <v>727.99</v>
      </c>
      <c r="J184" s="116">
        <v>969.76</v>
      </c>
      <c r="K184" s="116">
        <v>1129.83</v>
      </c>
      <c r="L184" s="116">
        <v>1084.8399999999999</v>
      </c>
      <c r="M184" s="116">
        <v>1036.46</v>
      </c>
      <c r="N184" s="116">
        <v>1131.3499999999999</v>
      </c>
      <c r="O184" s="116">
        <v>1235.6600000000001</v>
      </c>
      <c r="P184" s="116">
        <v>1338.91</v>
      </c>
      <c r="Q184" s="116">
        <v>1552.16</v>
      </c>
      <c r="R184" s="116">
        <v>1552.16</v>
      </c>
      <c r="S184" s="116">
        <v>1775.71</v>
      </c>
      <c r="T184" s="116">
        <v>1775.71</v>
      </c>
      <c r="U184" s="116">
        <v>2000.84</v>
      </c>
      <c r="V184" s="116">
        <v>2000.84</v>
      </c>
      <c r="W184" s="116">
        <v>2232.14</v>
      </c>
      <c r="X184" s="116">
        <v>2349.17</v>
      </c>
      <c r="Y184" s="116">
        <v>2349.17</v>
      </c>
      <c r="Z184" s="116">
        <v>1590.02</v>
      </c>
      <c r="AA184" s="116">
        <v>1590.02</v>
      </c>
      <c r="AB184" s="116">
        <v>2312.89</v>
      </c>
      <c r="AC184" s="124">
        <v>2010.75</v>
      </c>
      <c r="AD184" s="124">
        <v>2010.75</v>
      </c>
      <c r="AE184" s="124">
        <v>3079.92</v>
      </c>
      <c r="AF184" s="124">
        <v>2239.7399999999998</v>
      </c>
      <c r="AG184" s="124">
        <v>3491.27</v>
      </c>
      <c r="AH184" s="124">
        <v>3160.04</v>
      </c>
      <c r="AI184" s="124">
        <v>4111.8</v>
      </c>
      <c r="AJ184" s="124">
        <v>4386.18</v>
      </c>
      <c r="AK184" s="124">
        <v>3743.83</v>
      </c>
      <c r="AL184" s="124">
        <v>4204.24</v>
      </c>
      <c r="AM184" s="124">
        <v>0</v>
      </c>
      <c r="AN184" s="124">
        <v>743.13</v>
      </c>
      <c r="AO184" s="125">
        <v>1110.56</v>
      </c>
      <c r="AP184" s="125">
        <v>0</v>
      </c>
      <c r="AQ184" s="125">
        <v>314.60000000000002</v>
      </c>
      <c r="AR184" s="125">
        <v>636.53</v>
      </c>
      <c r="AS184" s="125">
        <v>225.16</v>
      </c>
      <c r="AT184" s="125">
        <v>457.01</v>
      </c>
      <c r="AU184" s="125">
        <v>212.2</v>
      </c>
      <c r="AV184" s="125">
        <v>602.11</v>
      </c>
      <c r="AW184" s="125">
        <v>999.29</v>
      </c>
      <c r="AX184" s="125">
        <v>1139.32</v>
      </c>
      <c r="AY184" s="126"/>
      <c r="AZ184" s="126"/>
      <c r="BA184" s="126"/>
      <c r="BB184" s="126"/>
      <c r="BC184" s="126"/>
      <c r="BD184" s="126"/>
      <c r="BE184" s="126"/>
      <c r="BF184" s="127">
        <v>1493</v>
      </c>
      <c r="BG184" s="97" t="s">
        <v>165</v>
      </c>
      <c r="BH184" s="127">
        <v>3160.04</v>
      </c>
      <c r="BI184" s="127">
        <v>1493</v>
      </c>
      <c r="BJ184" s="97" t="s">
        <v>165</v>
      </c>
      <c r="BK184" s="127">
        <v>4111.8</v>
      </c>
    </row>
    <row r="185" spans="1:63" x14ac:dyDescent="0.25">
      <c r="B185" s="121">
        <v>149320</v>
      </c>
      <c r="C185" s="122" t="s">
        <v>166</v>
      </c>
      <c r="D185" s="123">
        <v>6599.5</v>
      </c>
      <c r="E185" s="123">
        <v>7654.73</v>
      </c>
      <c r="F185" s="123">
        <v>5117.46</v>
      </c>
      <c r="G185" s="123">
        <v>776.92</v>
      </c>
      <c r="H185" s="123">
        <v>1218.6099999999999</v>
      </c>
      <c r="I185" s="123">
        <v>727.99</v>
      </c>
      <c r="J185" s="123">
        <v>969.76</v>
      </c>
      <c r="K185" s="123">
        <v>1129.83</v>
      </c>
      <c r="L185" s="123">
        <v>1084.8399999999999</v>
      </c>
      <c r="M185" s="123">
        <v>1036.46</v>
      </c>
      <c r="N185" s="123">
        <v>1131.3499999999999</v>
      </c>
      <c r="O185" s="123">
        <v>1235.6600000000001</v>
      </c>
      <c r="P185" s="123">
        <v>1338.91</v>
      </c>
      <c r="Q185" s="123">
        <v>1552.16</v>
      </c>
      <c r="R185" s="123">
        <v>1552.16</v>
      </c>
      <c r="S185" s="123">
        <v>1775.71</v>
      </c>
      <c r="T185" s="123">
        <v>1775.71</v>
      </c>
      <c r="U185" s="123">
        <v>2000.84</v>
      </c>
      <c r="V185" s="123">
        <v>2000.84</v>
      </c>
      <c r="W185" s="123">
        <v>2232.14</v>
      </c>
      <c r="X185" s="123">
        <v>2349.17</v>
      </c>
      <c r="Y185" s="123">
        <v>2349.17</v>
      </c>
      <c r="Z185" s="123">
        <v>1590.02</v>
      </c>
      <c r="AA185" s="123">
        <v>1590.02</v>
      </c>
      <c r="AB185" s="123">
        <v>2312.89</v>
      </c>
      <c r="AC185" s="124">
        <v>2010.75</v>
      </c>
      <c r="AD185" s="124">
        <v>2010.75</v>
      </c>
      <c r="AE185" s="124">
        <v>3079.92</v>
      </c>
      <c r="AF185" s="124">
        <v>2239.7399999999998</v>
      </c>
      <c r="AG185" s="124">
        <v>3491.27</v>
      </c>
      <c r="AH185" s="124">
        <v>3160.04</v>
      </c>
      <c r="AI185" s="124">
        <v>4111.8</v>
      </c>
      <c r="AJ185" s="124">
        <v>4386.18</v>
      </c>
      <c r="AK185" s="124">
        <v>3743.83</v>
      </c>
      <c r="AL185" s="124">
        <v>4204.24</v>
      </c>
      <c r="AM185" s="124">
        <v>0</v>
      </c>
      <c r="AN185" s="124">
        <v>743.13</v>
      </c>
      <c r="AO185" s="125">
        <v>1110.56</v>
      </c>
      <c r="AP185" s="125">
        <v>0</v>
      </c>
      <c r="AQ185" s="125">
        <v>314.60000000000002</v>
      </c>
      <c r="AR185" s="125">
        <v>411.8</v>
      </c>
      <c r="AS185" s="125">
        <v>0</v>
      </c>
      <c r="AT185" s="125">
        <v>0</v>
      </c>
      <c r="AU185" s="125">
        <v>212.2</v>
      </c>
      <c r="AV185" s="125">
        <v>429.14</v>
      </c>
      <c r="AW185" s="125">
        <v>0</v>
      </c>
      <c r="AX185" s="125">
        <v>0</v>
      </c>
      <c r="AY185" s="126"/>
      <c r="AZ185" s="126"/>
      <c r="BA185" s="126"/>
      <c r="BB185" s="126"/>
      <c r="BC185" s="126"/>
      <c r="BD185" s="126"/>
      <c r="BE185" s="126"/>
      <c r="BF185" s="127">
        <v>149320</v>
      </c>
      <c r="BG185" s="97" t="s">
        <v>166</v>
      </c>
      <c r="BH185" s="127">
        <v>3160.04</v>
      </c>
      <c r="BI185" s="127">
        <v>149320</v>
      </c>
      <c r="BJ185" s="97" t="s">
        <v>166</v>
      </c>
      <c r="BK185" s="127">
        <v>4111.8</v>
      </c>
    </row>
    <row r="186" spans="1:63" x14ac:dyDescent="0.25">
      <c r="B186" s="121">
        <v>1494</v>
      </c>
      <c r="C186" s="122" t="s">
        <v>167</v>
      </c>
      <c r="D186" s="116">
        <v>307617.56</v>
      </c>
      <c r="E186" s="116">
        <v>314204.99</v>
      </c>
      <c r="F186" s="116">
        <v>303970.84000000003</v>
      </c>
      <c r="G186" s="116">
        <v>279672.59000000003</v>
      </c>
      <c r="H186" s="116">
        <v>265545.31</v>
      </c>
      <c r="I186" s="116">
        <v>289888.92</v>
      </c>
      <c r="J186" s="116">
        <v>256525.79</v>
      </c>
      <c r="K186" s="116">
        <v>252470.54</v>
      </c>
      <c r="L186" s="116">
        <v>248280.78</v>
      </c>
      <c r="M186" s="116">
        <v>244015.77</v>
      </c>
      <c r="N186" s="116">
        <v>239296</v>
      </c>
      <c r="O186" s="116">
        <v>250092.04</v>
      </c>
      <c r="P186" s="116">
        <v>233119.53</v>
      </c>
      <c r="Q186" s="116">
        <v>172949.38</v>
      </c>
      <c r="R186" s="116">
        <v>195458.09</v>
      </c>
      <c r="S186" s="116">
        <v>160860.48000000001</v>
      </c>
      <c r="T186" s="116">
        <v>192397.9</v>
      </c>
      <c r="U186" s="116">
        <v>158699.98000000001</v>
      </c>
      <c r="V186" s="116">
        <v>196475.88</v>
      </c>
      <c r="W186" s="116">
        <v>164265.63</v>
      </c>
      <c r="X186" s="116">
        <v>133808.23000000001</v>
      </c>
      <c r="Y186" s="116">
        <v>157133.51999999999</v>
      </c>
      <c r="Z186" s="116">
        <v>148128.65</v>
      </c>
      <c r="AA186" s="116">
        <v>142205.78</v>
      </c>
      <c r="AB186" s="116">
        <v>132983.29999999999</v>
      </c>
      <c r="AC186" s="124">
        <v>143495.64000000001</v>
      </c>
      <c r="AD186" s="124">
        <v>129975.59</v>
      </c>
      <c r="AE186" s="124">
        <v>105356.46</v>
      </c>
      <c r="AF186" s="124">
        <v>135065.51999999999</v>
      </c>
      <c r="AG186" s="124">
        <v>93533.69</v>
      </c>
      <c r="AH186" s="124">
        <v>122935.7</v>
      </c>
      <c r="AI186" s="124">
        <v>88628.71</v>
      </c>
      <c r="AJ186" s="124">
        <v>79553.94</v>
      </c>
      <c r="AK186" s="124">
        <v>94337.3</v>
      </c>
      <c r="AL186" s="124">
        <v>51772.25</v>
      </c>
      <c r="AM186" s="124">
        <v>70346.009999999995</v>
      </c>
      <c r="AN186" s="124">
        <v>112417.59</v>
      </c>
      <c r="AO186" s="125">
        <v>113909.41</v>
      </c>
      <c r="AP186" s="125">
        <v>124342.26</v>
      </c>
      <c r="AQ186" s="125">
        <v>103320.99</v>
      </c>
      <c r="AR186" s="125">
        <v>109543.44</v>
      </c>
      <c r="AS186" s="125">
        <v>97869</v>
      </c>
      <c r="AT186" s="125">
        <v>97465.53</v>
      </c>
      <c r="AU186" s="125">
        <v>95862.91</v>
      </c>
      <c r="AV186" s="125">
        <v>89135.76</v>
      </c>
      <c r="AW186" s="125">
        <v>90731.36</v>
      </c>
      <c r="AX186" s="125">
        <v>41922.379999999997</v>
      </c>
      <c r="AY186" s="126"/>
      <c r="AZ186" s="126"/>
      <c r="BA186" s="126"/>
      <c r="BB186" s="126"/>
      <c r="BC186" s="126"/>
      <c r="BD186" s="126"/>
      <c r="BE186" s="126"/>
      <c r="BF186" s="127">
        <v>1494</v>
      </c>
      <c r="BG186" s="97" t="s">
        <v>167</v>
      </c>
      <c r="BH186" s="127">
        <v>122935.7</v>
      </c>
      <c r="BI186" s="127">
        <v>1494</v>
      </c>
      <c r="BJ186" s="97" t="s">
        <v>167</v>
      </c>
      <c r="BK186" s="127">
        <v>88628.71</v>
      </c>
    </row>
    <row r="187" spans="1:63" x14ac:dyDescent="0.25">
      <c r="B187" s="121">
        <v>149420</v>
      </c>
      <c r="C187" s="122" t="s">
        <v>162</v>
      </c>
      <c r="D187" s="123">
        <v>282297.36</v>
      </c>
      <c r="E187" s="123">
        <v>289535.81</v>
      </c>
      <c r="F187" s="123">
        <v>279960.61</v>
      </c>
      <c r="G187" s="123">
        <v>256361.82</v>
      </c>
      <c r="H187" s="123">
        <v>242922.25</v>
      </c>
      <c r="I187" s="123">
        <v>267991.65999999997</v>
      </c>
      <c r="J187" s="123">
        <v>239053.99</v>
      </c>
      <c r="K187" s="123">
        <v>235515.01</v>
      </c>
      <c r="L187" s="123">
        <v>231840.92</v>
      </c>
      <c r="M187" s="123">
        <v>228099.9</v>
      </c>
      <c r="N187" s="123">
        <v>223920.71</v>
      </c>
      <c r="O187" s="123">
        <v>235257.92</v>
      </c>
      <c r="P187" s="123">
        <v>218842.89</v>
      </c>
      <c r="Q187" s="123">
        <v>159231.65</v>
      </c>
      <c r="R187" s="123">
        <v>182308.28</v>
      </c>
      <c r="S187" s="123">
        <v>148307.82999999999</v>
      </c>
      <c r="T187" s="123">
        <v>180431.97</v>
      </c>
      <c r="U187" s="123">
        <v>150159.73000000001</v>
      </c>
      <c r="V187" s="123">
        <v>188090.14</v>
      </c>
      <c r="W187" s="123">
        <v>156040.98000000001</v>
      </c>
      <c r="X187" s="123">
        <v>125742.98</v>
      </c>
      <c r="Y187" s="123">
        <v>149230.14000000001</v>
      </c>
      <c r="Z187" s="123">
        <v>140393.60000000001</v>
      </c>
      <c r="AA187" s="123">
        <v>134637.72</v>
      </c>
      <c r="AB187" s="123">
        <v>125588.6</v>
      </c>
      <c r="AC187" s="124">
        <v>136273.20000000001</v>
      </c>
      <c r="AD187" s="124">
        <v>122928.08</v>
      </c>
      <c r="AE187" s="124">
        <v>98493.64</v>
      </c>
      <c r="AF187" s="124">
        <v>128383.21</v>
      </c>
      <c r="AG187" s="124">
        <v>87038.03</v>
      </c>
      <c r="AH187" s="124">
        <v>116626.24000000001</v>
      </c>
      <c r="AI187" s="124">
        <v>82511.490000000005</v>
      </c>
      <c r="AJ187" s="124">
        <v>73628.78</v>
      </c>
      <c r="AK187" s="124">
        <v>88607.18</v>
      </c>
      <c r="AL187" s="124">
        <v>46243.06</v>
      </c>
      <c r="AM187" s="124">
        <v>65018</v>
      </c>
      <c r="AN187" s="124">
        <v>101538.57</v>
      </c>
      <c r="AO187" s="125">
        <v>103237.89</v>
      </c>
      <c r="AP187" s="125">
        <v>113881.46</v>
      </c>
      <c r="AQ187" s="125">
        <v>93182.59</v>
      </c>
      <c r="AR187" s="125">
        <v>99834.71</v>
      </c>
      <c r="AS187" s="125">
        <v>93827.53</v>
      </c>
      <c r="AT187" s="125">
        <v>93648.3</v>
      </c>
      <c r="AU187" s="125">
        <v>92275.3</v>
      </c>
      <c r="AV187" s="125">
        <v>85779.42</v>
      </c>
      <c r="AW187" s="125">
        <v>87609.88</v>
      </c>
      <c r="AX187" s="125">
        <v>39040.959999999999</v>
      </c>
      <c r="AY187" s="126"/>
      <c r="AZ187" s="126"/>
      <c r="BA187" s="126"/>
      <c r="BB187" s="126"/>
      <c r="BC187" s="126"/>
      <c r="BD187" s="126"/>
      <c r="BE187" s="126"/>
      <c r="BF187" s="127">
        <v>149420</v>
      </c>
      <c r="BG187" s="97" t="s">
        <v>162</v>
      </c>
      <c r="BH187" s="127">
        <v>116626.24000000001</v>
      </c>
      <c r="BI187" s="127">
        <v>149420</v>
      </c>
      <c r="BJ187" s="97" t="s">
        <v>162</v>
      </c>
      <c r="BK187" s="127">
        <v>82511.490000000005</v>
      </c>
    </row>
    <row r="188" spans="1:63" x14ac:dyDescent="0.25">
      <c r="B188" s="121">
        <v>149440</v>
      </c>
      <c r="C188" s="122" t="s">
        <v>168</v>
      </c>
      <c r="D188" s="123">
        <v>25320.2</v>
      </c>
      <c r="E188" s="123">
        <v>24669.18</v>
      </c>
      <c r="F188" s="123">
        <v>24010.23</v>
      </c>
      <c r="G188" s="123">
        <v>23310.77</v>
      </c>
      <c r="H188" s="123">
        <v>22623.06</v>
      </c>
      <c r="I188" s="123">
        <v>21897.26</v>
      </c>
      <c r="J188" s="123">
        <v>17471.8</v>
      </c>
      <c r="K188" s="123">
        <v>16955.53</v>
      </c>
      <c r="L188" s="123">
        <v>16439.86</v>
      </c>
      <c r="M188" s="123">
        <v>15915.87</v>
      </c>
      <c r="N188" s="123">
        <v>15375.29</v>
      </c>
      <c r="O188" s="123">
        <v>14834.12</v>
      </c>
      <c r="P188" s="123">
        <v>14276.64</v>
      </c>
      <c r="Q188" s="123">
        <v>13717.73</v>
      </c>
      <c r="R188" s="123">
        <v>13149.81</v>
      </c>
      <c r="S188" s="123">
        <v>12552.65</v>
      </c>
      <c r="T188" s="123">
        <v>11965.93</v>
      </c>
      <c r="U188" s="123">
        <v>8540.25</v>
      </c>
      <c r="V188" s="123">
        <v>8385.74</v>
      </c>
      <c r="W188" s="123">
        <v>8224.65</v>
      </c>
      <c r="X188" s="123">
        <v>8065.25</v>
      </c>
      <c r="Y188" s="123">
        <v>7903.38</v>
      </c>
      <c r="Z188" s="123">
        <v>7735.05</v>
      </c>
      <c r="AA188" s="123">
        <v>7568.06</v>
      </c>
      <c r="AB188" s="123">
        <v>7394.7</v>
      </c>
      <c r="AC188" s="124">
        <v>7222.44</v>
      </c>
      <c r="AD188" s="124">
        <v>7047.51</v>
      </c>
      <c r="AE188" s="124">
        <v>6862.82</v>
      </c>
      <c r="AF188" s="124">
        <v>6682.31</v>
      </c>
      <c r="AG188" s="124">
        <v>6495.66</v>
      </c>
      <c r="AH188" s="124">
        <v>6309.46</v>
      </c>
      <c r="AI188" s="124">
        <v>6117.22</v>
      </c>
      <c r="AJ188" s="124">
        <v>5925.16</v>
      </c>
      <c r="AK188" s="124">
        <v>5730.12</v>
      </c>
      <c r="AL188" s="124">
        <v>5529.19</v>
      </c>
      <c r="AM188" s="124">
        <v>5328.01</v>
      </c>
      <c r="AN188" s="124">
        <v>10879.02</v>
      </c>
      <c r="AO188" s="125">
        <v>10671.52</v>
      </c>
      <c r="AP188" s="125">
        <v>10460.799999999999</v>
      </c>
      <c r="AQ188" s="125">
        <v>10138.4</v>
      </c>
      <c r="AR188" s="125">
        <v>9708.73</v>
      </c>
      <c r="AS188" s="125">
        <v>4041.47</v>
      </c>
      <c r="AT188" s="125">
        <v>3817.23</v>
      </c>
      <c r="AU188" s="125">
        <v>3587.61</v>
      </c>
      <c r="AV188" s="125">
        <v>3356.34</v>
      </c>
      <c r="AW188" s="125">
        <v>3121.48</v>
      </c>
      <c r="AX188" s="125">
        <v>2881.42</v>
      </c>
      <c r="AY188" s="126"/>
      <c r="AZ188" s="126"/>
      <c r="BA188" s="126"/>
      <c r="BB188" s="126"/>
      <c r="BC188" s="126"/>
      <c r="BD188" s="126"/>
      <c r="BE188" s="126"/>
      <c r="BF188" s="127">
        <v>149440</v>
      </c>
      <c r="BG188" s="97" t="s">
        <v>168</v>
      </c>
      <c r="BH188" s="127">
        <v>6309.46</v>
      </c>
      <c r="BI188" s="127">
        <v>149440</v>
      </c>
      <c r="BJ188" s="97" t="s">
        <v>168</v>
      </c>
      <c r="BK188" s="127">
        <v>6117.22</v>
      </c>
    </row>
    <row r="189" spans="1:63" s="113" customFormat="1" x14ac:dyDescent="0.25">
      <c r="A189" s="97"/>
      <c r="B189" s="121">
        <v>1495</v>
      </c>
      <c r="C189" s="122" t="s">
        <v>169</v>
      </c>
      <c r="D189" s="116">
        <v>161262.23000000001</v>
      </c>
      <c r="E189" s="116">
        <v>148486.39000000001</v>
      </c>
      <c r="F189" s="116">
        <v>124615.29</v>
      </c>
      <c r="G189" s="116">
        <v>131257.62</v>
      </c>
      <c r="H189" s="116">
        <v>137606.46</v>
      </c>
      <c r="I189" s="116">
        <v>99827.1</v>
      </c>
      <c r="J189" s="116">
        <v>114111.66</v>
      </c>
      <c r="K189" s="116">
        <v>112408.09</v>
      </c>
      <c r="L189" s="116">
        <v>110640.49</v>
      </c>
      <c r="M189" s="116">
        <v>105777.98</v>
      </c>
      <c r="N189" s="116">
        <v>104224.73</v>
      </c>
      <c r="O189" s="116">
        <v>87838.58</v>
      </c>
      <c r="P189" s="116">
        <v>98944.98</v>
      </c>
      <c r="Q189" s="116">
        <v>150556.07999999999</v>
      </c>
      <c r="R189" s="116">
        <v>124055.93</v>
      </c>
      <c r="S189" s="116">
        <v>140890.04999999999</v>
      </c>
      <c r="T189" s="116">
        <v>105197.75999999999</v>
      </c>
      <c r="U189" s="116">
        <v>119729.73</v>
      </c>
      <c r="V189" s="116">
        <v>77584.179999999993</v>
      </c>
      <c r="W189" s="116">
        <v>102579.05</v>
      </c>
      <c r="X189" s="116">
        <v>127219.27</v>
      </c>
      <c r="Y189" s="116">
        <v>99640.29</v>
      </c>
      <c r="Z189" s="116">
        <v>85949.33</v>
      </c>
      <c r="AA189" s="116">
        <v>87890.34</v>
      </c>
      <c r="AB189" s="116">
        <v>89179.32</v>
      </c>
      <c r="AC189" s="124">
        <v>64907.27</v>
      </c>
      <c r="AD189" s="124">
        <v>73152.56</v>
      </c>
      <c r="AE189" s="124">
        <v>91476.05</v>
      </c>
      <c r="AF189" s="124">
        <v>56791.81</v>
      </c>
      <c r="AG189" s="124">
        <v>90199.679999999993</v>
      </c>
      <c r="AH189" s="124">
        <v>57199.93</v>
      </c>
      <c r="AI189" s="124">
        <v>82613.59</v>
      </c>
      <c r="AJ189" s="124">
        <v>85266.14</v>
      </c>
      <c r="AK189" s="124">
        <v>67177.899999999994</v>
      </c>
      <c r="AL189" s="124">
        <v>61277.1</v>
      </c>
      <c r="AM189" s="124">
        <v>19556.93</v>
      </c>
      <c r="AN189" s="124">
        <v>29648.400000000001</v>
      </c>
      <c r="AO189" s="125">
        <v>24415.83</v>
      </c>
      <c r="AP189" s="125">
        <v>11157.68</v>
      </c>
      <c r="AQ189" s="125">
        <v>26117.52</v>
      </c>
      <c r="AR189" s="125">
        <v>15256.96</v>
      </c>
      <c r="AS189" s="125">
        <v>10848.79</v>
      </c>
      <c r="AT189" s="125">
        <v>7426.24</v>
      </c>
      <c r="AU189" s="125">
        <v>5138.6899999999996</v>
      </c>
      <c r="AV189" s="125">
        <v>4702.42</v>
      </c>
      <c r="AW189" s="125">
        <v>0</v>
      </c>
      <c r="AX189" s="125">
        <v>14356.64</v>
      </c>
      <c r="AY189" s="126"/>
      <c r="AZ189" s="126"/>
      <c r="BA189" s="126"/>
      <c r="BB189" s="126"/>
      <c r="BC189" s="126"/>
      <c r="BD189" s="126"/>
      <c r="BE189" s="126"/>
      <c r="BF189" s="127">
        <v>1495</v>
      </c>
      <c r="BG189" s="97" t="s">
        <v>169</v>
      </c>
      <c r="BH189" s="127">
        <v>57199.93</v>
      </c>
      <c r="BI189" s="127">
        <v>1495</v>
      </c>
      <c r="BJ189" s="97" t="s">
        <v>169</v>
      </c>
      <c r="BK189" s="127">
        <v>82613.59</v>
      </c>
    </row>
    <row r="190" spans="1:63" s="113" customFormat="1" x14ac:dyDescent="0.25">
      <c r="A190" s="97"/>
      <c r="B190" s="121">
        <v>149520</v>
      </c>
      <c r="C190" s="122" t="s">
        <v>164</v>
      </c>
      <c r="D190" s="123">
        <v>161262.23000000001</v>
      </c>
      <c r="E190" s="123">
        <v>148486.39000000001</v>
      </c>
      <c r="F190" s="123">
        <v>124615.29</v>
      </c>
      <c r="G190" s="123">
        <v>131257.62</v>
      </c>
      <c r="H190" s="123">
        <v>137606.46</v>
      </c>
      <c r="I190" s="123">
        <v>99827.1</v>
      </c>
      <c r="J190" s="123">
        <v>110366.41</v>
      </c>
      <c r="K190" s="123">
        <v>108869.85</v>
      </c>
      <c r="L190" s="123">
        <v>107314.34</v>
      </c>
      <c r="M190" s="123">
        <v>105777.98</v>
      </c>
      <c r="N190" s="123">
        <v>104224.73</v>
      </c>
      <c r="O190" s="123">
        <v>87838.58</v>
      </c>
      <c r="P190" s="123">
        <v>98944.98</v>
      </c>
      <c r="Q190" s="123">
        <v>150556.07999999999</v>
      </c>
      <c r="R190" s="123">
        <v>124055.93</v>
      </c>
      <c r="S190" s="123">
        <v>140890.04999999999</v>
      </c>
      <c r="T190" s="123">
        <v>105197.75999999999</v>
      </c>
      <c r="U190" s="123">
        <v>119729.73</v>
      </c>
      <c r="V190" s="123">
        <v>77584.179999999993</v>
      </c>
      <c r="W190" s="123">
        <v>102579.05</v>
      </c>
      <c r="X190" s="123">
        <v>127219.27</v>
      </c>
      <c r="Y190" s="123">
        <v>99640.29</v>
      </c>
      <c r="Z190" s="123">
        <v>85949.33</v>
      </c>
      <c r="AA190" s="123">
        <v>87890.34</v>
      </c>
      <c r="AB190" s="123">
        <v>89179.32</v>
      </c>
      <c r="AC190" s="124">
        <v>64907.27</v>
      </c>
      <c r="AD190" s="124">
        <v>73152.56</v>
      </c>
      <c r="AE190" s="124">
        <v>91476.05</v>
      </c>
      <c r="AF190" s="124">
        <v>56791.81</v>
      </c>
      <c r="AG190" s="124">
        <v>90199.679999999993</v>
      </c>
      <c r="AH190" s="124">
        <v>57199.93</v>
      </c>
      <c r="AI190" s="124">
        <v>82613.59</v>
      </c>
      <c r="AJ190" s="124">
        <v>85266.14</v>
      </c>
      <c r="AK190" s="124">
        <v>67177.899999999994</v>
      </c>
      <c r="AL190" s="124">
        <v>61277.1</v>
      </c>
      <c r="AM190" s="124">
        <v>19556.93</v>
      </c>
      <c r="AN190" s="124">
        <v>29648.400000000001</v>
      </c>
      <c r="AO190" s="125">
        <v>24415.83</v>
      </c>
      <c r="AP190" s="125">
        <v>11157.68</v>
      </c>
      <c r="AQ190" s="125">
        <v>26117.52</v>
      </c>
      <c r="AR190" s="125">
        <v>15256.96</v>
      </c>
      <c r="AS190" s="125">
        <v>10848.79</v>
      </c>
      <c r="AT190" s="125">
        <v>7426.24</v>
      </c>
      <c r="AU190" s="125">
        <v>5138.6899999999996</v>
      </c>
      <c r="AV190" s="125">
        <v>4702.42</v>
      </c>
      <c r="AW190" s="125">
        <v>0</v>
      </c>
      <c r="AX190" s="125">
        <v>14356.64</v>
      </c>
      <c r="AY190" s="126"/>
      <c r="AZ190" s="126"/>
      <c r="BA190" s="126"/>
      <c r="BB190" s="126"/>
      <c r="BC190" s="126"/>
      <c r="BD190" s="126"/>
      <c r="BE190" s="126"/>
      <c r="BF190" s="127">
        <v>149520</v>
      </c>
      <c r="BG190" s="97" t="s">
        <v>164</v>
      </c>
      <c r="BH190" s="127">
        <v>57199.93</v>
      </c>
      <c r="BI190" s="127">
        <v>149520</v>
      </c>
      <c r="BJ190" s="97" t="s">
        <v>164</v>
      </c>
      <c r="BK190" s="127">
        <v>82613.59</v>
      </c>
    </row>
    <row r="191" spans="1:63" x14ac:dyDescent="0.25">
      <c r="B191" s="121">
        <v>149540</v>
      </c>
      <c r="C191" s="122" t="s">
        <v>170</v>
      </c>
      <c r="D191" s="128"/>
      <c r="E191" s="128"/>
      <c r="F191" s="128"/>
      <c r="G191" s="128"/>
      <c r="H191" s="128"/>
      <c r="I191" s="128"/>
      <c r="J191" s="123">
        <v>3745.25</v>
      </c>
      <c r="K191" s="123">
        <v>3538.24</v>
      </c>
      <c r="L191" s="123">
        <v>3326.15</v>
      </c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9"/>
      <c r="AD191" s="129"/>
      <c r="AE191" s="129"/>
      <c r="AF191" s="129"/>
      <c r="AG191" s="129"/>
      <c r="AH191" s="129"/>
      <c r="AI191" s="129"/>
      <c r="AJ191" s="124">
        <v>0</v>
      </c>
      <c r="AK191" s="124">
        <v>0</v>
      </c>
      <c r="AL191" s="124">
        <v>0</v>
      </c>
      <c r="AM191" s="124">
        <v>0</v>
      </c>
      <c r="AN191" s="124">
        <v>0</v>
      </c>
      <c r="AO191" s="125">
        <v>0</v>
      </c>
      <c r="AP191" s="125">
        <v>0</v>
      </c>
      <c r="AQ191" s="125">
        <v>0</v>
      </c>
      <c r="AR191" s="125">
        <v>0</v>
      </c>
      <c r="AS191" s="125">
        <v>0</v>
      </c>
      <c r="AT191" s="125">
        <v>0</v>
      </c>
      <c r="AU191" s="125">
        <v>0</v>
      </c>
      <c r="AV191" s="125">
        <v>0</v>
      </c>
      <c r="AW191" s="125">
        <v>0</v>
      </c>
      <c r="AX191" s="125">
        <v>0</v>
      </c>
      <c r="AY191" s="126"/>
      <c r="AZ191" s="126"/>
      <c r="BA191" s="126"/>
      <c r="BB191" s="126"/>
      <c r="BC191" s="126"/>
      <c r="BD191" s="126"/>
      <c r="BE191" s="126"/>
    </row>
    <row r="192" spans="1:63" x14ac:dyDescent="0.25">
      <c r="B192" s="121">
        <v>1496</v>
      </c>
      <c r="C192" s="122" t="s">
        <v>171</v>
      </c>
      <c r="D192" s="116">
        <v>6096.08</v>
      </c>
      <c r="E192" s="116">
        <v>6846.79</v>
      </c>
      <c r="F192" s="116">
        <v>6803.75</v>
      </c>
      <c r="G192" s="116">
        <v>8521.67</v>
      </c>
      <c r="H192" s="116">
        <v>11009.93</v>
      </c>
      <c r="I192" s="116">
        <v>11959.82</v>
      </c>
      <c r="J192" s="116">
        <v>10861.63</v>
      </c>
      <c r="K192" s="116">
        <v>12337.02</v>
      </c>
      <c r="L192" s="116">
        <v>13695.71</v>
      </c>
      <c r="M192" s="116">
        <v>14676.44</v>
      </c>
      <c r="N192" s="116">
        <v>16229.69</v>
      </c>
      <c r="O192" s="116">
        <v>17170.330000000002</v>
      </c>
      <c r="P192" s="116">
        <v>18748.400000000001</v>
      </c>
      <c r="Q192" s="116">
        <v>22888.400000000001</v>
      </c>
      <c r="R192" s="116">
        <v>22179.05</v>
      </c>
      <c r="S192" s="116">
        <v>25886.51</v>
      </c>
      <c r="T192" s="116">
        <v>25142.07</v>
      </c>
      <c r="U192" s="116">
        <v>28166.85</v>
      </c>
      <c r="V192" s="116">
        <v>27424.73</v>
      </c>
      <c r="W192" s="116">
        <v>30978.3</v>
      </c>
      <c r="X192" s="116">
        <v>33088.61</v>
      </c>
      <c r="Y192" s="116">
        <v>32589.62</v>
      </c>
      <c r="Z192" s="116">
        <v>31268.560000000001</v>
      </c>
      <c r="AA192" s="116">
        <v>31256.45</v>
      </c>
      <c r="AB192" s="116">
        <v>34403.129999999997</v>
      </c>
      <c r="AC192" s="124">
        <v>29950.080000000002</v>
      </c>
      <c r="AD192" s="124">
        <v>30095.95</v>
      </c>
      <c r="AE192" s="124">
        <v>33317.17</v>
      </c>
      <c r="AF192" s="124">
        <v>32422.85</v>
      </c>
      <c r="AG192" s="124">
        <v>36492.870000000003</v>
      </c>
      <c r="AH192" s="124">
        <v>35458.71</v>
      </c>
      <c r="AI192" s="124">
        <v>39590.199999999997</v>
      </c>
      <c r="AJ192" s="124">
        <v>40998.79</v>
      </c>
      <c r="AK192" s="124">
        <v>40815.800000000003</v>
      </c>
      <c r="AL192" s="124">
        <v>4018.68</v>
      </c>
      <c r="AM192" s="124">
        <v>688.19</v>
      </c>
      <c r="AN192" s="124">
        <v>1814.87</v>
      </c>
      <c r="AO192" s="125">
        <v>1779.12</v>
      </c>
      <c r="AP192" s="125">
        <v>1170.1400000000001</v>
      </c>
      <c r="AQ192" s="125">
        <v>966.92</v>
      </c>
      <c r="AR192" s="125">
        <v>1060.31</v>
      </c>
      <c r="AS192" s="125">
        <v>758.95</v>
      </c>
      <c r="AT192" s="125">
        <v>570.02</v>
      </c>
      <c r="AU192" s="125">
        <v>432.3</v>
      </c>
      <c r="AV192" s="125">
        <v>438.27</v>
      </c>
      <c r="AW192" s="125">
        <v>2</v>
      </c>
      <c r="AX192" s="125">
        <v>981.84</v>
      </c>
      <c r="AY192" s="126"/>
      <c r="AZ192" s="126"/>
      <c r="BA192" s="126"/>
      <c r="BB192" s="126"/>
      <c r="BC192" s="126"/>
      <c r="BD192" s="126"/>
      <c r="BE192" s="126"/>
      <c r="BF192" s="127">
        <v>1496</v>
      </c>
      <c r="BG192" s="97" t="s">
        <v>171</v>
      </c>
      <c r="BH192" s="127">
        <v>35458.71</v>
      </c>
      <c r="BI192" s="127">
        <v>1496</v>
      </c>
      <c r="BJ192" s="97" t="s">
        <v>171</v>
      </c>
      <c r="BK192" s="127">
        <v>39590.199999999997</v>
      </c>
    </row>
    <row r="193" spans="1:63" x14ac:dyDescent="0.25">
      <c r="B193" s="121">
        <v>149620</v>
      </c>
      <c r="C193" s="122" t="s">
        <v>166</v>
      </c>
      <c r="D193" s="123">
        <v>6096.08</v>
      </c>
      <c r="E193" s="123">
        <v>6846.79</v>
      </c>
      <c r="F193" s="123">
        <v>6803.75</v>
      </c>
      <c r="G193" s="123">
        <v>8521.67</v>
      </c>
      <c r="H193" s="123">
        <v>11009.93</v>
      </c>
      <c r="I193" s="123">
        <v>11959.82</v>
      </c>
      <c r="J193" s="123">
        <v>10680.7</v>
      </c>
      <c r="K193" s="123">
        <v>12177.26</v>
      </c>
      <c r="L193" s="123">
        <v>13577.39</v>
      </c>
      <c r="M193" s="123">
        <v>14676.44</v>
      </c>
      <c r="N193" s="123">
        <v>16229.69</v>
      </c>
      <c r="O193" s="123">
        <v>17170.330000000002</v>
      </c>
      <c r="P193" s="123">
        <v>18748.400000000001</v>
      </c>
      <c r="Q193" s="123">
        <v>22888.400000000001</v>
      </c>
      <c r="R193" s="123">
        <v>22179.05</v>
      </c>
      <c r="S193" s="123">
        <v>25886.51</v>
      </c>
      <c r="T193" s="123">
        <v>25142.07</v>
      </c>
      <c r="U193" s="123">
        <v>28166.85</v>
      </c>
      <c r="V193" s="123">
        <v>27424.73</v>
      </c>
      <c r="W193" s="123">
        <v>30978.3</v>
      </c>
      <c r="X193" s="123">
        <v>33088.61</v>
      </c>
      <c r="Y193" s="123">
        <v>32589.62</v>
      </c>
      <c r="Z193" s="123">
        <v>31268.560000000001</v>
      </c>
      <c r="AA193" s="123">
        <v>31256.45</v>
      </c>
      <c r="AB193" s="123">
        <v>34403.129999999997</v>
      </c>
      <c r="AC193" s="124">
        <v>29950.080000000002</v>
      </c>
      <c r="AD193" s="124">
        <v>30095.95</v>
      </c>
      <c r="AE193" s="124">
        <v>33317.17</v>
      </c>
      <c r="AF193" s="124">
        <v>32422.85</v>
      </c>
      <c r="AG193" s="124">
        <v>36492.870000000003</v>
      </c>
      <c r="AH193" s="124">
        <v>35458.71</v>
      </c>
      <c r="AI193" s="124">
        <v>39590.199999999997</v>
      </c>
      <c r="AJ193" s="124">
        <v>40998.79</v>
      </c>
      <c r="AK193" s="124">
        <v>40815.800000000003</v>
      </c>
      <c r="AL193" s="124">
        <v>4018.68</v>
      </c>
      <c r="AM193" s="124">
        <v>688.19</v>
      </c>
      <c r="AN193" s="124">
        <v>1814.87</v>
      </c>
      <c r="AO193" s="125">
        <v>1779.12</v>
      </c>
      <c r="AP193" s="125">
        <v>1170.1400000000001</v>
      </c>
      <c r="AQ193" s="125">
        <v>966.92</v>
      </c>
      <c r="AR193" s="125">
        <v>1060.31</v>
      </c>
      <c r="AS193" s="125">
        <v>758.95</v>
      </c>
      <c r="AT193" s="125">
        <v>570.02</v>
      </c>
      <c r="AU193" s="125">
        <v>432.3</v>
      </c>
      <c r="AV193" s="125">
        <v>438.27</v>
      </c>
      <c r="AW193" s="125">
        <v>2</v>
      </c>
      <c r="AX193" s="125">
        <v>981.84</v>
      </c>
      <c r="AY193" s="126"/>
      <c r="AZ193" s="126"/>
      <c r="BA193" s="126"/>
      <c r="BB193" s="126"/>
      <c r="BC193" s="126"/>
      <c r="BD193" s="126"/>
      <c r="BE193" s="126"/>
      <c r="BF193" s="127">
        <v>149620</v>
      </c>
      <c r="BG193" s="97" t="s">
        <v>166</v>
      </c>
      <c r="BH193" s="127">
        <v>35458.71</v>
      </c>
      <c r="BI193" s="127">
        <v>149620</v>
      </c>
      <c r="BJ193" s="97" t="s">
        <v>166</v>
      </c>
      <c r="BK193" s="127">
        <v>39590.199999999997</v>
      </c>
    </row>
    <row r="194" spans="1:63" x14ac:dyDescent="0.25">
      <c r="B194" s="121">
        <v>149640</v>
      </c>
      <c r="C194" s="122" t="s">
        <v>172</v>
      </c>
      <c r="D194" s="128"/>
      <c r="E194" s="128"/>
      <c r="F194" s="128"/>
      <c r="G194" s="128"/>
      <c r="H194" s="128"/>
      <c r="I194" s="128"/>
      <c r="J194" s="123">
        <v>180.93</v>
      </c>
      <c r="K194" s="123">
        <v>159.76</v>
      </c>
      <c r="L194" s="123">
        <v>118.32</v>
      </c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9"/>
      <c r="AD194" s="129"/>
      <c r="AE194" s="129"/>
      <c r="AF194" s="129"/>
      <c r="AG194" s="129"/>
      <c r="AH194" s="129"/>
      <c r="AI194" s="129"/>
      <c r="AJ194" s="124">
        <v>0</v>
      </c>
      <c r="AK194" s="124">
        <v>0</v>
      </c>
      <c r="AL194" s="124">
        <v>0</v>
      </c>
      <c r="AM194" s="124">
        <v>0</v>
      </c>
      <c r="AN194" s="124">
        <v>0</v>
      </c>
      <c r="AO194" s="125">
        <v>0</v>
      </c>
      <c r="AP194" s="125">
        <v>0</v>
      </c>
      <c r="AQ194" s="125">
        <v>0</v>
      </c>
      <c r="AR194" s="125">
        <v>0</v>
      </c>
      <c r="AS194" s="125">
        <v>0</v>
      </c>
      <c r="AT194" s="125">
        <v>0</v>
      </c>
      <c r="AU194" s="125">
        <v>0</v>
      </c>
      <c r="AV194" s="125">
        <v>0</v>
      </c>
      <c r="AW194" s="125">
        <v>0</v>
      </c>
      <c r="AX194" s="125">
        <v>0</v>
      </c>
      <c r="AY194" s="126"/>
      <c r="AZ194" s="126"/>
      <c r="BA194" s="126"/>
      <c r="BB194" s="126"/>
      <c r="BC194" s="126"/>
      <c r="BD194" s="126"/>
      <c r="BE194" s="126"/>
    </row>
    <row r="195" spans="1:63" x14ac:dyDescent="0.25">
      <c r="B195" s="121">
        <v>1499</v>
      </c>
      <c r="C195" s="122" t="s">
        <v>173</v>
      </c>
      <c r="D195" s="116">
        <v>-1586222.16</v>
      </c>
      <c r="E195" s="116">
        <v>-1542477.13</v>
      </c>
      <c r="F195" s="116">
        <v>-1438820.79</v>
      </c>
      <c r="G195" s="116">
        <v>-1441483.14</v>
      </c>
      <c r="H195" s="116">
        <v>-1477061.94</v>
      </c>
      <c r="I195" s="116">
        <v>-1508473.9</v>
      </c>
      <c r="J195" s="116">
        <v>-1531622.88</v>
      </c>
      <c r="K195" s="116">
        <v>-1523097.73</v>
      </c>
      <c r="L195" s="116">
        <v>-1541852.13</v>
      </c>
      <c r="M195" s="116">
        <v>-1577535.55</v>
      </c>
      <c r="N195" s="116">
        <v>-1636694.49</v>
      </c>
      <c r="O195" s="116">
        <v>-1713944.23</v>
      </c>
      <c r="P195" s="116">
        <v>-1615254.54</v>
      </c>
      <c r="Q195" s="116">
        <v>-1614105.44</v>
      </c>
      <c r="R195" s="116">
        <v>-1610345.07</v>
      </c>
      <c r="S195" s="116">
        <v>-1638012.41</v>
      </c>
      <c r="T195" s="116">
        <v>-1672236.32</v>
      </c>
      <c r="U195" s="116">
        <v>-1809112.76</v>
      </c>
      <c r="V195" s="116">
        <v>-1902226.81</v>
      </c>
      <c r="W195" s="116">
        <v>-1976006.1</v>
      </c>
      <c r="X195" s="116">
        <v>-1986495.49</v>
      </c>
      <c r="Y195" s="116">
        <v>-2052751.74</v>
      </c>
      <c r="Z195" s="116">
        <v>-2262239.86</v>
      </c>
      <c r="AA195" s="116">
        <v>-2043119.74</v>
      </c>
      <c r="AB195" s="116">
        <v>-2069645.61</v>
      </c>
      <c r="AC195" s="124">
        <v>-2099214.25</v>
      </c>
      <c r="AD195" s="124">
        <v>-2220187.35</v>
      </c>
      <c r="AE195" s="124">
        <v>-2150718.7000000002</v>
      </c>
      <c r="AF195" s="124">
        <v>-2170112.2200000002</v>
      </c>
      <c r="AG195" s="124">
        <v>-2205265.2999999998</v>
      </c>
      <c r="AH195" s="124">
        <v>-2374516.27</v>
      </c>
      <c r="AI195" s="124">
        <v>-2260724.09</v>
      </c>
      <c r="AJ195" s="124">
        <v>-2536290.92</v>
      </c>
      <c r="AK195" s="124">
        <v>-2809027.88</v>
      </c>
      <c r="AL195" s="124">
        <v>-3015068.51</v>
      </c>
      <c r="AM195" s="124">
        <v>-2994200.53</v>
      </c>
      <c r="AN195" s="124">
        <v>-2710231.16</v>
      </c>
      <c r="AO195" s="125">
        <v>-2606859.4900000002</v>
      </c>
      <c r="AP195" s="125">
        <v>-2604526.69</v>
      </c>
      <c r="AQ195" s="125">
        <v>-2563097.0299999998</v>
      </c>
      <c r="AR195" s="125">
        <v>-2515936.63</v>
      </c>
      <c r="AS195" s="125">
        <v>-2562615.0499999998</v>
      </c>
      <c r="AT195" s="125">
        <v>-2577376.66</v>
      </c>
      <c r="AU195" s="125">
        <v>-2652446.65</v>
      </c>
      <c r="AV195" s="125">
        <v>-2693930.34</v>
      </c>
      <c r="AW195" s="125">
        <v>-2735065.78</v>
      </c>
      <c r="AX195" s="125">
        <v>-1090856.57</v>
      </c>
      <c r="AY195" s="126"/>
      <c r="AZ195" s="126"/>
      <c r="BA195" s="126"/>
      <c r="BB195" s="126"/>
      <c r="BC195" s="126"/>
      <c r="BD195" s="126"/>
      <c r="BE195" s="126"/>
      <c r="BF195" s="127">
        <v>1499</v>
      </c>
      <c r="BG195" s="97" t="s">
        <v>173</v>
      </c>
      <c r="BH195" s="127">
        <v>-2374516.27</v>
      </c>
      <c r="BI195" s="127">
        <v>1499</v>
      </c>
      <c r="BJ195" s="97" t="s">
        <v>173</v>
      </c>
      <c r="BK195" s="127">
        <v>-2260724.09</v>
      </c>
    </row>
    <row r="196" spans="1:63" x14ac:dyDescent="0.25">
      <c r="B196" s="121">
        <v>149905</v>
      </c>
      <c r="C196" s="122" t="s">
        <v>174</v>
      </c>
      <c r="D196" s="123">
        <v>-15692.01</v>
      </c>
      <c r="E196" s="123">
        <v>-21693.67</v>
      </c>
      <c r="F196" s="123">
        <v>-35479.89</v>
      </c>
      <c r="G196" s="123">
        <v>-42477.46</v>
      </c>
      <c r="H196" s="123">
        <v>-42810.57</v>
      </c>
      <c r="I196" s="123">
        <v>-58540.6</v>
      </c>
      <c r="J196" s="123">
        <v>-60950.86</v>
      </c>
      <c r="K196" s="123">
        <v>-62618.5</v>
      </c>
      <c r="L196" s="123">
        <v>-81241.36</v>
      </c>
      <c r="M196" s="123">
        <v>-88446.85</v>
      </c>
      <c r="N196" s="123">
        <v>-75608.240000000005</v>
      </c>
      <c r="O196" s="123">
        <v>-101429.05</v>
      </c>
      <c r="P196" s="123">
        <v>-105673.91</v>
      </c>
      <c r="Q196" s="123">
        <v>-84286.01</v>
      </c>
      <c r="R196" s="123">
        <v>-86032.16</v>
      </c>
      <c r="S196" s="123">
        <v>-75212.08</v>
      </c>
      <c r="T196" s="123">
        <v>-61188.160000000003</v>
      </c>
      <c r="U196" s="123">
        <v>-96344.25</v>
      </c>
      <c r="V196" s="123">
        <v>-91498.68</v>
      </c>
      <c r="W196" s="123">
        <v>-82823.51999999999</v>
      </c>
      <c r="X196" s="123">
        <v>-81708.899999999994</v>
      </c>
      <c r="Y196" s="123">
        <v>-80486.27</v>
      </c>
      <c r="Z196" s="123">
        <v>-81835.180000000008</v>
      </c>
      <c r="AA196" s="123">
        <v>-79515.55</v>
      </c>
      <c r="AB196" s="123">
        <v>-80861.600000000006</v>
      </c>
      <c r="AC196" s="124">
        <v>-79730.009999999995</v>
      </c>
      <c r="AD196" s="124">
        <v>-79177.78</v>
      </c>
      <c r="AE196" s="124">
        <v>-82531.22</v>
      </c>
      <c r="AF196" s="124">
        <v>-84508.45</v>
      </c>
      <c r="AG196" s="124">
        <v>-84240.960000000006</v>
      </c>
      <c r="AH196" s="124">
        <v>-82987.34</v>
      </c>
      <c r="AI196" s="124">
        <v>-82157.97</v>
      </c>
      <c r="AJ196" s="124">
        <v>-83720.23</v>
      </c>
      <c r="AK196" s="124">
        <v>-82535.22</v>
      </c>
      <c r="AL196" s="124">
        <v>-83589.63</v>
      </c>
      <c r="AM196" s="124">
        <v>-83070.39</v>
      </c>
      <c r="AN196" s="124">
        <v>-7676.63</v>
      </c>
      <c r="AO196" s="125">
        <v>-9622.48</v>
      </c>
      <c r="AP196" s="125">
        <v>-5652.23</v>
      </c>
      <c r="AQ196" s="125">
        <v>-7804.5</v>
      </c>
      <c r="AR196" s="125">
        <v>-7018.52</v>
      </c>
      <c r="AS196" s="125">
        <v>-5629.41</v>
      </c>
      <c r="AT196" s="125">
        <v>-7527.35</v>
      </c>
      <c r="AU196" s="125">
        <v>-5971.2</v>
      </c>
      <c r="AV196" s="125">
        <v>-6217.28</v>
      </c>
      <c r="AW196" s="125">
        <v>-7249.65</v>
      </c>
      <c r="AX196" s="125">
        <v>-4698.8599999999997</v>
      </c>
      <c r="AY196" s="126"/>
      <c r="AZ196" s="126"/>
      <c r="BA196" s="126"/>
      <c r="BB196" s="126"/>
      <c r="BC196" s="126"/>
      <c r="BD196" s="126"/>
      <c r="BE196" s="126"/>
      <c r="BF196" s="127">
        <v>149905</v>
      </c>
      <c r="BG196" s="97" t="s">
        <v>174</v>
      </c>
      <c r="BH196" s="127">
        <v>-82987.34</v>
      </c>
      <c r="BI196" s="127">
        <v>149905</v>
      </c>
      <c r="BJ196" s="97" t="s">
        <v>174</v>
      </c>
      <c r="BK196" s="127">
        <v>-82157.97</v>
      </c>
    </row>
    <row r="197" spans="1:63" x14ac:dyDescent="0.25">
      <c r="B197" s="121">
        <v>14990505</v>
      </c>
      <c r="C197" s="122" t="s">
        <v>175</v>
      </c>
      <c r="D197" s="123">
        <v>-15692.01</v>
      </c>
      <c r="E197" s="123">
        <v>-21693.67</v>
      </c>
      <c r="F197" s="123">
        <v>-35479.89</v>
      </c>
      <c r="G197" s="123">
        <v>-42477.46</v>
      </c>
      <c r="H197" s="123">
        <v>-42810.57</v>
      </c>
      <c r="I197" s="123">
        <v>-58540.6</v>
      </c>
      <c r="J197" s="123">
        <v>-60950.86</v>
      </c>
      <c r="K197" s="123">
        <v>-62618.5</v>
      </c>
      <c r="L197" s="123">
        <v>-81241.36</v>
      </c>
      <c r="M197" s="123">
        <v>-88446.85</v>
      </c>
      <c r="N197" s="123">
        <v>-75608.240000000005</v>
      </c>
      <c r="O197" s="123">
        <v>-101429.05</v>
      </c>
      <c r="P197" s="123">
        <v>-105673.91</v>
      </c>
      <c r="Q197" s="123">
        <v>-84286.01</v>
      </c>
      <c r="R197" s="123">
        <v>-86032.16</v>
      </c>
      <c r="S197" s="123">
        <v>-75212.08</v>
      </c>
      <c r="T197" s="123">
        <v>-61188.160000000003</v>
      </c>
      <c r="U197" s="123">
        <v>-96344.25</v>
      </c>
      <c r="V197" s="123">
        <v>-91498.68</v>
      </c>
      <c r="W197" s="123">
        <v>-82823.51999999999</v>
      </c>
      <c r="X197" s="123">
        <v>-81708.899999999994</v>
      </c>
      <c r="Y197" s="123">
        <v>-80486.27</v>
      </c>
      <c r="Z197" s="123">
        <v>-81835.180000000008</v>
      </c>
      <c r="AA197" s="123">
        <v>-79515.55</v>
      </c>
      <c r="AB197" s="123">
        <v>-80861.600000000006</v>
      </c>
      <c r="AC197" s="124">
        <v>-79730.009999999995</v>
      </c>
      <c r="AD197" s="124">
        <v>-79177.78</v>
      </c>
      <c r="AE197" s="124">
        <v>-82531.22</v>
      </c>
      <c r="AF197" s="124">
        <v>-84508.45</v>
      </c>
      <c r="AG197" s="124">
        <v>-84240.960000000006</v>
      </c>
      <c r="AH197" s="124">
        <v>-82987.34</v>
      </c>
      <c r="AI197" s="124">
        <v>-82157.97</v>
      </c>
      <c r="AJ197" s="124">
        <v>-83720.23</v>
      </c>
      <c r="AK197" s="124">
        <v>-82535.22</v>
      </c>
      <c r="AL197" s="124">
        <v>-83589.63</v>
      </c>
      <c r="AM197" s="124">
        <v>-83070.39</v>
      </c>
      <c r="AN197" s="124">
        <v>-7676.63</v>
      </c>
      <c r="AO197" s="125">
        <v>-9622.48</v>
      </c>
      <c r="AP197" s="125">
        <v>-5652.23</v>
      </c>
      <c r="AQ197" s="125">
        <v>-7804.5</v>
      </c>
      <c r="AR197" s="125">
        <v>-7018.52</v>
      </c>
      <c r="AS197" s="125">
        <v>-5629.41</v>
      </c>
      <c r="AT197" s="125">
        <v>-7527.35</v>
      </c>
      <c r="AU197" s="125">
        <v>-5971.2</v>
      </c>
      <c r="AV197" s="125">
        <v>-6217.28</v>
      </c>
      <c r="AW197" s="125">
        <v>-7249.65</v>
      </c>
      <c r="AX197" s="125">
        <v>-4698.8599999999997</v>
      </c>
      <c r="AY197" s="126"/>
      <c r="AZ197" s="126"/>
      <c r="BA197" s="126"/>
      <c r="BB197" s="126"/>
      <c r="BC197" s="126"/>
      <c r="BD197" s="126"/>
      <c r="BE197" s="126"/>
      <c r="BF197" s="127">
        <v>14990505</v>
      </c>
      <c r="BG197" s="97" t="s">
        <v>174</v>
      </c>
      <c r="BH197" s="127">
        <v>-82987.34</v>
      </c>
      <c r="BI197" s="127">
        <v>14990505</v>
      </c>
      <c r="BJ197" s="97" t="s">
        <v>174</v>
      </c>
      <c r="BK197" s="127">
        <v>-82157.97</v>
      </c>
    </row>
    <row r="198" spans="1:63" x14ac:dyDescent="0.25">
      <c r="B198" s="142">
        <v>149910</v>
      </c>
      <c r="C198" s="122" t="s">
        <v>176</v>
      </c>
      <c r="D198" s="123">
        <v>-635054.27</v>
      </c>
      <c r="E198" s="123">
        <v>-598234.15</v>
      </c>
      <c r="F198" s="123">
        <v>-489945.48</v>
      </c>
      <c r="G198" s="123">
        <v>-484860.94</v>
      </c>
      <c r="H198" s="123">
        <v>-489180.26</v>
      </c>
      <c r="I198" s="123">
        <v>-509618.02</v>
      </c>
      <c r="J198" s="123">
        <v>-526816.69999999995</v>
      </c>
      <c r="K198" s="123">
        <v>-508865.87</v>
      </c>
      <c r="L198" s="123">
        <v>-514636.13</v>
      </c>
      <c r="M198" s="123">
        <v>-547778.05000000005</v>
      </c>
      <c r="N198" s="123">
        <v>-608995.38</v>
      </c>
      <c r="O198" s="123">
        <v>-644968.19999999995</v>
      </c>
      <c r="P198" s="123">
        <v>-822756.82</v>
      </c>
      <c r="Q198" s="123">
        <v>-985160.79</v>
      </c>
      <c r="R198" s="123">
        <v>-1042014.42</v>
      </c>
      <c r="S198" s="123">
        <v>-1099288.42</v>
      </c>
      <c r="T198" s="123">
        <v>-1110490.32</v>
      </c>
      <c r="U198" s="123">
        <v>-1184528.48</v>
      </c>
      <c r="V198" s="123">
        <v>-1232812.8500000001</v>
      </c>
      <c r="W198" s="123">
        <v>-1251395.71</v>
      </c>
      <c r="X198" s="123">
        <v>-1264232.22</v>
      </c>
      <c r="Y198" s="123">
        <v>-1271765.2</v>
      </c>
      <c r="Z198" s="123">
        <v>-1437389.15</v>
      </c>
      <c r="AA198" s="123">
        <v>-1212780.8700000001</v>
      </c>
      <c r="AB198" s="123">
        <v>-1221721.75</v>
      </c>
      <c r="AC198" s="124">
        <v>-1266233.52</v>
      </c>
      <c r="AD198" s="124">
        <v>-1311264.82</v>
      </c>
      <c r="AE198" s="124">
        <v>-1246883.5</v>
      </c>
      <c r="AF198" s="124">
        <v>-1230838.5900000001</v>
      </c>
      <c r="AG198" s="124">
        <v>-1242565.33</v>
      </c>
      <c r="AH198" s="124">
        <v>-1383865.34</v>
      </c>
      <c r="AI198" s="124">
        <v>-1302535.0900000001</v>
      </c>
      <c r="AJ198" s="124">
        <v>-1436781.33</v>
      </c>
      <c r="AK198" s="124">
        <v>-1614528.32</v>
      </c>
      <c r="AL198" s="124">
        <v>-1751043.8</v>
      </c>
      <c r="AM198" s="124">
        <v>-1824919.9</v>
      </c>
      <c r="AN198" s="124">
        <v>-372166.7</v>
      </c>
      <c r="AO198" s="125">
        <v>-319633.86</v>
      </c>
      <c r="AP198" s="125">
        <v>-338147.16</v>
      </c>
      <c r="AQ198" s="125">
        <v>-341728.27</v>
      </c>
      <c r="AR198" s="125">
        <v>-353342.98</v>
      </c>
      <c r="AS198" s="125">
        <v>-381166.24</v>
      </c>
      <c r="AT198" s="125">
        <v>-403315.7</v>
      </c>
      <c r="AU198" s="125">
        <v>-486065.27</v>
      </c>
      <c r="AV198" s="125">
        <v>-441465.77</v>
      </c>
      <c r="AW198" s="125">
        <v>-459271.08</v>
      </c>
      <c r="AX198" s="125">
        <v>-514259.37</v>
      </c>
      <c r="AY198" s="126"/>
      <c r="AZ198" s="126"/>
      <c r="BA198" s="126"/>
      <c r="BB198" s="126"/>
      <c r="BC198" s="126"/>
      <c r="BD198" s="126"/>
      <c r="BE198" s="126"/>
      <c r="BF198" s="127">
        <v>149910</v>
      </c>
      <c r="BG198" s="97" t="s">
        <v>176</v>
      </c>
      <c r="BH198" s="127">
        <v>-1383865.34</v>
      </c>
      <c r="BI198" s="127">
        <v>149910</v>
      </c>
      <c r="BJ198" s="97" t="s">
        <v>176</v>
      </c>
      <c r="BK198" s="127">
        <v>-1302535.0900000001</v>
      </c>
    </row>
    <row r="199" spans="1:63" x14ac:dyDescent="0.25">
      <c r="B199" s="142">
        <v>14991005</v>
      </c>
      <c r="C199" s="122" t="s">
        <v>175</v>
      </c>
      <c r="D199" s="123">
        <v>-635054.27</v>
      </c>
      <c r="E199" s="123">
        <v>-598234.15</v>
      </c>
      <c r="F199" s="123">
        <v>-489945.48</v>
      </c>
      <c r="G199" s="123">
        <v>-484860.94</v>
      </c>
      <c r="H199" s="123">
        <v>-489180.26</v>
      </c>
      <c r="I199" s="123">
        <v>-509618.02</v>
      </c>
      <c r="J199" s="123">
        <v>-526816.69999999995</v>
      </c>
      <c r="K199" s="123">
        <v>-508865.87</v>
      </c>
      <c r="L199" s="123">
        <v>-514636.13</v>
      </c>
      <c r="M199" s="123">
        <v>-547778.05000000005</v>
      </c>
      <c r="N199" s="123">
        <v>-608995.38</v>
      </c>
      <c r="O199" s="123">
        <v>-644968.19999999995</v>
      </c>
      <c r="P199" s="123">
        <v>-822756.82</v>
      </c>
      <c r="Q199" s="123">
        <v>-985160.79</v>
      </c>
      <c r="R199" s="123">
        <v>-1042014.42</v>
      </c>
      <c r="S199" s="123">
        <v>-1099288.42</v>
      </c>
      <c r="T199" s="123">
        <v>-1110490.32</v>
      </c>
      <c r="U199" s="123">
        <v>-1184528.48</v>
      </c>
      <c r="V199" s="123">
        <v>-1232812.8500000001</v>
      </c>
      <c r="W199" s="123">
        <v>-1251395.71</v>
      </c>
      <c r="X199" s="123">
        <v>-1264232.22</v>
      </c>
      <c r="Y199" s="123">
        <v>-1271765.2</v>
      </c>
      <c r="Z199" s="123">
        <v>-1437389.15</v>
      </c>
      <c r="AA199" s="123">
        <v>-1212780.8700000001</v>
      </c>
      <c r="AB199" s="123">
        <v>-1221721.75</v>
      </c>
      <c r="AC199" s="124">
        <v>-1266233.52</v>
      </c>
      <c r="AD199" s="124">
        <v>-1311264.82</v>
      </c>
      <c r="AE199" s="124">
        <v>-1246883.5</v>
      </c>
      <c r="AF199" s="124">
        <v>-1230838.5900000001</v>
      </c>
      <c r="AG199" s="124">
        <v>-1242565.33</v>
      </c>
      <c r="AH199" s="124">
        <v>-1383865.34</v>
      </c>
      <c r="AI199" s="124">
        <v>-1302535.0900000001</v>
      </c>
      <c r="AJ199" s="124">
        <v>-1436781.33</v>
      </c>
      <c r="AK199" s="124">
        <v>-1614528.32</v>
      </c>
      <c r="AL199" s="124">
        <v>-1751043.8</v>
      </c>
      <c r="AM199" s="124">
        <v>-1824919.9</v>
      </c>
      <c r="AN199" s="124">
        <v>-372166.7</v>
      </c>
      <c r="AO199" s="125">
        <v>-319633.86</v>
      </c>
      <c r="AP199" s="125">
        <v>-338147.16</v>
      </c>
      <c r="AQ199" s="125">
        <v>-341728.27</v>
      </c>
      <c r="AR199" s="125">
        <v>-353342.98</v>
      </c>
      <c r="AS199" s="125">
        <v>-381166.24</v>
      </c>
      <c r="AT199" s="125">
        <v>-403315.7</v>
      </c>
      <c r="AU199" s="125">
        <v>-486065.27</v>
      </c>
      <c r="AV199" s="125">
        <v>-441465.77</v>
      </c>
      <c r="AW199" s="125">
        <v>-459271.08</v>
      </c>
      <c r="AX199" s="125">
        <v>-514259.37</v>
      </c>
      <c r="AY199" s="126"/>
      <c r="AZ199" s="126"/>
      <c r="BA199" s="126"/>
      <c r="BB199" s="126"/>
      <c r="BC199" s="126"/>
      <c r="BD199" s="126"/>
      <c r="BE199" s="126"/>
      <c r="BF199" s="127">
        <v>14991005</v>
      </c>
      <c r="BG199" s="97" t="s">
        <v>177</v>
      </c>
      <c r="BH199" s="127">
        <v>-1383865.34</v>
      </c>
      <c r="BI199" s="127">
        <v>14991005</v>
      </c>
      <c r="BJ199" s="97" t="s">
        <v>177</v>
      </c>
      <c r="BK199" s="127">
        <v>-1302535.0900000001</v>
      </c>
    </row>
    <row r="200" spans="1:63" x14ac:dyDescent="0.25">
      <c r="B200" s="142">
        <v>149915</v>
      </c>
      <c r="C200" s="122" t="s">
        <v>178</v>
      </c>
      <c r="D200" s="123">
        <v>-1</v>
      </c>
      <c r="E200" s="123">
        <v>-1</v>
      </c>
      <c r="F200" s="123">
        <v>-1</v>
      </c>
      <c r="G200" s="123">
        <v>-1</v>
      </c>
      <c r="H200" s="123">
        <v>-1</v>
      </c>
      <c r="I200" s="123">
        <v>-1</v>
      </c>
      <c r="J200" s="123">
        <v>-1</v>
      </c>
      <c r="K200" s="123">
        <v>-1</v>
      </c>
      <c r="L200" s="123">
        <v>-1</v>
      </c>
      <c r="M200" s="123">
        <v>-1</v>
      </c>
      <c r="N200" s="123">
        <v>-1</v>
      </c>
      <c r="O200" s="123">
        <v>-1</v>
      </c>
      <c r="P200" s="123">
        <v>-1</v>
      </c>
      <c r="Q200" s="123">
        <v>-1</v>
      </c>
      <c r="R200" s="123">
        <v>-1</v>
      </c>
      <c r="S200" s="123">
        <v>-1</v>
      </c>
      <c r="T200" s="123">
        <v>-1</v>
      </c>
      <c r="U200" s="123">
        <v>-1</v>
      </c>
      <c r="V200" s="123">
        <v>-1</v>
      </c>
      <c r="W200" s="123">
        <v>-1</v>
      </c>
      <c r="X200" s="123">
        <v>-1</v>
      </c>
      <c r="Y200" s="123">
        <v>-1</v>
      </c>
      <c r="Z200" s="123">
        <v>-1</v>
      </c>
      <c r="AA200" s="123">
        <v>-1</v>
      </c>
      <c r="AB200" s="123">
        <v>-1</v>
      </c>
      <c r="AC200" s="129"/>
      <c r="AD200" s="129"/>
      <c r="AE200" s="129"/>
      <c r="AF200" s="129"/>
      <c r="AG200" s="129"/>
      <c r="AH200" s="129"/>
      <c r="AI200" s="129"/>
      <c r="AJ200" s="124">
        <v>0</v>
      </c>
      <c r="AK200" s="124">
        <v>0</v>
      </c>
      <c r="AL200" s="124">
        <v>0</v>
      </c>
      <c r="AM200" s="124">
        <v>0</v>
      </c>
      <c r="AN200" s="124">
        <v>0</v>
      </c>
      <c r="AO200" s="125">
        <v>0</v>
      </c>
      <c r="AP200" s="125">
        <v>0</v>
      </c>
      <c r="AQ200" s="125">
        <v>0</v>
      </c>
      <c r="AR200" s="125">
        <v>0</v>
      </c>
      <c r="AS200" s="125">
        <v>0</v>
      </c>
      <c r="AT200" s="125">
        <v>0</v>
      </c>
      <c r="AU200" s="125">
        <v>0</v>
      </c>
      <c r="AV200" s="125">
        <v>0</v>
      </c>
      <c r="AW200" s="125">
        <v>0</v>
      </c>
      <c r="AX200" s="125">
        <v>0</v>
      </c>
      <c r="AY200" s="126"/>
      <c r="AZ200" s="126"/>
      <c r="BA200" s="126"/>
      <c r="BB200" s="126"/>
      <c r="BC200" s="126"/>
      <c r="BD200" s="126"/>
      <c r="BE200" s="126"/>
    </row>
    <row r="201" spans="1:63" x14ac:dyDescent="0.25">
      <c r="B201" s="142">
        <v>14991505</v>
      </c>
      <c r="C201" s="122" t="s">
        <v>179</v>
      </c>
      <c r="D201" s="123">
        <v>-1</v>
      </c>
      <c r="E201" s="123">
        <v>-1</v>
      </c>
      <c r="F201" s="123">
        <v>-1</v>
      </c>
      <c r="G201" s="123">
        <v>-1</v>
      </c>
      <c r="H201" s="123">
        <v>-1</v>
      </c>
      <c r="I201" s="123">
        <v>-1</v>
      </c>
      <c r="J201" s="123">
        <v>-1</v>
      </c>
      <c r="K201" s="123">
        <v>-1</v>
      </c>
      <c r="L201" s="123">
        <v>-1</v>
      </c>
      <c r="M201" s="123">
        <v>-1</v>
      </c>
      <c r="N201" s="123">
        <v>-1</v>
      </c>
      <c r="O201" s="123">
        <v>-1</v>
      </c>
      <c r="P201" s="123">
        <v>-1</v>
      </c>
      <c r="Q201" s="123">
        <v>-1</v>
      </c>
      <c r="R201" s="123">
        <v>-1</v>
      </c>
      <c r="S201" s="123">
        <v>-1</v>
      </c>
      <c r="T201" s="123">
        <v>-1</v>
      </c>
      <c r="U201" s="123">
        <v>-1</v>
      </c>
      <c r="V201" s="123">
        <v>-1</v>
      </c>
      <c r="W201" s="123">
        <v>-1</v>
      </c>
      <c r="X201" s="123">
        <v>-1</v>
      </c>
      <c r="Y201" s="123">
        <v>-1</v>
      </c>
      <c r="Z201" s="123">
        <v>-1</v>
      </c>
      <c r="AA201" s="123">
        <v>-1</v>
      </c>
      <c r="AB201" s="123">
        <v>-1</v>
      </c>
      <c r="AC201" s="129"/>
      <c r="AD201" s="129"/>
      <c r="AE201" s="129"/>
      <c r="AF201" s="129"/>
      <c r="AG201" s="129"/>
      <c r="AH201" s="129"/>
      <c r="AI201" s="129"/>
      <c r="AJ201" s="124">
        <v>0</v>
      </c>
      <c r="AK201" s="124">
        <v>0</v>
      </c>
      <c r="AL201" s="124">
        <v>0</v>
      </c>
      <c r="AM201" s="124">
        <v>0</v>
      </c>
      <c r="AN201" s="124">
        <v>0</v>
      </c>
      <c r="AO201" s="125">
        <v>0</v>
      </c>
      <c r="AP201" s="125">
        <v>0</v>
      </c>
      <c r="AQ201" s="125">
        <v>0</v>
      </c>
      <c r="AR201" s="125">
        <v>0</v>
      </c>
      <c r="AS201" s="125">
        <v>0</v>
      </c>
      <c r="AT201" s="125">
        <v>0</v>
      </c>
      <c r="AU201" s="125">
        <v>0</v>
      </c>
      <c r="AV201" s="125">
        <v>0</v>
      </c>
      <c r="AW201" s="125">
        <v>0</v>
      </c>
      <c r="AX201" s="125">
        <v>0</v>
      </c>
      <c r="AY201" s="126"/>
      <c r="AZ201" s="126"/>
      <c r="BA201" s="126"/>
      <c r="BB201" s="126"/>
      <c r="BC201" s="126"/>
      <c r="BD201" s="126"/>
      <c r="BE201" s="126"/>
    </row>
    <row r="202" spans="1:63" x14ac:dyDescent="0.25">
      <c r="B202" s="142">
        <v>149920</v>
      </c>
      <c r="C202" s="122" t="s">
        <v>180</v>
      </c>
      <c r="D202" s="123">
        <v>-132841.28</v>
      </c>
      <c r="E202" s="123">
        <v>-109979.83</v>
      </c>
      <c r="F202" s="123">
        <v>-100365.86</v>
      </c>
      <c r="G202" s="123">
        <v>-100764.58</v>
      </c>
      <c r="H202" s="123">
        <v>-104945.76</v>
      </c>
      <c r="I202" s="123">
        <v>-99018.59</v>
      </c>
      <c r="J202" s="123">
        <v>-102598.06</v>
      </c>
      <c r="K202" s="123">
        <v>-101490.59</v>
      </c>
      <c r="L202" s="123">
        <v>-102218.46</v>
      </c>
      <c r="M202" s="123">
        <v>-102334.49</v>
      </c>
      <c r="N202" s="123">
        <v>-105845.64</v>
      </c>
      <c r="O202" s="123">
        <v>-121619.24</v>
      </c>
      <c r="P202" s="123">
        <v>-142248.12</v>
      </c>
      <c r="Q202" s="123">
        <v>-226754.59</v>
      </c>
      <c r="R202" s="123">
        <v>-264203.17</v>
      </c>
      <c r="S202" s="123">
        <v>-298723.78999999998</v>
      </c>
      <c r="T202" s="123">
        <v>-337735.91</v>
      </c>
      <c r="U202" s="123">
        <v>-372792.55</v>
      </c>
      <c r="V202" s="123">
        <v>-423376.16</v>
      </c>
      <c r="W202" s="123">
        <v>-468457.31999999995</v>
      </c>
      <c r="X202" s="123">
        <v>-426626.95</v>
      </c>
      <c r="Y202" s="123">
        <v>-453662.7</v>
      </c>
      <c r="Z202" s="123">
        <v>-493283.05</v>
      </c>
      <c r="AA202" s="123">
        <v>-474809.64</v>
      </c>
      <c r="AB202" s="123">
        <v>-483028.52</v>
      </c>
      <c r="AC202" s="124">
        <v>-522867.74</v>
      </c>
      <c r="AD202" s="124">
        <v>-573683.67000000004</v>
      </c>
      <c r="AE202" s="124">
        <v>-549988.26</v>
      </c>
      <c r="AF202" s="124">
        <v>-581331.82999999996</v>
      </c>
      <c r="AG202" s="124">
        <v>-615345.26</v>
      </c>
      <c r="AH202" s="124">
        <v>-622303.18999999994</v>
      </c>
      <c r="AI202" s="124">
        <v>-588770.92000000004</v>
      </c>
      <c r="AJ202" s="124">
        <v>-682593.65</v>
      </c>
      <c r="AK202" s="124">
        <v>-730953.14</v>
      </c>
      <c r="AL202" s="124">
        <v>-832906.94</v>
      </c>
      <c r="AM202" s="124">
        <v>-797632.57</v>
      </c>
      <c r="AN202" s="124">
        <v>-126415.22</v>
      </c>
      <c r="AO202" s="125">
        <v>-127642.14</v>
      </c>
      <c r="AP202" s="125">
        <v>-156296.82999999999</v>
      </c>
      <c r="AQ202" s="125">
        <v>-163232.81</v>
      </c>
      <c r="AR202" s="125">
        <v>-152889.13</v>
      </c>
      <c r="AS202" s="125">
        <v>-166966.03</v>
      </c>
      <c r="AT202" s="125">
        <v>-204050.14</v>
      </c>
      <c r="AU202" s="125">
        <v>-235371.18</v>
      </c>
      <c r="AV202" s="125">
        <v>-275932.86</v>
      </c>
      <c r="AW202" s="125">
        <v>-267714.03000000003</v>
      </c>
      <c r="AX202" s="125">
        <v>-224495.77</v>
      </c>
      <c r="AY202" s="126"/>
      <c r="AZ202" s="126"/>
      <c r="BA202" s="126"/>
      <c r="BB202" s="126"/>
      <c r="BC202" s="126"/>
      <c r="BD202" s="126"/>
      <c r="BE202" s="126"/>
      <c r="BF202" s="127">
        <v>149920</v>
      </c>
      <c r="BG202" s="97" t="s">
        <v>180</v>
      </c>
      <c r="BH202" s="127">
        <v>-622303.18999999994</v>
      </c>
      <c r="BI202" s="127">
        <v>149920</v>
      </c>
      <c r="BJ202" s="97" t="s">
        <v>180</v>
      </c>
      <c r="BK202" s="127">
        <v>-588770.92000000004</v>
      </c>
    </row>
    <row r="203" spans="1:63" x14ac:dyDescent="0.25">
      <c r="B203" s="142">
        <v>14992005</v>
      </c>
      <c r="C203" s="122" t="s">
        <v>181</v>
      </c>
      <c r="D203" s="123">
        <v>-132841.28</v>
      </c>
      <c r="E203" s="123">
        <v>-109979.83</v>
      </c>
      <c r="F203" s="123">
        <v>-100365.86</v>
      </c>
      <c r="G203" s="123">
        <v>-100764.58</v>
      </c>
      <c r="H203" s="123">
        <v>-104945.76</v>
      </c>
      <c r="I203" s="123">
        <v>-99018.59</v>
      </c>
      <c r="J203" s="123">
        <v>-102598.06</v>
      </c>
      <c r="K203" s="123">
        <v>-101490.59</v>
      </c>
      <c r="L203" s="123">
        <v>-102218.46</v>
      </c>
      <c r="M203" s="123">
        <v>-102334.49</v>
      </c>
      <c r="N203" s="123">
        <v>-105845.64</v>
      </c>
      <c r="O203" s="123">
        <v>-121619.24</v>
      </c>
      <c r="P203" s="123">
        <v>-142248.12</v>
      </c>
      <c r="Q203" s="123">
        <v>-226754.59</v>
      </c>
      <c r="R203" s="123">
        <v>-264203.17</v>
      </c>
      <c r="S203" s="123">
        <v>-298723.78999999998</v>
      </c>
      <c r="T203" s="123">
        <v>-337735.91</v>
      </c>
      <c r="U203" s="123">
        <v>-372792.55</v>
      </c>
      <c r="V203" s="123">
        <v>-423376.16</v>
      </c>
      <c r="W203" s="123">
        <v>-468457.31999999995</v>
      </c>
      <c r="X203" s="123">
        <v>-426626.95</v>
      </c>
      <c r="Y203" s="123">
        <v>-453662.7</v>
      </c>
      <c r="Z203" s="123">
        <v>-493283.05</v>
      </c>
      <c r="AA203" s="123">
        <v>-474809.64</v>
      </c>
      <c r="AB203" s="123">
        <v>-483028.52</v>
      </c>
      <c r="AC203" s="124">
        <v>-522867.74</v>
      </c>
      <c r="AD203" s="124">
        <v>-573683.67000000004</v>
      </c>
      <c r="AE203" s="124">
        <v>-549988.26</v>
      </c>
      <c r="AF203" s="124">
        <v>-581331.82999999996</v>
      </c>
      <c r="AG203" s="124">
        <v>-615345.26</v>
      </c>
      <c r="AH203" s="124">
        <v>-622303.18999999994</v>
      </c>
      <c r="AI203" s="124">
        <v>-588770.92000000004</v>
      </c>
      <c r="AJ203" s="124">
        <v>-682593.65</v>
      </c>
      <c r="AK203" s="124">
        <v>-730953.14</v>
      </c>
      <c r="AL203" s="124">
        <v>-832906.94</v>
      </c>
      <c r="AM203" s="124">
        <v>-797632.57</v>
      </c>
      <c r="AN203" s="124">
        <v>-126415.22</v>
      </c>
      <c r="AO203" s="125">
        <v>-127642.14</v>
      </c>
      <c r="AP203" s="125">
        <v>-156296.82999999999</v>
      </c>
      <c r="AQ203" s="125">
        <v>-163232.81</v>
      </c>
      <c r="AR203" s="125">
        <v>-152889.13</v>
      </c>
      <c r="AS203" s="125">
        <v>-166966.03</v>
      </c>
      <c r="AT203" s="125">
        <v>-204050.14</v>
      </c>
      <c r="AU203" s="125">
        <v>-235371.18</v>
      </c>
      <c r="AV203" s="125">
        <v>-275932.86</v>
      </c>
      <c r="AW203" s="125">
        <v>-267714.03000000003</v>
      </c>
      <c r="AX203" s="125">
        <v>-224495.77</v>
      </c>
      <c r="AY203" s="126"/>
      <c r="AZ203" s="126"/>
      <c r="BA203" s="126"/>
      <c r="BB203" s="126"/>
      <c r="BC203" s="126"/>
      <c r="BD203" s="126"/>
      <c r="BE203" s="126"/>
      <c r="BF203" s="127">
        <v>14992005</v>
      </c>
      <c r="BG203" s="97" t="s">
        <v>181</v>
      </c>
      <c r="BH203" s="127">
        <v>-622303.18999999994</v>
      </c>
      <c r="BI203" s="127">
        <v>14992005</v>
      </c>
      <c r="BJ203" s="97" t="s">
        <v>181</v>
      </c>
      <c r="BK203" s="127">
        <v>-588770.92000000004</v>
      </c>
    </row>
    <row r="204" spans="1:63" s="113" customFormat="1" x14ac:dyDescent="0.25">
      <c r="A204" s="97"/>
      <c r="B204" s="121">
        <v>149945</v>
      </c>
      <c r="C204" s="122" t="s">
        <v>182</v>
      </c>
      <c r="D204" s="123">
        <v>-66003.45</v>
      </c>
      <c r="E204" s="123">
        <v>-66331.72</v>
      </c>
      <c r="F204" s="123">
        <v>-63473.03</v>
      </c>
      <c r="G204" s="123">
        <v>-8461.17</v>
      </c>
      <c r="H204" s="123">
        <v>-8690.77</v>
      </c>
      <c r="I204" s="123">
        <v>-7873.26</v>
      </c>
      <c r="J204" s="123">
        <v>-8723.8799999999992</v>
      </c>
      <c r="K204" s="123">
        <v>-10419.07</v>
      </c>
      <c r="L204" s="123">
        <v>-9699.1</v>
      </c>
      <c r="M204" s="123">
        <v>-7440.71</v>
      </c>
      <c r="N204" s="123">
        <v>-7290.18</v>
      </c>
      <c r="O204" s="123">
        <v>-7275.36</v>
      </c>
      <c r="P204" s="123">
        <v>-7275.36</v>
      </c>
      <c r="Q204" s="123">
        <v>-7394.6</v>
      </c>
      <c r="R204" s="123">
        <v>-7326.18</v>
      </c>
      <c r="S204" s="123">
        <v>-7435.93</v>
      </c>
      <c r="T204" s="123">
        <v>-7736.66</v>
      </c>
      <c r="U204" s="123">
        <v>-9345.7999999999993</v>
      </c>
      <c r="V204" s="123">
        <v>-11520.46</v>
      </c>
      <c r="W204" s="123">
        <v>-14554.06</v>
      </c>
      <c r="X204" s="123">
        <v>-15682.24</v>
      </c>
      <c r="Y204" s="123">
        <v>-16490.189999999999</v>
      </c>
      <c r="Z204" s="123">
        <v>-17242.949999999997</v>
      </c>
      <c r="AA204" s="123">
        <v>-26054.63</v>
      </c>
      <c r="AB204" s="123">
        <v>-43026.23</v>
      </c>
      <c r="AC204" s="124">
        <v>-64372.72</v>
      </c>
      <c r="AD204" s="124">
        <v>-73482.83</v>
      </c>
      <c r="AE204" s="124">
        <v>-80920.820000000007</v>
      </c>
      <c r="AF204" s="124">
        <v>-82715.14</v>
      </c>
      <c r="AG204" s="124">
        <v>-90610.3</v>
      </c>
      <c r="AH204" s="124">
        <v>-95865.1</v>
      </c>
      <c r="AI204" s="124">
        <v>-87959.15</v>
      </c>
      <c r="AJ204" s="124">
        <v>-117734.74</v>
      </c>
      <c r="AK204" s="124">
        <v>-148857.67000000001</v>
      </c>
      <c r="AL204" s="124">
        <v>-125790.49</v>
      </c>
      <c r="AM204" s="124">
        <v>-123864.16</v>
      </c>
      <c r="AN204" s="124">
        <v>-8909.77</v>
      </c>
      <c r="AO204" s="125">
        <v>-12658.63</v>
      </c>
      <c r="AP204" s="125">
        <v>-14728.91</v>
      </c>
      <c r="AQ204" s="125">
        <v>-20272.689999999999</v>
      </c>
      <c r="AR204" s="125">
        <v>-15767.98</v>
      </c>
      <c r="AS204" s="125">
        <v>-15276.43</v>
      </c>
      <c r="AT204" s="125">
        <v>-14103.62</v>
      </c>
      <c r="AU204" s="125">
        <v>-14648.55</v>
      </c>
      <c r="AV204" s="125">
        <v>-18750.39</v>
      </c>
      <c r="AW204" s="125">
        <v>-22385.17</v>
      </c>
      <c r="AX204" s="125">
        <v>-19986.8</v>
      </c>
      <c r="AY204" s="126"/>
      <c r="AZ204" s="126"/>
      <c r="BA204" s="126"/>
      <c r="BB204" s="126"/>
      <c r="BC204" s="126"/>
      <c r="BD204" s="126"/>
      <c r="BE204" s="126"/>
      <c r="BF204" s="127">
        <v>149945</v>
      </c>
      <c r="BG204" s="97" t="s">
        <v>182</v>
      </c>
      <c r="BH204" s="127">
        <v>-95865.1</v>
      </c>
      <c r="BI204" s="127">
        <v>149945</v>
      </c>
      <c r="BJ204" s="97" t="s">
        <v>182</v>
      </c>
      <c r="BK204" s="127">
        <v>-87959.15</v>
      </c>
    </row>
    <row r="205" spans="1:63" x14ac:dyDescent="0.25">
      <c r="B205" s="121">
        <v>149950</v>
      </c>
      <c r="C205" s="122" t="s">
        <v>183</v>
      </c>
      <c r="D205" s="123">
        <v>-63334.29</v>
      </c>
      <c r="E205" s="123">
        <v>-65361.89</v>
      </c>
      <c r="F205" s="123">
        <v>-61721.51</v>
      </c>
      <c r="G205" s="123">
        <v>-105082.47</v>
      </c>
      <c r="H205" s="123">
        <v>-127471.86</v>
      </c>
      <c r="I205" s="123">
        <v>-122754.08</v>
      </c>
      <c r="J205" s="123">
        <v>-116325.5</v>
      </c>
      <c r="K205" s="123">
        <v>-119470.08</v>
      </c>
      <c r="L205" s="123">
        <v>-119688.48</v>
      </c>
      <c r="M205" s="123">
        <v>-115942.44</v>
      </c>
      <c r="N205" s="123">
        <v>-119296.85</v>
      </c>
      <c r="O205" s="123">
        <v>-115667.31</v>
      </c>
      <c r="P205" s="123">
        <v>-115853.18</v>
      </c>
      <c r="Q205" s="123">
        <v>-123814.9</v>
      </c>
      <c r="R205" s="123">
        <v>-119328.19</v>
      </c>
      <c r="S205" s="123">
        <v>-125424.32000000001</v>
      </c>
      <c r="T205" s="123">
        <v>-123157.4</v>
      </c>
      <c r="U205" s="123">
        <v>-114173.81</v>
      </c>
      <c r="V205" s="123">
        <v>-111090.79</v>
      </c>
      <c r="W205" s="123">
        <v>-126847.62</v>
      </c>
      <c r="X205" s="123">
        <v>-166317.31</v>
      </c>
      <c r="Y205" s="123">
        <v>-198419.51</v>
      </c>
      <c r="Z205" s="123">
        <v>-200561.66</v>
      </c>
      <c r="AA205" s="123">
        <v>-218031.18</v>
      </c>
      <c r="AB205" s="123">
        <v>-209079.64</v>
      </c>
      <c r="AC205" s="124">
        <v>-134083.39000000001</v>
      </c>
      <c r="AD205" s="124">
        <v>-150651.38</v>
      </c>
      <c r="AE205" s="124">
        <v>-158468.03</v>
      </c>
      <c r="AF205" s="124">
        <v>-158791.34</v>
      </c>
      <c r="AG205" s="124">
        <v>-140576.57999999999</v>
      </c>
      <c r="AH205" s="124">
        <v>-157568.43</v>
      </c>
      <c r="AI205" s="124">
        <v>-167374.09</v>
      </c>
      <c r="AJ205" s="124">
        <v>-183534.1</v>
      </c>
      <c r="AK205" s="124">
        <v>-200226.66</v>
      </c>
      <c r="AL205" s="124">
        <v>-189810.78</v>
      </c>
      <c r="AM205" s="124">
        <v>-132786.64000000001</v>
      </c>
      <c r="AN205" s="124">
        <v>-21590.49</v>
      </c>
      <c r="AO205" s="125">
        <v>-19905.150000000001</v>
      </c>
      <c r="AP205" s="125">
        <v>-17083.55</v>
      </c>
      <c r="AQ205" s="125">
        <v>-13642.99</v>
      </c>
      <c r="AR205" s="125">
        <v>-15482.82</v>
      </c>
      <c r="AS205" s="125">
        <v>-17378.23</v>
      </c>
      <c r="AT205" s="125">
        <v>-28201.03</v>
      </c>
      <c r="AU205" s="125">
        <v>-37040.550000000003</v>
      </c>
      <c r="AV205" s="125">
        <v>-27341.599999999999</v>
      </c>
      <c r="AW205" s="125">
        <v>-18826.47</v>
      </c>
      <c r="AX205" s="125">
        <v>-15798.23</v>
      </c>
      <c r="AY205" s="126"/>
      <c r="AZ205" s="126"/>
      <c r="BA205" s="126"/>
      <c r="BB205" s="126"/>
      <c r="BC205" s="126"/>
      <c r="BD205" s="126"/>
      <c r="BE205" s="126"/>
      <c r="BF205" s="127">
        <v>149950</v>
      </c>
      <c r="BG205" s="97" t="s">
        <v>183</v>
      </c>
      <c r="BH205" s="127">
        <v>-157568.43</v>
      </c>
      <c r="BI205" s="127">
        <v>149950</v>
      </c>
      <c r="BJ205" s="97" t="s">
        <v>183</v>
      </c>
      <c r="BK205" s="127">
        <v>-167374.09</v>
      </c>
    </row>
    <row r="206" spans="1:63" x14ac:dyDescent="0.25">
      <c r="B206" s="121">
        <v>149980</v>
      </c>
      <c r="C206" s="122" t="s">
        <v>184</v>
      </c>
      <c r="D206" s="123">
        <v>-254395.16</v>
      </c>
      <c r="E206" s="123">
        <v>-261974.17</v>
      </c>
      <c r="F206" s="123">
        <v>-268933.32</v>
      </c>
      <c r="G206" s="123">
        <v>-280934.82</v>
      </c>
      <c r="H206" s="123">
        <v>-285061.02</v>
      </c>
      <c r="I206" s="123">
        <v>-291767.65000000002</v>
      </c>
      <c r="J206" s="123">
        <v>-297306.18</v>
      </c>
      <c r="K206" s="123">
        <v>-301331.92</v>
      </c>
      <c r="L206" s="123">
        <v>-295466.90000000002</v>
      </c>
      <c r="M206" s="123">
        <v>-296691.31</v>
      </c>
      <c r="N206" s="123">
        <v>-300756.5</v>
      </c>
      <c r="O206" s="123">
        <v>-304083.37</v>
      </c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9"/>
      <c r="AD206" s="129"/>
      <c r="AE206" s="129"/>
      <c r="AF206" s="129"/>
      <c r="AG206" s="129"/>
      <c r="AH206" s="129"/>
      <c r="AI206" s="129"/>
      <c r="AJ206" s="124">
        <v>0</v>
      </c>
      <c r="AK206" s="124">
        <v>0</v>
      </c>
      <c r="AL206" s="124">
        <v>0</v>
      </c>
      <c r="AM206" s="124">
        <v>0</v>
      </c>
      <c r="AN206" s="124">
        <v>0</v>
      </c>
      <c r="AO206" s="125">
        <v>0</v>
      </c>
      <c r="AP206" s="125">
        <v>0</v>
      </c>
      <c r="AQ206" s="125">
        <v>0</v>
      </c>
      <c r="AR206" s="125">
        <v>0</v>
      </c>
      <c r="AS206" s="125">
        <v>0</v>
      </c>
      <c r="AT206" s="125">
        <v>0</v>
      </c>
      <c r="AU206" s="125">
        <v>0</v>
      </c>
      <c r="AV206" s="125">
        <v>0</v>
      </c>
      <c r="AW206" s="125">
        <v>0</v>
      </c>
      <c r="AX206" s="125">
        <v>0</v>
      </c>
      <c r="AY206" s="126"/>
      <c r="AZ206" s="126"/>
      <c r="BA206" s="126"/>
      <c r="BB206" s="126"/>
      <c r="BC206" s="126"/>
      <c r="BD206" s="126"/>
      <c r="BE206" s="126"/>
    </row>
    <row r="207" spans="1:63" x14ac:dyDescent="0.25">
      <c r="B207" s="121">
        <v>149985</v>
      </c>
      <c r="C207" s="122" t="s">
        <v>185</v>
      </c>
      <c r="D207" s="123">
        <v>-29381.42</v>
      </c>
      <c r="E207" s="123">
        <v>-29381.42</v>
      </c>
      <c r="F207" s="123">
        <v>-29381.42</v>
      </c>
      <c r="G207" s="123">
        <v>-29381.42</v>
      </c>
      <c r="H207" s="123">
        <v>-29381.42</v>
      </c>
      <c r="I207" s="123">
        <v>-29381.42</v>
      </c>
      <c r="J207" s="123">
        <v>-29381.42</v>
      </c>
      <c r="K207" s="123">
        <v>-29381.42</v>
      </c>
      <c r="L207" s="123">
        <v>-29381.42</v>
      </c>
      <c r="M207" s="123">
        <v>-29381.42</v>
      </c>
      <c r="N207" s="123">
        <v>-29381.42</v>
      </c>
      <c r="O207" s="123">
        <v>-29381.42</v>
      </c>
      <c r="P207" s="123">
        <v>-29381.42</v>
      </c>
      <c r="Q207" s="123">
        <v>-29381.42</v>
      </c>
      <c r="R207" s="123">
        <v>-29381.42</v>
      </c>
      <c r="S207" s="123">
        <v>-29381.42</v>
      </c>
      <c r="T207" s="123">
        <v>-29381.42</v>
      </c>
      <c r="U207" s="123">
        <v>-29381.42</v>
      </c>
      <c r="V207" s="123">
        <v>-29381.42</v>
      </c>
      <c r="W207" s="123">
        <v>-29381.42</v>
      </c>
      <c r="X207" s="123">
        <v>-29381.42</v>
      </c>
      <c r="Y207" s="123">
        <v>-29381.42</v>
      </c>
      <c r="Z207" s="123">
        <v>-29381.42</v>
      </c>
      <c r="AA207" s="123">
        <v>-29381.42</v>
      </c>
      <c r="AB207" s="123">
        <v>-29381.42</v>
      </c>
      <c r="AC207" s="124">
        <v>-29381.42</v>
      </c>
      <c r="AD207" s="124">
        <v>-29381.42</v>
      </c>
      <c r="AE207" s="124">
        <v>-29381.42</v>
      </c>
      <c r="AF207" s="124">
        <v>-29381.42</v>
      </c>
      <c r="AG207" s="124">
        <v>-29381.42</v>
      </c>
      <c r="AH207" s="124">
        <v>-29381.42</v>
      </c>
      <c r="AI207" s="124">
        <v>-29381.42</v>
      </c>
      <c r="AJ207" s="124">
        <v>-29381.42</v>
      </c>
      <c r="AK207" s="124">
        <v>-29381.42</v>
      </c>
      <c r="AL207" s="124">
        <v>-29381.42</v>
      </c>
      <c r="AM207" s="124">
        <v>-29381.42</v>
      </c>
      <c r="AN207" s="124">
        <v>-29381.42</v>
      </c>
      <c r="AO207" s="125">
        <v>-29381.42</v>
      </c>
      <c r="AP207" s="125">
        <v>-29381.42</v>
      </c>
      <c r="AQ207" s="125">
        <v>-29381.42</v>
      </c>
      <c r="AR207" s="125">
        <v>-29381.42</v>
      </c>
      <c r="AS207" s="125">
        <v>-29381.42</v>
      </c>
      <c r="AT207" s="125">
        <v>-29381.42</v>
      </c>
      <c r="AU207" s="125">
        <v>-29381.42</v>
      </c>
      <c r="AV207" s="125">
        <v>-29381.42</v>
      </c>
      <c r="AW207" s="125">
        <v>-29381.42</v>
      </c>
      <c r="AX207" s="125">
        <v>-29381.42</v>
      </c>
      <c r="AY207" s="126"/>
      <c r="AZ207" s="126"/>
      <c r="BA207" s="126"/>
      <c r="BB207" s="126"/>
      <c r="BC207" s="126"/>
      <c r="BD207" s="126"/>
      <c r="BE207" s="126"/>
      <c r="BF207" s="127">
        <v>149985</v>
      </c>
      <c r="BG207" s="97" t="s">
        <v>185</v>
      </c>
      <c r="BH207" s="127">
        <v>-29381.42</v>
      </c>
      <c r="BI207" s="127">
        <v>149985</v>
      </c>
      <c r="BJ207" s="97" t="s">
        <v>185</v>
      </c>
      <c r="BK207" s="127">
        <v>-29381.42</v>
      </c>
    </row>
    <row r="208" spans="1:63" x14ac:dyDescent="0.25">
      <c r="A208" s="113"/>
      <c r="B208" s="121">
        <v>149987</v>
      </c>
      <c r="C208" s="122" t="s">
        <v>186</v>
      </c>
      <c r="D208" s="123">
        <v>-389519.28</v>
      </c>
      <c r="E208" s="123">
        <v>-389519.28</v>
      </c>
      <c r="F208" s="123">
        <v>-389519.28</v>
      </c>
      <c r="G208" s="123">
        <v>-389519.28</v>
      </c>
      <c r="H208" s="123">
        <v>-389519.28</v>
      </c>
      <c r="I208" s="123">
        <v>-389519.28</v>
      </c>
      <c r="J208" s="123">
        <v>-389519.28</v>
      </c>
      <c r="K208" s="123">
        <v>-389519.28</v>
      </c>
      <c r="L208" s="123">
        <v>-389519.28</v>
      </c>
      <c r="M208" s="123">
        <v>-389519.28</v>
      </c>
      <c r="N208" s="123">
        <v>-389519.28</v>
      </c>
      <c r="O208" s="123">
        <v>-389519.28</v>
      </c>
      <c r="P208" s="123">
        <v>-389519.28</v>
      </c>
      <c r="Q208" s="123">
        <v>-154766.68</v>
      </c>
      <c r="R208" s="123">
        <v>-59513.08</v>
      </c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9"/>
      <c r="AD208" s="129"/>
      <c r="AE208" s="129"/>
      <c r="AF208" s="129"/>
      <c r="AG208" s="129"/>
      <c r="AH208" s="129"/>
      <c r="AI208" s="129"/>
      <c r="AJ208" s="124">
        <v>0</v>
      </c>
      <c r="AK208" s="124">
        <v>0</v>
      </c>
      <c r="AL208" s="124">
        <v>0</v>
      </c>
      <c r="AM208" s="124">
        <v>0</v>
      </c>
      <c r="AN208" s="124">
        <v>0</v>
      </c>
      <c r="AO208" s="125">
        <v>-2085470.36</v>
      </c>
      <c r="AP208" s="125">
        <v>-2040691.14</v>
      </c>
      <c r="AQ208" s="125">
        <v>-1984488.9</v>
      </c>
      <c r="AR208" s="125">
        <v>-1939508.33</v>
      </c>
      <c r="AS208" s="125">
        <v>-1944271.84</v>
      </c>
      <c r="AT208" s="125">
        <v>-1888251.95</v>
      </c>
      <c r="AU208" s="125">
        <v>-1841423.03</v>
      </c>
      <c r="AV208" s="125">
        <v>-1892295.57</v>
      </c>
      <c r="AW208" s="125">
        <v>-1927692.51</v>
      </c>
      <c r="AX208" s="125">
        <v>-279690.67</v>
      </c>
      <c r="AY208" s="126"/>
      <c r="AZ208" s="126"/>
      <c r="BA208" s="126"/>
      <c r="BB208" s="126"/>
      <c r="BC208" s="126"/>
      <c r="BD208" s="126"/>
      <c r="BE208" s="126"/>
    </row>
    <row r="209" spans="1:63" x14ac:dyDescent="0.25">
      <c r="B209" s="121">
        <v>149989</v>
      </c>
      <c r="C209" s="122" t="s">
        <v>187</v>
      </c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3">
        <v>-2545.4499999999998</v>
      </c>
      <c r="Q209" s="123">
        <v>-2545.4499999999998</v>
      </c>
      <c r="R209" s="123">
        <v>-2545.4499999999998</v>
      </c>
      <c r="S209" s="123">
        <v>-2545.4499999999998</v>
      </c>
      <c r="T209" s="123">
        <v>-2545.4499999999998</v>
      </c>
      <c r="U209" s="123">
        <v>-2545.4499999999998</v>
      </c>
      <c r="V209" s="123">
        <v>-2545.4499999999998</v>
      </c>
      <c r="W209" s="123">
        <v>-2545.4499999999998</v>
      </c>
      <c r="X209" s="123">
        <v>-2545.4499999999998</v>
      </c>
      <c r="Y209" s="123">
        <v>-2545.4499999999998</v>
      </c>
      <c r="Z209" s="123">
        <v>-2545.4499999999998</v>
      </c>
      <c r="AA209" s="123">
        <v>-2545.4499999999998</v>
      </c>
      <c r="AB209" s="123">
        <v>-2545.4499999999998</v>
      </c>
      <c r="AC209" s="124">
        <v>-2545.4499999999998</v>
      </c>
      <c r="AD209" s="124">
        <v>-2545.4499999999998</v>
      </c>
      <c r="AE209" s="124">
        <v>-2545.4499999999998</v>
      </c>
      <c r="AF209" s="124">
        <v>-2545.4499999999998</v>
      </c>
      <c r="AG209" s="124">
        <v>-2545.4499999999998</v>
      </c>
      <c r="AH209" s="124">
        <v>-2545.4499999999998</v>
      </c>
      <c r="AI209" s="124">
        <v>-2545.4499999999998</v>
      </c>
      <c r="AJ209" s="124">
        <v>-2545.4499999999998</v>
      </c>
      <c r="AK209" s="124">
        <v>-2545.4499999999998</v>
      </c>
      <c r="AL209" s="124">
        <v>-2545.4499999999998</v>
      </c>
      <c r="AM209" s="124">
        <v>-2545.4499999999998</v>
      </c>
      <c r="AN209" s="124">
        <v>-2545.4499999999998</v>
      </c>
      <c r="AO209" s="125">
        <v>-2545.4499999999998</v>
      </c>
      <c r="AP209" s="125">
        <v>-2545.4499999999998</v>
      </c>
      <c r="AQ209" s="125">
        <v>-2545.4499999999998</v>
      </c>
      <c r="AR209" s="125">
        <v>-2545.4499999999998</v>
      </c>
      <c r="AS209" s="125">
        <v>-2545.4499999999998</v>
      </c>
      <c r="AT209" s="125">
        <v>-2545.4499999999998</v>
      </c>
      <c r="AU209" s="125">
        <v>-2545.4499999999998</v>
      </c>
      <c r="AV209" s="125">
        <v>-2545.4499999999998</v>
      </c>
      <c r="AW209" s="125">
        <v>-2545.4499999999998</v>
      </c>
      <c r="AX209" s="125">
        <v>-2545.4499999999998</v>
      </c>
      <c r="AY209" s="126"/>
      <c r="AZ209" s="126"/>
      <c r="BA209" s="126"/>
      <c r="BB209" s="126"/>
      <c r="BC209" s="126"/>
      <c r="BD209" s="126"/>
      <c r="BE209" s="126"/>
      <c r="BF209" s="127">
        <v>149989</v>
      </c>
      <c r="BG209" s="97" t="s">
        <v>187</v>
      </c>
      <c r="BH209" s="127">
        <v>-2545.4499999999998</v>
      </c>
      <c r="BI209" s="127">
        <v>149989</v>
      </c>
      <c r="BJ209" s="97" t="s">
        <v>187</v>
      </c>
      <c r="BK209" s="127">
        <v>-2545.4499999999998</v>
      </c>
    </row>
    <row r="210" spans="1:63" x14ac:dyDescent="0.25">
      <c r="B210" s="114">
        <v>16</v>
      </c>
      <c r="C210" s="115" t="s">
        <v>188</v>
      </c>
      <c r="D210" s="116">
        <v>374570.31</v>
      </c>
      <c r="E210" s="116">
        <v>395409.08</v>
      </c>
      <c r="F210" s="116">
        <v>418468.79</v>
      </c>
      <c r="G210" s="116">
        <v>436924.29</v>
      </c>
      <c r="H210" s="116">
        <v>481738.38</v>
      </c>
      <c r="I210" s="116">
        <v>494859.9</v>
      </c>
      <c r="J210" s="116">
        <v>395558.51</v>
      </c>
      <c r="K210" s="116">
        <v>429184.2</v>
      </c>
      <c r="L210" s="116">
        <v>435723.91</v>
      </c>
      <c r="M210" s="116">
        <v>381483.84</v>
      </c>
      <c r="N210" s="116">
        <v>405957.19</v>
      </c>
      <c r="O210" s="116">
        <v>416646.59</v>
      </c>
      <c r="P210" s="116">
        <v>479052.45</v>
      </c>
      <c r="Q210" s="116">
        <v>435414.28</v>
      </c>
      <c r="R210" s="116">
        <v>465497.76</v>
      </c>
      <c r="S210" s="116">
        <v>417367.98</v>
      </c>
      <c r="T210" s="116">
        <v>485192.2</v>
      </c>
      <c r="U210" s="116">
        <v>502075.44</v>
      </c>
      <c r="V210" s="116">
        <v>433901.94</v>
      </c>
      <c r="W210" s="116">
        <v>464255.2</v>
      </c>
      <c r="X210" s="116">
        <v>481869.2</v>
      </c>
      <c r="Y210" s="116">
        <v>471418.33</v>
      </c>
      <c r="Z210" s="116">
        <v>483600.53</v>
      </c>
      <c r="AA210" s="116">
        <v>578966.51</v>
      </c>
      <c r="AB210" s="116">
        <v>618511.66</v>
      </c>
      <c r="AC210" s="117">
        <v>555720.21</v>
      </c>
      <c r="AD210" s="117">
        <v>615593.41</v>
      </c>
      <c r="AE210" s="117">
        <v>666923.86</v>
      </c>
      <c r="AF210" s="117">
        <v>676195.94</v>
      </c>
      <c r="AG210" s="117">
        <v>724045.08</v>
      </c>
      <c r="AH210" s="117">
        <v>768495.23</v>
      </c>
      <c r="AI210" s="117">
        <v>917096.08</v>
      </c>
      <c r="AJ210" s="117">
        <v>950330</v>
      </c>
      <c r="AK210" s="117">
        <v>1358404.62</v>
      </c>
      <c r="AL210" s="117">
        <v>1305371.47</v>
      </c>
      <c r="AM210" s="117">
        <v>2381397.16</v>
      </c>
      <c r="AN210" s="117">
        <v>2242483.13</v>
      </c>
      <c r="AO210" s="118">
        <v>2177381.0499999998</v>
      </c>
      <c r="AP210" s="118">
        <v>2236929.62</v>
      </c>
      <c r="AQ210" s="118">
        <v>2191634.6800000002</v>
      </c>
      <c r="AR210" s="118">
        <v>2278318.33</v>
      </c>
      <c r="AS210" s="118">
        <v>2859721.4</v>
      </c>
      <c r="AT210" s="118">
        <v>2332531.14</v>
      </c>
      <c r="AU210" s="118">
        <v>2426805.62</v>
      </c>
      <c r="AV210" s="118">
        <v>2780179.55</v>
      </c>
      <c r="AW210" s="118">
        <v>3000266.04</v>
      </c>
      <c r="AX210" s="118">
        <v>3833180.33</v>
      </c>
      <c r="AY210" s="119"/>
      <c r="AZ210" s="119"/>
      <c r="BA210" s="119"/>
      <c r="BB210" s="119"/>
      <c r="BC210" s="119"/>
      <c r="BD210" s="119"/>
      <c r="BE210" s="119"/>
      <c r="BF210" s="120">
        <v>16</v>
      </c>
      <c r="BG210" s="113" t="s">
        <v>188</v>
      </c>
      <c r="BH210" s="120">
        <v>768495.23</v>
      </c>
      <c r="BI210" s="127">
        <v>16</v>
      </c>
      <c r="BJ210" s="97" t="s">
        <v>188</v>
      </c>
      <c r="BK210" s="127">
        <v>917096.08</v>
      </c>
    </row>
    <row r="211" spans="1:63" s="113" customFormat="1" x14ac:dyDescent="0.25">
      <c r="A211" s="97"/>
      <c r="B211" s="121">
        <v>1602</v>
      </c>
      <c r="C211" s="122" t="s">
        <v>189</v>
      </c>
      <c r="D211" s="116">
        <v>2695.62</v>
      </c>
      <c r="E211" s="116">
        <v>2986.34</v>
      </c>
      <c r="F211" s="116">
        <v>4044.66</v>
      </c>
      <c r="G211" s="116">
        <v>6782.78</v>
      </c>
      <c r="H211" s="116">
        <v>8908.67</v>
      </c>
      <c r="I211" s="116">
        <v>6628.52</v>
      </c>
      <c r="J211" s="116">
        <v>6936.36</v>
      </c>
      <c r="K211" s="116">
        <v>10310.89</v>
      </c>
      <c r="L211" s="116">
        <v>3598.88</v>
      </c>
      <c r="M211" s="116">
        <v>9784.23</v>
      </c>
      <c r="N211" s="116">
        <v>19453.53</v>
      </c>
      <c r="O211" s="116">
        <v>24888.34</v>
      </c>
      <c r="P211" s="116">
        <v>19790.919999999998</v>
      </c>
      <c r="Q211" s="116">
        <v>23202.75</v>
      </c>
      <c r="R211" s="116">
        <v>23995.29</v>
      </c>
      <c r="S211" s="116">
        <v>13204.94</v>
      </c>
      <c r="T211" s="116">
        <v>8988.5400000000009</v>
      </c>
      <c r="U211" s="116">
        <v>10389.549999999999</v>
      </c>
      <c r="V211" s="116">
        <v>4899.3100000000004</v>
      </c>
      <c r="W211" s="116">
        <v>80.55</v>
      </c>
      <c r="X211" s="116">
        <v>80.55</v>
      </c>
      <c r="Y211" s="116">
        <v>604.16</v>
      </c>
      <c r="Z211" s="141"/>
      <c r="AA211" s="116">
        <v>11147.18</v>
      </c>
      <c r="AB211" s="116">
        <v>48988.84</v>
      </c>
      <c r="AC211" s="124">
        <v>22417</v>
      </c>
      <c r="AD211" s="124">
        <v>43650.73</v>
      </c>
      <c r="AE211" s="124">
        <v>46699.24</v>
      </c>
      <c r="AF211" s="124">
        <v>22243.66</v>
      </c>
      <c r="AG211" s="124">
        <v>46466.43</v>
      </c>
      <c r="AH211" s="124">
        <v>49516.06</v>
      </c>
      <c r="AI211" s="124">
        <v>21824.240000000002</v>
      </c>
      <c r="AJ211" s="124">
        <v>42437.64</v>
      </c>
      <c r="AK211" s="124">
        <v>44835.4</v>
      </c>
      <c r="AL211" s="124">
        <v>26079.78</v>
      </c>
      <c r="AM211" s="124">
        <v>51468.03</v>
      </c>
      <c r="AN211" s="124">
        <v>55278.87</v>
      </c>
      <c r="AO211" s="125">
        <v>25268.6</v>
      </c>
      <c r="AP211" s="125">
        <v>49154.82</v>
      </c>
      <c r="AQ211" s="125">
        <v>54553.02</v>
      </c>
      <c r="AR211" s="125">
        <v>26812.61</v>
      </c>
      <c r="AS211" s="125">
        <v>46299.64</v>
      </c>
      <c r="AT211" s="125">
        <v>44311.77</v>
      </c>
      <c r="AU211" s="125">
        <v>24530.89</v>
      </c>
      <c r="AV211" s="125">
        <v>24529.34</v>
      </c>
      <c r="AW211" s="125">
        <v>31831.65</v>
      </c>
      <c r="AX211" s="125">
        <v>8592.19</v>
      </c>
      <c r="AY211" s="126"/>
      <c r="AZ211" s="126"/>
      <c r="BA211" s="126"/>
      <c r="BB211" s="126"/>
      <c r="BC211" s="126"/>
      <c r="BD211" s="126"/>
      <c r="BE211" s="126"/>
      <c r="BF211" s="127">
        <v>1602</v>
      </c>
      <c r="BG211" s="97" t="s">
        <v>189</v>
      </c>
      <c r="BH211" s="127">
        <v>49516.06</v>
      </c>
      <c r="BI211" s="120">
        <v>1602</v>
      </c>
      <c r="BJ211" s="113" t="s">
        <v>189</v>
      </c>
      <c r="BK211" s="120">
        <v>21824.240000000002</v>
      </c>
    </row>
    <row r="212" spans="1:63" x14ac:dyDescent="0.25">
      <c r="B212" s="121">
        <v>160210</v>
      </c>
      <c r="C212" s="122" t="s">
        <v>190</v>
      </c>
      <c r="D212" s="123">
        <v>2534.5100000000002</v>
      </c>
      <c r="E212" s="123">
        <v>2825.23</v>
      </c>
      <c r="F212" s="123">
        <v>3923.83</v>
      </c>
      <c r="G212" s="123">
        <v>6641.81</v>
      </c>
      <c r="H212" s="123">
        <v>8787.84</v>
      </c>
      <c r="I212" s="123">
        <v>6487.55</v>
      </c>
      <c r="J212" s="123">
        <v>6795.39</v>
      </c>
      <c r="K212" s="123">
        <v>10169.92</v>
      </c>
      <c r="L212" s="123">
        <v>3437.77</v>
      </c>
      <c r="M212" s="123">
        <v>9623.1200000000008</v>
      </c>
      <c r="N212" s="123">
        <v>19292.419999999998</v>
      </c>
      <c r="O212" s="123">
        <v>24727.23</v>
      </c>
      <c r="P212" s="123">
        <v>19609.669999999998</v>
      </c>
      <c r="Q212" s="123">
        <v>23021.5</v>
      </c>
      <c r="R212" s="123">
        <v>23874.46</v>
      </c>
      <c r="S212" s="123">
        <v>13104.25</v>
      </c>
      <c r="T212" s="123">
        <v>8887.85</v>
      </c>
      <c r="U212" s="123">
        <v>10329.129999999999</v>
      </c>
      <c r="V212" s="123">
        <v>4838.8900000000003</v>
      </c>
      <c r="W212" s="128"/>
      <c r="X212" s="128"/>
      <c r="Y212" s="128"/>
      <c r="Z212" s="128"/>
      <c r="AA212" s="123">
        <v>11147.18</v>
      </c>
      <c r="AB212" s="123">
        <v>48988.84</v>
      </c>
      <c r="AC212" s="124">
        <v>22417</v>
      </c>
      <c r="AD212" s="124">
        <v>43650.73</v>
      </c>
      <c r="AE212" s="124">
        <v>46699.24</v>
      </c>
      <c r="AF212" s="124">
        <v>22243.66</v>
      </c>
      <c r="AG212" s="124">
        <v>46466.43</v>
      </c>
      <c r="AH212" s="124">
        <v>49516.06</v>
      </c>
      <c r="AI212" s="124">
        <v>21824.240000000002</v>
      </c>
      <c r="AJ212" s="124">
        <v>42437.64</v>
      </c>
      <c r="AK212" s="124">
        <v>44835.4</v>
      </c>
      <c r="AL212" s="124">
        <v>26079.78</v>
      </c>
      <c r="AM212" s="124">
        <v>51468.03</v>
      </c>
      <c r="AN212" s="124">
        <v>55278.87</v>
      </c>
      <c r="AO212" s="125">
        <v>25268.6</v>
      </c>
      <c r="AP212" s="125">
        <v>49154.82</v>
      </c>
      <c r="AQ212" s="125">
        <v>54553.02</v>
      </c>
      <c r="AR212" s="125">
        <v>26812.61</v>
      </c>
      <c r="AS212" s="125">
        <v>46299.64</v>
      </c>
      <c r="AT212" s="125">
        <v>44311.77</v>
      </c>
      <c r="AU212" s="125">
        <v>24530.89</v>
      </c>
      <c r="AV212" s="125">
        <v>24529.34</v>
      </c>
      <c r="AW212" s="125">
        <v>31831.65</v>
      </c>
      <c r="AX212" s="125">
        <v>8592.19</v>
      </c>
      <c r="AY212" s="126"/>
      <c r="AZ212" s="126"/>
      <c r="BA212" s="126"/>
      <c r="BB212" s="126"/>
      <c r="BC212" s="126"/>
      <c r="BD212" s="126"/>
      <c r="BE212" s="126"/>
      <c r="BF212" s="127">
        <v>160210</v>
      </c>
      <c r="BG212" s="97" t="s">
        <v>190</v>
      </c>
      <c r="BH212" s="127">
        <v>49516.06</v>
      </c>
      <c r="BI212" s="127">
        <v>160210</v>
      </c>
      <c r="BJ212" s="97" t="s">
        <v>190</v>
      </c>
      <c r="BK212" s="127">
        <v>21824.240000000002</v>
      </c>
    </row>
    <row r="213" spans="1:63" x14ac:dyDescent="0.25">
      <c r="B213" s="121">
        <v>160220</v>
      </c>
      <c r="C213" s="122" t="s">
        <v>108</v>
      </c>
      <c r="D213" s="123">
        <v>161.11000000000001</v>
      </c>
      <c r="E213" s="123">
        <v>161.11000000000001</v>
      </c>
      <c r="F213" s="123">
        <v>120.83</v>
      </c>
      <c r="G213" s="123">
        <v>140.97</v>
      </c>
      <c r="H213" s="123">
        <v>120.83</v>
      </c>
      <c r="I213" s="123">
        <v>140.97</v>
      </c>
      <c r="J213" s="123">
        <v>140.97</v>
      </c>
      <c r="K213" s="123">
        <v>140.97</v>
      </c>
      <c r="L213" s="123">
        <v>161.11000000000001</v>
      </c>
      <c r="M213" s="123">
        <v>161.11000000000001</v>
      </c>
      <c r="N213" s="123">
        <v>161.11000000000001</v>
      </c>
      <c r="O213" s="123">
        <v>161.11000000000001</v>
      </c>
      <c r="P213" s="123">
        <v>181.25</v>
      </c>
      <c r="Q213" s="123">
        <v>181.25</v>
      </c>
      <c r="R213" s="123">
        <v>120.83</v>
      </c>
      <c r="S213" s="123">
        <v>100.69</v>
      </c>
      <c r="T213" s="123">
        <v>100.69</v>
      </c>
      <c r="U213" s="123">
        <v>60.42</v>
      </c>
      <c r="V213" s="123">
        <v>60.42</v>
      </c>
      <c r="W213" s="123">
        <v>80.55</v>
      </c>
      <c r="X213" s="123">
        <v>80.55</v>
      </c>
      <c r="Y213" s="123">
        <v>604.16</v>
      </c>
      <c r="Z213" s="128"/>
      <c r="AA213" s="128"/>
      <c r="AB213" s="128"/>
      <c r="AC213" s="129"/>
      <c r="AD213" s="129"/>
      <c r="AE213" s="129"/>
      <c r="AF213" s="129"/>
      <c r="AG213" s="129"/>
      <c r="AH213" s="129"/>
      <c r="AI213" s="129"/>
      <c r="AJ213" s="124">
        <v>0</v>
      </c>
      <c r="AK213" s="124">
        <v>0</v>
      </c>
      <c r="AL213" s="124">
        <v>0</v>
      </c>
      <c r="AM213" s="124">
        <v>0</v>
      </c>
      <c r="AN213" s="124">
        <v>0</v>
      </c>
      <c r="AO213" s="125">
        <v>0</v>
      </c>
      <c r="AP213" s="125">
        <v>0</v>
      </c>
      <c r="AQ213" s="125">
        <v>0</v>
      </c>
      <c r="AR213" s="125">
        <v>0</v>
      </c>
      <c r="AS213" s="125">
        <v>0</v>
      </c>
      <c r="AT213" s="125">
        <v>0</v>
      </c>
      <c r="AU213" s="125">
        <v>0</v>
      </c>
      <c r="AV213" s="125">
        <v>0</v>
      </c>
      <c r="AW213" s="125">
        <v>0</v>
      </c>
      <c r="AX213" s="125">
        <v>0</v>
      </c>
      <c r="AY213" s="126"/>
      <c r="AZ213" s="126"/>
      <c r="BA213" s="126"/>
      <c r="BB213" s="126"/>
      <c r="BC213" s="126"/>
      <c r="BD213" s="126"/>
      <c r="BE213" s="126"/>
    </row>
    <row r="214" spans="1:63" x14ac:dyDescent="0.25">
      <c r="B214" s="121">
        <v>1603</v>
      </c>
      <c r="C214" s="122" t="s">
        <v>191</v>
      </c>
      <c r="D214" s="116">
        <v>152097.46</v>
      </c>
      <c r="E214" s="116">
        <v>155200.19</v>
      </c>
      <c r="F214" s="116">
        <v>163961.63</v>
      </c>
      <c r="G214" s="116">
        <v>182834.24</v>
      </c>
      <c r="H214" s="116">
        <v>185626.93</v>
      </c>
      <c r="I214" s="116">
        <v>206381.68</v>
      </c>
      <c r="J214" s="116">
        <v>221992.06</v>
      </c>
      <c r="K214" s="116">
        <v>238996.26</v>
      </c>
      <c r="L214" s="116">
        <v>226793.98</v>
      </c>
      <c r="M214" s="116">
        <v>212589.34</v>
      </c>
      <c r="N214" s="116">
        <v>216313.08</v>
      </c>
      <c r="O214" s="116">
        <v>209920.47</v>
      </c>
      <c r="P214" s="116">
        <v>222375.94</v>
      </c>
      <c r="Q214" s="116">
        <v>188188</v>
      </c>
      <c r="R214" s="116">
        <v>187572.85</v>
      </c>
      <c r="S214" s="116">
        <v>201976.29</v>
      </c>
      <c r="T214" s="116">
        <v>202440.12</v>
      </c>
      <c r="U214" s="116">
        <v>211593.12</v>
      </c>
      <c r="V214" s="116">
        <v>198586.07</v>
      </c>
      <c r="W214" s="116">
        <v>198378.57</v>
      </c>
      <c r="X214" s="116">
        <v>196100.08</v>
      </c>
      <c r="Y214" s="116">
        <v>195255.52</v>
      </c>
      <c r="Z214" s="116">
        <v>188754.15</v>
      </c>
      <c r="AA214" s="116">
        <v>188962.59</v>
      </c>
      <c r="AB214" s="116">
        <v>191849.47</v>
      </c>
      <c r="AC214" s="124">
        <v>189590.48</v>
      </c>
      <c r="AD214" s="124">
        <v>172717.36</v>
      </c>
      <c r="AE214" s="124">
        <v>179745.96</v>
      </c>
      <c r="AF214" s="124">
        <v>193816.56</v>
      </c>
      <c r="AG214" s="124">
        <v>190996.05</v>
      </c>
      <c r="AH214" s="124">
        <v>192895.48</v>
      </c>
      <c r="AI214" s="124">
        <v>207298.56</v>
      </c>
      <c r="AJ214" s="124">
        <v>197215.12</v>
      </c>
      <c r="AK214" s="124">
        <v>203032.99</v>
      </c>
      <c r="AL214" s="124">
        <v>213632.27</v>
      </c>
      <c r="AM214" s="124">
        <v>231934.4</v>
      </c>
      <c r="AN214" s="124">
        <v>240980.08</v>
      </c>
      <c r="AO214" s="125">
        <v>259775.23</v>
      </c>
      <c r="AP214" s="125">
        <v>251063</v>
      </c>
      <c r="AQ214" s="125">
        <v>294924.78999999998</v>
      </c>
      <c r="AR214" s="125">
        <v>296274.65999999997</v>
      </c>
      <c r="AS214" s="125">
        <v>339910.98</v>
      </c>
      <c r="AT214" s="125">
        <v>352226.68</v>
      </c>
      <c r="AU214" s="125">
        <v>377471.01</v>
      </c>
      <c r="AV214" s="125">
        <v>402681.86</v>
      </c>
      <c r="AW214" s="125">
        <v>432326.99</v>
      </c>
      <c r="AX214" s="125">
        <v>467626.82</v>
      </c>
      <c r="AY214" s="126"/>
      <c r="AZ214" s="126"/>
      <c r="BA214" s="126"/>
      <c r="BB214" s="126"/>
      <c r="BC214" s="126"/>
      <c r="BD214" s="126"/>
      <c r="BE214" s="126"/>
      <c r="BF214" s="127">
        <v>1603</v>
      </c>
      <c r="BG214" s="97" t="s">
        <v>191</v>
      </c>
      <c r="BH214" s="127">
        <v>192895.48</v>
      </c>
      <c r="BI214" s="127">
        <v>1603</v>
      </c>
      <c r="BJ214" s="97" t="s">
        <v>191</v>
      </c>
      <c r="BK214" s="127">
        <v>207298.56</v>
      </c>
    </row>
    <row r="215" spans="1:63" x14ac:dyDescent="0.25">
      <c r="B215" s="121">
        <v>160305</v>
      </c>
      <c r="C215" s="122" t="s">
        <v>192</v>
      </c>
      <c r="D215" s="123">
        <v>11394.3</v>
      </c>
      <c r="E215" s="123">
        <v>8872.2199999999993</v>
      </c>
      <c r="F215" s="123">
        <v>12368.54</v>
      </c>
      <c r="G215" s="123">
        <v>17437.53</v>
      </c>
      <c r="H215" s="123">
        <v>21840.12</v>
      </c>
      <c r="I215" s="123">
        <v>29519.67</v>
      </c>
      <c r="J215" s="123">
        <v>39817.699999999997</v>
      </c>
      <c r="K215" s="123">
        <v>45816.86</v>
      </c>
      <c r="L215" s="123">
        <v>45209.68</v>
      </c>
      <c r="M215" s="123">
        <v>32709.97</v>
      </c>
      <c r="N215" s="123">
        <v>24063.3</v>
      </c>
      <c r="O215" s="123">
        <v>27662.43</v>
      </c>
      <c r="P215" s="123">
        <v>32449.82</v>
      </c>
      <c r="Q215" s="123">
        <v>18472.61</v>
      </c>
      <c r="R215" s="123">
        <v>24129.11</v>
      </c>
      <c r="S215" s="123">
        <v>27283.54</v>
      </c>
      <c r="T215" s="123">
        <v>25033.25</v>
      </c>
      <c r="U215" s="123">
        <v>31588.11</v>
      </c>
      <c r="V215" s="123">
        <v>21378.66</v>
      </c>
      <c r="W215" s="123">
        <v>20431.41</v>
      </c>
      <c r="X215" s="123">
        <v>22385.25</v>
      </c>
      <c r="Y215" s="123">
        <v>10751.26</v>
      </c>
      <c r="Z215" s="123">
        <v>6881.1</v>
      </c>
      <c r="AA215" s="123">
        <v>4939.95</v>
      </c>
      <c r="AB215" s="123">
        <v>5146.6099999999997</v>
      </c>
      <c r="AC215" s="124">
        <v>4593.6400000000003</v>
      </c>
      <c r="AD215" s="124">
        <v>4930.9799999999996</v>
      </c>
      <c r="AE215" s="124">
        <v>6239.6</v>
      </c>
      <c r="AF215" s="124">
        <v>5496.21</v>
      </c>
      <c r="AG215" s="124">
        <v>6224.14</v>
      </c>
      <c r="AH215" s="124">
        <v>6084.43</v>
      </c>
      <c r="AI215" s="124">
        <v>5129.0600000000004</v>
      </c>
      <c r="AJ215" s="124">
        <v>5130.4799999999996</v>
      </c>
      <c r="AK215" s="124">
        <v>6001.82</v>
      </c>
      <c r="AL215" s="124">
        <v>7102.3</v>
      </c>
      <c r="AM215" s="124">
        <v>5498.04</v>
      </c>
      <c r="AN215" s="124">
        <v>5913.8</v>
      </c>
      <c r="AO215" s="125">
        <v>5288.34</v>
      </c>
      <c r="AP215" s="125">
        <v>4711.8599999999997</v>
      </c>
      <c r="AQ215" s="125">
        <v>6003.7</v>
      </c>
      <c r="AR215" s="125">
        <v>5879.1</v>
      </c>
      <c r="AS215" s="125">
        <v>5189.08</v>
      </c>
      <c r="AT215" s="125">
        <v>6143.69</v>
      </c>
      <c r="AU215" s="125">
        <v>5965.46</v>
      </c>
      <c r="AV215" s="125">
        <v>5547.98</v>
      </c>
      <c r="AW215" s="125">
        <v>6034.32</v>
      </c>
      <c r="AX215" s="125">
        <v>4801.3999999999996</v>
      </c>
      <c r="AY215" s="126"/>
      <c r="AZ215" s="126"/>
      <c r="BA215" s="126"/>
      <c r="BB215" s="126"/>
      <c r="BC215" s="126"/>
      <c r="BD215" s="126"/>
      <c r="BE215" s="126"/>
      <c r="BF215" s="127">
        <v>160305</v>
      </c>
      <c r="BG215" s="97" t="s">
        <v>192</v>
      </c>
      <c r="BH215" s="127">
        <v>6084.43</v>
      </c>
      <c r="BI215" s="127">
        <v>160305</v>
      </c>
      <c r="BJ215" s="97" t="s">
        <v>192</v>
      </c>
      <c r="BK215" s="127">
        <v>5129.0600000000004</v>
      </c>
    </row>
    <row r="216" spans="1:63" x14ac:dyDescent="0.25">
      <c r="B216" s="121">
        <v>160310</v>
      </c>
      <c r="C216" s="122" t="s">
        <v>193</v>
      </c>
      <c r="D216" s="123">
        <v>132608.07999999999</v>
      </c>
      <c r="E216" s="123">
        <v>137681.51</v>
      </c>
      <c r="F216" s="123">
        <v>141777.79999999999</v>
      </c>
      <c r="G216" s="123">
        <v>154747.92000000001</v>
      </c>
      <c r="H216" s="123">
        <v>150256.54</v>
      </c>
      <c r="I216" s="123">
        <v>157585.93</v>
      </c>
      <c r="J216" s="123">
        <v>158553.62</v>
      </c>
      <c r="K216" s="123">
        <v>164253.85999999999</v>
      </c>
      <c r="L216" s="123">
        <v>141752.34</v>
      </c>
      <c r="M216" s="123">
        <v>139111.56</v>
      </c>
      <c r="N216" s="123">
        <v>141791.59</v>
      </c>
      <c r="O216" s="123">
        <v>128112.12</v>
      </c>
      <c r="P216" s="123">
        <v>130403.83</v>
      </c>
      <c r="Q216" s="123">
        <v>111851.26</v>
      </c>
      <c r="R216" s="123">
        <v>107304.76</v>
      </c>
      <c r="S216" s="123">
        <v>109220.71</v>
      </c>
      <c r="T216" s="123">
        <v>113202</v>
      </c>
      <c r="U216" s="123">
        <v>111301.94</v>
      </c>
      <c r="V216" s="123">
        <v>108756.52</v>
      </c>
      <c r="W216" s="123">
        <v>110862.45</v>
      </c>
      <c r="X216" s="123">
        <v>109477.01</v>
      </c>
      <c r="Y216" s="123">
        <v>113896.59</v>
      </c>
      <c r="Z216" s="123">
        <v>114804.62</v>
      </c>
      <c r="AA216" s="123">
        <v>117895.25</v>
      </c>
      <c r="AB216" s="123">
        <v>120861.41</v>
      </c>
      <c r="AC216" s="124">
        <v>120088.03</v>
      </c>
      <c r="AD216" s="124">
        <v>105839.8</v>
      </c>
      <c r="AE216" s="124">
        <v>108259.39</v>
      </c>
      <c r="AF216" s="124">
        <v>118221.93</v>
      </c>
      <c r="AG216" s="124">
        <v>119167.5</v>
      </c>
      <c r="AH216" s="124">
        <v>120149.88</v>
      </c>
      <c r="AI216" s="124">
        <v>133778.23000000001</v>
      </c>
      <c r="AJ216" s="124">
        <v>130264.21</v>
      </c>
      <c r="AK216" s="124">
        <v>135801.68</v>
      </c>
      <c r="AL216" s="124">
        <v>149403.12</v>
      </c>
      <c r="AM216" s="124">
        <v>169939.05</v>
      </c>
      <c r="AN216" s="124">
        <v>174457.34</v>
      </c>
      <c r="AO216" s="125">
        <v>188350.24</v>
      </c>
      <c r="AP216" s="125">
        <v>171878.93</v>
      </c>
      <c r="AQ216" s="125">
        <v>185335.16</v>
      </c>
      <c r="AR216" s="125">
        <v>163362.56</v>
      </c>
      <c r="AS216" s="125">
        <v>182414.31</v>
      </c>
      <c r="AT216" s="125">
        <v>197648.94</v>
      </c>
      <c r="AU216" s="125">
        <v>223090.12</v>
      </c>
      <c r="AV216" s="125">
        <v>234583.61</v>
      </c>
      <c r="AW216" s="125">
        <v>252853.79</v>
      </c>
      <c r="AX216" s="125">
        <v>280135.58</v>
      </c>
      <c r="AY216" s="126"/>
      <c r="AZ216" s="126"/>
      <c r="BA216" s="126"/>
      <c r="BB216" s="126"/>
      <c r="BC216" s="126"/>
      <c r="BD216" s="126"/>
      <c r="BE216" s="126"/>
      <c r="BF216" s="127">
        <v>160310</v>
      </c>
      <c r="BG216" s="97" t="s">
        <v>193</v>
      </c>
      <c r="BH216" s="127">
        <v>120149.88</v>
      </c>
      <c r="BI216" s="127">
        <v>160310</v>
      </c>
      <c r="BJ216" s="97" t="s">
        <v>193</v>
      </c>
      <c r="BK216" s="127">
        <v>133778.23000000001</v>
      </c>
    </row>
    <row r="217" spans="1:63" x14ac:dyDescent="0.25">
      <c r="B217" s="121">
        <v>160320</v>
      </c>
      <c r="C217" s="122" t="s">
        <v>194</v>
      </c>
      <c r="D217" s="123">
        <v>7862.52</v>
      </c>
      <c r="E217" s="123">
        <v>8298.0400000000009</v>
      </c>
      <c r="F217" s="123">
        <v>9503.7900000000009</v>
      </c>
      <c r="G217" s="123">
        <v>10328.219999999999</v>
      </c>
      <c r="H217" s="123">
        <v>13152.31</v>
      </c>
      <c r="I217" s="123">
        <v>18973.39</v>
      </c>
      <c r="J217" s="123">
        <v>23458.2</v>
      </c>
      <c r="K217" s="123">
        <v>28584.91</v>
      </c>
      <c r="L217" s="123">
        <v>39629</v>
      </c>
      <c r="M217" s="123">
        <v>40408.83</v>
      </c>
      <c r="N217" s="123">
        <v>50108.99</v>
      </c>
      <c r="O217" s="123">
        <v>53985.78</v>
      </c>
      <c r="P217" s="123">
        <v>59432.18</v>
      </c>
      <c r="Q217" s="123">
        <v>57616.14</v>
      </c>
      <c r="R217" s="123">
        <v>55802.39</v>
      </c>
      <c r="S217" s="123">
        <v>65140.9</v>
      </c>
      <c r="T217" s="123">
        <v>63933.29</v>
      </c>
      <c r="U217" s="123">
        <v>68505.960000000006</v>
      </c>
      <c r="V217" s="123">
        <v>68111.789999999994</v>
      </c>
      <c r="W217" s="123">
        <v>66635.649999999994</v>
      </c>
      <c r="X217" s="123">
        <v>62405.39</v>
      </c>
      <c r="Y217" s="123">
        <v>66462.080000000002</v>
      </c>
      <c r="Z217" s="123">
        <v>60500.160000000003</v>
      </c>
      <c r="AA217" s="123">
        <v>58795.41</v>
      </c>
      <c r="AB217" s="123">
        <v>59621.66</v>
      </c>
      <c r="AC217" s="124">
        <v>58553.36</v>
      </c>
      <c r="AD217" s="124">
        <v>54596.53</v>
      </c>
      <c r="AE217" s="124">
        <v>58631.34</v>
      </c>
      <c r="AF217" s="124">
        <v>62424.4</v>
      </c>
      <c r="AG217" s="124">
        <v>59680.68</v>
      </c>
      <c r="AH217" s="124">
        <v>60036.59</v>
      </c>
      <c r="AI217" s="124">
        <v>63345.27</v>
      </c>
      <c r="AJ217" s="124">
        <v>56355.68</v>
      </c>
      <c r="AK217" s="124">
        <v>54997.64</v>
      </c>
      <c r="AL217" s="124">
        <v>50932.07</v>
      </c>
      <c r="AM217" s="124">
        <v>49674.34</v>
      </c>
      <c r="AN217" s="124">
        <v>51931.86</v>
      </c>
      <c r="AO217" s="125">
        <v>57606.46</v>
      </c>
      <c r="AP217" s="125">
        <v>64185.02</v>
      </c>
      <c r="AQ217" s="125">
        <v>96474.05</v>
      </c>
      <c r="AR217" s="125">
        <v>118546.11</v>
      </c>
      <c r="AS217" s="125">
        <v>144855.82</v>
      </c>
      <c r="AT217" s="125">
        <v>141690.93</v>
      </c>
      <c r="AU217" s="125">
        <v>141476.63</v>
      </c>
      <c r="AV217" s="125">
        <v>154351.41</v>
      </c>
      <c r="AW217" s="125">
        <v>166272.60999999999</v>
      </c>
      <c r="AX217" s="125">
        <v>177034.43</v>
      </c>
      <c r="AY217" s="126"/>
      <c r="AZ217" s="126"/>
      <c r="BA217" s="126"/>
      <c r="BB217" s="126"/>
      <c r="BC217" s="126"/>
      <c r="BD217" s="126"/>
      <c r="BE217" s="126"/>
      <c r="BF217" s="127">
        <v>160320</v>
      </c>
      <c r="BG217" s="97" t="s">
        <v>194</v>
      </c>
      <c r="BH217" s="127">
        <v>60036.59</v>
      </c>
      <c r="BI217" s="127">
        <v>160320</v>
      </c>
      <c r="BJ217" s="97" t="s">
        <v>194</v>
      </c>
      <c r="BK217" s="127">
        <v>63345.27</v>
      </c>
    </row>
    <row r="218" spans="1:63" x14ac:dyDescent="0.25">
      <c r="B218" s="121">
        <v>160345</v>
      </c>
      <c r="C218" s="122" t="s">
        <v>195</v>
      </c>
      <c r="D218" s="128"/>
      <c r="E218" s="128"/>
      <c r="F218" s="128"/>
      <c r="G218" s="128"/>
      <c r="H218" s="128"/>
      <c r="I218" s="128"/>
      <c r="J218" s="123">
        <v>5.87</v>
      </c>
      <c r="K218" s="123">
        <v>187.75</v>
      </c>
      <c r="L218" s="123">
        <v>11.48</v>
      </c>
      <c r="M218" s="123">
        <v>183.65</v>
      </c>
      <c r="N218" s="123">
        <v>181.49</v>
      </c>
      <c r="O218" s="123">
        <v>5.54</v>
      </c>
      <c r="P218" s="123">
        <v>10.94</v>
      </c>
      <c r="Q218" s="123">
        <v>200.83</v>
      </c>
      <c r="R218" s="123">
        <v>263.98</v>
      </c>
      <c r="S218" s="123">
        <v>265.85000000000002</v>
      </c>
      <c r="T218" s="123">
        <v>168.06</v>
      </c>
      <c r="U218" s="123">
        <v>100.48</v>
      </c>
      <c r="V218" s="123">
        <v>251.72</v>
      </c>
      <c r="W218" s="123">
        <v>342.65999999999997</v>
      </c>
      <c r="X218" s="123">
        <v>1446.32</v>
      </c>
      <c r="Y218" s="123">
        <v>2424.61</v>
      </c>
      <c r="Z218" s="123">
        <v>3545.08</v>
      </c>
      <c r="AA218" s="123">
        <v>4104.96</v>
      </c>
      <c r="AB218" s="123">
        <v>3454.65</v>
      </c>
      <c r="AC218" s="124">
        <v>2997.75</v>
      </c>
      <c r="AD218" s="124">
        <v>4594.83</v>
      </c>
      <c r="AE218" s="124">
        <v>3962.03</v>
      </c>
      <c r="AF218" s="124">
        <v>4524.21</v>
      </c>
      <c r="AG218" s="124">
        <v>4040.93</v>
      </c>
      <c r="AH218" s="124">
        <v>3218.76</v>
      </c>
      <c r="AI218" s="124">
        <v>2891.17</v>
      </c>
      <c r="AJ218" s="124">
        <v>3588.3</v>
      </c>
      <c r="AK218" s="124">
        <v>3735.85</v>
      </c>
      <c r="AL218" s="124">
        <v>3520.06</v>
      </c>
      <c r="AM218" s="124">
        <v>4121.8900000000003</v>
      </c>
      <c r="AN218" s="124">
        <v>4958.67</v>
      </c>
      <c r="AO218" s="125">
        <v>4931.04</v>
      </c>
      <c r="AP218" s="125">
        <v>5837.29</v>
      </c>
      <c r="AQ218" s="125">
        <v>3973.79</v>
      </c>
      <c r="AR218" s="125">
        <v>4456.25</v>
      </c>
      <c r="AS218" s="125">
        <v>5208.3900000000003</v>
      </c>
      <c r="AT218" s="125">
        <v>3906.82</v>
      </c>
      <c r="AU218" s="125">
        <v>4648.6400000000003</v>
      </c>
      <c r="AV218" s="125">
        <v>5763.11</v>
      </c>
      <c r="AW218" s="125">
        <v>4743.37</v>
      </c>
      <c r="AX218" s="125">
        <v>4420.9799999999996</v>
      </c>
      <c r="AY218" s="126"/>
      <c r="AZ218" s="126"/>
      <c r="BA218" s="126"/>
      <c r="BB218" s="126"/>
      <c r="BC218" s="126"/>
      <c r="BD218" s="126"/>
      <c r="BE218" s="126"/>
      <c r="BF218" s="127">
        <v>160345</v>
      </c>
      <c r="BG218" s="97" t="s">
        <v>195</v>
      </c>
      <c r="BH218" s="127">
        <v>3218.76</v>
      </c>
      <c r="BI218" s="127">
        <v>160345</v>
      </c>
      <c r="BJ218" s="97" t="s">
        <v>195</v>
      </c>
      <c r="BK218" s="127">
        <v>2891.17</v>
      </c>
    </row>
    <row r="219" spans="1:63" x14ac:dyDescent="0.25">
      <c r="B219" s="121">
        <v>160350</v>
      </c>
      <c r="C219" s="122" t="s">
        <v>196</v>
      </c>
      <c r="D219" s="123">
        <v>232.56</v>
      </c>
      <c r="E219" s="123">
        <v>348.42</v>
      </c>
      <c r="F219" s="123">
        <v>311.5</v>
      </c>
      <c r="G219" s="123">
        <v>320.57</v>
      </c>
      <c r="H219" s="123">
        <v>377.96</v>
      </c>
      <c r="I219" s="123">
        <v>302.69</v>
      </c>
      <c r="J219" s="123">
        <v>156.66999999999999</v>
      </c>
      <c r="K219" s="123">
        <v>152.88</v>
      </c>
      <c r="L219" s="123">
        <v>191.48</v>
      </c>
      <c r="M219" s="123">
        <v>175.33</v>
      </c>
      <c r="N219" s="123">
        <v>167.71</v>
      </c>
      <c r="O219" s="123">
        <v>154.6</v>
      </c>
      <c r="P219" s="123">
        <v>79.17</v>
      </c>
      <c r="Q219" s="123">
        <v>47.16</v>
      </c>
      <c r="R219" s="123">
        <v>72.61</v>
      </c>
      <c r="S219" s="123">
        <v>65.290000000000006</v>
      </c>
      <c r="T219" s="123">
        <v>103.52</v>
      </c>
      <c r="U219" s="123">
        <v>96.63</v>
      </c>
      <c r="V219" s="123">
        <v>87.38</v>
      </c>
      <c r="W219" s="123">
        <v>106.40000000000003</v>
      </c>
      <c r="X219" s="123">
        <v>386.11</v>
      </c>
      <c r="Y219" s="123">
        <v>1720.98</v>
      </c>
      <c r="Z219" s="123">
        <v>3023.19</v>
      </c>
      <c r="AA219" s="123">
        <v>3227.02</v>
      </c>
      <c r="AB219" s="123">
        <v>2765.14</v>
      </c>
      <c r="AC219" s="124">
        <v>3357.7</v>
      </c>
      <c r="AD219" s="124">
        <v>2755.22</v>
      </c>
      <c r="AE219" s="124">
        <v>2653.6</v>
      </c>
      <c r="AF219" s="124">
        <v>3149.81</v>
      </c>
      <c r="AG219" s="124">
        <v>1882.8</v>
      </c>
      <c r="AH219" s="124">
        <v>3405.82</v>
      </c>
      <c r="AI219" s="124">
        <v>2154.83</v>
      </c>
      <c r="AJ219" s="124">
        <v>1876.45</v>
      </c>
      <c r="AK219" s="124">
        <v>2496</v>
      </c>
      <c r="AL219" s="124">
        <v>2674.72</v>
      </c>
      <c r="AM219" s="124">
        <v>2701.08</v>
      </c>
      <c r="AN219" s="124">
        <v>3718.41</v>
      </c>
      <c r="AO219" s="125">
        <v>3599.15</v>
      </c>
      <c r="AP219" s="125">
        <v>4449.8999999999996</v>
      </c>
      <c r="AQ219" s="125">
        <v>3138.09</v>
      </c>
      <c r="AR219" s="125">
        <v>4030.64</v>
      </c>
      <c r="AS219" s="125">
        <v>2243.38</v>
      </c>
      <c r="AT219" s="125">
        <v>2836.3</v>
      </c>
      <c r="AU219" s="125">
        <v>2290.16</v>
      </c>
      <c r="AV219" s="125">
        <v>2435.75</v>
      </c>
      <c r="AW219" s="125">
        <v>2422.9</v>
      </c>
      <c r="AX219" s="125">
        <v>1234.43</v>
      </c>
      <c r="AY219" s="126"/>
      <c r="AZ219" s="126"/>
      <c r="BA219" s="126"/>
      <c r="BB219" s="126"/>
      <c r="BC219" s="126"/>
      <c r="BD219" s="126"/>
      <c r="BE219" s="126"/>
      <c r="BF219" s="127">
        <v>160350</v>
      </c>
      <c r="BG219" s="97" t="s">
        <v>196</v>
      </c>
      <c r="BH219" s="127">
        <v>3405.82</v>
      </c>
      <c r="BI219" s="127">
        <v>160350</v>
      </c>
      <c r="BJ219" s="97" t="s">
        <v>196</v>
      </c>
      <c r="BK219" s="127">
        <v>2154.83</v>
      </c>
    </row>
    <row r="220" spans="1:63" x14ac:dyDescent="0.25">
      <c r="B220" s="121">
        <v>1606</v>
      </c>
      <c r="C220" s="122" t="s">
        <v>197</v>
      </c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3">
        <v>104143.94</v>
      </c>
      <c r="Z220" s="123">
        <v>104143.94</v>
      </c>
      <c r="AA220" s="123">
        <v>128955.36</v>
      </c>
      <c r="AB220" s="123">
        <v>141391.66</v>
      </c>
      <c r="AC220" s="124">
        <v>12745</v>
      </c>
      <c r="AD220" s="124">
        <v>24134.22</v>
      </c>
      <c r="AE220" s="124">
        <v>35294.75</v>
      </c>
      <c r="AF220" s="124">
        <v>47461.5</v>
      </c>
      <c r="AG220" s="124">
        <v>59880.06</v>
      </c>
      <c r="AH220" s="124">
        <v>71639.69</v>
      </c>
      <c r="AI220" s="124">
        <v>85914.36</v>
      </c>
      <c r="AJ220" s="124">
        <v>98994.31</v>
      </c>
      <c r="AK220" s="124">
        <v>112411.7</v>
      </c>
      <c r="AL220" s="124">
        <v>124760.77</v>
      </c>
      <c r="AM220" s="124">
        <v>136393.24</v>
      </c>
      <c r="AN220" s="124">
        <v>148625</v>
      </c>
      <c r="AO220" s="125">
        <v>11977.66</v>
      </c>
      <c r="AP220" s="125">
        <v>22726.68</v>
      </c>
      <c r="AQ220" s="125">
        <v>34938.39</v>
      </c>
      <c r="AR220" s="125">
        <v>47232.76</v>
      </c>
      <c r="AS220" s="125">
        <v>60442.17</v>
      </c>
      <c r="AT220" s="125">
        <v>73380.78</v>
      </c>
      <c r="AU220" s="125">
        <v>86980.94</v>
      </c>
      <c r="AV220" s="125">
        <v>101167.23</v>
      </c>
      <c r="AW220" s="125">
        <v>115175.74</v>
      </c>
      <c r="AX220" s="125">
        <v>128739.32</v>
      </c>
      <c r="AY220" s="126"/>
      <c r="AZ220" s="126"/>
      <c r="BA220" s="126"/>
      <c r="BB220" s="126"/>
      <c r="BC220" s="126"/>
      <c r="BD220" s="126"/>
      <c r="BE220" s="126"/>
      <c r="BF220" s="127">
        <v>1606</v>
      </c>
      <c r="BG220" s="97" t="s">
        <v>197</v>
      </c>
      <c r="BH220" s="127">
        <v>71639.69</v>
      </c>
      <c r="BI220" s="127">
        <v>1606</v>
      </c>
      <c r="BJ220" s="97" t="s">
        <v>197</v>
      </c>
      <c r="BK220" s="127">
        <v>85914.36</v>
      </c>
    </row>
    <row r="221" spans="1:63" x14ac:dyDescent="0.25">
      <c r="B221" s="121">
        <v>160605</v>
      </c>
      <c r="C221" s="122" t="s">
        <v>198</v>
      </c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3">
        <v>104143.94</v>
      </c>
      <c r="Z221" s="123">
        <v>104143.94</v>
      </c>
      <c r="AA221" s="123">
        <v>128955.36</v>
      </c>
      <c r="AB221" s="123">
        <v>141391.66</v>
      </c>
      <c r="AC221" s="124">
        <v>12745</v>
      </c>
      <c r="AD221" s="124">
        <v>24134.22</v>
      </c>
      <c r="AE221" s="124">
        <v>35294.75</v>
      </c>
      <c r="AF221" s="124">
        <v>47461.5</v>
      </c>
      <c r="AG221" s="124">
        <v>59880.06</v>
      </c>
      <c r="AH221" s="124">
        <v>71639.69</v>
      </c>
      <c r="AI221" s="124">
        <v>85914.36</v>
      </c>
      <c r="AJ221" s="124">
        <v>98994.31</v>
      </c>
      <c r="AK221" s="124">
        <v>112411.7</v>
      </c>
      <c r="AL221" s="124">
        <v>124760.77</v>
      </c>
      <c r="AM221" s="124">
        <v>136393.24</v>
      </c>
      <c r="AN221" s="124">
        <v>148625</v>
      </c>
      <c r="AO221" s="125">
        <v>11977.66</v>
      </c>
      <c r="AP221" s="125">
        <v>22726.68</v>
      </c>
      <c r="AQ221" s="125">
        <v>34938.39</v>
      </c>
      <c r="AR221" s="125">
        <v>47232.76</v>
      </c>
      <c r="AS221" s="125">
        <v>60442.17</v>
      </c>
      <c r="AT221" s="125">
        <v>73380.78</v>
      </c>
      <c r="AU221" s="125">
        <v>86980.94</v>
      </c>
      <c r="AV221" s="125">
        <v>101167.23</v>
      </c>
      <c r="AW221" s="125">
        <v>115175.74</v>
      </c>
      <c r="AX221" s="125">
        <v>128739.32</v>
      </c>
      <c r="AY221" s="126"/>
      <c r="AZ221" s="126"/>
      <c r="BA221" s="126"/>
      <c r="BB221" s="126"/>
      <c r="BC221" s="126"/>
      <c r="BD221" s="126"/>
      <c r="BE221" s="126"/>
      <c r="BF221" s="127">
        <v>160605</v>
      </c>
      <c r="BG221" s="97" t="s">
        <v>198</v>
      </c>
      <c r="BH221" s="127">
        <v>71639.69</v>
      </c>
      <c r="BI221" s="127">
        <v>160605</v>
      </c>
      <c r="BJ221" s="97" t="s">
        <v>198</v>
      </c>
      <c r="BK221" s="127">
        <v>85914.36</v>
      </c>
    </row>
    <row r="222" spans="1:63" x14ac:dyDescent="0.25">
      <c r="B222" s="121">
        <v>1612</v>
      </c>
      <c r="C222" s="122" t="s">
        <v>199</v>
      </c>
      <c r="D222" s="116">
        <v>2</v>
      </c>
      <c r="E222" s="116">
        <v>2</v>
      </c>
      <c r="F222" s="116">
        <v>2</v>
      </c>
      <c r="G222" s="116">
        <v>2</v>
      </c>
      <c r="H222" s="116">
        <v>2</v>
      </c>
      <c r="I222" s="116">
        <v>2</v>
      </c>
      <c r="J222" s="116">
        <v>2</v>
      </c>
      <c r="K222" s="116">
        <v>2</v>
      </c>
      <c r="L222" s="116">
        <v>2</v>
      </c>
      <c r="M222" s="116">
        <v>2</v>
      </c>
      <c r="N222" s="116">
        <v>2</v>
      </c>
      <c r="O222" s="116">
        <v>2</v>
      </c>
      <c r="P222" s="116">
        <v>2</v>
      </c>
      <c r="Q222" s="116">
        <v>2</v>
      </c>
      <c r="R222" s="116">
        <v>2</v>
      </c>
      <c r="S222" s="116">
        <v>2</v>
      </c>
      <c r="T222" s="116">
        <v>2</v>
      </c>
      <c r="U222" s="116">
        <v>2</v>
      </c>
      <c r="V222" s="116">
        <v>2</v>
      </c>
      <c r="W222" s="116">
        <v>2</v>
      </c>
      <c r="X222" s="116">
        <v>2</v>
      </c>
      <c r="Y222" s="116">
        <v>2</v>
      </c>
      <c r="Z222" s="116">
        <v>2</v>
      </c>
      <c r="AA222" s="116">
        <v>2</v>
      </c>
      <c r="AB222" s="116">
        <v>2</v>
      </c>
      <c r="AC222" s="124">
        <v>2</v>
      </c>
      <c r="AD222" s="124">
        <v>2</v>
      </c>
      <c r="AE222" s="124">
        <v>2</v>
      </c>
      <c r="AF222" s="124">
        <v>2</v>
      </c>
      <c r="AG222" s="124">
        <v>2</v>
      </c>
      <c r="AH222" s="124">
        <v>2</v>
      </c>
      <c r="AI222" s="124">
        <v>2</v>
      </c>
      <c r="AJ222" s="124">
        <v>2</v>
      </c>
      <c r="AK222" s="124">
        <v>2</v>
      </c>
      <c r="AL222" s="124">
        <v>2</v>
      </c>
      <c r="AM222" s="124">
        <v>2</v>
      </c>
      <c r="AN222" s="124">
        <v>2</v>
      </c>
      <c r="AO222" s="125">
        <v>2</v>
      </c>
      <c r="AP222" s="125">
        <v>2</v>
      </c>
      <c r="AQ222" s="125">
        <v>2</v>
      </c>
      <c r="AR222" s="125">
        <v>2</v>
      </c>
      <c r="AS222" s="125">
        <v>2</v>
      </c>
      <c r="AT222" s="125">
        <v>2</v>
      </c>
      <c r="AU222" s="125">
        <v>2</v>
      </c>
      <c r="AV222" s="125">
        <v>2</v>
      </c>
      <c r="AW222" s="125">
        <v>2</v>
      </c>
      <c r="AX222" s="125">
        <v>2</v>
      </c>
      <c r="AY222" s="126"/>
      <c r="AZ222" s="126"/>
      <c r="BA222" s="126"/>
      <c r="BB222" s="126"/>
      <c r="BC222" s="126"/>
      <c r="BD222" s="126"/>
      <c r="BE222" s="126"/>
      <c r="BF222" s="127">
        <v>1612</v>
      </c>
      <c r="BG222" s="97" t="s">
        <v>199</v>
      </c>
      <c r="BH222" s="127">
        <v>2</v>
      </c>
      <c r="BI222" s="127">
        <v>1612</v>
      </c>
      <c r="BJ222" s="97" t="s">
        <v>199</v>
      </c>
      <c r="BK222" s="127">
        <v>2</v>
      </c>
    </row>
    <row r="223" spans="1:63" x14ac:dyDescent="0.25">
      <c r="B223" s="121">
        <v>161205</v>
      </c>
      <c r="C223" s="122" t="s">
        <v>200</v>
      </c>
      <c r="D223" s="123">
        <v>2</v>
      </c>
      <c r="E223" s="123">
        <v>2</v>
      </c>
      <c r="F223" s="123">
        <v>2</v>
      </c>
      <c r="G223" s="123">
        <v>2</v>
      </c>
      <c r="H223" s="123">
        <v>2</v>
      </c>
      <c r="I223" s="123">
        <v>2</v>
      </c>
      <c r="J223" s="123">
        <v>2</v>
      </c>
      <c r="K223" s="123">
        <v>2</v>
      </c>
      <c r="L223" s="123">
        <v>2</v>
      </c>
      <c r="M223" s="123">
        <v>2</v>
      </c>
      <c r="N223" s="123">
        <v>2</v>
      </c>
      <c r="O223" s="123">
        <v>2</v>
      </c>
      <c r="P223" s="123">
        <v>2</v>
      </c>
      <c r="Q223" s="123">
        <v>2</v>
      </c>
      <c r="R223" s="123">
        <v>2</v>
      </c>
      <c r="S223" s="123">
        <v>2</v>
      </c>
      <c r="T223" s="123">
        <v>2</v>
      </c>
      <c r="U223" s="123">
        <v>2</v>
      </c>
      <c r="V223" s="123">
        <v>2</v>
      </c>
      <c r="W223" s="123">
        <v>2</v>
      </c>
      <c r="X223" s="123">
        <v>2</v>
      </c>
      <c r="Y223" s="123">
        <v>2</v>
      </c>
      <c r="Z223" s="123">
        <v>2</v>
      </c>
      <c r="AA223" s="123">
        <v>2</v>
      </c>
      <c r="AB223" s="123">
        <v>2</v>
      </c>
      <c r="AC223" s="124">
        <v>2</v>
      </c>
      <c r="AD223" s="124">
        <v>2</v>
      </c>
      <c r="AE223" s="124">
        <v>2</v>
      </c>
      <c r="AF223" s="124">
        <v>2</v>
      </c>
      <c r="AG223" s="124">
        <v>2</v>
      </c>
      <c r="AH223" s="124">
        <v>2</v>
      </c>
      <c r="AI223" s="124">
        <v>2</v>
      </c>
      <c r="AJ223" s="124">
        <v>2</v>
      </c>
      <c r="AK223" s="124">
        <v>2</v>
      </c>
      <c r="AL223" s="124">
        <v>2</v>
      </c>
      <c r="AM223" s="124">
        <v>2</v>
      </c>
      <c r="AN223" s="124">
        <v>2</v>
      </c>
      <c r="AO223" s="125">
        <v>2</v>
      </c>
      <c r="AP223" s="125">
        <v>2</v>
      </c>
      <c r="AQ223" s="125">
        <v>2</v>
      </c>
      <c r="AR223" s="125">
        <v>2</v>
      </c>
      <c r="AS223" s="125">
        <v>2</v>
      </c>
      <c r="AT223" s="125">
        <v>2</v>
      </c>
      <c r="AU223" s="125">
        <v>2</v>
      </c>
      <c r="AV223" s="125">
        <v>2</v>
      </c>
      <c r="AW223" s="125">
        <v>2</v>
      </c>
      <c r="AX223" s="125">
        <v>2</v>
      </c>
      <c r="AY223" s="126"/>
      <c r="AZ223" s="126"/>
      <c r="BA223" s="126"/>
      <c r="BB223" s="126"/>
      <c r="BC223" s="126"/>
      <c r="BD223" s="126"/>
      <c r="BE223" s="126"/>
      <c r="BF223" s="127">
        <v>161205</v>
      </c>
      <c r="BG223" s="97" t="s">
        <v>200</v>
      </c>
      <c r="BH223" s="127">
        <v>2</v>
      </c>
      <c r="BI223" s="127">
        <v>161205</v>
      </c>
      <c r="BJ223" s="97" t="s">
        <v>200</v>
      </c>
      <c r="BK223" s="127">
        <v>2</v>
      </c>
    </row>
    <row r="224" spans="1:63" x14ac:dyDescent="0.25">
      <c r="B224" s="121">
        <v>1614</v>
      </c>
      <c r="C224" s="122" t="s">
        <v>201</v>
      </c>
      <c r="D224" s="116">
        <v>93686.78</v>
      </c>
      <c r="E224" s="116">
        <v>106989.49</v>
      </c>
      <c r="F224" s="116">
        <v>120468.66</v>
      </c>
      <c r="G224" s="116">
        <v>124122.47</v>
      </c>
      <c r="H224" s="116">
        <v>142344.56</v>
      </c>
      <c r="I224" s="116">
        <v>153416.71</v>
      </c>
      <c r="J224" s="116">
        <v>62703.35</v>
      </c>
      <c r="K224" s="116">
        <v>61775.56</v>
      </c>
      <c r="L224" s="116">
        <v>63388.29</v>
      </c>
      <c r="M224" s="116">
        <v>50615.519999999997</v>
      </c>
      <c r="N224" s="116">
        <v>52861.41</v>
      </c>
      <c r="O224" s="116">
        <v>57872.87</v>
      </c>
      <c r="P224" s="116">
        <v>57754.46</v>
      </c>
      <c r="Q224" s="116">
        <v>64628.73</v>
      </c>
      <c r="R224" s="116">
        <v>71447.48</v>
      </c>
      <c r="S224" s="116">
        <v>67579.539999999994</v>
      </c>
      <c r="T224" s="116">
        <v>77457.17</v>
      </c>
      <c r="U224" s="116">
        <v>74516.12</v>
      </c>
      <c r="V224" s="116">
        <v>53354.21</v>
      </c>
      <c r="W224" s="116">
        <v>62751.93</v>
      </c>
      <c r="X224" s="116">
        <v>67295.7</v>
      </c>
      <c r="Y224" s="116">
        <v>80208</v>
      </c>
      <c r="Z224" s="116">
        <v>90327.24</v>
      </c>
      <c r="AA224" s="116">
        <v>133100.18</v>
      </c>
      <c r="AB224" s="116">
        <v>111886.84</v>
      </c>
      <c r="AC224" s="124">
        <v>125144.18</v>
      </c>
      <c r="AD224" s="124">
        <v>166412.01999999999</v>
      </c>
      <c r="AE224" s="124">
        <v>182105.64</v>
      </c>
      <c r="AF224" s="124">
        <v>188472.13</v>
      </c>
      <c r="AG224" s="124">
        <v>199022.43</v>
      </c>
      <c r="AH224" s="124">
        <v>181799.61</v>
      </c>
      <c r="AI224" s="124">
        <v>227209.12</v>
      </c>
      <c r="AJ224" s="124">
        <v>220641.1</v>
      </c>
      <c r="AK224" s="124">
        <v>245806.62</v>
      </c>
      <c r="AL224" s="124">
        <v>229783.79</v>
      </c>
      <c r="AM224" s="124">
        <v>278341.14</v>
      </c>
      <c r="AN224" s="124">
        <v>252894.58</v>
      </c>
      <c r="AO224" s="125">
        <v>303104.36</v>
      </c>
      <c r="AP224" s="125">
        <v>284299.63</v>
      </c>
      <c r="AQ224" s="125">
        <v>260548.14</v>
      </c>
      <c r="AR224" s="125">
        <v>237168.21</v>
      </c>
      <c r="AS224" s="125">
        <v>385340.92</v>
      </c>
      <c r="AT224" s="125">
        <v>362058.08</v>
      </c>
      <c r="AU224" s="125">
        <v>439479.67</v>
      </c>
      <c r="AV224" s="125">
        <v>414455.83</v>
      </c>
      <c r="AW224" s="125">
        <v>389083.11</v>
      </c>
      <c r="AX224" s="125">
        <v>620979.18000000005</v>
      </c>
      <c r="AY224" s="126"/>
      <c r="AZ224" s="126"/>
      <c r="BA224" s="126"/>
      <c r="BB224" s="126"/>
      <c r="BC224" s="126"/>
      <c r="BD224" s="126"/>
      <c r="BE224" s="126"/>
      <c r="BF224" s="127">
        <v>1614</v>
      </c>
      <c r="BG224" s="97" t="s">
        <v>201</v>
      </c>
      <c r="BH224" s="127">
        <v>181799.61</v>
      </c>
      <c r="BI224" s="127">
        <v>1614</v>
      </c>
      <c r="BJ224" s="97" t="s">
        <v>201</v>
      </c>
      <c r="BK224" s="127">
        <v>227209.12</v>
      </c>
    </row>
    <row r="225" spans="1:63" x14ac:dyDescent="0.25">
      <c r="B225" s="121">
        <v>161420</v>
      </c>
      <c r="C225" s="122" t="s">
        <v>202</v>
      </c>
      <c r="D225" s="123">
        <v>93686.78</v>
      </c>
      <c r="E225" s="123">
        <v>106989.49</v>
      </c>
      <c r="F225" s="123">
        <v>120468.66</v>
      </c>
      <c r="G225" s="123">
        <v>124122.47</v>
      </c>
      <c r="H225" s="123">
        <v>142344.56</v>
      </c>
      <c r="I225" s="123">
        <v>153416.71</v>
      </c>
      <c r="J225" s="123">
        <v>62703.35</v>
      </c>
      <c r="K225" s="123">
        <v>61775.56</v>
      </c>
      <c r="L225" s="123">
        <v>63388.29</v>
      </c>
      <c r="M225" s="123">
        <v>50615.519999999997</v>
      </c>
      <c r="N225" s="123">
        <v>52861.41</v>
      </c>
      <c r="O225" s="123">
        <v>57872.87</v>
      </c>
      <c r="P225" s="123">
        <v>57754.46</v>
      </c>
      <c r="Q225" s="123">
        <v>64628.73</v>
      </c>
      <c r="R225" s="123">
        <v>71447.48</v>
      </c>
      <c r="S225" s="123">
        <v>67579.539999999994</v>
      </c>
      <c r="T225" s="123">
        <v>77457.17</v>
      </c>
      <c r="U225" s="123">
        <v>74516.12</v>
      </c>
      <c r="V225" s="123">
        <v>53354.21</v>
      </c>
      <c r="W225" s="123">
        <v>62751.93</v>
      </c>
      <c r="X225" s="123">
        <v>67295.7</v>
      </c>
      <c r="Y225" s="123">
        <v>80208</v>
      </c>
      <c r="Z225" s="123">
        <v>90327.24</v>
      </c>
      <c r="AA225" s="123">
        <v>133100.18</v>
      </c>
      <c r="AB225" s="123">
        <v>111886.84</v>
      </c>
      <c r="AC225" s="124">
        <v>125144.18</v>
      </c>
      <c r="AD225" s="124">
        <v>166412.01999999999</v>
      </c>
      <c r="AE225" s="124">
        <v>182105.64</v>
      </c>
      <c r="AF225" s="124">
        <v>188472.13</v>
      </c>
      <c r="AG225" s="124">
        <v>199022.43</v>
      </c>
      <c r="AH225" s="124">
        <v>181799.61</v>
      </c>
      <c r="AI225" s="124">
        <v>227209.12</v>
      </c>
      <c r="AJ225" s="124">
        <v>220641.1</v>
      </c>
      <c r="AK225" s="124">
        <v>245806.62</v>
      </c>
      <c r="AL225" s="124">
        <v>229783.79</v>
      </c>
      <c r="AM225" s="124">
        <v>278341.14</v>
      </c>
      <c r="AN225" s="124">
        <v>252894.58</v>
      </c>
      <c r="AO225" s="125">
        <v>303104.36</v>
      </c>
      <c r="AP225" s="125">
        <v>284299.63</v>
      </c>
      <c r="AQ225" s="125">
        <v>260548.14</v>
      </c>
      <c r="AR225" s="125">
        <v>237168.21</v>
      </c>
      <c r="AS225" s="125">
        <v>385340.92</v>
      </c>
      <c r="AT225" s="125">
        <v>362058.08</v>
      </c>
      <c r="AU225" s="125">
        <v>439479.67</v>
      </c>
      <c r="AV225" s="125">
        <v>414455.83</v>
      </c>
      <c r="AW225" s="125">
        <v>389083.11</v>
      </c>
      <c r="AX225" s="125">
        <v>620979.18000000005</v>
      </c>
      <c r="AY225" s="126"/>
      <c r="AZ225" s="126"/>
      <c r="BA225" s="126"/>
      <c r="BB225" s="126"/>
      <c r="BC225" s="126"/>
      <c r="BD225" s="126"/>
      <c r="BE225" s="126"/>
      <c r="BF225" s="127">
        <v>161420</v>
      </c>
      <c r="BG225" s="97" t="s">
        <v>202</v>
      </c>
      <c r="BH225" s="127">
        <v>181799.61</v>
      </c>
      <c r="BI225" s="127">
        <v>161420</v>
      </c>
      <c r="BJ225" s="97" t="s">
        <v>202</v>
      </c>
      <c r="BK225" s="127">
        <v>227209.12</v>
      </c>
    </row>
    <row r="226" spans="1:63" x14ac:dyDescent="0.25">
      <c r="B226" s="121">
        <v>16142005</v>
      </c>
      <c r="C226" s="122" t="s">
        <v>203</v>
      </c>
      <c r="D226" s="123">
        <v>61456.009999999995</v>
      </c>
      <c r="E226" s="123">
        <v>74873.97</v>
      </c>
      <c r="F226" s="123">
        <v>88846.91</v>
      </c>
      <c r="G226" s="123">
        <v>93323.87999999999</v>
      </c>
      <c r="H226" s="123">
        <v>110621.17</v>
      </c>
      <c r="I226" s="123">
        <v>121860.51999999999</v>
      </c>
      <c r="J226" s="123">
        <v>30857.06</v>
      </c>
      <c r="K226" s="123">
        <v>30886.039999999997</v>
      </c>
      <c r="L226" s="123">
        <v>32691.09</v>
      </c>
      <c r="M226" s="123">
        <v>21491.260000000002</v>
      </c>
      <c r="N226" s="123">
        <v>24252.67</v>
      </c>
      <c r="O226" s="123">
        <v>27111.02</v>
      </c>
      <c r="P226" s="123">
        <v>25295.21</v>
      </c>
      <c r="Q226" s="123">
        <v>30348.170000000002</v>
      </c>
      <c r="R226" s="123">
        <v>34194.86</v>
      </c>
      <c r="S226" s="123">
        <v>33211.919999999998</v>
      </c>
      <c r="T226" s="123">
        <v>33359.33</v>
      </c>
      <c r="U226" s="123">
        <v>27800.050000000003</v>
      </c>
      <c r="V226" s="123">
        <v>7970.4300000000012</v>
      </c>
      <c r="W226" s="123">
        <v>12568.099999999999</v>
      </c>
      <c r="X226" s="123">
        <v>16221.2</v>
      </c>
      <c r="Y226" s="123">
        <v>17990.16</v>
      </c>
      <c r="Z226" s="123">
        <v>22217.62</v>
      </c>
      <c r="AA226" s="123">
        <v>45881.35</v>
      </c>
      <c r="AB226" s="123">
        <v>30665.54</v>
      </c>
      <c r="AC226" s="124">
        <v>36919.58</v>
      </c>
      <c r="AD226" s="124">
        <v>60960.480000000003</v>
      </c>
      <c r="AE226" s="124">
        <v>69008.37</v>
      </c>
      <c r="AF226" s="124">
        <v>68607.16</v>
      </c>
      <c r="AG226" s="124">
        <v>71769.490000000005</v>
      </c>
      <c r="AH226" s="124">
        <v>59158.810000000005</v>
      </c>
      <c r="AI226" s="124">
        <v>83187.41</v>
      </c>
      <c r="AJ226" s="124">
        <v>88959.07</v>
      </c>
      <c r="AK226" s="124">
        <v>105296.06</v>
      </c>
      <c r="AL226" s="124">
        <v>93311.22</v>
      </c>
      <c r="AM226" s="124">
        <v>120061.84</v>
      </c>
      <c r="AN226" s="124">
        <v>97806.64</v>
      </c>
      <c r="AO226" s="125">
        <v>121804.93000000001</v>
      </c>
      <c r="AP226" s="125">
        <v>105894.81000000001</v>
      </c>
      <c r="AQ226" s="125">
        <v>84941.12000000001</v>
      </c>
      <c r="AR226" s="125">
        <v>64318.799999999996</v>
      </c>
      <c r="AS226" s="125">
        <v>144167.15</v>
      </c>
      <c r="AT226" s="125">
        <v>123257.29000000001</v>
      </c>
      <c r="AU226" s="125">
        <v>158533.12</v>
      </c>
      <c r="AV226" s="125">
        <v>136666.47999999998</v>
      </c>
      <c r="AW226" s="125">
        <v>114341.68</v>
      </c>
      <c r="AX226" s="125">
        <v>244462.84</v>
      </c>
      <c r="AY226" s="126"/>
      <c r="AZ226" s="126"/>
      <c r="BA226" s="126"/>
      <c r="BB226" s="126"/>
      <c r="BC226" s="126"/>
      <c r="BD226" s="126"/>
      <c r="BE226" s="126"/>
      <c r="BF226" s="127">
        <v>16142005</v>
      </c>
      <c r="BG226" s="97" t="s">
        <v>203</v>
      </c>
      <c r="BH226" s="127">
        <v>59158.810000000005</v>
      </c>
      <c r="BI226" s="127">
        <v>16142005</v>
      </c>
      <c r="BJ226" s="97" t="s">
        <v>203</v>
      </c>
      <c r="BK226" s="127">
        <v>83187.41</v>
      </c>
    </row>
    <row r="227" spans="1:63" x14ac:dyDescent="0.25">
      <c r="B227" s="121">
        <v>16142010</v>
      </c>
      <c r="C227" s="122" t="s">
        <v>204</v>
      </c>
      <c r="D227" s="123">
        <v>1468.2</v>
      </c>
      <c r="E227" s="123">
        <v>1758.48</v>
      </c>
      <c r="F227" s="123">
        <v>1882.16</v>
      </c>
      <c r="G227" s="123">
        <v>1945.01</v>
      </c>
      <c r="H227" s="123">
        <v>2217</v>
      </c>
      <c r="I227" s="123">
        <v>2279.85</v>
      </c>
      <c r="J227" s="123">
        <v>2498.1999999999998</v>
      </c>
      <c r="K227" s="123">
        <v>2477.1799999999998</v>
      </c>
      <c r="L227" s="123">
        <v>2506.31</v>
      </c>
      <c r="M227" s="123">
        <v>2444.5500000000002</v>
      </c>
      <c r="N227" s="123">
        <v>2523.67</v>
      </c>
      <c r="O227" s="123">
        <v>2574.2399999999998</v>
      </c>
      <c r="P227" s="123">
        <v>2574.2399999999998</v>
      </c>
      <c r="Q227" s="123">
        <v>2574.2399999999998</v>
      </c>
      <c r="R227" s="123">
        <v>2609.3000000000002</v>
      </c>
      <c r="S227" s="123">
        <v>2730.9</v>
      </c>
      <c r="T227" s="123">
        <v>2730.9</v>
      </c>
      <c r="U227" s="123">
        <v>2730.9</v>
      </c>
      <c r="V227" s="123">
        <v>2730.9</v>
      </c>
      <c r="W227" s="123">
        <v>2977.35</v>
      </c>
      <c r="X227" s="123">
        <v>2977.35</v>
      </c>
      <c r="Y227" s="123">
        <v>2977.35</v>
      </c>
      <c r="Z227" s="123">
        <v>3004.66</v>
      </c>
      <c r="AA227" s="123">
        <v>3035.99</v>
      </c>
      <c r="AB227" s="123">
        <v>3035.99</v>
      </c>
      <c r="AC227" s="124">
        <v>3035.99</v>
      </c>
      <c r="AD227" s="124">
        <v>3035.99</v>
      </c>
      <c r="AE227" s="124">
        <v>3061.36</v>
      </c>
      <c r="AF227" s="124">
        <v>3061.36</v>
      </c>
      <c r="AG227" s="124">
        <v>3061.36</v>
      </c>
      <c r="AH227" s="124">
        <v>3121</v>
      </c>
      <c r="AI227" s="124">
        <v>3351.61</v>
      </c>
      <c r="AJ227" s="124">
        <v>3442.69</v>
      </c>
      <c r="AK227" s="124">
        <v>3730.91</v>
      </c>
      <c r="AL227" s="124">
        <v>3730.91</v>
      </c>
      <c r="AM227" s="124">
        <v>3730.91</v>
      </c>
      <c r="AN227" s="124">
        <v>3730.91</v>
      </c>
      <c r="AO227" s="125">
        <v>3730.91</v>
      </c>
      <c r="AP227" s="125">
        <v>3730.91</v>
      </c>
      <c r="AQ227" s="125">
        <v>3730.91</v>
      </c>
      <c r="AR227" s="125">
        <v>3730.91</v>
      </c>
      <c r="AS227" s="125">
        <v>3760.73</v>
      </c>
      <c r="AT227" s="125">
        <v>3760.73</v>
      </c>
      <c r="AU227" s="125">
        <v>3760.73</v>
      </c>
      <c r="AV227" s="125">
        <v>3760.73</v>
      </c>
      <c r="AW227" s="125">
        <v>3760.73</v>
      </c>
      <c r="AX227" s="125">
        <v>3761.25</v>
      </c>
      <c r="AY227" s="126"/>
      <c r="AZ227" s="126"/>
      <c r="BA227" s="126"/>
      <c r="BB227" s="126"/>
      <c r="BC227" s="126"/>
      <c r="BD227" s="126"/>
      <c r="BE227" s="126"/>
      <c r="BF227" s="127">
        <v>16142010</v>
      </c>
      <c r="BG227" s="97" t="s">
        <v>204</v>
      </c>
      <c r="BH227" s="127">
        <v>3121</v>
      </c>
      <c r="BI227" s="127">
        <v>16142010</v>
      </c>
      <c r="BJ227" s="97" t="s">
        <v>204</v>
      </c>
      <c r="BK227" s="127">
        <v>3351.61</v>
      </c>
    </row>
    <row r="228" spans="1:63" s="113" customFormat="1" x14ac:dyDescent="0.25">
      <c r="B228" s="121">
        <v>16142015</v>
      </c>
      <c r="C228" s="122" t="s">
        <v>205</v>
      </c>
      <c r="D228" s="123">
        <v>3950.53</v>
      </c>
      <c r="E228" s="123">
        <v>3600.27</v>
      </c>
      <c r="F228" s="123">
        <v>3262.07</v>
      </c>
      <c r="G228" s="123">
        <v>2532.0300000000002</v>
      </c>
      <c r="H228" s="123">
        <v>2795.86</v>
      </c>
      <c r="I228" s="123">
        <v>2562.19</v>
      </c>
      <c r="J228" s="123">
        <v>2644.76</v>
      </c>
      <c r="K228" s="123">
        <v>1873.31</v>
      </c>
      <c r="L228" s="123">
        <v>1679.68</v>
      </c>
      <c r="M228" s="123">
        <v>496.81</v>
      </c>
      <c r="N228" s="123">
        <v>58.99</v>
      </c>
      <c r="O228" s="128"/>
      <c r="P228" s="128"/>
      <c r="Q228" s="123">
        <v>280.18</v>
      </c>
      <c r="R228" s="123">
        <v>144.41</v>
      </c>
      <c r="S228" s="123">
        <v>-274.98</v>
      </c>
      <c r="T228" s="123">
        <v>493.07</v>
      </c>
      <c r="U228" s="123">
        <v>249.08</v>
      </c>
      <c r="V228" s="128"/>
      <c r="W228" s="128"/>
      <c r="X228" s="123">
        <v>-147.61000000000001</v>
      </c>
      <c r="Y228" s="123">
        <v>59.5</v>
      </c>
      <c r="Z228" s="123">
        <v>452.64</v>
      </c>
      <c r="AA228" s="123">
        <v>5712.22</v>
      </c>
      <c r="AB228" s="123">
        <v>452.23</v>
      </c>
      <c r="AC228" s="124">
        <v>512.14</v>
      </c>
      <c r="AD228" s="124">
        <v>5493.41</v>
      </c>
      <c r="AE228" s="124">
        <v>5415.24</v>
      </c>
      <c r="AF228" s="124">
        <v>5339.62</v>
      </c>
      <c r="AG228" s="124">
        <v>5691</v>
      </c>
      <c r="AH228" s="124">
        <v>1462.66</v>
      </c>
      <c r="AI228" s="124">
        <v>7959.66</v>
      </c>
      <c r="AJ228" s="124">
        <v>9817.17</v>
      </c>
      <c r="AK228" s="124">
        <v>12344.65</v>
      </c>
      <c r="AL228" s="124">
        <v>8616.1299999999992</v>
      </c>
      <c r="AM228" s="124">
        <v>18750.96</v>
      </c>
      <c r="AN228" s="124">
        <v>15744.58</v>
      </c>
      <c r="AO228" s="125">
        <v>30153.52</v>
      </c>
      <c r="AP228" s="125">
        <v>27409.46</v>
      </c>
      <c r="AQ228" s="125">
        <v>24749.16</v>
      </c>
      <c r="AR228" s="125">
        <v>22123.16</v>
      </c>
      <c r="AS228" s="125">
        <v>68785.919999999998</v>
      </c>
      <c r="AT228" s="125">
        <v>66511.960000000006</v>
      </c>
      <c r="AU228" s="125">
        <v>97886.96</v>
      </c>
      <c r="AV228" s="125">
        <v>94805.56</v>
      </c>
      <c r="AW228" s="125">
        <v>91831.27</v>
      </c>
      <c r="AX228" s="125">
        <v>174518.01</v>
      </c>
      <c r="AY228" s="126"/>
      <c r="AZ228" s="126"/>
      <c r="BA228" s="126"/>
      <c r="BB228" s="126"/>
      <c r="BC228" s="126"/>
      <c r="BD228" s="126"/>
      <c r="BE228" s="126"/>
      <c r="BF228" s="127">
        <v>16142015</v>
      </c>
      <c r="BG228" s="97" t="s">
        <v>205</v>
      </c>
      <c r="BH228" s="127">
        <v>1462.66</v>
      </c>
      <c r="BI228" s="127">
        <v>16142015</v>
      </c>
      <c r="BJ228" s="97" t="s">
        <v>205</v>
      </c>
      <c r="BK228" s="127">
        <v>7959.66</v>
      </c>
    </row>
    <row r="229" spans="1:63" x14ac:dyDescent="0.25">
      <c r="A229" s="113"/>
      <c r="B229" s="121">
        <v>16142020</v>
      </c>
      <c r="C229" s="122" t="s">
        <v>206</v>
      </c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3">
        <v>-5619.63</v>
      </c>
      <c r="T229" s="128"/>
      <c r="U229" s="128"/>
      <c r="V229" s="128"/>
      <c r="W229" s="128"/>
      <c r="X229" s="123">
        <v>-4914.01</v>
      </c>
      <c r="Y229" s="128"/>
      <c r="Z229" s="128"/>
      <c r="AA229" s="128"/>
      <c r="AB229" s="128"/>
      <c r="AC229" s="129"/>
      <c r="AD229" s="129"/>
      <c r="AE229" s="129"/>
      <c r="AF229" s="129"/>
      <c r="AG229" s="129"/>
      <c r="AH229" s="129"/>
      <c r="AI229" s="129"/>
      <c r="AJ229" s="124">
        <v>0</v>
      </c>
      <c r="AK229" s="124">
        <v>0</v>
      </c>
      <c r="AL229" s="124">
        <v>0</v>
      </c>
      <c r="AM229" s="124">
        <v>0</v>
      </c>
      <c r="AN229" s="124">
        <v>0</v>
      </c>
      <c r="AO229" s="125">
        <v>0</v>
      </c>
      <c r="AP229" s="125">
        <v>0</v>
      </c>
      <c r="AQ229" s="125">
        <v>0</v>
      </c>
      <c r="AR229" s="125">
        <v>0</v>
      </c>
      <c r="AS229" s="125">
        <v>0</v>
      </c>
      <c r="AT229" s="125">
        <v>0</v>
      </c>
      <c r="AU229" s="125">
        <v>0</v>
      </c>
      <c r="AV229" s="125">
        <v>0</v>
      </c>
      <c r="AW229" s="125">
        <v>0</v>
      </c>
      <c r="AX229" s="125">
        <v>0</v>
      </c>
      <c r="AY229" s="126"/>
      <c r="AZ229" s="126"/>
      <c r="BA229" s="126"/>
      <c r="BB229" s="126"/>
      <c r="BC229" s="126"/>
      <c r="BD229" s="126"/>
      <c r="BE229" s="126"/>
    </row>
    <row r="230" spans="1:63" x14ac:dyDescent="0.25">
      <c r="B230" s="121">
        <v>16142025</v>
      </c>
      <c r="C230" s="122" t="s">
        <v>207</v>
      </c>
      <c r="D230" s="123">
        <v>1314.41</v>
      </c>
      <c r="E230" s="123">
        <v>1259.1400000000001</v>
      </c>
      <c r="F230" s="123">
        <v>979.89</v>
      </c>
      <c r="G230" s="123">
        <v>823.92</v>
      </c>
      <c r="H230" s="123">
        <v>1212.9000000000001</v>
      </c>
      <c r="I230" s="123">
        <v>1216.52</v>
      </c>
      <c r="J230" s="123">
        <v>1205.7</v>
      </c>
      <c r="K230" s="123">
        <v>1041.4000000000001</v>
      </c>
      <c r="L230" s="123">
        <v>1013.58</v>
      </c>
      <c r="M230" s="123">
        <v>685.27</v>
      </c>
      <c r="N230" s="123">
        <v>528.45000000000005</v>
      </c>
      <c r="O230" s="123">
        <v>453.67</v>
      </c>
      <c r="P230" s="123">
        <v>351.93</v>
      </c>
      <c r="Q230" s="123">
        <v>694.89</v>
      </c>
      <c r="R230" s="123">
        <v>1780.2</v>
      </c>
      <c r="S230" s="123">
        <v>3045.54</v>
      </c>
      <c r="T230" s="123">
        <v>5157.8100000000004</v>
      </c>
      <c r="U230" s="123">
        <v>7690.24</v>
      </c>
      <c r="V230" s="123">
        <v>6607.03</v>
      </c>
      <c r="W230" s="123">
        <v>9609.0499999999993</v>
      </c>
      <c r="X230" s="123">
        <v>12854.43</v>
      </c>
      <c r="Y230" s="123">
        <v>16169.74</v>
      </c>
      <c r="Z230" s="123">
        <v>20341.02</v>
      </c>
      <c r="AA230" s="123">
        <v>29430.62</v>
      </c>
      <c r="AB230" s="123">
        <v>28693.08</v>
      </c>
      <c r="AC230" s="124">
        <v>33490.629999999997</v>
      </c>
      <c r="AD230" s="124">
        <v>45343.08</v>
      </c>
      <c r="AE230" s="124">
        <v>52596.79</v>
      </c>
      <c r="AF230" s="124">
        <v>59336.11</v>
      </c>
      <c r="AG230" s="124">
        <v>66107.490000000005</v>
      </c>
      <c r="AH230" s="124">
        <v>65664.05</v>
      </c>
      <c r="AI230" s="124">
        <v>79214.31</v>
      </c>
      <c r="AJ230" s="124">
        <v>85384.25</v>
      </c>
      <c r="AK230" s="124">
        <v>91397.08</v>
      </c>
      <c r="AL230" s="124">
        <v>91087.61</v>
      </c>
      <c r="AM230" s="124">
        <v>102759.51</v>
      </c>
      <c r="AN230" s="124">
        <v>102574.53</v>
      </c>
      <c r="AO230" s="125">
        <v>114377.08</v>
      </c>
      <c r="AP230" s="125">
        <v>114226.53</v>
      </c>
      <c r="AQ230" s="125">
        <v>114089.03</v>
      </c>
      <c r="AR230" s="125">
        <v>113957.42</v>
      </c>
      <c r="AS230" s="125">
        <v>135589.20000000001</v>
      </c>
      <c r="AT230" s="125">
        <v>135490.18</v>
      </c>
      <c r="AU230" s="125">
        <v>146260.94</v>
      </c>
      <c r="AV230" s="125">
        <v>146185.14000000001</v>
      </c>
      <c r="AW230" s="125">
        <v>146111.51</v>
      </c>
      <c r="AX230" s="125">
        <v>165199.16</v>
      </c>
      <c r="AY230" s="126"/>
      <c r="AZ230" s="126"/>
      <c r="BA230" s="126"/>
      <c r="BB230" s="126"/>
      <c r="BC230" s="126"/>
      <c r="BD230" s="126"/>
      <c r="BE230" s="126"/>
      <c r="BF230" s="120">
        <v>16142025</v>
      </c>
      <c r="BG230" s="113" t="s">
        <v>207</v>
      </c>
      <c r="BH230" s="120">
        <v>65664.05</v>
      </c>
      <c r="BI230" s="127">
        <v>16142025</v>
      </c>
      <c r="BJ230" s="97" t="s">
        <v>207</v>
      </c>
      <c r="BK230" s="127">
        <v>79214.31</v>
      </c>
    </row>
    <row r="231" spans="1:63" x14ac:dyDescent="0.25">
      <c r="B231" s="121">
        <v>16142035</v>
      </c>
      <c r="C231" s="122" t="s">
        <v>208</v>
      </c>
      <c r="D231" s="123">
        <v>25497.63</v>
      </c>
      <c r="E231" s="123">
        <v>25497.63</v>
      </c>
      <c r="F231" s="123">
        <v>25497.63</v>
      </c>
      <c r="G231" s="123">
        <v>25497.63</v>
      </c>
      <c r="H231" s="123">
        <v>25497.63</v>
      </c>
      <c r="I231" s="123">
        <v>25497.63</v>
      </c>
      <c r="J231" s="123">
        <v>25497.63</v>
      </c>
      <c r="K231" s="123">
        <v>25497.63</v>
      </c>
      <c r="L231" s="123">
        <v>25497.63</v>
      </c>
      <c r="M231" s="123">
        <v>25497.63</v>
      </c>
      <c r="N231" s="123">
        <v>25497.63</v>
      </c>
      <c r="O231" s="123">
        <v>25497.63</v>
      </c>
      <c r="P231" s="123">
        <v>25497.63</v>
      </c>
      <c r="Q231" s="123">
        <v>25497.63</v>
      </c>
      <c r="R231" s="123">
        <v>25497.63</v>
      </c>
      <c r="S231" s="123">
        <v>25497.63</v>
      </c>
      <c r="T231" s="123">
        <v>25497.63</v>
      </c>
      <c r="U231" s="123">
        <v>25497.63</v>
      </c>
      <c r="V231" s="123">
        <v>25497.63</v>
      </c>
      <c r="W231" s="123">
        <v>25497.63</v>
      </c>
      <c r="X231" s="123">
        <v>25497.63</v>
      </c>
      <c r="Y231" s="123">
        <v>25497.63</v>
      </c>
      <c r="Z231" s="123">
        <v>25497.63</v>
      </c>
      <c r="AA231" s="123">
        <v>25497.63</v>
      </c>
      <c r="AB231" s="123">
        <v>25497.63</v>
      </c>
      <c r="AC231" s="124">
        <v>25497.63</v>
      </c>
      <c r="AD231" s="124">
        <v>25497.63</v>
      </c>
      <c r="AE231" s="124">
        <v>25497.63</v>
      </c>
      <c r="AF231" s="124">
        <v>25497.63</v>
      </c>
      <c r="AG231" s="124">
        <v>25497.63</v>
      </c>
      <c r="AH231" s="124">
        <v>25497.63</v>
      </c>
      <c r="AI231" s="124">
        <v>25497.63</v>
      </c>
      <c r="AJ231" s="124">
        <v>25497.63</v>
      </c>
      <c r="AK231" s="124">
        <v>25497.63</v>
      </c>
      <c r="AL231" s="124">
        <v>25497.63</v>
      </c>
      <c r="AM231" s="124">
        <v>25497.63</v>
      </c>
      <c r="AN231" s="124">
        <v>25497.63</v>
      </c>
      <c r="AO231" s="125">
        <v>25497.63</v>
      </c>
      <c r="AP231" s="125">
        <v>25497.63</v>
      </c>
      <c r="AQ231" s="125">
        <v>25497.63</v>
      </c>
      <c r="AR231" s="125">
        <v>25497.63</v>
      </c>
      <c r="AS231" s="125">
        <v>25497.63</v>
      </c>
      <c r="AT231" s="125">
        <v>25497.63</v>
      </c>
      <c r="AU231" s="125">
        <v>25497.63</v>
      </c>
      <c r="AV231" s="125">
        <v>25497.63</v>
      </c>
      <c r="AW231" s="125">
        <v>25497.63</v>
      </c>
      <c r="AX231" s="125">
        <v>25497.63</v>
      </c>
      <c r="AY231" s="126"/>
      <c r="AZ231" s="126"/>
      <c r="BA231" s="126"/>
      <c r="BB231" s="126"/>
      <c r="BC231" s="126"/>
      <c r="BD231" s="126"/>
      <c r="BE231" s="126"/>
      <c r="BF231" s="120">
        <v>16142035</v>
      </c>
      <c r="BG231" s="113" t="s">
        <v>208</v>
      </c>
      <c r="BH231" s="120">
        <v>25497.63</v>
      </c>
      <c r="BI231" s="120">
        <v>16142035</v>
      </c>
      <c r="BJ231" s="113" t="s">
        <v>208</v>
      </c>
      <c r="BK231" s="120">
        <v>25497.63</v>
      </c>
    </row>
    <row r="232" spans="1:63" x14ac:dyDescent="0.25">
      <c r="B232" s="121">
        <v>16142040</v>
      </c>
      <c r="C232" s="122" t="s">
        <v>209</v>
      </c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3">
        <v>2236.31</v>
      </c>
      <c r="P232" s="123">
        <v>4035.45</v>
      </c>
      <c r="Q232" s="123">
        <v>5233.62</v>
      </c>
      <c r="R232" s="123">
        <v>7221.08</v>
      </c>
      <c r="S232" s="123">
        <v>8988.16</v>
      </c>
      <c r="T232" s="123">
        <v>10218.43</v>
      </c>
      <c r="U232" s="123">
        <v>10548.22</v>
      </c>
      <c r="V232" s="123">
        <v>10548.22</v>
      </c>
      <c r="W232" s="123">
        <v>12099.8</v>
      </c>
      <c r="X232" s="123">
        <v>14806.71</v>
      </c>
      <c r="Y232" s="123">
        <v>17513.62</v>
      </c>
      <c r="Z232" s="123">
        <v>18813.669999999998</v>
      </c>
      <c r="AA232" s="123">
        <v>23542.37</v>
      </c>
      <c r="AB232" s="123">
        <v>23542.37</v>
      </c>
      <c r="AC232" s="124">
        <v>25688.21</v>
      </c>
      <c r="AD232" s="124">
        <v>26081.43</v>
      </c>
      <c r="AE232" s="124">
        <v>26526.25</v>
      </c>
      <c r="AF232" s="124">
        <v>26630.25</v>
      </c>
      <c r="AG232" s="124">
        <v>26895.46</v>
      </c>
      <c r="AH232" s="124">
        <v>26895.46</v>
      </c>
      <c r="AI232" s="124">
        <v>27998.5</v>
      </c>
      <c r="AJ232" s="124">
        <v>7540.29</v>
      </c>
      <c r="AK232" s="124">
        <v>7540.29</v>
      </c>
      <c r="AL232" s="124">
        <v>7540.29</v>
      </c>
      <c r="AM232" s="124">
        <v>7540.29</v>
      </c>
      <c r="AN232" s="124">
        <v>7540.29</v>
      </c>
      <c r="AO232" s="125">
        <v>7540.29</v>
      </c>
      <c r="AP232" s="125">
        <v>7540.29</v>
      </c>
      <c r="AQ232" s="125">
        <v>7540.29</v>
      </c>
      <c r="AR232" s="125">
        <v>7540.29</v>
      </c>
      <c r="AS232" s="125">
        <v>7540.29</v>
      </c>
      <c r="AT232" s="125">
        <v>7540.29</v>
      </c>
      <c r="AU232" s="125">
        <v>7540.29</v>
      </c>
      <c r="AV232" s="125">
        <v>7540.29</v>
      </c>
      <c r="AW232" s="125">
        <v>7540.29</v>
      </c>
      <c r="AX232" s="125">
        <v>7540.29</v>
      </c>
      <c r="AY232" s="126"/>
      <c r="AZ232" s="126"/>
      <c r="BA232" s="126"/>
      <c r="BB232" s="126"/>
      <c r="BC232" s="126"/>
      <c r="BD232" s="126"/>
      <c r="BE232" s="126"/>
      <c r="BF232" s="127">
        <v>16142040</v>
      </c>
      <c r="BG232" s="97" t="s">
        <v>209</v>
      </c>
      <c r="BH232" s="127">
        <v>26895.46</v>
      </c>
      <c r="BI232" s="120">
        <v>16142040</v>
      </c>
      <c r="BJ232" s="113" t="s">
        <v>209</v>
      </c>
      <c r="BK232" s="120">
        <v>27998.5</v>
      </c>
    </row>
    <row r="233" spans="1:63" x14ac:dyDescent="0.25">
      <c r="B233" s="121">
        <v>1614204005</v>
      </c>
      <c r="C233" s="122" t="s">
        <v>210</v>
      </c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3">
        <v>920.17</v>
      </c>
      <c r="P233" s="123">
        <v>1849.4</v>
      </c>
      <c r="Q233" s="123">
        <v>2133.84</v>
      </c>
      <c r="R233" s="123">
        <v>2802.89</v>
      </c>
      <c r="S233" s="123">
        <v>3420.11</v>
      </c>
      <c r="T233" s="123">
        <v>3821.98</v>
      </c>
      <c r="U233" s="123">
        <v>3821.98</v>
      </c>
      <c r="V233" s="123">
        <v>3821.98</v>
      </c>
      <c r="W233" s="123">
        <v>4296.58</v>
      </c>
      <c r="X233" s="123">
        <v>5109.72</v>
      </c>
      <c r="Y233" s="123">
        <v>5922.86</v>
      </c>
      <c r="Z233" s="123">
        <v>6071.91</v>
      </c>
      <c r="AA233" s="123">
        <v>7450.2</v>
      </c>
      <c r="AB233" s="123">
        <v>7450.2</v>
      </c>
      <c r="AC233" s="124">
        <v>7907.44</v>
      </c>
      <c r="AD233" s="124">
        <v>7907.44</v>
      </c>
      <c r="AE233" s="124">
        <v>7907.44</v>
      </c>
      <c r="AF233" s="124">
        <v>7907.44</v>
      </c>
      <c r="AG233" s="124">
        <v>7907.44</v>
      </c>
      <c r="AH233" s="124">
        <v>7907.44</v>
      </c>
      <c r="AI233" s="124">
        <v>7907.44</v>
      </c>
      <c r="AJ233" s="124">
        <v>1767.81</v>
      </c>
      <c r="AK233" s="124">
        <v>1767.81</v>
      </c>
      <c r="AL233" s="124">
        <v>1767.81</v>
      </c>
      <c r="AM233" s="124">
        <v>1767.81</v>
      </c>
      <c r="AN233" s="124">
        <v>1767.81</v>
      </c>
      <c r="AO233" s="125">
        <v>1767.81</v>
      </c>
      <c r="AP233" s="125">
        <v>1767.81</v>
      </c>
      <c r="AQ233" s="125">
        <v>1767.81</v>
      </c>
      <c r="AR233" s="125">
        <v>1767.81</v>
      </c>
      <c r="AS233" s="125">
        <v>1767.81</v>
      </c>
      <c r="AT233" s="125">
        <v>1767.81</v>
      </c>
      <c r="AU233" s="125">
        <v>1767.81</v>
      </c>
      <c r="AV233" s="125">
        <v>1767.81</v>
      </c>
      <c r="AW233" s="125">
        <v>1767.81</v>
      </c>
      <c r="AX233" s="125">
        <v>1767.81</v>
      </c>
      <c r="AY233" s="126"/>
      <c r="AZ233" s="126"/>
      <c r="BA233" s="126"/>
      <c r="BB233" s="126"/>
      <c r="BC233" s="126"/>
      <c r="BD233" s="126"/>
      <c r="BE233" s="126"/>
      <c r="BF233" s="127">
        <v>1614204005</v>
      </c>
      <c r="BG233" s="97" t="s">
        <v>210</v>
      </c>
      <c r="BH233" s="127">
        <v>7907.44</v>
      </c>
      <c r="BI233" s="127">
        <v>1614204005</v>
      </c>
      <c r="BJ233" s="97" t="s">
        <v>210</v>
      </c>
      <c r="BK233" s="127">
        <v>7907.44</v>
      </c>
    </row>
    <row r="234" spans="1:63" x14ac:dyDescent="0.25">
      <c r="B234" s="121">
        <v>1614204010</v>
      </c>
      <c r="C234" s="122" t="s">
        <v>211</v>
      </c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3">
        <v>216.59</v>
      </c>
      <c r="P234" s="123">
        <v>426.78</v>
      </c>
      <c r="Q234" s="123">
        <v>552.55999999999995</v>
      </c>
      <c r="R234" s="123">
        <v>736.36</v>
      </c>
      <c r="S234" s="123">
        <v>904.45</v>
      </c>
      <c r="T234" s="123">
        <v>1075.29</v>
      </c>
      <c r="U234" s="123">
        <v>1172.3599999999999</v>
      </c>
      <c r="V234" s="123">
        <v>1172.3599999999999</v>
      </c>
      <c r="W234" s="123">
        <v>1229.77</v>
      </c>
      <c r="X234" s="123">
        <v>1418.94</v>
      </c>
      <c r="Y234" s="123">
        <v>1608.11</v>
      </c>
      <c r="Z234" s="123">
        <v>1716.58</v>
      </c>
      <c r="AA234" s="123">
        <v>2084.25</v>
      </c>
      <c r="AB234" s="123">
        <v>2084.25</v>
      </c>
      <c r="AC234" s="124">
        <v>2255.6999999999998</v>
      </c>
      <c r="AD234" s="124">
        <v>2620.2399999999998</v>
      </c>
      <c r="AE234" s="124">
        <v>3033.16</v>
      </c>
      <c r="AF234" s="124">
        <v>3094.62</v>
      </c>
      <c r="AG234" s="124">
        <v>3312.49</v>
      </c>
      <c r="AH234" s="124">
        <v>3312.49</v>
      </c>
      <c r="AI234" s="124">
        <v>3826.55</v>
      </c>
      <c r="AJ234" s="124">
        <v>1280.27</v>
      </c>
      <c r="AK234" s="124">
        <v>1280.27</v>
      </c>
      <c r="AL234" s="124">
        <v>1280.27</v>
      </c>
      <c r="AM234" s="124">
        <v>1280.27</v>
      </c>
      <c r="AN234" s="124">
        <v>1280.27</v>
      </c>
      <c r="AO234" s="125">
        <v>1280.27</v>
      </c>
      <c r="AP234" s="125">
        <v>1280.27</v>
      </c>
      <c r="AQ234" s="125">
        <v>1280.27</v>
      </c>
      <c r="AR234" s="125">
        <v>1280.27</v>
      </c>
      <c r="AS234" s="125">
        <v>1280.27</v>
      </c>
      <c r="AT234" s="125">
        <v>1280.27</v>
      </c>
      <c r="AU234" s="125">
        <v>1280.27</v>
      </c>
      <c r="AV234" s="125">
        <v>1280.27</v>
      </c>
      <c r="AW234" s="125">
        <v>1280.27</v>
      </c>
      <c r="AX234" s="125">
        <v>1280.27</v>
      </c>
      <c r="AY234" s="126"/>
      <c r="AZ234" s="126"/>
      <c r="BA234" s="126"/>
      <c r="BB234" s="126"/>
      <c r="BC234" s="126"/>
      <c r="BD234" s="126"/>
      <c r="BE234" s="126"/>
      <c r="BF234" s="127">
        <v>1614204010</v>
      </c>
      <c r="BG234" s="97" t="s">
        <v>211</v>
      </c>
      <c r="BH234" s="127">
        <v>3312.49</v>
      </c>
      <c r="BI234" s="127">
        <v>1614204010</v>
      </c>
      <c r="BJ234" s="97" t="s">
        <v>211</v>
      </c>
      <c r="BK234" s="127">
        <v>3826.55</v>
      </c>
    </row>
    <row r="235" spans="1:63" x14ac:dyDescent="0.25">
      <c r="B235" s="121">
        <v>1614204015</v>
      </c>
      <c r="C235" s="122" t="s">
        <v>212</v>
      </c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3">
        <v>1099.55</v>
      </c>
      <c r="P235" s="123">
        <v>1759.27</v>
      </c>
      <c r="Q235" s="123">
        <v>2547.2199999999998</v>
      </c>
      <c r="R235" s="123">
        <v>203.14</v>
      </c>
      <c r="S235" s="123">
        <v>236.55</v>
      </c>
      <c r="T235" s="123">
        <v>289.36</v>
      </c>
      <c r="U235" s="123">
        <v>326.5</v>
      </c>
      <c r="V235" s="123">
        <v>326.5</v>
      </c>
      <c r="W235" s="123">
        <v>360.79</v>
      </c>
      <c r="X235" s="123">
        <v>613.12</v>
      </c>
      <c r="Y235" s="123">
        <v>865.45</v>
      </c>
      <c r="Z235" s="123">
        <v>929.62</v>
      </c>
      <c r="AA235" s="123">
        <v>1045.92</v>
      </c>
      <c r="AB235" s="123">
        <v>1045.92</v>
      </c>
      <c r="AC235" s="124">
        <v>1099.47</v>
      </c>
      <c r="AD235" s="124">
        <v>1144.53</v>
      </c>
      <c r="AE235" s="124">
        <v>1176.43</v>
      </c>
      <c r="AF235" s="124">
        <v>1218.97</v>
      </c>
      <c r="AG235" s="124">
        <v>1266.31</v>
      </c>
      <c r="AH235" s="124">
        <v>1266.31</v>
      </c>
      <c r="AI235" s="124">
        <v>1325.16</v>
      </c>
      <c r="AJ235" s="124">
        <v>895.28</v>
      </c>
      <c r="AK235" s="124">
        <v>895.28</v>
      </c>
      <c r="AL235" s="124">
        <v>895.28</v>
      </c>
      <c r="AM235" s="124">
        <v>895.28</v>
      </c>
      <c r="AN235" s="124">
        <v>895.28</v>
      </c>
      <c r="AO235" s="125">
        <v>895.28</v>
      </c>
      <c r="AP235" s="125">
        <v>895.28</v>
      </c>
      <c r="AQ235" s="125">
        <v>895.28</v>
      </c>
      <c r="AR235" s="125">
        <v>895.28</v>
      </c>
      <c r="AS235" s="125">
        <v>895.28</v>
      </c>
      <c r="AT235" s="125">
        <v>895.28</v>
      </c>
      <c r="AU235" s="125">
        <v>895.28</v>
      </c>
      <c r="AV235" s="125">
        <v>895.28</v>
      </c>
      <c r="AW235" s="125">
        <v>895.28</v>
      </c>
      <c r="AX235" s="125">
        <v>895.28</v>
      </c>
      <c r="AY235" s="126"/>
      <c r="AZ235" s="126"/>
      <c r="BA235" s="126"/>
      <c r="BB235" s="126"/>
      <c r="BC235" s="126"/>
      <c r="BD235" s="126"/>
      <c r="BE235" s="126"/>
      <c r="BF235" s="127">
        <v>1614204015</v>
      </c>
      <c r="BG235" s="97" t="s">
        <v>212</v>
      </c>
      <c r="BH235" s="127">
        <v>1266.31</v>
      </c>
      <c r="BI235" s="127">
        <v>1614204015</v>
      </c>
      <c r="BJ235" s="97" t="s">
        <v>212</v>
      </c>
      <c r="BK235" s="127">
        <v>1325.16</v>
      </c>
    </row>
    <row r="236" spans="1:63" x14ac:dyDescent="0.25">
      <c r="B236" s="121">
        <v>1614204020</v>
      </c>
      <c r="C236" s="122" t="s">
        <v>213</v>
      </c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3">
        <v>3478.69</v>
      </c>
      <c r="S236" s="123">
        <v>4427.05</v>
      </c>
      <c r="T236" s="123">
        <v>5031.8</v>
      </c>
      <c r="U236" s="123">
        <v>5227.38</v>
      </c>
      <c r="V236" s="123">
        <v>5227.38</v>
      </c>
      <c r="W236" s="123">
        <v>6212.66</v>
      </c>
      <c r="X236" s="123">
        <v>7664.93</v>
      </c>
      <c r="Y236" s="123">
        <v>9117.2000000000007</v>
      </c>
      <c r="Z236" s="123">
        <v>10095.56</v>
      </c>
      <c r="AA236" s="123">
        <v>12962</v>
      </c>
      <c r="AB236" s="123">
        <v>12962</v>
      </c>
      <c r="AC236" s="124">
        <v>14425.6</v>
      </c>
      <c r="AD236" s="124">
        <v>14409.22</v>
      </c>
      <c r="AE236" s="124">
        <v>14409.22</v>
      </c>
      <c r="AF236" s="124">
        <v>14409.22</v>
      </c>
      <c r="AG236" s="124">
        <v>14409.22</v>
      </c>
      <c r="AH236" s="124">
        <v>14409.22</v>
      </c>
      <c r="AI236" s="124">
        <v>14939.35</v>
      </c>
      <c r="AJ236" s="124">
        <v>3596.93</v>
      </c>
      <c r="AK236" s="124">
        <v>3596.93</v>
      </c>
      <c r="AL236" s="124">
        <v>3596.93</v>
      </c>
      <c r="AM236" s="124">
        <v>3596.93</v>
      </c>
      <c r="AN236" s="124">
        <v>3596.93</v>
      </c>
      <c r="AO236" s="125">
        <v>3596.93</v>
      </c>
      <c r="AP236" s="125">
        <v>3596.93</v>
      </c>
      <c r="AQ236" s="125">
        <v>3596.93</v>
      </c>
      <c r="AR236" s="125">
        <v>3596.93</v>
      </c>
      <c r="AS236" s="125">
        <v>3596.93</v>
      </c>
      <c r="AT236" s="125">
        <v>3596.93</v>
      </c>
      <c r="AU236" s="125">
        <v>3596.93</v>
      </c>
      <c r="AV236" s="125">
        <v>3596.93</v>
      </c>
      <c r="AW236" s="125">
        <v>3596.93</v>
      </c>
      <c r="AX236" s="125">
        <v>3596.93</v>
      </c>
      <c r="AY236" s="126"/>
      <c r="AZ236" s="126"/>
      <c r="BA236" s="126"/>
      <c r="BB236" s="126"/>
      <c r="BC236" s="126"/>
      <c r="BD236" s="126"/>
      <c r="BE236" s="126"/>
      <c r="BF236" s="143">
        <v>1614204020</v>
      </c>
      <c r="BG236" s="97" t="s">
        <v>213</v>
      </c>
      <c r="BH236" s="127">
        <v>14409.22</v>
      </c>
      <c r="BI236" s="127">
        <v>1614204020</v>
      </c>
      <c r="BJ236" s="97" t="s">
        <v>213</v>
      </c>
      <c r="BK236" s="127">
        <v>14939.35</v>
      </c>
    </row>
    <row r="237" spans="1:63" x14ac:dyDescent="0.25">
      <c r="B237" s="121">
        <v>1615</v>
      </c>
      <c r="C237" s="122" t="s">
        <v>214</v>
      </c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4">
        <v>-1.4</v>
      </c>
      <c r="AD237" s="129"/>
      <c r="AE237" s="129"/>
      <c r="AF237" s="129"/>
      <c r="AG237" s="129"/>
      <c r="AH237" s="129"/>
      <c r="AI237" s="129"/>
      <c r="AJ237" s="124">
        <v>0</v>
      </c>
      <c r="AK237" s="124">
        <v>0</v>
      </c>
      <c r="AL237" s="124">
        <v>0</v>
      </c>
      <c r="AM237" s="124">
        <v>0</v>
      </c>
      <c r="AN237" s="124">
        <v>0</v>
      </c>
      <c r="AO237" s="125">
        <v>0</v>
      </c>
      <c r="AP237" s="125">
        <v>0</v>
      </c>
      <c r="AQ237" s="125">
        <v>0</v>
      </c>
      <c r="AR237" s="125">
        <v>0</v>
      </c>
      <c r="AS237" s="125">
        <v>0</v>
      </c>
      <c r="AT237" s="125">
        <v>0</v>
      </c>
      <c r="AU237" s="125">
        <v>0</v>
      </c>
      <c r="AV237" s="125">
        <v>0</v>
      </c>
      <c r="AW237" s="125">
        <v>0</v>
      </c>
      <c r="AX237" s="125">
        <v>0</v>
      </c>
      <c r="AY237" s="126"/>
      <c r="AZ237" s="126"/>
      <c r="BA237" s="126"/>
      <c r="BB237" s="126"/>
      <c r="BC237" s="126"/>
      <c r="BD237" s="126"/>
      <c r="BE237" s="126"/>
      <c r="BF237" s="144"/>
    </row>
    <row r="238" spans="1:63" x14ac:dyDescent="0.25">
      <c r="B238" s="121">
        <v>161505</v>
      </c>
      <c r="C238" s="122" t="s">
        <v>215</v>
      </c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4">
        <v>-1.4</v>
      </c>
      <c r="AD238" s="129"/>
      <c r="AE238" s="129"/>
      <c r="AF238" s="129"/>
      <c r="AG238" s="129"/>
      <c r="AH238" s="129"/>
      <c r="AI238" s="129"/>
      <c r="AJ238" s="124">
        <v>0</v>
      </c>
      <c r="AK238" s="124">
        <v>0</v>
      </c>
      <c r="AL238" s="124">
        <v>0</v>
      </c>
      <c r="AM238" s="124">
        <v>0</v>
      </c>
      <c r="AN238" s="124">
        <v>0</v>
      </c>
      <c r="AO238" s="125">
        <v>0</v>
      </c>
      <c r="AP238" s="125">
        <v>0</v>
      </c>
      <c r="AQ238" s="125">
        <v>0</v>
      </c>
      <c r="AR238" s="125">
        <v>0</v>
      </c>
      <c r="AS238" s="125">
        <v>0</v>
      </c>
      <c r="AT238" s="125">
        <v>0</v>
      </c>
      <c r="AU238" s="125">
        <v>0</v>
      </c>
      <c r="AV238" s="125">
        <v>0</v>
      </c>
      <c r="AW238" s="125">
        <v>0</v>
      </c>
      <c r="AX238" s="125">
        <v>0</v>
      </c>
      <c r="AY238" s="126"/>
      <c r="AZ238" s="126"/>
      <c r="BA238" s="126"/>
      <c r="BB238" s="126"/>
      <c r="BC238" s="126"/>
      <c r="BD238" s="126"/>
      <c r="BE238" s="126"/>
      <c r="BF238" s="144"/>
    </row>
    <row r="239" spans="1:63" x14ac:dyDescent="0.25">
      <c r="B239" s="121">
        <v>1690</v>
      </c>
      <c r="C239" s="122" t="s">
        <v>216</v>
      </c>
      <c r="D239" s="116">
        <v>467873.99</v>
      </c>
      <c r="E239" s="116">
        <v>472052.19</v>
      </c>
      <c r="F239" s="116">
        <v>471840.8</v>
      </c>
      <c r="G239" s="116">
        <v>433838.01</v>
      </c>
      <c r="H239" s="116">
        <v>472365.77</v>
      </c>
      <c r="I239" s="116">
        <v>456879.85</v>
      </c>
      <c r="J239" s="116">
        <v>446458.59</v>
      </c>
      <c r="K239" s="116">
        <v>462059.84</v>
      </c>
      <c r="L239" s="116">
        <v>486146.95</v>
      </c>
      <c r="M239" s="116">
        <v>371327.11</v>
      </c>
      <c r="N239" s="116">
        <v>374356.35</v>
      </c>
      <c r="O239" s="116">
        <v>381515.34</v>
      </c>
      <c r="P239" s="116">
        <v>419939.33</v>
      </c>
      <c r="Q239" s="116">
        <v>400223.83</v>
      </c>
      <c r="R239" s="116">
        <v>423240.69</v>
      </c>
      <c r="S239" s="116">
        <v>357320.97</v>
      </c>
      <c r="T239" s="116">
        <v>419009.63</v>
      </c>
      <c r="U239" s="116">
        <v>428275.91</v>
      </c>
      <c r="V239" s="116">
        <v>400372.5</v>
      </c>
      <c r="W239" s="116">
        <v>426494.74</v>
      </c>
      <c r="X239" s="116">
        <v>441902.26</v>
      </c>
      <c r="Y239" s="116">
        <v>331375.58</v>
      </c>
      <c r="Z239" s="116">
        <v>340541.07</v>
      </c>
      <c r="AA239" s="116">
        <v>356963.07</v>
      </c>
      <c r="AB239" s="116">
        <v>309169.34999999998</v>
      </c>
      <c r="AC239" s="124">
        <v>390562.45</v>
      </c>
      <c r="AD239" s="124">
        <v>393366.58</v>
      </c>
      <c r="AE239" s="124">
        <v>404001.31</v>
      </c>
      <c r="AF239" s="124">
        <v>405123.13</v>
      </c>
      <c r="AG239" s="124">
        <v>408592.15</v>
      </c>
      <c r="AH239" s="124">
        <v>450733.3</v>
      </c>
      <c r="AI239" s="124">
        <v>551529.52</v>
      </c>
      <c r="AJ239" s="124">
        <v>567666.55000000005</v>
      </c>
      <c r="AK239" s="124">
        <v>925081.85</v>
      </c>
      <c r="AL239" s="124">
        <v>883872.8</v>
      </c>
      <c r="AM239" s="124">
        <v>1856031.69</v>
      </c>
      <c r="AN239" s="124">
        <v>1645146.32</v>
      </c>
      <c r="AO239" s="125">
        <v>1677687.92</v>
      </c>
      <c r="AP239" s="125">
        <v>1729718.39</v>
      </c>
      <c r="AQ239" s="125">
        <v>1684191.07</v>
      </c>
      <c r="AR239" s="125">
        <v>1808347.82</v>
      </c>
      <c r="AS239" s="125">
        <v>2148543.37</v>
      </c>
      <c r="AT239" s="125">
        <v>1657513.32</v>
      </c>
      <c r="AU239" s="125">
        <v>1655245.58</v>
      </c>
      <c r="AV239" s="125">
        <v>1994246.78</v>
      </c>
      <c r="AW239" s="125">
        <v>2187759.56</v>
      </c>
      <c r="AX239" s="125">
        <v>2757700.3</v>
      </c>
      <c r="AY239" s="126"/>
      <c r="AZ239" s="126"/>
      <c r="BA239" s="126"/>
      <c r="BB239" s="126"/>
      <c r="BC239" s="126"/>
      <c r="BD239" s="126"/>
      <c r="BE239" s="126"/>
      <c r="BF239" s="127">
        <v>1690</v>
      </c>
      <c r="BG239" s="97" t="s">
        <v>216</v>
      </c>
      <c r="BH239" s="127">
        <v>450733.3</v>
      </c>
      <c r="BI239" s="127">
        <v>1690</v>
      </c>
      <c r="BJ239" s="97" t="s">
        <v>216</v>
      </c>
      <c r="BK239" s="127">
        <v>551529.52</v>
      </c>
    </row>
    <row r="240" spans="1:63" x14ac:dyDescent="0.25">
      <c r="B240" s="121">
        <v>169005</v>
      </c>
      <c r="C240" s="122" t="s">
        <v>217</v>
      </c>
      <c r="D240" s="123">
        <v>250</v>
      </c>
      <c r="E240" s="128"/>
      <c r="F240" s="128"/>
      <c r="G240" s="128"/>
      <c r="H240" s="123">
        <v>472365.77</v>
      </c>
      <c r="I240" s="123">
        <v>456879.85</v>
      </c>
      <c r="J240" s="128"/>
      <c r="K240" s="123">
        <v>1755</v>
      </c>
      <c r="L240" s="123">
        <v>1805.85</v>
      </c>
      <c r="M240" s="123">
        <v>281</v>
      </c>
      <c r="N240" s="123">
        <v>384.49</v>
      </c>
      <c r="O240" s="123">
        <v>-1758.15</v>
      </c>
      <c r="P240" s="123">
        <v>335</v>
      </c>
      <c r="Q240" s="123">
        <v>4483.8</v>
      </c>
      <c r="R240" s="123">
        <v>5521.8</v>
      </c>
      <c r="S240" s="123">
        <v>4976.8</v>
      </c>
      <c r="T240" s="123">
        <v>1594.4</v>
      </c>
      <c r="U240" s="123">
        <v>3820.9</v>
      </c>
      <c r="V240" s="123">
        <v>2107.0500000000002</v>
      </c>
      <c r="W240" s="123">
        <v>6369.05</v>
      </c>
      <c r="X240" s="123">
        <v>5148.1499999999996</v>
      </c>
      <c r="Y240" s="123">
        <v>6426.24</v>
      </c>
      <c r="Z240" s="123">
        <v>5302.24</v>
      </c>
      <c r="AA240" s="123">
        <v>5261.2</v>
      </c>
      <c r="AB240" s="123">
        <v>1740.5</v>
      </c>
      <c r="AC240" s="124">
        <v>1740.5</v>
      </c>
      <c r="AD240" s="124">
        <v>740.5</v>
      </c>
      <c r="AE240" s="124">
        <v>106.1</v>
      </c>
      <c r="AF240" s="124">
        <v>7830.94</v>
      </c>
      <c r="AG240" s="124">
        <v>7766.8</v>
      </c>
      <c r="AH240" s="124">
        <v>2525.13</v>
      </c>
      <c r="AI240" s="124">
        <v>3100.13</v>
      </c>
      <c r="AJ240" s="124">
        <v>1170.81</v>
      </c>
      <c r="AK240" s="124">
        <v>1553.32</v>
      </c>
      <c r="AL240" s="124">
        <v>1681.65</v>
      </c>
      <c r="AM240" s="124">
        <v>2319.98</v>
      </c>
      <c r="AN240" s="124">
        <v>1786.41</v>
      </c>
      <c r="AO240" s="125">
        <v>1650.24</v>
      </c>
      <c r="AP240" s="125">
        <v>3875.61</v>
      </c>
      <c r="AQ240" s="125">
        <v>5826.16</v>
      </c>
      <c r="AR240" s="125">
        <v>9642.2000000000007</v>
      </c>
      <c r="AS240" s="125">
        <v>10618.57</v>
      </c>
      <c r="AT240" s="125">
        <v>9451.09</v>
      </c>
      <c r="AU240" s="125">
        <v>9771.7800000000007</v>
      </c>
      <c r="AV240" s="125">
        <v>8270.48</v>
      </c>
      <c r="AW240" s="125">
        <v>6832.73</v>
      </c>
      <c r="AX240" s="125">
        <v>5312.76</v>
      </c>
      <c r="AY240" s="126"/>
      <c r="AZ240" s="126"/>
      <c r="BA240" s="126"/>
      <c r="BB240" s="126"/>
      <c r="BC240" s="126"/>
      <c r="BD240" s="126"/>
      <c r="BE240" s="126"/>
      <c r="BF240" s="127">
        <v>169005</v>
      </c>
      <c r="BG240" s="97" t="s">
        <v>217</v>
      </c>
      <c r="BH240" s="127">
        <v>2525.13</v>
      </c>
      <c r="BI240" s="127">
        <v>169005</v>
      </c>
      <c r="BJ240" s="97" t="s">
        <v>217</v>
      </c>
      <c r="BK240" s="127">
        <v>3100.13</v>
      </c>
    </row>
    <row r="241" spans="1:63" x14ac:dyDescent="0.25">
      <c r="B241" s="121">
        <v>169030</v>
      </c>
      <c r="C241" s="122" t="s">
        <v>218</v>
      </c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9"/>
      <c r="AD241" s="129"/>
      <c r="AE241" s="129"/>
      <c r="AF241" s="129"/>
      <c r="AG241" s="129"/>
      <c r="AH241" s="129"/>
      <c r="AI241" s="129"/>
      <c r="AJ241" s="124">
        <v>0</v>
      </c>
      <c r="AK241" s="124">
        <v>0</v>
      </c>
      <c r="AL241" s="124">
        <v>0</v>
      </c>
      <c r="AM241" s="124">
        <v>0</v>
      </c>
      <c r="AN241" s="124">
        <v>0</v>
      </c>
      <c r="AO241" s="125">
        <v>0</v>
      </c>
      <c r="AP241" s="125">
        <v>0</v>
      </c>
      <c r="AQ241" s="125">
        <v>0</v>
      </c>
      <c r="AR241" s="125">
        <v>0</v>
      </c>
      <c r="AS241" s="125">
        <v>0</v>
      </c>
      <c r="AT241" s="125">
        <v>0</v>
      </c>
      <c r="AU241" s="125">
        <v>0</v>
      </c>
      <c r="AV241" s="125">
        <v>0</v>
      </c>
      <c r="AW241" s="125">
        <v>0</v>
      </c>
      <c r="AX241" s="125">
        <v>0</v>
      </c>
      <c r="AY241" s="126"/>
      <c r="AZ241" s="126"/>
      <c r="BA241" s="126"/>
      <c r="BB241" s="126"/>
      <c r="BC241" s="126"/>
      <c r="BD241" s="126"/>
      <c r="BE241" s="126"/>
    </row>
    <row r="242" spans="1:63" x14ac:dyDescent="0.25">
      <c r="B242" s="121">
        <v>169090</v>
      </c>
      <c r="C242" s="122" t="s">
        <v>219</v>
      </c>
      <c r="D242" s="123">
        <v>467623.99</v>
      </c>
      <c r="E242" s="123">
        <v>472052.19</v>
      </c>
      <c r="F242" s="123">
        <v>471840.8</v>
      </c>
      <c r="G242" s="123">
        <v>450701.58</v>
      </c>
      <c r="H242" s="123">
        <v>281874.55</v>
      </c>
      <c r="I242" s="123">
        <v>286258.09999999998</v>
      </c>
      <c r="J242" s="123">
        <v>446458.59</v>
      </c>
      <c r="K242" s="123">
        <v>460304.84</v>
      </c>
      <c r="L242" s="123">
        <v>484341.1</v>
      </c>
      <c r="M242" s="123">
        <v>371046.11</v>
      </c>
      <c r="N242" s="123">
        <v>373971.86</v>
      </c>
      <c r="O242" s="123">
        <v>383273.49</v>
      </c>
      <c r="P242" s="123">
        <v>419604.33</v>
      </c>
      <c r="Q242" s="123">
        <v>395740.03</v>
      </c>
      <c r="R242" s="123">
        <v>417718.89</v>
      </c>
      <c r="S242" s="123">
        <v>352344.17</v>
      </c>
      <c r="T242" s="123">
        <v>417415.23</v>
      </c>
      <c r="U242" s="123">
        <v>424455.01</v>
      </c>
      <c r="V242" s="123">
        <v>398265.45</v>
      </c>
      <c r="W242" s="123">
        <v>420125.69</v>
      </c>
      <c r="X242" s="123">
        <v>436754.11</v>
      </c>
      <c r="Y242" s="123">
        <v>324949.34000000003</v>
      </c>
      <c r="Z242" s="123">
        <v>335238.83</v>
      </c>
      <c r="AA242" s="123">
        <v>351701.87</v>
      </c>
      <c r="AB242" s="123">
        <v>307428.84999999998</v>
      </c>
      <c r="AC242" s="124">
        <v>388821.95</v>
      </c>
      <c r="AD242" s="124">
        <v>392626.08</v>
      </c>
      <c r="AE242" s="124">
        <v>403895.21</v>
      </c>
      <c r="AF242" s="124">
        <v>397292.19</v>
      </c>
      <c r="AG242" s="124">
        <v>400825.35</v>
      </c>
      <c r="AH242" s="124">
        <v>448208.17</v>
      </c>
      <c r="AI242" s="124">
        <v>548429.39</v>
      </c>
      <c r="AJ242" s="124">
        <v>566495.74</v>
      </c>
      <c r="AK242" s="124">
        <v>923528.53</v>
      </c>
      <c r="AL242" s="124">
        <v>882191.15</v>
      </c>
      <c r="AM242" s="124">
        <v>1853711.71</v>
      </c>
      <c r="AN242" s="124">
        <v>1643359.91</v>
      </c>
      <c r="AO242" s="125">
        <v>1676037.68</v>
      </c>
      <c r="AP242" s="125">
        <v>1725842.78</v>
      </c>
      <c r="AQ242" s="125">
        <v>1678364.91</v>
      </c>
      <c r="AR242" s="125">
        <v>1798705.62</v>
      </c>
      <c r="AS242" s="125">
        <v>2137924.7999999998</v>
      </c>
      <c r="AT242" s="125">
        <v>1648062.23</v>
      </c>
      <c r="AU242" s="125">
        <v>1645473.8</v>
      </c>
      <c r="AV242" s="125">
        <v>1985976.3</v>
      </c>
      <c r="AW242" s="125">
        <v>2180926.83</v>
      </c>
      <c r="AX242" s="125">
        <v>2752387.54</v>
      </c>
      <c r="AY242" s="126"/>
      <c r="AZ242" s="126"/>
      <c r="BA242" s="126"/>
      <c r="BB242" s="126"/>
      <c r="BC242" s="126"/>
      <c r="BD242" s="126"/>
      <c r="BE242" s="126"/>
      <c r="BF242" s="127">
        <v>169090</v>
      </c>
      <c r="BG242" s="97" t="s">
        <v>219</v>
      </c>
      <c r="BH242" s="127">
        <v>448208.17</v>
      </c>
      <c r="BI242" s="127">
        <v>169090</v>
      </c>
      <c r="BJ242" s="97" t="s">
        <v>219</v>
      </c>
      <c r="BK242" s="127">
        <v>548429.39</v>
      </c>
    </row>
    <row r="243" spans="1:63" x14ac:dyDescent="0.25">
      <c r="B243" s="121">
        <v>16909005</v>
      </c>
      <c r="C243" s="122" t="s">
        <v>220</v>
      </c>
      <c r="D243" s="123">
        <v>304015.8</v>
      </c>
      <c r="E243" s="123">
        <v>308427.03000000003</v>
      </c>
      <c r="F243" s="123">
        <v>311155.21000000002</v>
      </c>
      <c r="G243" s="123">
        <v>276133.92</v>
      </c>
      <c r="H243" s="123">
        <v>113</v>
      </c>
      <c r="I243" s="123">
        <v>113</v>
      </c>
      <c r="J243" s="123">
        <v>290756.93</v>
      </c>
      <c r="K243" s="123">
        <v>296319.37</v>
      </c>
      <c r="L243" s="123">
        <v>301931.37</v>
      </c>
      <c r="M243" s="123">
        <v>253680.71</v>
      </c>
      <c r="N243" s="123">
        <v>250101.68</v>
      </c>
      <c r="O243" s="123">
        <v>249326.65</v>
      </c>
      <c r="P243" s="123">
        <v>227724.91</v>
      </c>
      <c r="Q243" s="123">
        <v>230824.15</v>
      </c>
      <c r="R243" s="123">
        <v>234534.68</v>
      </c>
      <c r="S243" s="123">
        <v>204585.64</v>
      </c>
      <c r="T243" s="123">
        <v>205480.23</v>
      </c>
      <c r="U243" s="123">
        <v>210301.14</v>
      </c>
      <c r="V243" s="123">
        <v>201358.48</v>
      </c>
      <c r="W243" s="123">
        <v>202840.31</v>
      </c>
      <c r="X243" s="123">
        <v>205193.61</v>
      </c>
      <c r="Y243" s="123">
        <v>206966.07</v>
      </c>
      <c r="Z243" s="123">
        <v>207556.56</v>
      </c>
      <c r="AA243" s="123">
        <v>217569.89</v>
      </c>
      <c r="AB243" s="123">
        <v>180499.22</v>
      </c>
      <c r="AC243" s="124">
        <v>178432.2</v>
      </c>
      <c r="AD243" s="124">
        <v>183539.69</v>
      </c>
      <c r="AE243" s="124">
        <v>167172.79999999999</v>
      </c>
      <c r="AF243" s="124">
        <v>170792.64</v>
      </c>
      <c r="AG243" s="124">
        <v>173938.77</v>
      </c>
      <c r="AH243" s="124">
        <v>161758.62</v>
      </c>
      <c r="AI243" s="124">
        <v>164143.48000000001</v>
      </c>
      <c r="AJ243" s="124">
        <v>177894.98</v>
      </c>
      <c r="AK243" s="124">
        <v>166924.29</v>
      </c>
      <c r="AL243" s="124">
        <v>172309.71</v>
      </c>
      <c r="AM243" s="124">
        <v>174056.09</v>
      </c>
      <c r="AN243" s="124">
        <v>93880.45</v>
      </c>
      <c r="AO243" s="125">
        <v>110624.78</v>
      </c>
      <c r="AP243" s="125">
        <v>115616.83</v>
      </c>
      <c r="AQ243" s="125">
        <v>122468.31</v>
      </c>
      <c r="AR243" s="125">
        <v>126763</v>
      </c>
      <c r="AS243" s="125">
        <v>127206.55</v>
      </c>
      <c r="AT243" s="125">
        <v>140588.75</v>
      </c>
      <c r="AU243" s="125">
        <v>150551.07</v>
      </c>
      <c r="AV243" s="125">
        <v>159248.15</v>
      </c>
      <c r="AW243" s="125">
        <v>172748.68</v>
      </c>
      <c r="AX243" s="125">
        <v>169498.49</v>
      </c>
      <c r="AY243" s="126"/>
      <c r="AZ243" s="126"/>
      <c r="BA243" s="126"/>
      <c r="BB243" s="126"/>
      <c r="BC243" s="126"/>
      <c r="BD243" s="126"/>
      <c r="BE243" s="126"/>
      <c r="BF243" s="127">
        <v>16909005</v>
      </c>
      <c r="BG243" s="97" t="s">
        <v>220</v>
      </c>
      <c r="BH243" s="127">
        <v>161758.62</v>
      </c>
      <c r="BI243" s="127">
        <v>16909005</v>
      </c>
      <c r="BJ243" s="97" t="s">
        <v>220</v>
      </c>
      <c r="BK243" s="127">
        <v>164143.48000000001</v>
      </c>
    </row>
    <row r="244" spans="1:63" x14ac:dyDescent="0.25">
      <c r="B244" s="121">
        <v>16909010</v>
      </c>
      <c r="C244" s="122" t="s">
        <v>221</v>
      </c>
      <c r="D244" s="123">
        <v>118</v>
      </c>
      <c r="E244" s="123">
        <v>117</v>
      </c>
      <c r="F244" s="123">
        <v>117</v>
      </c>
      <c r="G244" s="123">
        <v>113</v>
      </c>
      <c r="H244" s="123">
        <v>4404.76</v>
      </c>
      <c r="I244" s="123">
        <v>4383.76</v>
      </c>
      <c r="J244" s="123">
        <v>113</v>
      </c>
      <c r="K244" s="123">
        <v>113</v>
      </c>
      <c r="L244" s="123">
        <v>113</v>
      </c>
      <c r="M244" s="123">
        <v>112</v>
      </c>
      <c r="N244" s="123">
        <v>112</v>
      </c>
      <c r="O244" s="123">
        <v>109</v>
      </c>
      <c r="P244" s="123">
        <v>109</v>
      </c>
      <c r="Q244" s="123">
        <v>108</v>
      </c>
      <c r="R244" s="123">
        <v>106</v>
      </c>
      <c r="S244" s="123">
        <v>105</v>
      </c>
      <c r="T244" s="123">
        <v>105</v>
      </c>
      <c r="U244" s="123">
        <v>105</v>
      </c>
      <c r="V244" s="123">
        <v>105</v>
      </c>
      <c r="W244" s="123">
        <v>105</v>
      </c>
      <c r="X244" s="123">
        <v>105</v>
      </c>
      <c r="Y244" s="123">
        <v>105</v>
      </c>
      <c r="Z244" s="123">
        <v>105</v>
      </c>
      <c r="AA244" s="123">
        <v>105</v>
      </c>
      <c r="AB244" s="123">
        <v>105</v>
      </c>
      <c r="AC244" s="124">
        <v>105</v>
      </c>
      <c r="AD244" s="124">
        <v>105</v>
      </c>
      <c r="AE244" s="124">
        <v>105</v>
      </c>
      <c r="AF244" s="124">
        <v>105</v>
      </c>
      <c r="AG244" s="124">
        <v>105</v>
      </c>
      <c r="AH244" s="124">
        <v>104</v>
      </c>
      <c r="AI244" s="124">
        <v>104</v>
      </c>
      <c r="AJ244" s="124">
        <v>104</v>
      </c>
      <c r="AK244" s="124">
        <v>104</v>
      </c>
      <c r="AL244" s="124">
        <v>104</v>
      </c>
      <c r="AM244" s="124">
        <v>103</v>
      </c>
      <c r="AN244" s="124">
        <v>103</v>
      </c>
      <c r="AO244" s="125">
        <v>103</v>
      </c>
      <c r="AP244" s="125">
        <v>103</v>
      </c>
      <c r="AQ244" s="125">
        <v>103</v>
      </c>
      <c r="AR244" s="125">
        <v>103</v>
      </c>
      <c r="AS244" s="125">
        <v>97</v>
      </c>
      <c r="AT244" s="125">
        <v>97</v>
      </c>
      <c r="AU244" s="125">
        <v>97</v>
      </c>
      <c r="AV244" s="125">
        <v>97</v>
      </c>
      <c r="AW244" s="125">
        <v>97</v>
      </c>
      <c r="AX244" s="125">
        <v>91</v>
      </c>
      <c r="AY244" s="126"/>
      <c r="AZ244" s="126"/>
      <c r="BA244" s="126"/>
      <c r="BB244" s="126"/>
      <c r="BC244" s="126"/>
      <c r="BD244" s="126"/>
      <c r="BE244" s="126"/>
      <c r="BF244" s="127">
        <v>16909010</v>
      </c>
      <c r="BG244" s="97" t="s">
        <v>221</v>
      </c>
      <c r="BH244" s="127">
        <v>104</v>
      </c>
      <c r="BI244" s="127">
        <v>16909010</v>
      </c>
      <c r="BJ244" s="97" t="s">
        <v>221</v>
      </c>
      <c r="BK244" s="127">
        <v>104</v>
      </c>
    </row>
    <row r="245" spans="1:63" x14ac:dyDescent="0.25">
      <c r="B245" s="121">
        <v>16909015</v>
      </c>
      <c r="C245" s="122" t="s">
        <v>222</v>
      </c>
      <c r="D245" s="123">
        <v>4390</v>
      </c>
      <c r="E245" s="123">
        <v>4380</v>
      </c>
      <c r="F245" s="123">
        <v>4416.76</v>
      </c>
      <c r="G245" s="123">
        <v>4412.76</v>
      </c>
      <c r="H245" s="123">
        <v>4326.49</v>
      </c>
      <c r="I245" s="123">
        <v>1698.94</v>
      </c>
      <c r="J245" s="123">
        <v>4362.76</v>
      </c>
      <c r="K245" s="123">
        <v>4359.76</v>
      </c>
      <c r="L245" s="123">
        <v>4357.16</v>
      </c>
      <c r="M245" s="123">
        <v>4328.76</v>
      </c>
      <c r="N245" s="123">
        <v>4328.76</v>
      </c>
      <c r="O245" s="123">
        <v>4319.76</v>
      </c>
      <c r="P245" s="123">
        <v>4305.76</v>
      </c>
      <c r="Q245" s="123">
        <v>4299.76</v>
      </c>
      <c r="R245" s="123">
        <v>4270.76</v>
      </c>
      <c r="S245" s="123">
        <v>4259.76</v>
      </c>
      <c r="T245" s="123">
        <v>4247.76</v>
      </c>
      <c r="U245" s="123">
        <v>4391.97</v>
      </c>
      <c r="V245" s="123">
        <v>4374.97</v>
      </c>
      <c r="W245" s="123">
        <v>4373.97</v>
      </c>
      <c r="X245" s="123">
        <v>4366.97</v>
      </c>
      <c r="Y245" s="123">
        <v>4362.97</v>
      </c>
      <c r="Z245" s="123">
        <v>4362.97</v>
      </c>
      <c r="AA245" s="123">
        <v>4360.97</v>
      </c>
      <c r="AB245" s="123">
        <v>4360.97</v>
      </c>
      <c r="AC245" s="124">
        <v>4350.97</v>
      </c>
      <c r="AD245" s="124">
        <v>4347.97</v>
      </c>
      <c r="AE245" s="124">
        <v>4346.97</v>
      </c>
      <c r="AF245" s="124">
        <v>4344.97</v>
      </c>
      <c r="AG245" s="124">
        <v>4344.97</v>
      </c>
      <c r="AH245" s="124">
        <v>4343.97</v>
      </c>
      <c r="AI245" s="124">
        <v>4327.97</v>
      </c>
      <c r="AJ245" s="124">
        <v>4327.97</v>
      </c>
      <c r="AK245" s="124">
        <v>4327.97</v>
      </c>
      <c r="AL245" s="124">
        <v>4324.97</v>
      </c>
      <c r="AM245" s="124">
        <v>4324.97</v>
      </c>
      <c r="AN245" s="124">
        <v>4265.21</v>
      </c>
      <c r="AO245" s="125">
        <v>4259.21</v>
      </c>
      <c r="AP245" s="125">
        <v>4259.21</v>
      </c>
      <c r="AQ245" s="125">
        <v>4258.21</v>
      </c>
      <c r="AR245" s="125">
        <v>4258.21</v>
      </c>
      <c r="AS245" s="125">
        <v>4161.21</v>
      </c>
      <c r="AT245" s="125">
        <v>4161.21</v>
      </c>
      <c r="AU245" s="125">
        <v>4154.21</v>
      </c>
      <c r="AV245" s="125">
        <v>4153.21</v>
      </c>
      <c r="AW245" s="125">
        <v>4150.21</v>
      </c>
      <c r="AX245" s="125">
        <v>3904.21</v>
      </c>
      <c r="AY245" s="126"/>
      <c r="AZ245" s="126"/>
      <c r="BA245" s="126"/>
      <c r="BB245" s="126"/>
      <c r="BC245" s="126"/>
      <c r="BD245" s="126"/>
      <c r="BE245" s="126"/>
      <c r="BF245" s="127">
        <v>16909015</v>
      </c>
      <c r="BG245" s="97" t="s">
        <v>222</v>
      </c>
      <c r="BH245" s="127">
        <v>4343.97</v>
      </c>
      <c r="BI245" s="127">
        <v>16909015</v>
      </c>
      <c r="BJ245" s="97" t="s">
        <v>222</v>
      </c>
      <c r="BK245" s="127">
        <v>4327.97</v>
      </c>
    </row>
    <row r="246" spans="1:63" x14ac:dyDescent="0.25">
      <c r="B246" s="121">
        <v>16909020</v>
      </c>
      <c r="C246" s="122" t="s">
        <v>223</v>
      </c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9"/>
      <c r="AD246" s="129"/>
      <c r="AE246" s="129"/>
      <c r="AF246" s="124">
        <v>15291.99</v>
      </c>
      <c r="AG246" s="124">
        <v>71409.210000000006</v>
      </c>
      <c r="AH246" s="124">
        <v>86890.62</v>
      </c>
      <c r="AI246" s="124">
        <v>107553.39</v>
      </c>
      <c r="AJ246" s="124">
        <v>112597.16</v>
      </c>
      <c r="AK246" s="124">
        <v>110694.21</v>
      </c>
      <c r="AL246" s="124">
        <v>97623.39</v>
      </c>
      <c r="AM246" s="124">
        <v>74978.14</v>
      </c>
      <c r="AN246" s="124">
        <v>30773.72</v>
      </c>
      <c r="AO246" s="125">
        <v>29848</v>
      </c>
      <c r="AP246" s="125">
        <v>23787.17</v>
      </c>
      <c r="AQ246" s="125">
        <v>26088.66</v>
      </c>
      <c r="AR246" s="125">
        <v>29310.14</v>
      </c>
      <c r="AS246" s="125">
        <v>0</v>
      </c>
      <c r="AT246" s="125">
        <v>0</v>
      </c>
      <c r="AU246" s="125">
        <v>0</v>
      </c>
      <c r="AV246" s="125">
        <v>0</v>
      </c>
      <c r="AW246" s="125">
        <v>0</v>
      </c>
      <c r="AX246" s="125">
        <v>0</v>
      </c>
      <c r="AY246" s="126"/>
      <c r="AZ246" s="126"/>
      <c r="BA246" s="126"/>
      <c r="BB246" s="126"/>
      <c r="BC246" s="126"/>
      <c r="BD246" s="126"/>
      <c r="BE246" s="126"/>
      <c r="BF246" s="127">
        <v>16909020</v>
      </c>
      <c r="BG246" s="97" t="s">
        <v>223</v>
      </c>
      <c r="BH246" s="127">
        <v>86890.62</v>
      </c>
      <c r="BI246" s="127">
        <v>16909020</v>
      </c>
      <c r="BJ246" s="97" t="s">
        <v>223</v>
      </c>
      <c r="BK246" s="127">
        <v>107553.39</v>
      </c>
    </row>
    <row r="247" spans="1:63" x14ac:dyDescent="0.25">
      <c r="A247" s="113"/>
      <c r="B247" s="121">
        <v>16909030</v>
      </c>
      <c r="C247" s="122" t="s">
        <v>224</v>
      </c>
      <c r="D247" s="128"/>
      <c r="E247" s="128"/>
      <c r="F247" s="128"/>
      <c r="G247" s="128"/>
      <c r="H247" s="128"/>
      <c r="I247" s="128"/>
      <c r="J247" s="123">
        <v>7326.29</v>
      </c>
      <c r="K247" s="123">
        <v>2620.5100000000002</v>
      </c>
      <c r="L247" s="123">
        <v>15910.3</v>
      </c>
      <c r="M247" s="123">
        <v>6256.01</v>
      </c>
      <c r="N247" s="123">
        <v>12253.5</v>
      </c>
      <c r="O247" s="123">
        <v>8086.46</v>
      </c>
      <c r="P247" s="123">
        <v>815.06</v>
      </c>
      <c r="Q247" s="123">
        <v>4170.95</v>
      </c>
      <c r="R247" s="123">
        <v>927.87</v>
      </c>
      <c r="S247" s="123">
        <v>8663.74</v>
      </c>
      <c r="T247" s="123">
        <v>4355.95</v>
      </c>
      <c r="U247" s="123">
        <v>13099.57</v>
      </c>
      <c r="V247" s="123">
        <v>758.89</v>
      </c>
      <c r="W247" s="123">
        <v>8915.26</v>
      </c>
      <c r="X247" s="123">
        <v>1106.5</v>
      </c>
      <c r="Y247" s="123">
        <v>9978.83</v>
      </c>
      <c r="Z247" s="123">
        <v>3050.28</v>
      </c>
      <c r="AA247" s="123">
        <v>12643.4</v>
      </c>
      <c r="AB247" s="123">
        <v>6488.33</v>
      </c>
      <c r="AC247" s="124">
        <v>13712.79</v>
      </c>
      <c r="AD247" s="124">
        <v>7238.32</v>
      </c>
      <c r="AE247" s="124">
        <v>13733.43</v>
      </c>
      <c r="AF247" s="124">
        <v>2684.39</v>
      </c>
      <c r="AG247" s="124">
        <v>10022.61</v>
      </c>
      <c r="AH247" s="124">
        <v>4199.68</v>
      </c>
      <c r="AI247" s="124">
        <v>16799.63</v>
      </c>
      <c r="AJ247" s="124">
        <v>4690.67</v>
      </c>
      <c r="AK247" s="124">
        <v>26483.32</v>
      </c>
      <c r="AL247" s="124">
        <v>19712.36</v>
      </c>
      <c r="AM247" s="124">
        <v>15042.81</v>
      </c>
      <c r="AN247" s="124">
        <v>5052.33</v>
      </c>
      <c r="AO247" s="125">
        <v>26324.83</v>
      </c>
      <c r="AP247" s="125">
        <v>17835.27</v>
      </c>
      <c r="AQ247" s="125">
        <v>11925.63</v>
      </c>
      <c r="AR247" s="125">
        <v>14317.57</v>
      </c>
      <c r="AS247" s="125">
        <v>13277.16</v>
      </c>
      <c r="AT247" s="125">
        <v>3367.02</v>
      </c>
      <c r="AU247" s="125">
        <v>11944.55</v>
      </c>
      <c r="AV247" s="125">
        <v>7306.14</v>
      </c>
      <c r="AW247" s="125">
        <v>4098.6099999999997</v>
      </c>
      <c r="AX247" s="125">
        <v>393.28</v>
      </c>
      <c r="AY247" s="126"/>
      <c r="AZ247" s="126"/>
      <c r="BA247" s="126"/>
      <c r="BB247" s="126"/>
      <c r="BC247" s="126"/>
      <c r="BD247" s="126"/>
      <c r="BE247" s="126"/>
      <c r="BF247" s="127">
        <v>16909030</v>
      </c>
      <c r="BG247" s="97" t="s">
        <v>224</v>
      </c>
      <c r="BH247" s="127">
        <v>4199.68</v>
      </c>
      <c r="BI247" s="127">
        <v>16909030</v>
      </c>
      <c r="BJ247" s="97" t="s">
        <v>224</v>
      </c>
      <c r="BK247" s="127">
        <v>16799.63</v>
      </c>
    </row>
    <row r="248" spans="1:63" x14ac:dyDescent="0.25">
      <c r="B248" s="121">
        <v>16909090</v>
      </c>
      <c r="C248" s="122" t="s">
        <v>225</v>
      </c>
      <c r="D248" s="123">
        <v>159100.19</v>
      </c>
      <c r="E248" s="123">
        <v>159128.16</v>
      </c>
      <c r="F248" s="123">
        <v>156151.82999999999</v>
      </c>
      <c r="G248" s="123">
        <v>170041.9</v>
      </c>
      <c r="H248" s="123">
        <v>181646.97</v>
      </c>
      <c r="I248" s="123">
        <v>164426.04999999999</v>
      </c>
      <c r="J248" s="123">
        <v>143899.60999999999</v>
      </c>
      <c r="K248" s="123">
        <v>156892.20000000001</v>
      </c>
      <c r="L248" s="123">
        <v>162029.26999999999</v>
      </c>
      <c r="M248" s="123">
        <v>106668.63</v>
      </c>
      <c r="N248" s="123">
        <v>107175.92</v>
      </c>
      <c r="O248" s="123">
        <v>121431.62</v>
      </c>
      <c r="P248" s="123">
        <v>186649.60000000001</v>
      </c>
      <c r="Q248" s="123">
        <v>156337.17000000001</v>
      </c>
      <c r="R248" s="123">
        <v>177879.58</v>
      </c>
      <c r="S248" s="123">
        <v>134730.03</v>
      </c>
      <c r="T248" s="123">
        <v>203226.29</v>
      </c>
      <c r="U248" s="123">
        <v>196557.33</v>
      </c>
      <c r="V248" s="123">
        <v>191668.11</v>
      </c>
      <c r="W248" s="123">
        <v>203891.15</v>
      </c>
      <c r="X248" s="123">
        <v>225982.03</v>
      </c>
      <c r="Y248" s="123">
        <v>103536.47</v>
      </c>
      <c r="Z248" s="123">
        <v>120164.02</v>
      </c>
      <c r="AA248" s="123">
        <v>117022.61</v>
      </c>
      <c r="AB248" s="123">
        <v>115975.33</v>
      </c>
      <c r="AC248" s="124">
        <v>192220.99</v>
      </c>
      <c r="AD248" s="124">
        <v>197395.1</v>
      </c>
      <c r="AE248" s="124">
        <v>218537.01</v>
      </c>
      <c r="AF248" s="124">
        <v>204073.2</v>
      </c>
      <c r="AG248" s="124">
        <v>141004.79</v>
      </c>
      <c r="AH248" s="124">
        <v>190911.28</v>
      </c>
      <c r="AI248" s="124">
        <v>255500.92</v>
      </c>
      <c r="AJ248" s="124">
        <v>266880.96000000002</v>
      </c>
      <c r="AK248" s="124">
        <v>614994.74</v>
      </c>
      <c r="AL248" s="124">
        <v>588116.72</v>
      </c>
      <c r="AM248" s="124">
        <v>1585206.7</v>
      </c>
      <c r="AN248" s="124">
        <v>1509285.2</v>
      </c>
      <c r="AO248" s="125">
        <v>1504877.86</v>
      </c>
      <c r="AP248" s="125">
        <v>1564241.3</v>
      </c>
      <c r="AQ248" s="125">
        <v>1513521.1</v>
      </c>
      <c r="AR248" s="125">
        <v>1624286.72</v>
      </c>
      <c r="AS248" s="125">
        <v>1991534.79</v>
      </c>
      <c r="AT248" s="125">
        <v>1499431.73</v>
      </c>
      <c r="AU248" s="125">
        <v>1478745.51</v>
      </c>
      <c r="AV248" s="125">
        <v>1805266.93</v>
      </c>
      <c r="AW248" s="125">
        <v>1990752.87</v>
      </c>
      <c r="AX248" s="125">
        <v>2571452.54</v>
      </c>
      <c r="AY248" s="126"/>
      <c r="AZ248" s="126"/>
      <c r="BA248" s="126"/>
      <c r="BB248" s="126"/>
      <c r="BC248" s="126"/>
      <c r="BD248" s="126"/>
      <c r="BE248" s="126"/>
      <c r="BF248" s="120">
        <v>16909090</v>
      </c>
      <c r="BG248" s="113" t="s">
        <v>225</v>
      </c>
      <c r="BH248" s="120">
        <v>190911.28</v>
      </c>
      <c r="BI248" s="127">
        <v>16909090</v>
      </c>
      <c r="BJ248" s="97" t="s">
        <v>225</v>
      </c>
      <c r="BK248" s="127">
        <v>255500.92</v>
      </c>
    </row>
    <row r="249" spans="1:63" x14ac:dyDescent="0.25">
      <c r="B249" s="121">
        <v>1690909005</v>
      </c>
      <c r="C249" s="122" t="s">
        <v>226</v>
      </c>
      <c r="D249" s="123">
        <v>45992.33</v>
      </c>
      <c r="E249" s="123">
        <v>41807.32</v>
      </c>
      <c r="F249" s="123">
        <v>48665.69</v>
      </c>
      <c r="G249" s="123">
        <v>64138.86</v>
      </c>
      <c r="H249" s="123">
        <v>79773.09</v>
      </c>
      <c r="I249" s="123">
        <v>62800.959999999999</v>
      </c>
      <c r="J249" s="123">
        <v>42426.559999999998</v>
      </c>
      <c r="K249" s="123">
        <v>53462.95</v>
      </c>
      <c r="L249" s="123">
        <v>58187.41</v>
      </c>
      <c r="M249" s="123">
        <v>2513.5</v>
      </c>
      <c r="N249" s="123">
        <v>2513.5</v>
      </c>
      <c r="O249" s="123">
        <v>8030</v>
      </c>
      <c r="P249" s="123">
        <v>33012.089999999997</v>
      </c>
      <c r="Q249" s="123">
        <v>11.33</v>
      </c>
      <c r="R249" s="123">
        <v>23292.85</v>
      </c>
      <c r="S249" s="123">
        <v>11.34</v>
      </c>
      <c r="T249" s="123">
        <v>56216.46</v>
      </c>
      <c r="U249" s="123">
        <v>11.34</v>
      </c>
      <c r="V249" s="123">
        <v>9267.51</v>
      </c>
      <c r="W249" s="123">
        <v>8169.91</v>
      </c>
      <c r="X249" s="123">
        <v>23187.439999999999</v>
      </c>
      <c r="Y249" s="123">
        <v>11.33</v>
      </c>
      <c r="Z249" s="123">
        <v>11.33</v>
      </c>
      <c r="AA249" s="123">
        <v>11.33</v>
      </c>
      <c r="AB249" s="123">
        <v>11.33</v>
      </c>
      <c r="AC249" s="124">
        <v>48638.77</v>
      </c>
      <c r="AD249" s="124">
        <v>46402.77</v>
      </c>
      <c r="AE249" s="124">
        <v>75445.679999999993</v>
      </c>
      <c r="AF249" s="124">
        <v>71900.11</v>
      </c>
      <c r="AG249" s="124">
        <v>4156.43</v>
      </c>
      <c r="AH249" s="124">
        <v>3</v>
      </c>
      <c r="AI249" s="124">
        <v>24055.02</v>
      </c>
      <c r="AJ249" s="124">
        <v>4468.72</v>
      </c>
      <c r="AK249" s="124">
        <v>23312.66</v>
      </c>
      <c r="AL249" s="124">
        <v>23934.93</v>
      </c>
      <c r="AM249" s="124">
        <v>30106.11</v>
      </c>
      <c r="AN249" s="124">
        <v>3</v>
      </c>
      <c r="AO249" s="125">
        <v>36615.839999999997</v>
      </c>
      <c r="AP249" s="125">
        <v>35536.910000000003</v>
      </c>
      <c r="AQ249" s="125">
        <v>37534.879999999997</v>
      </c>
      <c r="AR249" s="125">
        <v>69078.740000000005</v>
      </c>
      <c r="AS249" s="125">
        <v>75106.23</v>
      </c>
      <c r="AT249" s="125">
        <v>45331.33</v>
      </c>
      <c r="AU249" s="125">
        <v>73284.740000000005</v>
      </c>
      <c r="AV249" s="125">
        <v>69736.38</v>
      </c>
      <c r="AW249" s="125">
        <v>59796.67</v>
      </c>
      <c r="AX249" s="125">
        <v>70582.929999999993</v>
      </c>
      <c r="AY249" s="126"/>
      <c r="AZ249" s="126"/>
      <c r="BA249" s="126"/>
      <c r="BB249" s="126"/>
      <c r="BC249" s="126"/>
      <c r="BD249" s="126"/>
      <c r="BE249" s="126"/>
      <c r="BF249" s="127">
        <v>1690909005</v>
      </c>
      <c r="BG249" s="97" t="s">
        <v>226</v>
      </c>
      <c r="BH249" s="127">
        <v>3</v>
      </c>
      <c r="BI249" s="120">
        <v>1690909005</v>
      </c>
      <c r="BJ249" s="113" t="s">
        <v>226</v>
      </c>
      <c r="BK249" s="120">
        <v>24055.02</v>
      </c>
    </row>
    <row r="250" spans="1:63" x14ac:dyDescent="0.25">
      <c r="B250" s="121">
        <v>1690909010</v>
      </c>
      <c r="C250" s="122" t="s">
        <v>227</v>
      </c>
      <c r="D250" s="123">
        <v>2</v>
      </c>
      <c r="E250" s="123">
        <v>2</v>
      </c>
      <c r="F250" s="123">
        <v>2</v>
      </c>
      <c r="G250" s="123">
        <v>2</v>
      </c>
      <c r="H250" s="123">
        <v>2</v>
      </c>
      <c r="I250" s="123">
        <v>2</v>
      </c>
      <c r="J250" s="123">
        <v>2</v>
      </c>
      <c r="K250" s="123">
        <v>2</v>
      </c>
      <c r="L250" s="123">
        <v>2</v>
      </c>
      <c r="M250" s="123">
        <v>2</v>
      </c>
      <c r="N250" s="123">
        <v>2</v>
      </c>
      <c r="O250" s="123">
        <v>2</v>
      </c>
      <c r="P250" s="123">
        <v>2</v>
      </c>
      <c r="Q250" s="123">
        <v>2</v>
      </c>
      <c r="R250" s="123">
        <v>2</v>
      </c>
      <c r="S250" s="123">
        <v>2</v>
      </c>
      <c r="T250" s="123">
        <v>2</v>
      </c>
      <c r="U250" s="123">
        <v>2</v>
      </c>
      <c r="V250" s="123">
        <v>2</v>
      </c>
      <c r="W250" s="123">
        <v>2</v>
      </c>
      <c r="X250" s="123">
        <v>2</v>
      </c>
      <c r="Y250" s="123">
        <v>2</v>
      </c>
      <c r="Z250" s="123">
        <v>2</v>
      </c>
      <c r="AA250" s="123">
        <v>2</v>
      </c>
      <c r="AB250" s="123">
        <v>2</v>
      </c>
      <c r="AC250" s="124">
        <v>10265.120000000001</v>
      </c>
      <c r="AD250" s="124">
        <v>10265.120000000001</v>
      </c>
      <c r="AE250" s="124">
        <v>10265.120000000001</v>
      </c>
      <c r="AF250" s="124">
        <v>10265.120000000001</v>
      </c>
      <c r="AG250" s="124">
        <v>11729.29</v>
      </c>
      <c r="AH250" s="124">
        <v>20936.71</v>
      </c>
      <c r="AI250" s="124">
        <v>2</v>
      </c>
      <c r="AJ250" s="124">
        <v>2</v>
      </c>
      <c r="AK250" s="124">
        <v>2</v>
      </c>
      <c r="AL250" s="124">
        <v>2</v>
      </c>
      <c r="AM250" s="124">
        <v>2</v>
      </c>
      <c r="AN250" s="124">
        <v>2</v>
      </c>
      <c r="AO250" s="125">
        <v>2</v>
      </c>
      <c r="AP250" s="125">
        <v>2</v>
      </c>
      <c r="AQ250" s="125">
        <v>2</v>
      </c>
      <c r="AR250" s="125">
        <v>2</v>
      </c>
      <c r="AS250" s="125">
        <v>2</v>
      </c>
      <c r="AT250" s="125">
        <v>2</v>
      </c>
      <c r="AU250" s="125">
        <v>2</v>
      </c>
      <c r="AV250" s="125">
        <v>2</v>
      </c>
      <c r="AW250" s="125">
        <v>2</v>
      </c>
      <c r="AX250" s="125">
        <v>2</v>
      </c>
      <c r="AY250" s="126"/>
      <c r="AZ250" s="126"/>
      <c r="BA250" s="126"/>
      <c r="BB250" s="126"/>
      <c r="BC250" s="126"/>
      <c r="BD250" s="126"/>
      <c r="BE250" s="126"/>
      <c r="BF250" s="127">
        <v>1690909010</v>
      </c>
      <c r="BG250" s="97" t="s">
        <v>227</v>
      </c>
      <c r="BH250" s="127">
        <v>20936.71</v>
      </c>
      <c r="BI250" s="127">
        <v>1690909010</v>
      </c>
      <c r="BJ250" s="97" t="s">
        <v>227</v>
      </c>
      <c r="BK250" s="127">
        <v>2</v>
      </c>
    </row>
    <row r="251" spans="1:63" x14ac:dyDescent="0.25">
      <c r="B251" s="121">
        <v>1690909015</v>
      </c>
      <c r="C251" s="122" t="s">
        <v>228</v>
      </c>
      <c r="D251" s="123">
        <v>9</v>
      </c>
      <c r="E251" s="123">
        <v>9</v>
      </c>
      <c r="F251" s="123">
        <v>9</v>
      </c>
      <c r="G251" s="123">
        <v>9</v>
      </c>
      <c r="H251" s="123">
        <v>9</v>
      </c>
      <c r="I251" s="123">
        <v>9</v>
      </c>
      <c r="J251" s="123">
        <v>9</v>
      </c>
      <c r="K251" s="123">
        <v>9</v>
      </c>
      <c r="L251" s="123">
        <v>9</v>
      </c>
      <c r="M251" s="123">
        <v>9</v>
      </c>
      <c r="N251" s="123">
        <v>9</v>
      </c>
      <c r="O251" s="123">
        <v>9</v>
      </c>
      <c r="P251" s="123">
        <v>9</v>
      </c>
      <c r="Q251" s="123">
        <v>9</v>
      </c>
      <c r="R251" s="123">
        <v>9</v>
      </c>
      <c r="S251" s="123">
        <v>9</v>
      </c>
      <c r="T251" s="123">
        <v>9</v>
      </c>
      <c r="U251" s="123">
        <v>9</v>
      </c>
      <c r="V251" s="123">
        <v>9</v>
      </c>
      <c r="W251" s="123">
        <v>9</v>
      </c>
      <c r="X251" s="123">
        <v>9</v>
      </c>
      <c r="Y251" s="123">
        <v>613.79999999999995</v>
      </c>
      <c r="Z251" s="123">
        <v>1692.45</v>
      </c>
      <c r="AA251" s="123">
        <v>1513.25</v>
      </c>
      <c r="AB251" s="123">
        <v>1636.45</v>
      </c>
      <c r="AC251" s="124">
        <v>737</v>
      </c>
      <c r="AD251" s="124">
        <v>729.51</v>
      </c>
      <c r="AE251" s="124">
        <v>1034.49</v>
      </c>
      <c r="AF251" s="124">
        <v>1468.64</v>
      </c>
      <c r="AG251" s="124">
        <v>1453.23</v>
      </c>
      <c r="AH251" s="124">
        <v>1176.68</v>
      </c>
      <c r="AI251" s="124">
        <v>1246.5999999999999</v>
      </c>
      <c r="AJ251" s="124">
        <v>1488.34</v>
      </c>
      <c r="AK251" s="124">
        <v>1533.66</v>
      </c>
      <c r="AL251" s="124">
        <v>918.8</v>
      </c>
      <c r="AM251" s="124">
        <v>571</v>
      </c>
      <c r="AN251" s="124">
        <v>832.59</v>
      </c>
      <c r="AO251" s="125">
        <v>1978.86</v>
      </c>
      <c r="AP251" s="125">
        <v>3317.15</v>
      </c>
      <c r="AQ251" s="125">
        <v>3995.82</v>
      </c>
      <c r="AR251" s="125">
        <v>2763.01</v>
      </c>
      <c r="AS251" s="125">
        <v>4739.03</v>
      </c>
      <c r="AT251" s="125">
        <v>5910.48</v>
      </c>
      <c r="AU251" s="125">
        <v>7513.76</v>
      </c>
      <c r="AV251" s="125">
        <v>5692.75</v>
      </c>
      <c r="AW251" s="125">
        <v>4714.0600000000004</v>
      </c>
      <c r="AX251" s="125">
        <v>6264.54</v>
      </c>
      <c r="AY251" s="126"/>
      <c r="AZ251" s="126"/>
      <c r="BA251" s="126"/>
      <c r="BB251" s="126"/>
      <c r="BC251" s="126"/>
      <c r="BD251" s="126"/>
      <c r="BE251" s="126"/>
      <c r="BF251" s="127">
        <v>1690909015</v>
      </c>
      <c r="BG251" s="97" t="s">
        <v>228</v>
      </c>
      <c r="BH251" s="127">
        <v>1176.68</v>
      </c>
      <c r="BI251" s="127">
        <v>1690909015</v>
      </c>
      <c r="BJ251" s="97" t="s">
        <v>228</v>
      </c>
      <c r="BK251" s="127">
        <v>1246.5999999999999</v>
      </c>
    </row>
    <row r="252" spans="1:63" x14ac:dyDescent="0.25">
      <c r="B252" s="121">
        <v>1690909090</v>
      </c>
      <c r="C252" s="122" t="s">
        <v>225</v>
      </c>
      <c r="D252" s="123">
        <v>113096.86</v>
      </c>
      <c r="E252" s="123">
        <v>117309.84</v>
      </c>
      <c r="F252" s="123">
        <v>107475.14</v>
      </c>
      <c r="G252" s="123">
        <v>105892.04</v>
      </c>
      <c r="H252" s="123">
        <v>101862.88</v>
      </c>
      <c r="I252" s="123">
        <v>101614.09</v>
      </c>
      <c r="J252" s="123">
        <v>101462.05</v>
      </c>
      <c r="K252" s="123">
        <v>103418.25</v>
      </c>
      <c r="L252" s="123">
        <v>103830.86</v>
      </c>
      <c r="M252" s="123">
        <v>104144.13</v>
      </c>
      <c r="N252" s="123">
        <v>104651.42</v>
      </c>
      <c r="O252" s="123">
        <v>113390.62</v>
      </c>
      <c r="P252" s="123">
        <v>153626.51</v>
      </c>
      <c r="Q252" s="123">
        <v>156314.84</v>
      </c>
      <c r="R252" s="123">
        <v>154575.73000000001</v>
      </c>
      <c r="S252" s="123">
        <v>134707.69</v>
      </c>
      <c r="T252" s="123">
        <v>146998.82999999999</v>
      </c>
      <c r="U252" s="123">
        <v>196534.99</v>
      </c>
      <c r="V252" s="123">
        <v>182389.6</v>
      </c>
      <c r="W252" s="123">
        <v>195710.24</v>
      </c>
      <c r="X252" s="123">
        <v>202783.59</v>
      </c>
      <c r="Y252" s="123">
        <v>102909.34</v>
      </c>
      <c r="Z252" s="123">
        <v>118458.24000000001</v>
      </c>
      <c r="AA252" s="123">
        <v>115496.03</v>
      </c>
      <c r="AB252" s="123">
        <v>114325.55</v>
      </c>
      <c r="AC252" s="124">
        <v>132580.1</v>
      </c>
      <c r="AD252" s="124">
        <v>139997.70000000001</v>
      </c>
      <c r="AE252" s="124">
        <v>131791.72</v>
      </c>
      <c r="AF252" s="124">
        <v>120439.33</v>
      </c>
      <c r="AG252" s="124">
        <v>123665.84</v>
      </c>
      <c r="AH252" s="124">
        <v>168794.88999999998</v>
      </c>
      <c r="AI252" s="124">
        <v>230197.3</v>
      </c>
      <c r="AJ252" s="124">
        <v>260921.9</v>
      </c>
      <c r="AK252" s="124">
        <v>590146.42000000004</v>
      </c>
      <c r="AL252" s="124">
        <v>563260.99</v>
      </c>
      <c r="AM252" s="124">
        <v>1554527.59</v>
      </c>
      <c r="AN252" s="124">
        <v>1508447.61</v>
      </c>
      <c r="AO252" s="125">
        <v>1466281.16</v>
      </c>
      <c r="AP252" s="125">
        <v>1525385.24</v>
      </c>
      <c r="AQ252" s="125">
        <v>1471988.4</v>
      </c>
      <c r="AR252" s="125">
        <v>1552442.97</v>
      </c>
      <c r="AS252" s="125">
        <v>1911687.53</v>
      </c>
      <c r="AT252" s="125">
        <v>1448187.92</v>
      </c>
      <c r="AU252" s="125">
        <v>1397945.01</v>
      </c>
      <c r="AV252" s="125">
        <v>1729835.8</v>
      </c>
      <c r="AW252" s="125">
        <v>1926240.14</v>
      </c>
      <c r="AX252" s="125">
        <v>2494603.0699999998</v>
      </c>
      <c r="AY252" s="126"/>
      <c r="AZ252" s="126"/>
      <c r="BA252" s="126"/>
      <c r="BB252" s="126"/>
      <c r="BC252" s="126"/>
      <c r="BD252" s="126"/>
      <c r="BE252" s="126"/>
      <c r="BF252" s="127">
        <v>1690909090</v>
      </c>
      <c r="BG252" s="97" t="s">
        <v>225</v>
      </c>
      <c r="BH252" s="127">
        <v>168794.88999999998</v>
      </c>
      <c r="BI252" s="127">
        <v>1690909090</v>
      </c>
      <c r="BJ252" s="97" t="s">
        <v>225</v>
      </c>
      <c r="BK252" s="127">
        <v>230197.3</v>
      </c>
    </row>
    <row r="253" spans="1:63" x14ac:dyDescent="0.25">
      <c r="B253" s="121">
        <v>1699</v>
      </c>
      <c r="C253" s="122" t="s">
        <v>229</v>
      </c>
      <c r="D253" s="116">
        <v>-341785.54</v>
      </c>
      <c r="E253" s="116">
        <v>-341821.13</v>
      </c>
      <c r="F253" s="116">
        <v>-341848.96</v>
      </c>
      <c r="G253" s="116">
        <v>-327518.78000000003</v>
      </c>
      <c r="H253" s="116">
        <v>-327509.55</v>
      </c>
      <c r="I253" s="116">
        <v>-328448.86</v>
      </c>
      <c r="J253" s="116">
        <v>-342533.85</v>
      </c>
      <c r="K253" s="116">
        <v>-343960.35</v>
      </c>
      <c r="L253" s="116">
        <v>-344206.19</v>
      </c>
      <c r="M253" s="116">
        <v>-262834.36</v>
      </c>
      <c r="N253" s="116">
        <v>-257029.18</v>
      </c>
      <c r="O253" s="116">
        <v>-257552.43</v>
      </c>
      <c r="P253" s="116">
        <v>-240810.2</v>
      </c>
      <c r="Q253" s="116">
        <v>-240831.03</v>
      </c>
      <c r="R253" s="116">
        <v>-240760.55</v>
      </c>
      <c r="S253" s="116">
        <v>-222715.76</v>
      </c>
      <c r="T253" s="116">
        <v>-222705.26</v>
      </c>
      <c r="U253" s="116">
        <v>-222701.26</v>
      </c>
      <c r="V253" s="116">
        <v>-223312.15</v>
      </c>
      <c r="W253" s="116">
        <v>-223452.59</v>
      </c>
      <c r="X253" s="116">
        <v>-223511.39</v>
      </c>
      <c r="Y253" s="116">
        <v>-240170.87</v>
      </c>
      <c r="Z253" s="116">
        <v>-240167.87</v>
      </c>
      <c r="AA253" s="116">
        <v>-240163.87</v>
      </c>
      <c r="AB253" s="116">
        <v>-184776.5</v>
      </c>
      <c r="AC253" s="124">
        <v>-184739.5</v>
      </c>
      <c r="AD253" s="124">
        <v>-184689.5</v>
      </c>
      <c r="AE253" s="124">
        <v>-180925.04</v>
      </c>
      <c r="AF253" s="124">
        <v>-180923.04</v>
      </c>
      <c r="AG253" s="124">
        <v>-180914.04</v>
      </c>
      <c r="AH253" s="124">
        <v>-178090.91</v>
      </c>
      <c r="AI253" s="124">
        <v>-176681.72</v>
      </c>
      <c r="AJ253" s="124">
        <v>-176626.72</v>
      </c>
      <c r="AK253" s="124">
        <v>-172765.94</v>
      </c>
      <c r="AL253" s="124">
        <v>-172759.94</v>
      </c>
      <c r="AM253" s="124">
        <v>-172773.34</v>
      </c>
      <c r="AN253" s="124">
        <v>-100443.72</v>
      </c>
      <c r="AO253" s="125">
        <v>-100434.72</v>
      </c>
      <c r="AP253" s="125">
        <v>-100034.9</v>
      </c>
      <c r="AQ253" s="125">
        <v>-137522.73000000001</v>
      </c>
      <c r="AR253" s="125">
        <v>-137519.73000000001</v>
      </c>
      <c r="AS253" s="125">
        <v>-120817.68</v>
      </c>
      <c r="AT253" s="125">
        <v>-156961.49</v>
      </c>
      <c r="AU253" s="125">
        <v>-156904.47</v>
      </c>
      <c r="AV253" s="125">
        <v>-156903.49</v>
      </c>
      <c r="AW253" s="125">
        <v>-155913.01</v>
      </c>
      <c r="AX253" s="125">
        <v>-150459.48000000001</v>
      </c>
      <c r="AY253" s="126"/>
      <c r="AZ253" s="126"/>
      <c r="BA253" s="126"/>
      <c r="BB253" s="126"/>
      <c r="BC253" s="126"/>
      <c r="BD253" s="126"/>
      <c r="BE253" s="126"/>
      <c r="BF253" s="127">
        <v>1699</v>
      </c>
      <c r="BG253" s="97" t="s">
        <v>229</v>
      </c>
      <c r="BH253" s="127">
        <v>-178090.91</v>
      </c>
      <c r="BI253" s="127">
        <v>1699</v>
      </c>
      <c r="BJ253" s="97" t="s">
        <v>229</v>
      </c>
      <c r="BK253" s="127">
        <v>-176681.72</v>
      </c>
    </row>
    <row r="254" spans="1:63" x14ac:dyDescent="0.25">
      <c r="A254" s="113"/>
      <c r="B254" s="121">
        <v>169905</v>
      </c>
      <c r="C254" s="122" t="s">
        <v>230</v>
      </c>
      <c r="D254" s="123">
        <v>-936.87</v>
      </c>
      <c r="E254" s="123">
        <v>-936.87</v>
      </c>
      <c r="F254" s="123">
        <v>-936.87</v>
      </c>
      <c r="G254" s="123">
        <v>-1241.22</v>
      </c>
      <c r="H254" s="123">
        <v>-1241.22</v>
      </c>
      <c r="I254" s="123">
        <v>-1241.22</v>
      </c>
      <c r="J254" s="123">
        <v>-627.03</v>
      </c>
      <c r="K254" s="123">
        <v>-627.03</v>
      </c>
      <c r="L254" s="123">
        <v>-627.03</v>
      </c>
      <c r="M254" s="123">
        <v>-506.16</v>
      </c>
      <c r="N254" s="123">
        <v>-506.16</v>
      </c>
      <c r="O254" s="123">
        <v>-506.16</v>
      </c>
      <c r="P254" s="123">
        <v>-577.54</v>
      </c>
      <c r="Q254" s="123">
        <v>-577.54</v>
      </c>
      <c r="R254" s="123">
        <v>-577.54</v>
      </c>
      <c r="S254" s="123">
        <v>-675.8</v>
      </c>
      <c r="T254" s="123">
        <v>-675.8</v>
      </c>
      <c r="U254" s="123">
        <v>-675.8</v>
      </c>
      <c r="V254" s="123">
        <v>-533.54</v>
      </c>
      <c r="W254" s="123">
        <v>-533.54</v>
      </c>
      <c r="X254" s="123">
        <v>-533.54</v>
      </c>
      <c r="Y254" s="123">
        <v>-802.08</v>
      </c>
      <c r="Z254" s="123">
        <v>-802.08</v>
      </c>
      <c r="AA254" s="123">
        <v>-802.08</v>
      </c>
      <c r="AB254" s="123">
        <v>-1118.8699999999999</v>
      </c>
      <c r="AC254" s="124">
        <v>-1118.8699999999999</v>
      </c>
      <c r="AD254" s="124">
        <v>-1118.8699999999999</v>
      </c>
      <c r="AE254" s="124">
        <v>-1819.88</v>
      </c>
      <c r="AF254" s="124">
        <v>-1819.88</v>
      </c>
      <c r="AG254" s="124">
        <v>-1819.88</v>
      </c>
      <c r="AH254" s="124">
        <v>-1818</v>
      </c>
      <c r="AI254" s="124">
        <v>-1818</v>
      </c>
      <c r="AJ254" s="124">
        <v>-1818</v>
      </c>
      <c r="AK254" s="124">
        <v>-2458.0700000000002</v>
      </c>
      <c r="AL254" s="124">
        <v>-2458.0700000000002</v>
      </c>
      <c r="AM254" s="124">
        <v>-2458.0700000000002</v>
      </c>
      <c r="AN254" s="124">
        <v>-2526.39</v>
      </c>
      <c r="AO254" s="125">
        <v>-2526.39</v>
      </c>
      <c r="AP254" s="125">
        <v>-2526.39</v>
      </c>
      <c r="AQ254" s="125">
        <v>-2605.48</v>
      </c>
      <c r="AR254" s="125">
        <v>-2605.48</v>
      </c>
      <c r="AS254" s="125">
        <v>-2605.48</v>
      </c>
      <c r="AT254" s="125">
        <v>-3620.58</v>
      </c>
      <c r="AU254" s="125">
        <v>-3620.58</v>
      </c>
      <c r="AV254" s="125">
        <v>-3620.58</v>
      </c>
      <c r="AW254" s="125">
        <v>-3890.83</v>
      </c>
      <c r="AX254" s="125">
        <v>-3890.83</v>
      </c>
      <c r="AY254" s="126"/>
      <c r="AZ254" s="126"/>
      <c r="BA254" s="126"/>
      <c r="BB254" s="126"/>
      <c r="BC254" s="126"/>
      <c r="BD254" s="126"/>
      <c r="BE254" s="126"/>
      <c r="BF254" s="127">
        <v>169905</v>
      </c>
      <c r="BG254" s="97" t="s">
        <v>230</v>
      </c>
      <c r="BH254" s="127">
        <v>-1818</v>
      </c>
      <c r="BI254" s="127">
        <v>169905</v>
      </c>
      <c r="BJ254" s="97" t="s">
        <v>230</v>
      </c>
      <c r="BK254" s="127">
        <v>-1818</v>
      </c>
    </row>
    <row r="255" spans="1:63" x14ac:dyDescent="0.25">
      <c r="B255" s="121">
        <v>169910</v>
      </c>
      <c r="C255" s="122" t="s">
        <v>231</v>
      </c>
      <c r="D255" s="123">
        <v>-340848.67</v>
      </c>
      <c r="E255" s="123">
        <v>-340884.26</v>
      </c>
      <c r="F255" s="123">
        <v>-340912.09</v>
      </c>
      <c r="G255" s="123">
        <v>-326277.56</v>
      </c>
      <c r="H255" s="123">
        <v>-326268.33</v>
      </c>
      <c r="I255" s="123">
        <v>-327207.64</v>
      </c>
      <c r="J255" s="123">
        <v>-341906.82</v>
      </c>
      <c r="K255" s="123">
        <v>-343333.32</v>
      </c>
      <c r="L255" s="123">
        <v>-343579.16</v>
      </c>
      <c r="M255" s="123">
        <v>-262328.2</v>
      </c>
      <c r="N255" s="123">
        <v>-256523.02</v>
      </c>
      <c r="O255" s="123">
        <v>-257046.27</v>
      </c>
      <c r="P255" s="123">
        <v>-240232.66</v>
      </c>
      <c r="Q255" s="123">
        <v>-240253.49</v>
      </c>
      <c r="R255" s="123">
        <v>-240183.01</v>
      </c>
      <c r="S255" s="123">
        <v>-222039.96</v>
      </c>
      <c r="T255" s="123">
        <v>-222029.46</v>
      </c>
      <c r="U255" s="123">
        <v>-222025.46</v>
      </c>
      <c r="V255" s="123">
        <v>-222778.61</v>
      </c>
      <c r="W255" s="123">
        <v>-222919.05</v>
      </c>
      <c r="X255" s="123">
        <v>-222977.85</v>
      </c>
      <c r="Y255" s="123">
        <v>-239368.79</v>
      </c>
      <c r="Z255" s="123">
        <v>-239365.79</v>
      </c>
      <c r="AA255" s="123">
        <v>-239361.79</v>
      </c>
      <c r="AB255" s="123">
        <v>-183657.63</v>
      </c>
      <c r="AC255" s="124">
        <v>-183620.63</v>
      </c>
      <c r="AD255" s="124">
        <v>-183570.63</v>
      </c>
      <c r="AE255" s="124">
        <v>-179105.16</v>
      </c>
      <c r="AF255" s="124">
        <v>-179103.16</v>
      </c>
      <c r="AG255" s="124">
        <v>-179094.16</v>
      </c>
      <c r="AH255" s="124">
        <v>-176272.91</v>
      </c>
      <c r="AI255" s="124">
        <v>-174863.72</v>
      </c>
      <c r="AJ255" s="124">
        <v>-174808.72</v>
      </c>
      <c r="AK255" s="124">
        <v>-170307.87</v>
      </c>
      <c r="AL255" s="124">
        <v>-170301.87</v>
      </c>
      <c r="AM255" s="124">
        <v>-170315.27</v>
      </c>
      <c r="AN255" s="124">
        <v>-97917.33</v>
      </c>
      <c r="AO255" s="125">
        <v>-97908.33</v>
      </c>
      <c r="AP255" s="125">
        <v>-97508.51</v>
      </c>
      <c r="AQ255" s="125">
        <v>-134917.25</v>
      </c>
      <c r="AR255" s="125">
        <v>-134914.25</v>
      </c>
      <c r="AS255" s="125">
        <v>-118212.2</v>
      </c>
      <c r="AT255" s="125">
        <v>-153340.91</v>
      </c>
      <c r="AU255" s="125">
        <v>-153283.89000000001</v>
      </c>
      <c r="AV255" s="125">
        <v>-153282.91</v>
      </c>
      <c r="AW255" s="125">
        <v>-152022.18</v>
      </c>
      <c r="AX255" s="125">
        <v>-146568.65</v>
      </c>
      <c r="AY255" s="126"/>
      <c r="AZ255" s="126"/>
      <c r="BA255" s="126"/>
      <c r="BB255" s="126"/>
      <c r="BC255" s="126"/>
      <c r="BD255" s="126"/>
      <c r="BE255" s="126"/>
      <c r="BF255" s="120">
        <v>169910</v>
      </c>
      <c r="BG255" s="113" t="s">
        <v>231</v>
      </c>
      <c r="BH255" s="120">
        <v>-176272.91</v>
      </c>
      <c r="BI255" s="127">
        <v>169910</v>
      </c>
      <c r="BJ255" s="97" t="s">
        <v>231</v>
      </c>
      <c r="BK255" s="127">
        <v>-174863.72</v>
      </c>
    </row>
    <row r="256" spans="1:63" x14ac:dyDescent="0.25">
      <c r="B256" s="114">
        <v>17</v>
      </c>
      <c r="C256" s="115" t="s">
        <v>232</v>
      </c>
      <c r="D256" s="116">
        <v>569654.17000000004</v>
      </c>
      <c r="E256" s="116">
        <v>569920.81000000006</v>
      </c>
      <c r="F256" s="116">
        <v>562004.09</v>
      </c>
      <c r="G256" s="116">
        <v>583982.76</v>
      </c>
      <c r="H256" s="116">
        <v>590256.30000000005</v>
      </c>
      <c r="I256" s="116">
        <v>586527.86</v>
      </c>
      <c r="J256" s="116">
        <v>584649.78</v>
      </c>
      <c r="K256" s="116">
        <v>582634.34</v>
      </c>
      <c r="L256" s="116">
        <v>581063.31000000006</v>
      </c>
      <c r="M256" s="116">
        <v>580161.66</v>
      </c>
      <c r="N256" s="116">
        <v>579229.94999999995</v>
      </c>
      <c r="O256" s="116">
        <v>577049.63</v>
      </c>
      <c r="P256" s="116">
        <v>575478.6</v>
      </c>
      <c r="Q256" s="116">
        <v>573907.56999999995</v>
      </c>
      <c r="R256" s="116">
        <v>578820.01</v>
      </c>
      <c r="S256" s="116">
        <v>577888.30000000005</v>
      </c>
      <c r="T256" s="116">
        <v>564398.09</v>
      </c>
      <c r="U256" s="116">
        <v>563466.39</v>
      </c>
      <c r="V256" s="116">
        <v>562564.74</v>
      </c>
      <c r="W256" s="116">
        <v>561633.04</v>
      </c>
      <c r="X256" s="116">
        <v>560701.32999999996</v>
      </c>
      <c r="Y256" s="116">
        <v>559799.68000000005</v>
      </c>
      <c r="Z256" s="116">
        <v>558867.98</v>
      </c>
      <c r="AA256" s="116">
        <v>557966.32999999996</v>
      </c>
      <c r="AB256" s="116">
        <v>557034.63</v>
      </c>
      <c r="AC256" s="117">
        <v>556102.92000000004</v>
      </c>
      <c r="AD256" s="117">
        <v>565231.32999999996</v>
      </c>
      <c r="AE256" s="117">
        <v>564299.62</v>
      </c>
      <c r="AF256" s="117">
        <v>553397.97</v>
      </c>
      <c r="AG256" s="117">
        <v>552466.27</v>
      </c>
      <c r="AH256" s="117">
        <v>551564.62</v>
      </c>
      <c r="AI256" s="117">
        <v>542960.92000000004</v>
      </c>
      <c r="AJ256" s="117">
        <v>542029.21</v>
      </c>
      <c r="AK256" s="117">
        <v>541127.56000000006</v>
      </c>
      <c r="AL256" s="117">
        <v>536334.86</v>
      </c>
      <c r="AM256" s="117">
        <v>539294.21</v>
      </c>
      <c r="AN256" s="117">
        <v>519485.56</v>
      </c>
      <c r="AO256" s="118">
        <v>518553.86</v>
      </c>
      <c r="AP256" s="118">
        <v>517712.32</v>
      </c>
      <c r="AQ256" s="118">
        <v>516780.62</v>
      </c>
      <c r="AR256" s="118">
        <v>515878.97</v>
      </c>
      <c r="AS256" s="118">
        <v>514947.26</v>
      </c>
      <c r="AT256" s="118">
        <v>514045.61</v>
      </c>
      <c r="AU256" s="118">
        <v>513113.91</v>
      </c>
      <c r="AV256" s="118">
        <v>512182.21</v>
      </c>
      <c r="AW256" s="118">
        <v>511280.56</v>
      </c>
      <c r="AX256" s="118">
        <v>510348.85</v>
      </c>
      <c r="AY256" s="119"/>
      <c r="AZ256" s="119"/>
      <c r="BA256" s="119"/>
      <c r="BB256" s="119"/>
      <c r="BC256" s="119"/>
      <c r="BD256" s="119"/>
      <c r="BE256" s="119"/>
      <c r="BF256" s="127">
        <v>17</v>
      </c>
      <c r="BG256" s="97" t="s">
        <v>232</v>
      </c>
      <c r="BH256" s="127">
        <v>551564.62</v>
      </c>
      <c r="BI256" s="120">
        <v>17</v>
      </c>
      <c r="BJ256" s="113" t="s">
        <v>232</v>
      </c>
      <c r="BK256" s="120">
        <v>542960.92000000004</v>
      </c>
    </row>
    <row r="257" spans="1:63" x14ac:dyDescent="0.25">
      <c r="B257" s="121">
        <v>1702</v>
      </c>
      <c r="C257" s="122" t="s">
        <v>233</v>
      </c>
      <c r="D257" s="116">
        <v>399190</v>
      </c>
      <c r="E257" s="116">
        <v>400017</v>
      </c>
      <c r="F257" s="116">
        <v>379512.52</v>
      </c>
      <c r="G257" s="116">
        <v>402422.89</v>
      </c>
      <c r="H257" s="116">
        <v>409598.08</v>
      </c>
      <c r="I257" s="116">
        <v>407440.67</v>
      </c>
      <c r="J257" s="116">
        <v>407103.57</v>
      </c>
      <c r="K257" s="116">
        <v>407298.5</v>
      </c>
      <c r="L257" s="116">
        <v>407298.5</v>
      </c>
      <c r="M257" s="116">
        <v>407298.5</v>
      </c>
      <c r="N257" s="116">
        <v>407298.5</v>
      </c>
      <c r="O257" s="116">
        <v>407298.5</v>
      </c>
      <c r="P257" s="116">
        <v>343861.5</v>
      </c>
      <c r="Q257" s="116">
        <v>343861.5</v>
      </c>
      <c r="R257" s="116">
        <v>343861.5</v>
      </c>
      <c r="S257" s="116">
        <v>343861.5</v>
      </c>
      <c r="T257" s="116">
        <v>147801.94</v>
      </c>
      <c r="U257" s="116">
        <v>147801.94</v>
      </c>
      <c r="V257" s="116">
        <v>147801.94</v>
      </c>
      <c r="W257" s="116">
        <v>147801.94</v>
      </c>
      <c r="X257" s="116">
        <v>147801.94</v>
      </c>
      <c r="Y257" s="116">
        <v>147801.94</v>
      </c>
      <c r="Z257" s="116">
        <v>147801.94</v>
      </c>
      <c r="AA257" s="116">
        <v>147801.94</v>
      </c>
      <c r="AB257" s="116">
        <v>147801.94</v>
      </c>
      <c r="AC257" s="124">
        <v>147801.94</v>
      </c>
      <c r="AD257" s="124">
        <v>157801.94</v>
      </c>
      <c r="AE257" s="124">
        <v>157801.94</v>
      </c>
      <c r="AF257" s="124">
        <v>147801.94</v>
      </c>
      <c r="AG257" s="124">
        <v>147801.94</v>
      </c>
      <c r="AH257" s="124">
        <v>151662.94</v>
      </c>
      <c r="AI257" s="124">
        <v>143990.94</v>
      </c>
      <c r="AJ257" s="124">
        <v>143990.94</v>
      </c>
      <c r="AK257" s="124">
        <v>143990.94</v>
      </c>
      <c r="AL257" s="124">
        <v>140129.94</v>
      </c>
      <c r="AM257" s="124">
        <v>140129.94</v>
      </c>
      <c r="AN257" s="124">
        <v>59326</v>
      </c>
      <c r="AO257" s="125">
        <v>59326</v>
      </c>
      <c r="AP257" s="125">
        <v>59326</v>
      </c>
      <c r="AQ257" s="125">
        <v>59326</v>
      </c>
      <c r="AR257" s="125">
        <v>59326</v>
      </c>
      <c r="AS257" s="125">
        <v>59326</v>
      </c>
      <c r="AT257" s="125">
        <v>59326</v>
      </c>
      <c r="AU257" s="125">
        <v>59326</v>
      </c>
      <c r="AV257" s="125">
        <v>59326</v>
      </c>
      <c r="AW257" s="125">
        <v>59326</v>
      </c>
      <c r="AX257" s="125">
        <v>59326</v>
      </c>
      <c r="AY257" s="126"/>
      <c r="AZ257" s="126"/>
      <c r="BA257" s="126"/>
      <c r="BB257" s="126"/>
      <c r="BC257" s="126"/>
      <c r="BD257" s="126"/>
      <c r="BE257" s="126"/>
      <c r="BF257" s="127">
        <v>1702</v>
      </c>
      <c r="BG257" s="97" t="s">
        <v>233</v>
      </c>
      <c r="BH257" s="127">
        <v>151662.94</v>
      </c>
      <c r="BI257" s="127">
        <v>1702</v>
      </c>
      <c r="BJ257" s="97" t="s">
        <v>233</v>
      </c>
      <c r="BK257" s="127">
        <v>143990.94</v>
      </c>
    </row>
    <row r="258" spans="1:63" x14ac:dyDescent="0.25">
      <c r="B258" s="121">
        <v>170205</v>
      </c>
      <c r="C258" s="122" t="s">
        <v>234</v>
      </c>
      <c r="D258" s="123">
        <v>24600</v>
      </c>
      <c r="E258" s="123">
        <v>24600</v>
      </c>
      <c r="F258" s="123">
        <v>24600</v>
      </c>
      <c r="G258" s="123">
        <v>24600</v>
      </c>
      <c r="H258" s="123">
        <v>24600</v>
      </c>
      <c r="I258" s="123">
        <v>24600</v>
      </c>
      <c r="J258" s="123">
        <v>24600</v>
      </c>
      <c r="K258" s="123">
        <v>24600</v>
      </c>
      <c r="L258" s="123">
        <v>24600</v>
      </c>
      <c r="M258" s="123">
        <v>24600</v>
      </c>
      <c r="N258" s="123">
        <v>24600</v>
      </c>
      <c r="O258" s="123">
        <v>24600</v>
      </c>
      <c r="P258" s="123">
        <v>24600</v>
      </c>
      <c r="Q258" s="123">
        <v>24600</v>
      </c>
      <c r="R258" s="123">
        <v>24600</v>
      </c>
      <c r="S258" s="123">
        <v>24600</v>
      </c>
      <c r="T258" s="123">
        <v>24600</v>
      </c>
      <c r="U258" s="123">
        <v>24600</v>
      </c>
      <c r="V258" s="123">
        <v>24600</v>
      </c>
      <c r="W258" s="123">
        <v>24600</v>
      </c>
      <c r="X258" s="123">
        <v>24600</v>
      </c>
      <c r="Y258" s="123">
        <v>24600</v>
      </c>
      <c r="Z258" s="123">
        <v>24600</v>
      </c>
      <c r="AA258" s="123">
        <v>24600</v>
      </c>
      <c r="AB258" s="123">
        <v>24600</v>
      </c>
      <c r="AC258" s="124">
        <v>24600</v>
      </c>
      <c r="AD258" s="124">
        <v>24600</v>
      </c>
      <c r="AE258" s="124">
        <v>24600</v>
      </c>
      <c r="AF258" s="124">
        <v>24600</v>
      </c>
      <c r="AG258" s="124">
        <v>24600</v>
      </c>
      <c r="AH258" s="124">
        <v>24600</v>
      </c>
      <c r="AI258" s="124">
        <v>24600</v>
      </c>
      <c r="AJ258" s="124">
        <v>24600</v>
      </c>
      <c r="AK258" s="124">
        <v>24600</v>
      </c>
      <c r="AL258" s="124">
        <v>24600</v>
      </c>
      <c r="AM258" s="124">
        <v>24600</v>
      </c>
      <c r="AN258" s="124">
        <v>24600</v>
      </c>
      <c r="AO258" s="125">
        <v>24600</v>
      </c>
      <c r="AP258" s="125">
        <v>24600</v>
      </c>
      <c r="AQ258" s="125">
        <v>24600</v>
      </c>
      <c r="AR258" s="125">
        <v>24600</v>
      </c>
      <c r="AS258" s="125">
        <v>24600</v>
      </c>
      <c r="AT258" s="125">
        <v>24600</v>
      </c>
      <c r="AU258" s="125">
        <v>24600</v>
      </c>
      <c r="AV258" s="125">
        <v>24600</v>
      </c>
      <c r="AW258" s="125">
        <v>24600</v>
      </c>
      <c r="AX258" s="125">
        <v>24600</v>
      </c>
      <c r="AY258" s="126"/>
      <c r="AZ258" s="126"/>
      <c r="BA258" s="126"/>
      <c r="BB258" s="126"/>
      <c r="BC258" s="126"/>
      <c r="BD258" s="126"/>
      <c r="BE258" s="126"/>
      <c r="BF258" s="127">
        <v>170205</v>
      </c>
      <c r="BG258" s="97" t="s">
        <v>234</v>
      </c>
      <c r="BH258" s="127">
        <v>24600</v>
      </c>
      <c r="BI258" s="127">
        <v>170205</v>
      </c>
      <c r="BJ258" s="97" t="s">
        <v>234</v>
      </c>
      <c r="BK258" s="127">
        <v>24600</v>
      </c>
    </row>
    <row r="259" spans="1:63" x14ac:dyDescent="0.25">
      <c r="B259" s="121">
        <v>170210</v>
      </c>
      <c r="C259" s="122" t="s">
        <v>235</v>
      </c>
      <c r="D259" s="123">
        <v>245398</v>
      </c>
      <c r="E259" s="123">
        <v>246225</v>
      </c>
      <c r="F259" s="123">
        <v>249077.52</v>
      </c>
      <c r="G259" s="123">
        <v>259908.89</v>
      </c>
      <c r="H259" s="123">
        <v>267084.08</v>
      </c>
      <c r="I259" s="123">
        <v>277005.67</v>
      </c>
      <c r="J259" s="123">
        <v>276668.57</v>
      </c>
      <c r="K259" s="123">
        <v>276863.5</v>
      </c>
      <c r="L259" s="123">
        <v>276863.5</v>
      </c>
      <c r="M259" s="123">
        <v>276863.5</v>
      </c>
      <c r="N259" s="123">
        <v>276863.5</v>
      </c>
      <c r="O259" s="123">
        <v>276863.5</v>
      </c>
      <c r="P259" s="123">
        <v>276863.5</v>
      </c>
      <c r="Q259" s="123">
        <v>276863.5</v>
      </c>
      <c r="R259" s="123">
        <v>276863.5</v>
      </c>
      <c r="S259" s="123">
        <v>276863.5</v>
      </c>
      <c r="T259" s="123">
        <v>80803.94</v>
      </c>
      <c r="U259" s="123">
        <v>80803.94</v>
      </c>
      <c r="V259" s="123">
        <v>80803.94</v>
      </c>
      <c r="W259" s="123">
        <v>80803.94</v>
      </c>
      <c r="X259" s="123">
        <v>80803.94</v>
      </c>
      <c r="Y259" s="123">
        <v>80803.94</v>
      </c>
      <c r="Z259" s="123">
        <v>80803.94</v>
      </c>
      <c r="AA259" s="123">
        <v>80803.94</v>
      </c>
      <c r="AB259" s="123">
        <v>80803.94</v>
      </c>
      <c r="AC259" s="124">
        <v>80803.94</v>
      </c>
      <c r="AD259" s="124">
        <v>80803.94</v>
      </c>
      <c r="AE259" s="124">
        <v>80803.94</v>
      </c>
      <c r="AF259" s="124">
        <v>80803.94</v>
      </c>
      <c r="AG259" s="124">
        <v>80803.94</v>
      </c>
      <c r="AH259" s="124">
        <v>80803.94</v>
      </c>
      <c r="AI259" s="124">
        <v>80803.94</v>
      </c>
      <c r="AJ259" s="124">
        <v>80803.94</v>
      </c>
      <c r="AK259" s="124">
        <v>80803.94</v>
      </c>
      <c r="AL259" s="124">
        <v>80803.94</v>
      </c>
      <c r="AM259" s="124">
        <v>80803.94</v>
      </c>
      <c r="AN259" s="124">
        <v>0</v>
      </c>
      <c r="AO259" s="125">
        <v>0</v>
      </c>
      <c r="AP259" s="125">
        <v>0</v>
      </c>
      <c r="AQ259" s="125">
        <v>0</v>
      </c>
      <c r="AR259" s="125">
        <v>0</v>
      </c>
      <c r="AS259" s="125">
        <v>0</v>
      </c>
      <c r="AT259" s="125">
        <v>0</v>
      </c>
      <c r="AU259" s="125">
        <v>0</v>
      </c>
      <c r="AV259" s="125">
        <v>0</v>
      </c>
      <c r="AW259" s="125">
        <v>0</v>
      </c>
      <c r="AX259" s="125">
        <v>0</v>
      </c>
      <c r="AY259" s="126"/>
      <c r="AZ259" s="126"/>
      <c r="BA259" s="126"/>
      <c r="BB259" s="126"/>
      <c r="BC259" s="126"/>
      <c r="BD259" s="126"/>
      <c r="BE259" s="126"/>
      <c r="BF259" s="127">
        <v>170210</v>
      </c>
      <c r="BG259" s="97" t="s">
        <v>235</v>
      </c>
      <c r="BH259" s="127">
        <v>80803.94</v>
      </c>
      <c r="BI259" s="127">
        <v>170210</v>
      </c>
      <c r="BJ259" s="97" t="s">
        <v>235</v>
      </c>
      <c r="BK259" s="127">
        <v>80803.94</v>
      </c>
    </row>
    <row r="260" spans="1:63" x14ac:dyDescent="0.25">
      <c r="B260" s="121">
        <v>170220</v>
      </c>
      <c r="C260" s="122" t="s">
        <v>236</v>
      </c>
      <c r="D260" s="123">
        <v>129192</v>
      </c>
      <c r="E260" s="123">
        <v>129192</v>
      </c>
      <c r="F260" s="123">
        <v>105835</v>
      </c>
      <c r="G260" s="123">
        <v>117914</v>
      </c>
      <c r="H260" s="123">
        <v>117914</v>
      </c>
      <c r="I260" s="123">
        <v>105835</v>
      </c>
      <c r="J260" s="123">
        <v>105835</v>
      </c>
      <c r="K260" s="123">
        <v>105835</v>
      </c>
      <c r="L260" s="123">
        <v>105835</v>
      </c>
      <c r="M260" s="123">
        <v>105835</v>
      </c>
      <c r="N260" s="123">
        <v>105835</v>
      </c>
      <c r="O260" s="123">
        <v>105835</v>
      </c>
      <c r="P260" s="123">
        <v>42398</v>
      </c>
      <c r="Q260" s="123">
        <v>42398</v>
      </c>
      <c r="R260" s="123">
        <v>42398</v>
      </c>
      <c r="S260" s="123">
        <v>42398</v>
      </c>
      <c r="T260" s="123">
        <v>42398</v>
      </c>
      <c r="U260" s="123">
        <v>42398</v>
      </c>
      <c r="V260" s="123">
        <v>42398</v>
      </c>
      <c r="W260" s="123">
        <v>42398</v>
      </c>
      <c r="X260" s="123">
        <v>42398</v>
      </c>
      <c r="Y260" s="123">
        <v>42398</v>
      </c>
      <c r="Z260" s="123">
        <v>42398</v>
      </c>
      <c r="AA260" s="123">
        <v>42398</v>
      </c>
      <c r="AB260" s="123">
        <v>42398</v>
      </c>
      <c r="AC260" s="124">
        <v>42398</v>
      </c>
      <c r="AD260" s="124">
        <v>52398</v>
      </c>
      <c r="AE260" s="124">
        <v>52398</v>
      </c>
      <c r="AF260" s="124">
        <v>42398</v>
      </c>
      <c r="AG260" s="124">
        <v>42398</v>
      </c>
      <c r="AH260" s="124">
        <v>46259</v>
      </c>
      <c r="AI260" s="124">
        <v>38587</v>
      </c>
      <c r="AJ260" s="124">
        <v>38587</v>
      </c>
      <c r="AK260" s="124">
        <v>38587</v>
      </c>
      <c r="AL260" s="124">
        <v>34726</v>
      </c>
      <c r="AM260" s="124">
        <v>34726</v>
      </c>
      <c r="AN260" s="124">
        <v>34726</v>
      </c>
      <c r="AO260" s="125">
        <v>34726</v>
      </c>
      <c r="AP260" s="125">
        <v>34726</v>
      </c>
      <c r="AQ260" s="125">
        <v>34726</v>
      </c>
      <c r="AR260" s="125">
        <v>34726</v>
      </c>
      <c r="AS260" s="125">
        <v>34726</v>
      </c>
      <c r="AT260" s="125">
        <v>34726</v>
      </c>
      <c r="AU260" s="125">
        <v>34726</v>
      </c>
      <c r="AV260" s="125">
        <v>34726</v>
      </c>
      <c r="AW260" s="125">
        <v>34726</v>
      </c>
      <c r="AX260" s="125">
        <v>34726</v>
      </c>
      <c r="AY260" s="126"/>
      <c r="AZ260" s="126"/>
      <c r="BA260" s="126"/>
      <c r="BB260" s="126"/>
      <c r="BC260" s="126"/>
      <c r="BD260" s="126"/>
      <c r="BE260" s="126"/>
      <c r="BF260" s="127">
        <v>170220</v>
      </c>
      <c r="BG260" s="97" t="s">
        <v>236</v>
      </c>
      <c r="BH260" s="127">
        <v>46259</v>
      </c>
      <c r="BI260" s="127">
        <v>170220</v>
      </c>
      <c r="BJ260" s="97" t="s">
        <v>236</v>
      </c>
      <c r="BK260" s="127">
        <v>38587</v>
      </c>
    </row>
    <row r="261" spans="1:63" x14ac:dyDescent="0.25">
      <c r="B261" s="121">
        <v>1705</v>
      </c>
      <c r="C261" s="122" t="s">
        <v>237</v>
      </c>
      <c r="D261" s="116">
        <v>550982.17000000004</v>
      </c>
      <c r="E261" s="116">
        <v>550421.81000000006</v>
      </c>
      <c r="F261" s="116">
        <v>550652.56999999995</v>
      </c>
      <c r="G261" s="116">
        <v>549720.87</v>
      </c>
      <c r="H261" s="116">
        <v>548819.22</v>
      </c>
      <c r="I261" s="116">
        <v>547887.52</v>
      </c>
      <c r="J261" s="116">
        <v>546985.87</v>
      </c>
      <c r="K261" s="116">
        <v>546054.16</v>
      </c>
      <c r="L261" s="116">
        <v>545122.46</v>
      </c>
      <c r="M261" s="116">
        <v>544220.81000000006</v>
      </c>
      <c r="N261" s="116">
        <v>543289.1</v>
      </c>
      <c r="O261" s="116">
        <v>542387.44999999995</v>
      </c>
      <c r="P261" s="116">
        <v>541455.75</v>
      </c>
      <c r="Q261" s="116">
        <v>540524.05000000005</v>
      </c>
      <c r="R261" s="116">
        <v>539682.51</v>
      </c>
      <c r="S261" s="116">
        <v>538750.80000000005</v>
      </c>
      <c r="T261" s="116">
        <v>537849.15</v>
      </c>
      <c r="U261" s="116">
        <v>536917.44999999995</v>
      </c>
      <c r="V261" s="116">
        <v>536015.80000000005</v>
      </c>
      <c r="W261" s="116">
        <v>535084.1</v>
      </c>
      <c r="X261" s="116">
        <v>534152.39</v>
      </c>
      <c r="Y261" s="116">
        <v>533250.74</v>
      </c>
      <c r="Z261" s="116">
        <v>532319.04</v>
      </c>
      <c r="AA261" s="116">
        <v>531417.39</v>
      </c>
      <c r="AB261" s="116">
        <v>530485.68999999994</v>
      </c>
      <c r="AC261" s="124">
        <v>529553.98</v>
      </c>
      <c r="AD261" s="124">
        <v>528682.39</v>
      </c>
      <c r="AE261" s="124">
        <v>527750.68000000005</v>
      </c>
      <c r="AF261" s="124">
        <v>526849.03</v>
      </c>
      <c r="AG261" s="124">
        <v>525917.32999999996</v>
      </c>
      <c r="AH261" s="124">
        <v>525015.68000000005</v>
      </c>
      <c r="AI261" s="124">
        <v>524083.98</v>
      </c>
      <c r="AJ261" s="124">
        <v>523152.27</v>
      </c>
      <c r="AK261" s="124">
        <v>522250.62</v>
      </c>
      <c r="AL261" s="124">
        <v>521318.92</v>
      </c>
      <c r="AM261" s="124">
        <v>520417.27</v>
      </c>
      <c r="AN261" s="124">
        <v>519485.56</v>
      </c>
      <c r="AO261" s="125">
        <v>518553.86</v>
      </c>
      <c r="AP261" s="125">
        <v>517712.32</v>
      </c>
      <c r="AQ261" s="125">
        <v>516780.62</v>
      </c>
      <c r="AR261" s="125">
        <v>515878.97</v>
      </c>
      <c r="AS261" s="125">
        <v>514947.26</v>
      </c>
      <c r="AT261" s="125">
        <v>514045.61</v>
      </c>
      <c r="AU261" s="125">
        <v>513113.91</v>
      </c>
      <c r="AV261" s="125">
        <v>512182.21</v>
      </c>
      <c r="AW261" s="125">
        <v>511280.56</v>
      </c>
      <c r="AX261" s="125">
        <v>510348.85</v>
      </c>
      <c r="AY261" s="126"/>
      <c r="AZ261" s="126"/>
      <c r="BA261" s="126"/>
      <c r="BB261" s="126"/>
      <c r="BC261" s="126"/>
      <c r="BD261" s="126"/>
      <c r="BE261" s="126"/>
      <c r="BF261" s="127">
        <v>1705</v>
      </c>
      <c r="BG261" s="97" t="s">
        <v>237</v>
      </c>
      <c r="BH261" s="127">
        <v>525015.68000000005</v>
      </c>
      <c r="BI261" s="127">
        <v>1705</v>
      </c>
      <c r="BJ261" s="97" t="s">
        <v>237</v>
      </c>
      <c r="BK261" s="127">
        <v>524083.98</v>
      </c>
    </row>
    <row r="262" spans="1:63" x14ac:dyDescent="0.25">
      <c r="B262" s="121">
        <v>170505</v>
      </c>
      <c r="C262" s="122" t="s">
        <v>238</v>
      </c>
      <c r="D262" s="123">
        <v>607306.19999999995</v>
      </c>
      <c r="E262" s="123">
        <v>607306.19999999995</v>
      </c>
      <c r="F262" s="123">
        <v>607306.19999999995</v>
      </c>
      <c r="G262" s="123">
        <v>607306.19999999995</v>
      </c>
      <c r="H262" s="123">
        <v>607306.19999999995</v>
      </c>
      <c r="I262" s="123">
        <v>607306.19999999995</v>
      </c>
      <c r="J262" s="123">
        <v>607306.19999999995</v>
      </c>
      <c r="K262" s="123">
        <v>607306.19999999995</v>
      </c>
      <c r="L262" s="123">
        <v>607306.19999999995</v>
      </c>
      <c r="M262" s="123">
        <v>607306.19999999995</v>
      </c>
      <c r="N262" s="123">
        <v>607306.19999999995</v>
      </c>
      <c r="O262" s="123">
        <v>607306.19999999995</v>
      </c>
      <c r="P262" s="123">
        <v>607306.19999999995</v>
      </c>
      <c r="Q262" s="123">
        <v>607306.19999999995</v>
      </c>
      <c r="R262" s="123">
        <v>607306.19999999995</v>
      </c>
      <c r="S262" s="123">
        <v>607306.19999999995</v>
      </c>
      <c r="T262" s="123">
        <v>607306.19999999995</v>
      </c>
      <c r="U262" s="123">
        <v>607306.19999999995</v>
      </c>
      <c r="V262" s="123">
        <v>607306.19999999995</v>
      </c>
      <c r="W262" s="123">
        <v>607306.19999999995</v>
      </c>
      <c r="X262" s="123">
        <v>607306.19999999995</v>
      </c>
      <c r="Y262" s="123">
        <v>607306.19999999995</v>
      </c>
      <c r="Z262" s="123">
        <v>607306.19999999995</v>
      </c>
      <c r="AA262" s="123">
        <v>607306.19999999995</v>
      </c>
      <c r="AB262" s="123">
        <v>607306.19999999995</v>
      </c>
      <c r="AC262" s="124">
        <v>607306.19999999995</v>
      </c>
      <c r="AD262" s="124">
        <v>607306.19999999995</v>
      </c>
      <c r="AE262" s="124">
        <v>607306.19999999995</v>
      </c>
      <c r="AF262" s="124">
        <v>607306.19999999995</v>
      </c>
      <c r="AG262" s="124">
        <v>607306.19999999995</v>
      </c>
      <c r="AH262" s="124">
        <v>607306.19999999995</v>
      </c>
      <c r="AI262" s="124">
        <v>607306.19999999995</v>
      </c>
      <c r="AJ262" s="124">
        <v>607306.19999999995</v>
      </c>
      <c r="AK262" s="124">
        <v>607306.19999999995</v>
      </c>
      <c r="AL262" s="124">
        <v>607306.19999999995</v>
      </c>
      <c r="AM262" s="124">
        <v>607306.19999999995</v>
      </c>
      <c r="AN262" s="124">
        <v>607306.19999999995</v>
      </c>
      <c r="AO262" s="125">
        <v>607306.19999999995</v>
      </c>
      <c r="AP262" s="125">
        <v>607306.19999999995</v>
      </c>
      <c r="AQ262" s="125">
        <v>607306.19999999995</v>
      </c>
      <c r="AR262" s="125">
        <v>607306.19999999995</v>
      </c>
      <c r="AS262" s="125">
        <v>607306.19999999995</v>
      </c>
      <c r="AT262" s="125">
        <v>607306.19999999995</v>
      </c>
      <c r="AU262" s="125">
        <v>607306.19999999995</v>
      </c>
      <c r="AV262" s="125">
        <v>607306.19999999995</v>
      </c>
      <c r="AW262" s="125">
        <v>607306.19999999995</v>
      </c>
      <c r="AX262" s="125">
        <v>607306.19999999995</v>
      </c>
      <c r="AY262" s="126"/>
      <c r="AZ262" s="126"/>
      <c r="BA262" s="126"/>
      <c r="BB262" s="126"/>
      <c r="BC262" s="126"/>
      <c r="BD262" s="126"/>
      <c r="BE262" s="126"/>
      <c r="BF262" s="127">
        <v>170505</v>
      </c>
      <c r="BG262" s="97" t="s">
        <v>238</v>
      </c>
      <c r="BH262" s="127">
        <v>607306.19999999995</v>
      </c>
      <c r="BI262" s="127">
        <v>170505</v>
      </c>
      <c r="BJ262" s="97" t="s">
        <v>238</v>
      </c>
      <c r="BK262" s="127">
        <v>607306.19999999995</v>
      </c>
    </row>
    <row r="263" spans="1:63" x14ac:dyDescent="0.25">
      <c r="B263" s="121">
        <v>170599</v>
      </c>
      <c r="C263" s="122" t="s">
        <v>239</v>
      </c>
      <c r="D263" s="123">
        <v>-56324.03</v>
      </c>
      <c r="E263" s="123">
        <v>-56884.39</v>
      </c>
      <c r="F263" s="123">
        <v>-56653.63</v>
      </c>
      <c r="G263" s="123">
        <v>-57585.33</v>
      </c>
      <c r="H263" s="123">
        <v>-58486.98</v>
      </c>
      <c r="I263" s="123">
        <v>-59418.68</v>
      </c>
      <c r="J263" s="123">
        <v>-60320.33</v>
      </c>
      <c r="K263" s="123">
        <v>-61252.04</v>
      </c>
      <c r="L263" s="123">
        <v>-62183.74</v>
      </c>
      <c r="M263" s="123">
        <v>-63085.39</v>
      </c>
      <c r="N263" s="123">
        <v>-64017.1</v>
      </c>
      <c r="O263" s="123">
        <v>-64918.75</v>
      </c>
      <c r="P263" s="123">
        <v>-65850.45</v>
      </c>
      <c r="Q263" s="123">
        <v>-66782.149999999994</v>
      </c>
      <c r="R263" s="123">
        <v>-67623.69</v>
      </c>
      <c r="S263" s="123">
        <v>-68555.399999999994</v>
      </c>
      <c r="T263" s="123">
        <v>-69457.05</v>
      </c>
      <c r="U263" s="123">
        <v>-70388.75</v>
      </c>
      <c r="V263" s="123">
        <v>-71290.399999999994</v>
      </c>
      <c r="W263" s="123">
        <v>-72222.100000000006</v>
      </c>
      <c r="X263" s="123">
        <v>-73153.81</v>
      </c>
      <c r="Y263" s="123">
        <v>-74055.460000000006</v>
      </c>
      <c r="Z263" s="123">
        <v>-74987.16</v>
      </c>
      <c r="AA263" s="123">
        <v>-75888.81</v>
      </c>
      <c r="AB263" s="123">
        <v>-76820.509999999995</v>
      </c>
      <c r="AC263" s="124">
        <v>-77752.22</v>
      </c>
      <c r="AD263" s="124">
        <v>-78623.81</v>
      </c>
      <c r="AE263" s="124">
        <v>-79555.520000000004</v>
      </c>
      <c r="AF263" s="124">
        <v>-80457.17</v>
      </c>
      <c r="AG263" s="124">
        <v>-81388.87</v>
      </c>
      <c r="AH263" s="124">
        <v>-82290.52</v>
      </c>
      <c r="AI263" s="124">
        <v>-83222.22</v>
      </c>
      <c r="AJ263" s="124">
        <v>-84153.93</v>
      </c>
      <c r="AK263" s="124">
        <v>-85055.58</v>
      </c>
      <c r="AL263" s="124">
        <v>-85987.28</v>
      </c>
      <c r="AM263" s="124">
        <v>-86888.93</v>
      </c>
      <c r="AN263" s="124">
        <v>-87820.64</v>
      </c>
      <c r="AO263" s="125">
        <v>-88752.34</v>
      </c>
      <c r="AP263" s="125">
        <v>-89593.88</v>
      </c>
      <c r="AQ263" s="125">
        <v>-90525.58</v>
      </c>
      <c r="AR263" s="125">
        <v>-91427.23</v>
      </c>
      <c r="AS263" s="125">
        <v>-92358.94</v>
      </c>
      <c r="AT263" s="125">
        <v>-93260.59</v>
      </c>
      <c r="AU263" s="125">
        <v>-94192.29</v>
      </c>
      <c r="AV263" s="125">
        <v>-95123.99</v>
      </c>
      <c r="AW263" s="125">
        <v>-96025.64</v>
      </c>
      <c r="AX263" s="125">
        <v>-96957.35</v>
      </c>
      <c r="AY263" s="126"/>
      <c r="AZ263" s="126"/>
      <c r="BA263" s="126"/>
      <c r="BB263" s="126"/>
      <c r="BC263" s="126"/>
      <c r="BD263" s="126"/>
      <c r="BE263" s="126"/>
      <c r="BF263" s="127">
        <v>170599</v>
      </c>
      <c r="BG263" s="97" t="s">
        <v>239</v>
      </c>
      <c r="BH263" s="127">
        <v>-82290.52</v>
      </c>
      <c r="BI263" s="127">
        <v>170599</v>
      </c>
      <c r="BJ263" s="97" t="s">
        <v>239</v>
      </c>
      <c r="BK263" s="127">
        <v>-83222.22</v>
      </c>
    </row>
    <row r="264" spans="1:63" x14ac:dyDescent="0.25">
      <c r="B264" s="121">
        <v>1799</v>
      </c>
      <c r="C264" s="122" t="s">
        <v>240</v>
      </c>
      <c r="D264" s="116">
        <v>-380518</v>
      </c>
      <c r="E264" s="116">
        <v>-380518</v>
      </c>
      <c r="F264" s="116">
        <v>-368161</v>
      </c>
      <c r="G264" s="116">
        <v>-368161</v>
      </c>
      <c r="H264" s="116">
        <v>-368161</v>
      </c>
      <c r="I264" s="116">
        <v>-368800.33</v>
      </c>
      <c r="J264" s="116">
        <v>-369439.66</v>
      </c>
      <c r="K264" s="116">
        <v>-370718.32</v>
      </c>
      <c r="L264" s="116">
        <v>-371357.65</v>
      </c>
      <c r="M264" s="116">
        <v>-371357.65</v>
      </c>
      <c r="N264" s="116">
        <v>-371357.65</v>
      </c>
      <c r="O264" s="116">
        <v>-372636.32</v>
      </c>
      <c r="P264" s="116">
        <v>-309838.65000000002</v>
      </c>
      <c r="Q264" s="116">
        <v>-310477.98</v>
      </c>
      <c r="R264" s="116">
        <v>-304724</v>
      </c>
      <c r="S264" s="116">
        <v>-304724</v>
      </c>
      <c r="T264" s="116">
        <v>-121253</v>
      </c>
      <c r="U264" s="116">
        <v>-121253</v>
      </c>
      <c r="V264" s="116">
        <v>-121253</v>
      </c>
      <c r="W264" s="116">
        <v>-121253</v>
      </c>
      <c r="X264" s="116">
        <v>-121253</v>
      </c>
      <c r="Y264" s="116">
        <v>-121253</v>
      </c>
      <c r="Z264" s="116">
        <v>-121253</v>
      </c>
      <c r="AA264" s="116">
        <v>-121253</v>
      </c>
      <c r="AB264" s="116">
        <v>-121253</v>
      </c>
      <c r="AC264" s="124">
        <v>-121253</v>
      </c>
      <c r="AD264" s="124">
        <v>-121253</v>
      </c>
      <c r="AE264" s="124">
        <v>-121253</v>
      </c>
      <c r="AF264" s="124">
        <v>-121253</v>
      </c>
      <c r="AG264" s="124">
        <v>-121253</v>
      </c>
      <c r="AH264" s="124">
        <v>-125114</v>
      </c>
      <c r="AI264" s="124">
        <v>-125114</v>
      </c>
      <c r="AJ264" s="124">
        <v>-125114</v>
      </c>
      <c r="AK264" s="124">
        <v>-125114</v>
      </c>
      <c r="AL264" s="124">
        <v>-125114</v>
      </c>
      <c r="AM264" s="124">
        <v>-121253</v>
      </c>
      <c r="AN264" s="124">
        <v>-59326</v>
      </c>
      <c r="AO264" s="125">
        <v>-59326</v>
      </c>
      <c r="AP264" s="125">
        <v>-59326</v>
      </c>
      <c r="AQ264" s="125">
        <v>-59326</v>
      </c>
      <c r="AR264" s="125">
        <v>-59326</v>
      </c>
      <c r="AS264" s="125">
        <v>-59326</v>
      </c>
      <c r="AT264" s="125">
        <v>-59326</v>
      </c>
      <c r="AU264" s="125">
        <v>-59326</v>
      </c>
      <c r="AV264" s="125">
        <v>-59326</v>
      </c>
      <c r="AW264" s="125">
        <v>-59326</v>
      </c>
      <c r="AX264" s="125">
        <v>-59326</v>
      </c>
      <c r="AY264" s="126"/>
      <c r="AZ264" s="126"/>
      <c r="BA264" s="126"/>
      <c r="BB264" s="126"/>
      <c r="BC264" s="126"/>
      <c r="BD264" s="126"/>
      <c r="BE264" s="126"/>
      <c r="BF264" s="127">
        <v>1799</v>
      </c>
      <c r="BG264" s="97" t="s">
        <v>240</v>
      </c>
      <c r="BH264" s="127">
        <v>-125114</v>
      </c>
      <c r="BI264" s="127">
        <v>1799</v>
      </c>
      <c r="BJ264" s="97" t="s">
        <v>240</v>
      </c>
      <c r="BK264" s="127">
        <v>-125114</v>
      </c>
    </row>
    <row r="265" spans="1:63" s="113" customFormat="1" x14ac:dyDescent="0.25">
      <c r="A265" s="97"/>
      <c r="B265" s="121">
        <v>179910</v>
      </c>
      <c r="C265" s="122" t="s">
        <v>241</v>
      </c>
      <c r="D265" s="123">
        <v>-380518</v>
      </c>
      <c r="E265" s="123">
        <v>-380518</v>
      </c>
      <c r="F265" s="123">
        <v>-368161</v>
      </c>
      <c r="G265" s="123">
        <v>-368161</v>
      </c>
      <c r="H265" s="123">
        <v>-368161</v>
      </c>
      <c r="I265" s="123">
        <v>-368800.33</v>
      </c>
      <c r="J265" s="123">
        <v>-369439.66</v>
      </c>
      <c r="K265" s="123">
        <v>-370718.32</v>
      </c>
      <c r="L265" s="123">
        <v>-371357.65</v>
      </c>
      <c r="M265" s="123">
        <v>-371357.65</v>
      </c>
      <c r="N265" s="123">
        <v>-371357.65</v>
      </c>
      <c r="O265" s="123">
        <v>-372636.32</v>
      </c>
      <c r="P265" s="123">
        <v>-309838.65000000002</v>
      </c>
      <c r="Q265" s="123">
        <v>-310477.98</v>
      </c>
      <c r="R265" s="123">
        <v>-304724</v>
      </c>
      <c r="S265" s="123">
        <v>-304724</v>
      </c>
      <c r="T265" s="123">
        <v>-121253</v>
      </c>
      <c r="U265" s="123">
        <v>-121253</v>
      </c>
      <c r="V265" s="123">
        <v>-121253</v>
      </c>
      <c r="W265" s="123">
        <v>-121253</v>
      </c>
      <c r="X265" s="123">
        <v>-121253</v>
      </c>
      <c r="Y265" s="123">
        <v>-121253</v>
      </c>
      <c r="Z265" s="123">
        <v>-121253</v>
      </c>
      <c r="AA265" s="123">
        <v>-121253</v>
      </c>
      <c r="AB265" s="123">
        <v>-121253</v>
      </c>
      <c r="AC265" s="124">
        <v>-121253</v>
      </c>
      <c r="AD265" s="124">
        <v>-121253</v>
      </c>
      <c r="AE265" s="124">
        <v>-121253</v>
      </c>
      <c r="AF265" s="124">
        <v>-121253</v>
      </c>
      <c r="AG265" s="124">
        <v>-121253</v>
      </c>
      <c r="AH265" s="124">
        <v>-125114</v>
      </c>
      <c r="AI265" s="124">
        <v>-125114</v>
      </c>
      <c r="AJ265" s="124">
        <v>-125114</v>
      </c>
      <c r="AK265" s="124">
        <v>-125114</v>
      </c>
      <c r="AL265" s="124">
        <v>-125114</v>
      </c>
      <c r="AM265" s="124">
        <v>-121253</v>
      </c>
      <c r="AN265" s="124">
        <v>-59326</v>
      </c>
      <c r="AO265" s="125">
        <v>-59326</v>
      </c>
      <c r="AP265" s="125">
        <v>-59326</v>
      </c>
      <c r="AQ265" s="125">
        <v>-59326</v>
      </c>
      <c r="AR265" s="125">
        <v>-59326</v>
      </c>
      <c r="AS265" s="125">
        <v>-59326</v>
      </c>
      <c r="AT265" s="125">
        <v>-59326</v>
      </c>
      <c r="AU265" s="125">
        <v>-59326</v>
      </c>
      <c r="AV265" s="125">
        <v>-59326</v>
      </c>
      <c r="AW265" s="125">
        <v>-59326</v>
      </c>
      <c r="AX265" s="125">
        <v>-59326</v>
      </c>
      <c r="AY265" s="126"/>
      <c r="AZ265" s="126"/>
      <c r="BA265" s="126"/>
      <c r="BB265" s="126"/>
      <c r="BC265" s="126"/>
      <c r="BD265" s="126"/>
      <c r="BE265" s="126"/>
      <c r="BF265" s="127">
        <v>179910</v>
      </c>
      <c r="BG265" s="97" t="s">
        <v>241</v>
      </c>
      <c r="BH265" s="127">
        <v>-125114</v>
      </c>
      <c r="BI265" s="127">
        <v>179910</v>
      </c>
      <c r="BJ265" s="97" t="s">
        <v>241</v>
      </c>
      <c r="BK265" s="127">
        <v>-125114</v>
      </c>
    </row>
    <row r="266" spans="1:63" x14ac:dyDescent="0.25">
      <c r="B266" s="114">
        <v>18</v>
      </c>
      <c r="C266" s="115" t="s">
        <v>242</v>
      </c>
      <c r="D266" s="116">
        <v>7792144.96</v>
      </c>
      <c r="E266" s="116">
        <v>7775334.9500000002</v>
      </c>
      <c r="F266" s="116">
        <v>7761883.8200000003</v>
      </c>
      <c r="G266" s="116">
        <v>7745039.3200000003</v>
      </c>
      <c r="H266" s="116">
        <v>7728763.1200000001</v>
      </c>
      <c r="I266" s="116">
        <v>7711982.7800000003</v>
      </c>
      <c r="J266" s="116">
        <v>7697949.0599999996</v>
      </c>
      <c r="K266" s="116">
        <v>7681344.5599999996</v>
      </c>
      <c r="L266" s="116">
        <v>7664746.8499999996</v>
      </c>
      <c r="M266" s="116">
        <v>7648864.1100000003</v>
      </c>
      <c r="N266" s="116">
        <v>7632581.6699999999</v>
      </c>
      <c r="O266" s="116">
        <v>7618173.5099999998</v>
      </c>
      <c r="P266" s="116">
        <v>7712498.5599999996</v>
      </c>
      <c r="Q266" s="116">
        <v>7676930.5899999999</v>
      </c>
      <c r="R266" s="116">
        <v>7665156.9299999997</v>
      </c>
      <c r="S266" s="116">
        <v>7652350.25</v>
      </c>
      <c r="T266" s="116">
        <v>7639957.6100000003</v>
      </c>
      <c r="U266" s="116">
        <v>7629577.3899999997</v>
      </c>
      <c r="V266" s="116">
        <v>7617121.9800000004</v>
      </c>
      <c r="W266" s="116">
        <v>7605361.2800000003</v>
      </c>
      <c r="X266" s="116">
        <v>7592514.9100000001</v>
      </c>
      <c r="Y266" s="116">
        <v>7580110.8200000003</v>
      </c>
      <c r="Z266" s="116">
        <v>7567293.46</v>
      </c>
      <c r="AA266" s="116">
        <v>7554894.71</v>
      </c>
      <c r="AB266" s="116">
        <v>7542246.0599999996</v>
      </c>
      <c r="AC266" s="117">
        <v>7529440.0199999996</v>
      </c>
      <c r="AD266" s="117">
        <v>7517539.1600000001</v>
      </c>
      <c r="AE266" s="117">
        <v>7504889.1699999999</v>
      </c>
      <c r="AF266" s="117">
        <v>7492665.0999999996</v>
      </c>
      <c r="AG266" s="117">
        <v>7481593.04</v>
      </c>
      <c r="AH266" s="117">
        <v>7469081.9199999999</v>
      </c>
      <c r="AI266" s="117">
        <v>7456786.6299999999</v>
      </c>
      <c r="AJ266" s="117">
        <v>7450213.21</v>
      </c>
      <c r="AK266" s="117">
        <v>7445996.6799999997</v>
      </c>
      <c r="AL266" s="117">
        <v>7436883.54</v>
      </c>
      <c r="AM266" s="117">
        <v>7432070.04</v>
      </c>
      <c r="AN266" s="117">
        <v>7424144.1600000001</v>
      </c>
      <c r="AO266" s="118">
        <v>7412810.5700000003</v>
      </c>
      <c r="AP266" s="118">
        <v>7470211.6600000001</v>
      </c>
      <c r="AQ266" s="118">
        <v>7458482.7199999997</v>
      </c>
      <c r="AR266" s="118">
        <v>7449582.8499999996</v>
      </c>
      <c r="AS266" s="118">
        <v>7437408.0999999996</v>
      </c>
      <c r="AT266" s="118">
        <v>7424048.6699999999</v>
      </c>
      <c r="AU266" s="118">
        <v>7412012.5199999996</v>
      </c>
      <c r="AV266" s="118">
        <v>7399845.04</v>
      </c>
      <c r="AW266" s="118">
        <v>7386467.5800000001</v>
      </c>
      <c r="AX266" s="118">
        <v>7376318.6600000001</v>
      </c>
      <c r="AY266" s="119"/>
      <c r="AZ266" s="119"/>
      <c r="BA266" s="119"/>
      <c r="BB266" s="119"/>
      <c r="BC266" s="119"/>
      <c r="BD266" s="119"/>
      <c r="BE266" s="119"/>
      <c r="BF266" s="127">
        <v>18</v>
      </c>
      <c r="BG266" s="97" t="s">
        <v>242</v>
      </c>
      <c r="BH266" s="127">
        <v>7469081.9199999999</v>
      </c>
      <c r="BI266" s="127">
        <v>18</v>
      </c>
      <c r="BJ266" s="97" t="s">
        <v>242</v>
      </c>
      <c r="BK266" s="127">
        <v>7456786.6299999999</v>
      </c>
    </row>
    <row r="267" spans="1:63" x14ac:dyDescent="0.25">
      <c r="B267" s="121">
        <v>1801</v>
      </c>
      <c r="C267" s="122" t="s">
        <v>234</v>
      </c>
      <c r="D267" s="116">
        <v>2233792.69</v>
      </c>
      <c r="E267" s="116">
        <v>2233792.69</v>
      </c>
      <c r="F267" s="116">
        <v>2233792.69</v>
      </c>
      <c r="G267" s="116">
        <v>2233792.69</v>
      </c>
      <c r="H267" s="116">
        <v>2233792.69</v>
      </c>
      <c r="I267" s="116">
        <v>2233792.69</v>
      </c>
      <c r="J267" s="116">
        <v>2233792.69</v>
      </c>
      <c r="K267" s="116">
        <v>2233792.69</v>
      </c>
      <c r="L267" s="116">
        <v>2233792.69</v>
      </c>
      <c r="M267" s="116">
        <v>2233792.69</v>
      </c>
      <c r="N267" s="116">
        <v>2233792.69</v>
      </c>
      <c r="O267" s="116">
        <v>2233792.69</v>
      </c>
      <c r="P267" s="116">
        <v>2464038.54</v>
      </c>
      <c r="Q267" s="116">
        <v>2503205.7799999998</v>
      </c>
      <c r="R267" s="116">
        <v>2503205.7799999998</v>
      </c>
      <c r="S267" s="116">
        <v>2503205.7799999998</v>
      </c>
      <c r="T267" s="116">
        <v>2503205.7799999998</v>
      </c>
      <c r="U267" s="116">
        <v>2503205.7799999998</v>
      </c>
      <c r="V267" s="116">
        <v>2503205.7799999998</v>
      </c>
      <c r="W267" s="116">
        <v>2503205.7799999998</v>
      </c>
      <c r="X267" s="116">
        <v>2503205.7799999998</v>
      </c>
      <c r="Y267" s="116">
        <v>2503205.7799999998</v>
      </c>
      <c r="Z267" s="116">
        <v>2503205.7799999998</v>
      </c>
      <c r="AA267" s="116">
        <v>2503205.7799999998</v>
      </c>
      <c r="AB267" s="116">
        <v>2503205.7799999998</v>
      </c>
      <c r="AC267" s="124">
        <v>2503205.7799999998</v>
      </c>
      <c r="AD267" s="124">
        <v>2503205.7799999998</v>
      </c>
      <c r="AE267" s="124">
        <v>2503205.7799999998</v>
      </c>
      <c r="AF267" s="124">
        <v>2503205.7799999998</v>
      </c>
      <c r="AG267" s="124">
        <v>2503205.7799999998</v>
      </c>
      <c r="AH267" s="124">
        <v>2503205.7799999998</v>
      </c>
      <c r="AI267" s="124">
        <v>2503205.7799999998</v>
      </c>
      <c r="AJ267" s="124">
        <v>2503205.7799999998</v>
      </c>
      <c r="AK267" s="124">
        <v>2503205.7799999998</v>
      </c>
      <c r="AL267" s="124">
        <v>2503205.7799999998</v>
      </c>
      <c r="AM267" s="124">
        <v>2503205.7799999998</v>
      </c>
      <c r="AN267" s="124">
        <v>2503205.7799999998</v>
      </c>
      <c r="AO267" s="125">
        <v>2503205.7799999998</v>
      </c>
      <c r="AP267" s="125">
        <v>2503205.7799999998</v>
      </c>
      <c r="AQ267" s="125">
        <v>2503205.7799999998</v>
      </c>
      <c r="AR267" s="125">
        <v>2503205.7799999998</v>
      </c>
      <c r="AS267" s="125">
        <v>2503205.7799999998</v>
      </c>
      <c r="AT267" s="125">
        <v>2503205.7799999998</v>
      </c>
      <c r="AU267" s="125">
        <v>2503205.7799999998</v>
      </c>
      <c r="AV267" s="125">
        <v>2503205.7799999998</v>
      </c>
      <c r="AW267" s="125">
        <v>2503205.7799999998</v>
      </c>
      <c r="AX267" s="125">
        <v>2503205.7799999998</v>
      </c>
      <c r="AY267" s="126"/>
      <c r="AZ267" s="126"/>
      <c r="BA267" s="126"/>
      <c r="BB267" s="126"/>
      <c r="BC267" s="126"/>
      <c r="BD267" s="126"/>
      <c r="BE267" s="126"/>
      <c r="BF267" s="127">
        <v>1801</v>
      </c>
      <c r="BG267" s="97" t="s">
        <v>234</v>
      </c>
      <c r="BH267" s="127">
        <v>2503205.7799999998</v>
      </c>
      <c r="BI267" s="127">
        <v>1801</v>
      </c>
      <c r="BJ267" s="97" t="s">
        <v>234</v>
      </c>
      <c r="BK267" s="127">
        <v>2503205.7799999998</v>
      </c>
    </row>
    <row r="268" spans="1:63" x14ac:dyDescent="0.25">
      <c r="B268" s="121">
        <v>1802</v>
      </c>
      <c r="C268" s="122" t="s">
        <v>243</v>
      </c>
      <c r="D268" s="116">
        <v>6117805.9000000004</v>
      </c>
      <c r="E268" s="116">
        <v>6117805.9000000004</v>
      </c>
      <c r="F268" s="116">
        <v>6117805.9000000004</v>
      </c>
      <c r="G268" s="116">
        <v>6117805.9000000004</v>
      </c>
      <c r="H268" s="116">
        <v>6117805.9000000004</v>
      </c>
      <c r="I268" s="116">
        <v>6117805.9000000004</v>
      </c>
      <c r="J268" s="116">
        <v>6117805.9000000004</v>
      </c>
      <c r="K268" s="116">
        <v>6117805.9000000004</v>
      </c>
      <c r="L268" s="116">
        <v>6117805.9000000004</v>
      </c>
      <c r="M268" s="116">
        <v>6117805.9000000004</v>
      </c>
      <c r="N268" s="116">
        <v>6117805.9000000004</v>
      </c>
      <c r="O268" s="116">
        <v>6117805.9000000004</v>
      </c>
      <c r="P268" s="116">
        <v>5947674.6200000001</v>
      </c>
      <c r="Q268" s="116">
        <v>5908507.4400000004</v>
      </c>
      <c r="R268" s="116">
        <v>5908507.4400000004</v>
      </c>
      <c r="S268" s="116">
        <v>5908507.4400000004</v>
      </c>
      <c r="T268" s="116">
        <v>5908507.4400000004</v>
      </c>
      <c r="U268" s="116">
        <v>5908507.4400000004</v>
      </c>
      <c r="V268" s="116">
        <v>5908507.4400000004</v>
      </c>
      <c r="W268" s="116">
        <v>5908507.4400000004</v>
      </c>
      <c r="X268" s="116">
        <v>5908507.4400000004</v>
      </c>
      <c r="Y268" s="116">
        <v>5908507.4400000004</v>
      </c>
      <c r="Z268" s="116">
        <v>5908507.4400000004</v>
      </c>
      <c r="AA268" s="116">
        <v>5908507.4400000004</v>
      </c>
      <c r="AB268" s="116">
        <v>5908507.4400000004</v>
      </c>
      <c r="AC268" s="124">
        <v>5908507.4400000004</v>
      </c>
      <c r="AD268" s="124">
        <v>5908507.4400000004</v>
      </c>
      <c r="AE268" s="124">
        <v>5908507.4400000004</v>
      </c>
      <c r="AF268" s="124">
        <v>5908507.4400000004</v>
      </c>
      <c r="AG268" s="124">
        <v>5908507.4400000004</v>
      </c>
      <c r="AH268" s="124">
        <v>5908507.4400000004</v>
      </c>
      <c r="AI268" s="124">
        <v>5908507.4400000004</v>
      </c>
      <c r="AJ268" s="124">
        <v>5908507.4400000004</v>
      </c>
      <c r="AK268" s="124">
        <v>5908507.4400000004</v>
      </c>
      <c r="AL268" s="124">
        <v>5908507.4400000004</v>
      </c>
      <c r="AM268" s="124">
        <v>5908507.4400000004</v>
      </c>
      <c r="AN268" s="124">
        <v>5908507.4400000004</v>
      </c>
      <c r="AO268" s="125">
        <v>5908507.4400000004</v>
      </c>
      <c r="AP268" s="125">
        <v>5908507.4400000004</v>
      </c>
      <c r="AQ268" s="125">
        <v>5908507.4400000004</v>
      </c>
      <c r="AR268" s="125">
        <v>5908507.4400000004</v>
      </c>
      <c r="AS268" s="125">
        <v>5908507.4400000004</v>
      </c>
      <c r="AT268" s="125">
        <v>5908507.4400000004</v>
      </c>
      <c r="AU268" s="125">
        <v>5908507.4400000004</v>
      </c>
      <c r="AV268" s="125">
        <v>5908507.4400000004</v>
      </c>
      <c r="AW268" s="125">
        <v>5908507.4400000004</v>
      </c>
      <c r="AX268" s="125">
        <v>5908507.4400000004</v>
      </c>
      <c r="AY268" s="126"/>
      <c r="AZ268" s="126"/>
      <c r="BA268" s="126"/>
      <c r="BB268" s="126"/>
      <c r="BC268" s="126"/>
      <c r="BD268" s="126"/>
      <c r="BE268" s="126"/>
      <c r="BF268" s="127">
        <v>1802</v>
      </c>
      <c r="BG268" s="97" t="s">
        <v>243</v>
      </c>
      <c r="BH268" s="127">
        <v>5908507.4400000004</v>
      </c>
      <c r="BI268" s="127">
        <v>1802</v>
      </c>
      <c r="BJ268" s="97" t="s">
        <v>243</v>
      </c>
      <c r="BK268" s="127">
        <v>5908507.4400000004</v>
      </c>
    </row>
    <row r="269" spans="1:63" x14ac:dyDescent="0.25">
      <c r="B269" s="121">
        <v>1805</v>
      </c>
      <c r="C269" s="122" t="s">
        <v>244</v>
      </c>
      <c r="D269" s="116">
        <v>1170626.97</v>
      </c>
      <c r="E269" s="116">
        <v>1170626.97</v>
      </c>
      <c r="F269" s="116">
        <v>1170626.97</v>
      </c>
      <c r="G269" s="116">
        <v>1170626.97</v>
      </c>
      <c r="H269" s="116">
        <v>1170626.97</v>
      </c>
      <c r="I269" s="116">
        <v>1170626.97</v>
      </c>
      <c r="J269" s="116">
        <v>1170626.97</v>
      </c>
      <c r="K269" s="116">
        <v>1170626.97</v>
      </c>
      <c r="L269" s="116">
        <v>1170626.97</v>
      </c>
      <c r="M269" s="116">
        <v>1170626.97</v>
      </c>
      <c r="N269" s="116">
        <v>1170626.97</v>
      </c>
      <c r="O269" s="116">
        <v>1170626.97</v>
      </c>
      <c r="P269" s="116">
        <v>1170626.97</v>
      </c>
      <c r="Q269" s="116">
        <v>1170626.97</v>
      </c>
      <c r="R269" s="116">
        <v>1170626.97</v>
      </c>
      <c r="S269" s="116">
        <v>1170626.97</v>
      </c>
      <c r="T269" s="116">
        <v>1170626.97</v>
      </c>
      <c r="U269" s="116">
        <v>1170626.97</v>
      </c>
      <c r="V269" s="116">
        <v>1170626.97</v>
      </c>
      <c r="W269" s="116">
        <v>1170626.97</v>
      </c>
      <c r="X269" s="116">
        <v>1170626.97</v>
      </c>
      <c r="Y269" s="116">
        <v>1170626.97</v>
      </c>
      <c r="Z269" s="116">
        <v>1170626.97</v>
      </c>
      <c r="AA269" s="116">
        <v>1170626.97</v>
      </c>
      <c r="AB269" s="116">
        <v>1170792.1499999999</v>
      </c>
      <c r="AC269" s="124">
        <v>1170792.1499999999</v>
      </c>
      <c r="AD269" s="124">
        <v>1170792.1499999999</v>
      </c>
      <c r="AE269" s="124">
        <v>1170792.1499999999</v>
      </c>
      <c r="AF269" s="124">
        <v>1170792.1499999999</v>
      </c>
      <c r="AG269" s="124">
        <v>1170792.1499999999</v>
      </c>
      <c r="AH269" s="124">
        <v>1170792.1499999999</v>
      </c>
      <c r="AI269" s="124">
        <v>1170792.1499999999</v>
      </c>
      <c r="AJ269" s="124">
        <v>1176433.8999999999</v>
      </c>
      <c r="AK269" s="124">
        <v>1176555.6399999999</v>
      </c>
      <c r="AL269" s="124">
        <v>1177129.3899999999</v>
      </c>
      <c r="AM269" s="124">
        <v>1177129.3899999999</v>
      </c>
      <c r="AN269" s="124">
        <v>1177416.3500000001</v>
      </c>
      <c r="AO269" s="125">
        <v>1177956.78</v>
      </c>
      <c r="AP269" s="125">
        <v>1177956.78</v>
      </c>
      <c r="AQ269" s="125">
        <v>1177956.78</v>
      </c>
      <c r="AR269" s="125">
        <v>1177956.78</v>
      </c>
      <c r="AS269" s="125">
        <v>1179155.9099999999</v>
      </c>
      <c r="AT269" s="125">
        <v>1179155.9099999999</v>
      </c>
      <c r="AU269" s="125">
        <v>1179155.9099999999</v>
      </c>
      <c r="AV269" s="125">
        <v>1179611.9099999999</v>
      </c>
      <c r="AW269" s="125">
        <v>1179611.9099999999</v>
      </c>
      <c r="AX269" s="125">
        <v>1180697.8799999999</v>
      </c>
      <c r="AY269" s="126"/>
      <c r="AZ269" s="126"/>
      <c r="BA269" s="126"/>
      <c r="BB269" s="126"/>
      <c r="BC269" s="126"/>
      <c r="BD269" s="126"/>
      <c r="BE269" s="126"/>
      <c r="BF269" s="127">
        <v>1805</v>
      </c>
      <c r="BG269" s="97" t="s">
        <v>244</v>
      </c>
      <c r="BH269" s="127">
        <v>1170792.1499999999</v>
      </c>
      <c r="BI269" s="127">
        <v>1805</v>
      </c>
      <c r="BJ269" s="97" t="s">
        <v>244</v>
      </c>
      <c r="BK269" s="127">
        <v>1170792.1499999999</v>
      </c>
    </row>
    <row r="270" spans="1:63" x14ac:dyDescent="0.25">
      <c r="B270" s="121">
        <v>180505</v>
      </c>
      <c r="C270" s="145" t="s">
        <v>245</v>
      </c>
      <c r="D270" s="123">
        <v>798606.24</v>
      </c>
      <c r="E270" s="123">
        <v>798606.24</v>
      </c>
      <c r="F270" s="123">
        <v>798606.24</v>
      </c>
      <c r="G270" s="123">
        <v>798606.24</v>
      </c>
      <c r="H270" s="123">
        <v>798606.24</v>
      </c>
      <c r="I270" s="123">
        <v>798606.24</v>
      </c>
      <c r="J270" s="123">
        <v>798606.24</v>
      </c>
      <c r="K270" s="123">
        <v>798606.24</v>
      </c>
      <c r="L270" s="123">
        <v>798606.24</v>
      </c>
      <c r="M270" s="123">
        <v>798606.24</v>
      </c>
      <c r="N270" s="123">
        <v>798606.24</v>
      </c>
      <c r="O270" s="123">
        <v>798606.24</v>
      </c>
      <c r="P270" s="123">
        <v>798606.24</v>
      </c>
      <c r="Q270" s="123">
        <v>798606.24</v>
      </c>
      <c r="R270" s="123">
        <v>798606.24</v>
      </c>
      <c r="S270" s="123">
        <v>798606.24</v>
      </c>
      <c r="T270" s="123">
        <v>798606.24</v>
      </c>
      <c r="U270" s="123">
        <v>798606.24</v>
      </c>
      <c r="V270" s="123">
        <v>798606.24</v>
      </c>
      <c r="W270" s="123">
        <v>798606.24</v>
      </c>
      <c r="X270" s="123">
        <v>798606.24</v>
      </c>
      <c r="Y270" s="123">
        <v>798606.24</v>
      </c>
      <c r="Z270" s="123">
        <v>798606.24</v>
      </c>
      <c r="AA270" s="123">
        <v>798606.24</v>
      </c>
      <c r="AB270" s="123">
        <v>798606.24</v>
      </c>
      <c r="AC270" s="124">
        <v>798606.24</v>
      </c>
      <c r="AD270" s="124">
        <v>798606.24</v>
      </c>
      <c r="AE270" s="124">
        <v>798606.24</v>
      </c>
      <c r="AF270" s="124">
        <v>798606.24</v>
      </c>
      <c r="AG270" s="124">
        <v>798606.24</v>
      </c>
      <c r="AH270" s="124">
        <v>798606.24</v>
      </c>
      <c r="AI270" s="124">
        <v>798606.24</v>
      </c>
      <c r="AJ270" s="124">
        <v>804247.99</v>
      </c>
      <c r="AK270" s="124">
        <v>804247.99</v>
      </c>
      <c r="AL270" s="124">
        <v>804247.99</v>
      </c>
      <c r="AM270" s="124">
        <v>804247.99</v>
      </c>
      <c r="AN270" s="124">
        <v>804247.99</v>
      </c>
      <c r="AO270" s="125">
        <v>804788.42</v>
      </c>
      <c r="AP270" s="125">
        <v>804788.42</v>
      </c>
      <c r="AQ270" s="125">
        <v>804788.42</v>
      </c>
      <c r="AR270" s="125">
        <v>804788.42</v>
      </c>
      <c r="AS270" s="125">
        <v>805666.68</v>
      </c>
      <c r="AT270" s="125">
        <v>805666.68</v>
      </c>
      <c r="AU270" s="125">
        <v>805666.68</v>
      </c>
      <c r="AV270" s="125">
        <v>805666.68</v>
      </c>
      <c r="AW270" s="125">
        <v>805666.68</v>
      </c>
      <c r="AX270" s="125">
        <v>805666.68</v>
      </c>
      <c r="AY270" s="126"/>
      <c r="AZ270" s="126"/>
      <c r="BA270" s="126"/>
      <c r="BB270" s="126"/>
      <c r="BC270" s="126"/>
      <c r="BD270" s="126"/>
      <c r="BE270" s="126"/>
      <c r="BF270" s="127">
        <v>180505</v>
      </c>
      <c r="BG270" s="97" t="s">
        <v>245</v>
      </c>
      <c r="BH270" s="127">
        <v>798606.24</v>
      </c>
      <c r="BI270" s="127">
        <v>180505</v>
      </c>
      <c r="BJ270" s="97" t="s">
        <v>245</v>
      </c>
      <c r="BK270" s="127">
        <v>798606.24</v>
      </c>
    </row>
    <row r="271" spans="1:63" x14ac:dyDescent="0.25">
      <c r="A271" s="113"/>
      <c r="B271" s="121">
        <v>180510</v>
      </c>
      <c r="C271" s="145" t="s">
        <v>246</v>
      </c>
      <c r="D271" s="123">
        <v>254466.2</v>
      </c>
      <c r="E271" s="123">
        <v>254466.2</v>
      </c>
      <c r="F271" s="123">
        <v>254466.2</v>
      </c>
      <c r="G271" s="123">
        <v>254466.2</v>
      </c>
      <c r="H271" s="123">
        <v>254466.2</v>
      </c>
      <c r="I271" s="123">
        <v>254466.2</v>
      </c>
      <c r="J271" s="123">
        <v>254466.2</v>
      </c>
      <c r="K271" s="123">
        <v>254466.2</v>
      </c>
      <c r="L271" s="123">
        <v>254466.2</v>
      </c>
      <c r="M271" s="123">
        <v>254466.2</v>
      </c>
      <c r="N271" s="123">
        <v>254466.2</v>
      </c>
      <c r="O271" s="123">
        <v>254466.2</v>
      </c>
      <c r="P271" s="123">
        <v>254466.2</v>
      </c>
      <c r="Q271" s="123">
        <v>254466.2</v>
      </c>
      <c r="R271" s="123">
        <v>254466.2</v>
      </c>
      <c r="S271" s="123">
        <v>254466.2</v>
      </c>
      <c r="T271" s="123">
        <v>254466.2</v>
      </c>
      <c r="U271" s="123">
        <v>254466.2</v>
      </c>
      <c r="V271" s="123">
        <v>254466.2</v>
      </c>
      <c r="W271" s="123">
        <v>254466.2</v>
      </c>
      <c r="X271" s="123">
        <v>254466.2</v>
      </c>
      <c r="Y271" s="123">
        <v>254466.2</v>
      </c>
      <c r="Z271" s="123">
        <v>254466.2</v>
      </c>
      <c r="AA271" s="123">
        <v>254466.2</v>
      </c>
      <c r="AB271" s="123">
        <v>254631.38</v>
      </c>
      <c r="AC271" s="124">
        <v>254631.38</v>
      </c>
      <c r="AD271" s="124">
        <v>254631.38</v>
      </c>
      <c r="AE271" s="124">
        <v>254631.38</v>
      </c>
      <c r="AF271" s="124">
        <v>254631.38</v>
      </c>
      <c r="AG271" s="124">
        <v>254631.38</v>
      </c>
      <c r="AH271" s="124">
        <v>254631.38</v>
      </c>
      <c r="AI271" s="124">
        <v>254631.38</v>
      </c>
      <c r="AJ271" s="124">
        <v>254631.38</v>
      </c>
      <c r="AK271" s="124">
        <v>254753.12</v>
      </c>
      <c r="AL271" s="124">
        <v>255326.87</v>
      </c>
      <c r="AM271" s="124">
        <v>255326.87</v>
      </c>
      <c r="AN271" s="124">
        <v>255613.83</v>
      </c>
      <c r="AO271" s="125">
        <v>255613.83</v>
      </c>
      <c r="AP271" s="125">
        <v>255613.83</v>
      </c>
      <c r="AQ271" s="125">
        <v>255613.83</v>
      </c>
      <c r="AR271" s="125">
        <v>255613.83</v>
      </c>
      <c r="AS271" s="125">
        <v>255934.7</v>
      </c>
      <c r="AT271" s="125">
        <v>255934.7</v>
      </c>
      <c r="AU271" s="125">
        <v>255934.7</v>
      </c>
      <c r="AV271" s="125">
        <v>255934.7</v>
      </c>
      <c r="AW271" s="125">
        <v>255934.7</v>
      </c>
      <c r="AX271" s="125">
        <v>255934.7</v>
      </c>
      <c r="AY271" s="126"/>
      <c r="AZ271" s="126"/>
      <c r="BA271" s="126"/>
      <c r="BB271" s="126"/>
      <c r="BC271" s="126"/>
      <c r="BD271" s="126"/>
      <c r="BE271" s="126"/>
      <c r="BF271" s="127">
        <v>180510</v>
      </c>
      <c r="BG271" s="97" t="s">
        <v>246</v>
      </c>
      <c r="BH271" s="127">
        <v>254631.38</v>
      </c>
      <c r="BI271" s="127">
        <v>180510</v>
      </c>
      <c r="BJ271" s="97" t="s">
        <v>246</v>
      </c>
      <c r="BK271" s="127">
        <v>254631.38</v>
      </c>
    </row>
    <row r="272" spans="1:63" x14ac:dyDescent="0.25">
      <c r="B272" s="121">
        <v>180515</v>
      </c>
      <c r="C272" s="145" t="s">
        <v>247</v>
      </c>
      <c r="D272" s="123">
        <v>117554.53</v>
      </c>
      <c r="E272" s="123">
        <v>117554.53</v>
      </c>
      <c r="F272" s="123">
        <v>117554.53</v>
      </c>
      <c r="G272" s="123">
        <v>117554.53</v>
      </c>
      <c r="H272" s="123">
        <v>117554.53</v>
      </c>
      <c r="I272" s="123">
        <v>117554.53</v>
      </c>
      <c r="J272" s="123">
        <v>117554.53</v>
      </c>
      <c r="K272" s="123">
        <v>117554.53</v>
      </c>
      <c r="L272" s="123">
        <v>117554.53</v>
      </c>
      <c r="M272" s="123">
        <v>117554.53</v>
      </c>
      <c r="N272" s="123">
        <v>117554.53</v>
      </c>
      <c r="O272" s="123">
        <v>117554.53</v>
      </c>
      <c r="P272" s="123">
        <v>117554.53</v>
      </c>
      <c r="Q272" s="123">
        <v>117554.53</v>
      </c>
      <c r="R272" s="123">
        <v>117554.53</v>
      </c>
      <c r="S272" s="123">
        <v>117554.53</v>
      </c>
      <c r="T272" s="123">
        <v>117554.53</v>
      </c>
      <c r="U272" s="123">
        <v>117554.53</v>
      </c>
      <c r="V272" s="123">
        <v>117554.53</v>
      </c>
      <c r="W272" s="123">
        <v>117554.53</v>
      </c>
      <c r="X272" s="123">
        <v>117554.53</v>
      </c>
      <c r="Y272" s="123">
        <v>117554.53</v>
      </c>
      <c r="Z272" s="123">
        <v>117554.53</v>
      </c>
      <c r="AA272" s="123">
        <v>117554.53</v>
      </c>
      <c r="AB272" s="123">
        <v>117554.53</v>
      </c>
      <c r="AC272" s="124">
        <v>117554.53</v>
      </c>
      <c r="AD272" s="124">
        <v>117554.53</v>
      </c>
      <c r="AE272" s="124">
        <v>117554.53</v>
      </c>
      <c r="AF272" s="124">
        <v>117554.53</v>
      </c>
      <c r="AG272" s="124">
        <v>117554.53</v>
      </c>
      <c r="AH272" s="124">
        <v>117554.53</v>
      </c>
      <c r="AI272" s="124">
        <v>117554.53</v>
      </c>
      <c r="AJ272" s="124">
        <v>117554.53</v>
      </c>
      <c r="AK272" s="124">
        <v>117554.53</v>
      </c>
      <c r="AL272" s="124">
        <v>117554.53</v>
      </c>
      <c r="AM272" s="124">
        <v>117554.53</v>
      </c>
      <c r="AN272" s="124">
        <v>117554.53</v>
      </c>
      <c r="AO272" s="125">
        <v>117554.53</v>
      </c>
      <c r="AP272" s="125">
        <v>117554.53</v>
      </c>
      <c r="AQ272" s="125">
        <v>117554.53</v>
      </c>
      <c r="AR272" s="125">
        <v>117554.53</v>
      </c>
      <c r="AS272" s="125">
        <v>117554.53</v>
      </c>
      <c r="AT272" s="125">
        <v>117554.53</v>
      </c>
      <c r="AU272" s="125">
        <v>117554.53</v>
      </c>
      <c r="AV272" s="125">
        <v>118010.53</v>
      </c>
      <c r="AW272" s="125">
        <v>118010.53</v>
      </c>
      <c r="AX272" s="125">
        <v>119096.5</v>
      </c>
      <c r="AY272" s="126"/>
      <c r="AZ272" s="126"/>
      <c r="BA272" s="126"/>
      <c r="BB272" s="126"/>
      <c r="BC272" s="126"/>
      <c r="BD272" s="126"/>
      <c r="BE272" s="126"/>
      <c r="BF272" s="120">
        <v>180515</v>
      </c>
      <c r="BG272" s="113" t="s">
        <v>247</v>
      </c>
      <c r="BH272" s="120">
        <v>117554.53</v>
      </c>
      <c r="BI272" s="127">
        <v>180515</v>
      </c>
      <c r="BJ272" s="97" t="s">
        <v>247</v>
      </c>
      <c r="BK272" s="127">
        <v>117554.53</v>
      </c>
    </row>
    <row r="273" spans="1:63" x14ac:dyDescent="0.25">
      <c r="B273" s="121">
        <v>1806</v>
      </c>
      <c r="C273" s="122" t="s">
        <v>248</v>
      </c>
      <c r="D273" s="116">
        <v>1168689.8799999999</v>
      </c>
      <c r="E273" s="116">
        <v>1168689.8799999999</v>
      </c>
      <c r="F273" s="116">
        <v>1170411.6599999999</v>
      </c>
      <c r="G273" s="116">
        <v>1170411.6599999999</v>
      </c>
      <c r="H273" s="116">
        <v>1170411.6599999999</v>
      </c>
      <c r="I273" s="116">
        <v>1170411.6599999999</v>
      </c>
      <c r="J273" s="116">
        <v>1172608.1100000001</v>
      </c>
      <c r="K273" s="116">
        <v>1172608.1100000001</v>
      </c>
      <c r="L273" s="116">
        <v>1172608.1100000001</v>
      </c>
      <c r="M273" s="116">
        <v>1172608.1100000001</v>
      </c>
      <c r="N273" s="116">
        <v>1172608.1100000001</v>
      </c>
      <c r="O273" s="116">
        <v>1173983.1100000001</v>
      </c>
      <c r="P273" s="116">
        <v>1173983.1100000001</v>
      </c>
      <c r="Q273" s="116">
        <v>1174776.3600000001</v>
      </c>
      <c r="R273" s="116">
        <v>1174776.3600000001</v>
      </c>
      <c r="S273" s="116">
        <v>1174776.3600000001</v>
      </c>
      <c r="T273" s="116">
        <v>1174776.3600000001</v>
      </c>
      <c r="U273" s="116">
        <v>1177463.97</v>
      </c>
      <c r="V273" s="116">
        <v>1177463.97</v>
      </c>
      <c r="W273" s="116">
        <v>1178569.8400000001</v>
      </c>
      <c r="X273" s="116">
        <v>1178569.8400000001</v>
      </c>
      <c r="Y273" s="116">
        <v>1178569.8400000001</v>
      </c>
      <c r="Z273" s="116">
        <v>1178569.8400000001</v>
      </c>
      <c r="AA273" s="116">
        <v>1178569.8400000001</v>
      </c>
      <c r="AB273" s="116">
        <v>1178569.8400000001</v>
      </c>
      <c r="AC273" s="124">
        <v>1178569.8400000001</v>
      </c>
      <c r="AD273" s="124">
        <v>1178569.8400000001</v>
      </c>
      <c r="AE273" s="124">
        <v>1178569.8400000001</v>
      </c>
      <c r="AF273" s="124">
        <v>1178569.8400000001</v>
      </c>
      <c r="AG273" s="124">
        <v>1179771.58</v>
      </c>
      <c r="AH273" s="124">
        <v>1179771.58</v>
      </c>
      <c r="AI273" s="124">
        <v>1179771.58</v>
      </c>
      <c r="AJ273" s="124">
        <v>1179771.58</v>
      </c>
      <c r="AK273" s="124">
        <v>1187422.6299999999</v>
      </c>
      <c r="AL273" s="124">
        <v>1190146.23</v>
      </c>
      <c r="AM273" s="124">
        <v>1197454.8500000001</v>
      </c>
      <c r="AN273" s="124">
        <v>1201778.52</v>
      </c>
      <c r="AO273" s="125">
        <v>1202438.52</v>
      </c>
      <c r="AP273" s="125">
        <v>1203729.3899999999</v>
      </c>
      <c r="AQ273" s="125">
        <v>1205740.8700000001</v>
      </c>
      <c r="AR273" s="125">
        <v>1210207.3</v>
      </c>
      <c r="AS273" s="125">
        <v>1210700.27</v>
      </c>
      <c r="AT273" s="125">
        <v>1210700.27</v>
      </c>
      <c r="AU273" s="125">
        <v>1212460.21</v>
      </c>
      <c r="AV273" s="125">
        <v>1213660.18</v>
      </c>
      <c r="AW273" s="125">
        <v>1213660.18</v>
      </c>
      <c r="AX273" s="125">
        <v>1216360.8</v>
      </c>
      <c r="AY273" s="126"/>
      <c r="AZ273" s="126"/>
      <c r="BA273" s="126"/>
      <c r="BB273" s="126"/>
      <c r="BC273" s="126"/>
      <c r="BD273" s="126"/>
      <c r="BE273" s="126"/>
      <c r="BF273" s="127">
        <v>1806</v>
      </c>
      <c r="BG273" s="97" t="s">
        <v>248</v>
      </c>
      <c r="BH273" s="127">
        <v>1179771.58</v>
      </c>
      <c r="BI273" s="120">
        <v>1806</v>
      </c>
      <c r="BJ273" s="113" t="s">
        <v>248</v>
      </c>
      <c r="BK273" s="120">
        <v>1179771.58</v>
      </c>
    </row>
    <row r="274" spans="1:63" x14ac:dyDescent="0.25">
      <c r="B274" s="121">
        <v>1807</v>
      </c>
      <c r="C274" s="122" t="s">
        <v>236</v>
      </c>
      <c r="D274" s="116">
        <v>139418.19</v>
      </c>
      <c r="E274" s="116">
        <v>139418.19</v>
      </c>
      <c r="F274" s="116">
        <v>119715.69</v>
      </c>
      <c r="G274" s="116">
        <v>119715.69</v>
      </c>
      <c r="H274" s="116">
        <v>119715.69</v>
      </c>
      <c r="I274" s="116">
        <v>119715.69</v>
      </c>
      <c r="J274" s="116">
        <v>119715.69</v>
      </c>
      <c r="K274" s="116">
        <v>119715.69</v>
      </c>
      <c r="L274" s="116">
        <v>119715.69</v>
      </c>
      <c r="M274" s="116">
        <v>119715.69</v>
      </c>
      <c r="N274" s="116">
        <v>119715.69</v>
      </c>
      <c r="O274" s="116">
        <v>119715.69</v>
      </c>
      <c r="P274" s="116">
        <v>119715.69</v>
      </c>
      <c r="Q274" s="116">
        <v>119715.69</v>
      </c>
      <c r="R274" s="116">
        <v>119715.69</v>
      </c>
      <c r="S274" s="116">
        <v>119715.69</v>
      </c>
      <c r="T274" s="116">
        <v>119715.69</v>
      </c>
      <c r="U274" s="116">
        <v>119715.69</v>
      </c>
      <c r="V274" s="116">
        <v>119715.69</v>
      </c>
      <c r="W274" s="116">
        <v>119715.69</v>
      </c>
      <c r="X274" s="116">
        <v>119715.69</v>
      </c>
      <c r="Y274" s="116">
        <v>119715.69</v>
      </c>
      <c r="Z274" s="116">
        <v>119715.69</v>
      </c>
      <c r="AA274" s="116">
        <v>119715.69</v>
      </c>
      <c r="AB274" s="116">
        <v>119715.69</v>
      </c>
      <c r="AC274" s="124">
        <v>119715.69</v>
      </c>
      <c r="AD274" s="124">
        <v>119715.69</v>
      </c>
      <c r="AE274" s="124">
        <v>119715.69</v>
      </c>
      <c r="AF274" s="124">
        <v>119715.69</v>
      </c>
      <c r="AG274" s="124">
        <v>119715.69</v>
      </c>
      <c r="AH274" s="124">
        <v>119715.69</v>
      </c>
      <c r="AI274" s="124">
        <v>119715.69</v>
      </c>
      <c r="AJ274" s="124">
        <v>119715.69</v>
      </c>
      <c r="AK274" s="124">
        <v>79897.070000000007</v>
      </c>
      <c r="AL274" s="124">
        <v>79897.070000000007</v>
      </c>
      <c r="AM274" s="124">
        <v>79897.070000000007</v>
      </c>
      <c r="AN274" s="124">
        <v>79897.070000000007</v>
      </c>
      <c r="AO274" s="125">
        <v>79897.070000000007</v>
      </c>
      <c r="AP274" s="125">
        <v>147739.73000000001</v>
      </c>
      <c r="AQ274" s="125">
        <v>147739.73000000001</v>
      </c>
      <c r="AR274" s="125">
        <v>147739.73000000001</v>
      </c>
      <c r="AS274" s="125">
        <v>147739.73000000001</v>
      </c>
      <c r="AT274" s="125">
        <v>147739.73000000001</v>
      </c>
      <c r="AU274" s="125">
        <v>147739.73000000001</v>
      </c>
      <c r="AV274" s="125">
        <v>147739.73000000001</v>
      </c>
      <c r="AW274" s="125">
        <v>147739.73000000001</v>
      </c>
      <c r="AX274" s="125">
        <v>147739.73000000001</v>
      </c>
      <c r="AY274" s="126"/>
      <c r="AZ274" s="126"/>
      <c r="BA274" s="126"/>
      <c r="BB274" s="126"/>
      <c r="BC274" s="126"/>
      <c r="BD274" s="126"/>
      <c r="BE274" s="126"/>
      <c r="BF274" s="127">
        <v>1807</v>
      </c>
      <c r="BG274" s="97" t="s">
        <v>236</v>
      </c>
      <c r="BH274" s="127">
        <v>119715.69</v>
      </c>
      <c r="BI274" s="127">
        <v>1807</v>
      </c>
      <c r="BJ274" s="97" t="s">
        <v>236</v>
      </c>
      <c r="BK274" s="127">
        <v>119715.69</v>
      </c>
    </row>
    <row r="275" spans="1:63" x14ac:dyDescent="0.25">
      <c r="B275" s="121">
        <v>1890</v>
      </c>
      <c r="C275" s="122" t="s">
        <v>249</v>
      </c>
      <c r="D275" s="116">
        <v>3055.41</v>
      </c>
      <c r="E275" s="116">
        <v>3055.41</v>
      </c>
      <c r="F275" s="116">
        <v>3055.41</v>
      </c>
      <c r="G275" s="116">
        <v>3055.41</v>
      </c>
      <c r="H275" s="116">
        <v>3055.41</v>
      </c>
      <c r="I275" s="116">
        <v>3055.41</v>
      </c>
      <c r="J275" s="116">
        <v>3055.41</v>
      </c>
      <c r="K275" s="116">
        <v>3055.41</v>
      </c>
      <c r="L275" s="116">
        <v>3055.41</v>
      </c>
      <c r="M275" s="116">
        <v>3055.41</v>
      </c>
      <c r="N275" s="116">
        <v>3055.41</v>
      </c>
      <c r="O275" s="116">
        <v>3055.41</v>
      </c>
      <c r="P275" s="116">
        <v>3055.41</v>
      </c>
      <c r="Q275" s="116">
        <v>3055.41</v>
      </c>
      <c r="R275" s="116">
        <v>3055.41</v>
      </c>
      <c r="S275" s="116">
        <v>3055.41</v>
      </c>
      <c r="T275" s="116">
        <v>3055.41</v>
      </c>
      <c r="U275" s="116">
        <v>3055.41</v>
      </c>
      <c r="V275" s="116">
        <v>3055.41</v>
      </c>
      <c r="W275" s="116">
        <v>3055.41</v>
      </c>
      <c r="X275" s="116">
        <v>3055.41</v>
      </c>
      <c r="Y275" s="116">
        <v>3055.41</v>
      </c>
      <c r="Z275" s="116">
        <v>3055.41</v>
      </c>
      <c r="AA275" s="116">
        <v>3055.41</v>
      </c>
      <c r="AB275" s="116">
        <v>3055.41</v>
      </c>
      <c r="AC275" s="124">
        <v>3055.41</v>
      </c>
      <c r="AD275" s="124">
        <v>3055.41</v>
      </c>
      <c r="AE275" s="124">
        <v>3055.41</v>
      </c>
      <c r="AF275" s="124">
        <v>3055.41</v>
      </c>
      <c r="AG275" s="124">
        <v>3055.41</v>
      </c>
      <c r="AH275" s="124">
        <v>3055.41</v>
      </c>
      <c r="AI275" s="124">
        <v>3055.41</v>
      </c>
      <c r="AJ275" s="124">
        <v>3055.41</v>
      </c>
      <c r="AK275" s="124">
        <v>3055.41</v>
      </c>
      <c r="AL275" s="124">
        <v>3055.41</v>
      </c>
      <c r="AM275" s="124">
        <v>3055.41</v>
      </c>
      <c r="AN275" s="124">
        <v>3055.41</v>
      </c>
      <c r="AO275" s="125">
        <v>3055.41</v>
      </c>
      <c r="AP275" s="125">
        <v>3055.41</v>
      </c>
      <c r="AQ275" s="125">
        <v>3055.41</v>
      </c>
      <c r="AR275" s="125">
        <v>3055.41</v>
      </c>
      <c r="AS275" s="125">
        <v>3055.41</v>
      </c>
      <c r="AT275" s="125">
        <v>3055.41</v>
      </c>
      <c r="AU275" s="125">
        <v>3055.41</v>
      </c>
      <c r="AV275" s="125">
        <v>3055.41</v>
      </c>
      <c r="AW275" s="125">
        <v>3055.41</v>
      </c>
      <c r="AX275" s="125">
        <v>3055.41</v>
      </c>
      <c r="AY275" s="126"/>
      <c r="AZ275" s="126"/>
      <c r="BA275" s="126"/>
      <c r="BB275" s="126"/>
      <c r="BC275" s="126"/>
      <c r="BD275" s="126"/>
      <c r="BE275" s="126"/>
      <c r="BF275" s="127">
        <v>1890</v>
      </c>
      <c r="BG275" s="97" t="s">
        <v>249</v>
      </c>
      <c r="BH275" s="127">
        <v>3055.41</v>
      </c>
      <c r="BI275" s="127">
        <v>1890</v>
      </c>
      <c r="BJ275" s="97" t="s">
        <v>249</v>
      </c>
      <c r="BK275" s="127">
        <v>3055.41</v>
      </c>
    </row>
    <row r="276" spans="1:63" x14ac:dyDescent="0.25">
      <c r="B276" s="121">
        <v>189005</v>
      </c>
      <c r="C276" s="122" t="s">
        <v>250</v>
      </c>
      <c r="D276" s="123">
        <v>3055.41</v>
      </c>
      <c r="E276" s="123">
        <v>3055.41</v>
      </c>
      <c r="F276" s="123">
        <v>3055.41</v>
      </c>
      <c r="G276" s="123">
        <v>3055.41</v>
      </c>
      <c r="H276" s="123">
        <v>3055.41</v>
      </c>
      <c r="I276" s="123">
        <v>3055.41</v>
      </c>
      <c r="J276" s="123">
        <v>3055.41</v>
      </c>
      <c r="K276" s="123">
        <v>3055.41</v>
      </c>
      <c r="L276" s="123">
        <v>3055.41</v>
      </c>
      <c r="M276" s="123">
        <v>3055.41</v>
      </c>
      <c r="N276" s="123">
        <v>3055.41</v>
      </c>
      <c r="O276" s="123">
        <v>3055.41</v>
      </c>
      <c r="P276" s="123">
        <v>3055.41</v>
      </c>
      <c r="Q276" s="123">
        <v>3055.41</v>
      </c>
      <c r="R276" s="123">
        <v>3055.41</v>
      </c>
      <c r="S276" s="123">
        <v>3055.41</v>
      </c>
      <c r="T276" s="123">
        <v>3055.41</v>
      </c>
      <c r="U276" s="123">
        <v>3055.41</v>
      </c>
      <c r="V276" s="123">
        <v>3055.41</v>
      </c>
      <c r="W276" s="123">
        <v>3055.41</v>
      </c>
      <c r="X276" s="123">
        <v>3055.41</v>
      </c>
      <c r="Y276" s="123">
        <v>3055.41</v>
      </c>
      <c r="Z276" s="123">
        <v>3055.41</v>
      </c>
      <c r="AA276" s="123">
        <v>3055.41</v>
      </c>
      <c r="AB276" s="123">
        <v>3055.41</v>
      </c>
      <c r="AC276" s="124">
        <v>3055.41</v>
      </c>
      <c r="AD276" s="124">
        <v>3055.41</v>
      </c>
      <c r="AE276" s="124">
        <v>3055.41</v>
      </c>
      <c r="AF276" s="124">
        <v>3055.41</v>
      </c>
      <c r="AG276" s="124">
        <v>3055.41</v>
      </c>
      <c r="AH276" s="124">
        <v>3055.41</v>
      </c>
      <c r="AI276" s="124">
        <v>3055.41</v>
      </c>
      <c r="AJ276" s="124">
        <v>3055.41</v>
      </c>
      <c r="AK276" s="124">
        <v>3055.41</v>
      </c>
      <c r="AL276" s="124">
        <v>3055.41</v>
      </c>
      <c r="AM276" s="124">
        <v>3055.41</v>
      </c>
      <c r="AN276" s="124">
        <v>3055.41</v>
      </c>
      <c r="AO276" s="125">
        <v>3055.41</v>
      </c>
      <c r="AP276" s="125">
        <v>3055.41</v>
      </c>
      <c r="AQ276" s="125">
        <v>3055.41</v>
      </c>
      <c r="AR276" s="125">
        <v>3055.41</v>
      </c>
      <c r="AS276" s="125">
        <v>3055.41</v>
      </c>
      <c r="AT276" s="125">
        <v>3055.41</v>
      </c>
      <c r="AU276" s="125">
        <v>3055.41</v>
      </c>
      <c r="AV276" s="125">
        <v>3055.41</v>
      </c>
      <c r="AW276" s="125">
        <v>3055.41</v>
      </c>
      <c r="AX276" s="125">
        <v>3055.41</v>
      </c>
      <c r="AY276" s="126"/>
      <c r="AZ276" s="126"/>
      <c r="BA276" s="126"/>
      <c r="BB276" s="126"/>
      <c r="BC276" s="126"/>
      <c r="BD276" s="126"/>
      <c r="BE276" s="126"/>
      <c r="BF276" s="127">
        <v>189005</v>
      </c>
      <c r="BG276" s="97" t="s">
        <v>250</v>
      </c>
      <c r="BH276" s="127">
        <v>3055.41</v>
      </c>
      <c r="BI276" s="127">
        <v>189005</v>
      </c>
      <c r="BJ276" s="97" t="s">
        <v>250</v>
      </c>
      <c r="BK276" s="127">
        <v>3055.41</v>
      </c>
    </row>
    <row r="277" spans="1:63" x14ac:dyDescent="0.25">
      <c r="B277" s="121">
        <v>1899</v>
      </c>
      <c r="C277" s="122" t="s">
        <v>251</v>
      </c>
      <c r="D277" s="116">
        <v>-3041244.08</v>
      </c>
      <c r="E277" s="116">
        <v>-3058054.09</v>
      </c>
      <c r="F277" s="116">
        <v>-3053524.5</v>
      </c>
      <c r="G277" s="116">
        <v>-3070369</v>
      </c>
      <c r="H277" s="116">
        <v>-3086645.2</v>
      </c>
      <c r="I277" s="116">
        <v>-3103425.54</v>
      </c>
      <c r="J277" s="116">
        <v>-3119655.71</v>
      </c>
      <c r="K277" s="116">
        <v>-3136260.21</v>
      </c>
      <c r="L277" s="116">
        <v>-3152857.92</v>
      </c>
      <c r="M277" s="116">
        <v>-3168740.66</v>
      </c>
      <c r="N277" s="116">
        <v>-3185023.1</v>
      </c>
      <c r="O277" s="116">
        <v>-3200806.26</v>
      </c>
      <c r="P277" s="116">
        <v>-3166595.78</v>
      </c>
      <c r="Q277" s="116">
        <v>-3202957.06</v>
      </c>
      <c r="R277" s="116">
        <v>-3214730.72</v>
      </c>
      <c r="S277" s="116">
        <v>-3227537.4</v>
      </c>
      <c r="T277" s="116">
        <v>-3239930.04</v>
      </c>
      <c r="U277" s="116">
        <v>-3252997.87</v>
      </c>
      <c r="V277" s="116">
        <v>-3265453.28</v>
      </c>
      <c r="W277" s="116">
        <v>-3278319.85</v>
      </c>
      <c r="X277" s="116">
        <v>-3291166.22</v>
      </c>
      <c r="Y277" s="116">
        <v>-3303570.31</v>
      </c>
      <c r="Z277" s="116">
        <v>-3316387.67</v>
      </c>
      <c r="AA277" s="116">
        <v>-3328786.42</v>
      </c>
      <c r="AB277" s="116">
        <v>-3341600.25</v>
      </c>
      <c r="AC277" s="124">
        <v>-3354406.29</v>
      </c>
      <c r="AD277" s="124">
        <v>-3366307.15</v>
      </c>
      <c r="AE277" s="124">
        <v>-3378957.14</v>
      </c>
      <c r="AF277" s="124">
        <v>-3391181.21</v>
      </c>
      <c r="AG277" s="124">
        <v>-3403455.01</v>
      </c>
      <c r="AH277" s="124">
        <v>-3415966.13</v>
      </c>
      <c r="AI277" s="124">
        <v>-3428261.42</v>
      </c>
      <c r="AJ277" s="124">
        <v>-3440476.59</v>
      </c>
      <c r="AK277" s="124">
        <v>-3412647.29</v>
      </c>
      <c r="AL277" s="124">
        <v>-3425057.78</v>
      </c>
      <c r="AM277" s="124">
        <v>-3437179.9</v>
      </c>
      <c r="AN277" s="124">
        <v>-3449716.41</v>
      </c>
      <c r="AO277" s="125">
        <v>-3462250.43</v>
      </c>
      <c r="AP277" s="125">
        <v>-3473982.87</v>
      </c>
      <c r="AQ277" s="125">
        <v>-3487723.29</v>
      </c>
      <c r="AR277" s="125">
        <v>-3501089.59</v>
      </c>
      <c r="AS277" s="125">
        <v>-3514956.44</v>
      </c>
      <c r="AT277" s="125">
        <v>-3528315.87</v>
      </c>
      <c r="AU277" s="125">
        <v>-3542111.96</v>
      </c>
      <c r="AV277" s="125">
        <v>-3555935.41</v>
      </c>
      <c r="AW277" s="125">
        <v>-3569312.87</v>
      </c>
      <c r="AX277" s="125">
        <v>-3583248.38</v>
      </c>
      <c r="AY277" s="126"/>
      <c r="AZ277" s="126"/>
      <c r="BA277" s="126"/>
      <c r="BB277" s="126"/>
      <c r="BC277" s="126"/>
      <c r="BD277" s="126"/>
      <c r="BE277" s="126"/>
      <c r="BF277" s="127">
        <v>1899</v>
      </c>
      <c r="BG277" s="97" t="s">
        <v>251</v>
      </c>
      <c r="BH277" s="127">
        <v>-3415966.13</v>
      </c>
      <c r="BI277" s="127">
        <v>1899</v>
      </c>
      <c r="BJ277" s="97" t="s">
        <v>251</v>
      </c>
      <c r="BK277" s="127">
        <v>-3428261.42</v>
      </c>
    </row>
    <row r="278" spans="1:63" x14ac:dyDescent="0.25">
      <c r="B278" s="121">
        <v>189905</v>
      </c>
      <c r="C278" s="122" t="s">
        <v>252</v>
      </c>
      <c r="D278" s="123">
        <v>-645844.04999999993</v>
      </c>
      <c r="E278" s="123">
        <v>-657604.79</v>
      </c>
      <c r="F278" s="123">
        <v>-668227.39</v>
      </c>
      <c r="G278" s="123">
        <v>-679988.12</v>
      </c>
      <c r="H278" s="123">
        <v>-691369.48</v>
      </c>
      <c r="I278" s="123">
        <v>-703130.22</v>
      </c>
      <c r="J278" s="123">
        <v>-714511.57</v>
      </c>
      <c r="K278" s="123">
        <v>-726272.32</v>
      </c>
      <c r="L278" s="123">
        <v>-738033.05</v>
      </c>
      <c r="M278" s="123">
        <v>-749414.41</v>
      </c>
      <c r="N278" s="123">
        <v>-761175.14</v>
      </c>
      <c r="O278" s="123">
        <v>-772556.5</v>
      </c>
      <c r="P278" s="123">
        <v>-733985.97</v>
      </c>
      <c r="Q278" s="123">
        <v>-768540.55</v>
      </c>
      <c r="R278" s="123">
        <v>-778868.32</v>
      </c>
      <c r="S278" s="123">
        <v>-790302.62</v>
      </c>
      <c r="T278" s="123">
        <v>-801368.1</v>
      </c>
      <c r="U278" s="123">
        <v>-812802.41</v>
      </c>
      <c r="V278" s="123">
        <v>-823867.87</v>
      </c>
      <c r="W278" s="123">
        <v>-835302.18</v>
      </c>
      <c r="X278" s="123">
        <v>-846736.49</v>
      </c>
      <c r="Y278" s="123">
        <v>-857801.96</v>
      </c>
      <c r="Z278" s="123">
        <v>-869236.27</v>
      </c>
      <c r="AA278" s="123">
        <v>-880301.73</v>
      </c>
      <c r="AB278" s="123">
        <v>-891736.04</v>
      </c>
      <c r="AC278" s="124">
        <v>-903170.37</v>
      </c>
      <c r="AD278" s="124">
        <v>-913866.97</v>
      </c>
      <c r="AE278" s="124">
        <v>-925301.28</v>
      </c>
      <c r="AF278" s="124">
        <v>-936366.76</v>
      </c>
      <c r="AG278" s="124">
        <v>-947432.21</v>
      </c>
      <c r="AH278" s="124">
        <v>-958866.52</v>
      </c>
      <c r="AI278" s="124">
        <v>-970300.84</v>
      </c>
      <c r="AJ278" s="124">
        <v>-981735.16</v>
      </c>
      <c r="AK278" s="124">
        <v>-992800.61</v>
      </c>
      <c r="AL278" s="124">
        <v>-1004234.93</v>
      </c>
      <c r="AM278" s="124">
        <v>-1015300.39</v>
      </c>
      <c r="AN278" s="124">
        <v>-1026734.7</v>
      </c>
      <c r="AO278" s="125">
        <v>-1038169.02</v>
      </c>
      <c r="AP278" s="125">
        <v>-1048496.79</v>
      </c>
      <c r="AQ278" s="125">
        <v>-1059931.1000000001</v>
      </c>
      <c r="AR278" s="125">
        <v>-1070996.55</v>
      </c>
      <c r="AS278" s="125">
        <v>-1082430.8700000001</v>
      </c>
      <c r="AT278" s="125">
        <v>-1093496.3400000001</v>
      </c>
      <c r="AU278" s="125">
        <v>-1104930.6499999999</v>
      </c>
      <c r="AV278" s="125">
        <v>-1116364.96</v>
      </c>
      <c r="AW278" s="125">
        <v>-1127430.42</v>
      </c>
      <c r="AX278" s="125">
        <v>-1138864.74</v>
      </c>
      <c r="AY278" s="126"/>
      <c r="AZ278" s="126"/>
      <c r="BA278" s="126"/>
      <c r="BB278" s="126"/>
      <c r="BC278" s="126"/>
      <c r="BD278" s="126"/>
      <c r="BE278" s="126"/>
      <c r="BF278" s="127">
        <v>189905</v>
      </c>
      <c r="BG278" s="97" t="s">
        <v>252</v>
      </c>
      <c r="BH278" s="127">
        <v>-958866.52</v>
      </c>
      <c r="BI278" s="127">
        <v>189905</v>
      </c>
      <c r="BJ278" s="97" t="s">
        <v>252</v>
      </c>
      <c r="BK278" s="127">
        <v>-970300.84</v>
      </c>
    </row>
    <row r="279" spans="1:63" x14ac:dyDescent="0.25">
      <c r="B279" s="121">
        <v>189915</v>
      </c>
      <c r="C279" s="122" t="s">
        <v>253</v>
      </c>
      <c r="D279" s="123">
        <v>-1098313.8899999999</v>
      </c>
      <c r="E279" s="123">
        <v>-1102363.8700000001</v>
      </c>
      <c r="F279" s="123">
        <v>-1105968.1299999999</v>
      </c>
      <c r="G279" s="123">
        <v>-1110003.8600000001</v>
      </c>
      <c r="H279" s="123">
        <v>-1113897.3400000001</v>
      </c>
      <c r="I279" s="123">
        <v>-1117897.21</v>
      </c>
      <c r="J279" s="123">
        <v>-1121754.9099999999</v>
      </c>
      <c r="K279" s="123">
        <v>-1125731.6000000001</v>
      </c>
      <c r="L279" s="123">
        <v>-1129701.52</v>
      </c>
      <c r="M279" s="123">
        <v>-1133492.26</v>
      </c>
      <c r="N279" s="123">
        <v>-1137354.8400000001</v>
      </c>
      <c r="O279" s="123">
        <v>-1141082.3600000001</v>
      </c>
      <c r="P279" s="123">
        <v>-1144744.3600000001</v>
      </c>
      <c r="Q279" s="123">
        <v>-1145949.49</v>
      </c>
      <c r="R279" s="123">
        <v>-1147036.01</v>
      </c>
      <c r="S279" s="123">
        <v>-1148236.08</v>
      </c>
      <c r="T279" s="123">
        <v>-1149396.49</v>
      </c>
      <c r="U279" s="123">
        <v>-1150593.19</v>
      </c>
      <c r="V279" s="123">
        <v>-1151742.75</v>
      </c>
      <c r="W279" s="123">
        <v>-1152901.3600000001</v>
      </c>
      <c r="X279" s="123">
        <v>-1154033.72</v>
      </c>
      <c r="Y279" s="123">
        <v>-1155101.6499999999</v>
      </c>
      <c r="Z279" s="123">
        <v>-1156205</v>
      </c>
      <c r="AA279" s="123">
        <v>-1157267.6000000001</v>
      </c>
      <c r="AB279" s="123">
        <v>-1158367.42</v>
      </c>
      <c r="AC279" s="124">
        <v>-1159459.42</v>
      </c>
      <c r="AD279" s="124">
        <v>-1160402.02</v>
      </c>
      <c r="AE279" s="124">
        <v>-1161337.99</v>
      </c>
      <c r="AF279" s="124">
        <v>-1162225.8999999999</v>
      </c>
      <c r="AG279" s="124">
        <v>-1163139.18</v>
      </c>
      <c r="AH279" s="124">
        <v>-1163912.3799999999</v>
      </c>
      <c r="AI279" s="124">
        <v>-1164459.6200000001</v>
      </c>
      <c r="AJ279" s="124">
        <v>-1164926.74</v>
      </c>
      <c r="AK279" s="124">
        <v>-1165378.31</v>
      </c>
      <c r="AL279" s="124">
        <v>-1165809.22</v>
      </c>
      <c r="AM279" s="124">
        <v>-1166206.3700000001</v>
      </c>
      <c r="AN279" s="124">
        <v>-1166489.26</v>
      </c>
      <c r="AO279" s="125">
        <v>-1166651.99</v>
      </c>
      <c r="AP279" s="125">
        <v>-1166826.73</v>
      </c>
      <c r="AQ279" s="125">
        <v>-1167020.22</v>
      </c>
      <c r="AR279" s="125">
        <v>-1167171.5</v>
      </c>
      <c r="AS279" s="125">
        <v>-1167322.74</v>
      </c>
      <c r="AT279" s="125">
        <v>-1167426.76</v>
      </c>
      <c r="AU279" s="125">
        <v>-1167535.23</v>
      </c>
      <c r="AV279" s="125">
        <v>-1167643.74</v>
      </c>
      <c r="AW279" s="125">
        <v>-1167748.7</v>
      </c>
      <c r="AX279" s="125">
        <v>-1167870.92</v>
      </c>
      <c r="AY279" s="126"/>
      <c r="AZ279" s="126"/>
      <c r="BA279" s="126"/>
      <c r="BB279" s="126"/>
      <c r="BC279" s="126"/>
      <c r="BD279" s="126"/>
      <c r="BE279" s="126"/>
      <c r="BF279" s="127">
        <v>189915</v>
      </c>
      <c r="BG279" s="97" t="s">
        <v>253</v>
      </c>
      <c r="BH279" s="127">
        <v>-1163912.3799999999</v>
      </c>
      <c r="BI279" s="127">
        <v>189915</v>
      </c>
      <c r="BJ279" s="97" t="s">
        <v>253</v>
      </c>
      <c r="BK279" s="127">
        <v>-1164459.6200000001</v>
      </c>
    </row>
    <row r="280" spans="1:63" x14ac:dyDescent="0.25">
      <c r="B280" s="121">
        <v>18991505</v>
      </c>
      <c r="C280" s="122" t="s">
        <v>245</v>
      </c>
      <c r="D280" s="123">
        <v>-746348.48</v>
      </c>
      <c r="E280" s="123">
        <v>-749555.95</v>
      </c>
      <c r="F280" s="123">
        <v>-752394.49</v>
      </c>
      <c r="G280" s="123">
        <v>-755601.98</v>
      </c>
      <c r="H280" s="123">
        <v>-758705.99</v>
      </c>
      <c r="I280" s="123">
        <v>-761903.11</v>
      </c>
      <c r="J280" s="123">
        <v>-764985.38</v>
      </c>
      <c r="K280" s="123">
        <v>-768170.38</v>
      </c>
      <c r="L280" s="123">
        <v>-771355.38</v>
      </c>
      <c r="M280" s="123">
        <v>-774434.82</v>
      </c>
      <c r="N280" s="123">
        <v>-777611.8</v>
      </c>
      <c r="O280" s="123">
        <v>-780677.11</v>
      </c>
      <c r="P280" s="123">
        <v>-783669</v>
      </c>
      <c r="Q280" s="123">
        <v>-784334.72</v>
      </c>
      <c r="R280" s="123">
        <v>-784934.03</v>
      </c>
      <c r="S280" s="123">
        <v>-785597.55</v>
      </c>
      <c r="T280" s="123">
        <v>-786239.66</v>
      </c>
      <c r="U280" s="123">
        <v>-786903.18</v>
      </c>
      <c r="V280" s="123">
        <v>-787535.35</v>
      </c>
      <c r="W280" s="123">
        <v>-788159.29</v>
      </c>
      <c r="X280" s="123">
        <v>-788757</v>
      </c>
      <c r="Y280" s="123">
        <v>-789313</v>
      </c>
      <c r="Z280" s="123">
        <v>-789885.33</v>
      </c>
      <c r="AA280" s="123">
        <v>-790435.68</v>
      </c>
      <c r="AB280" s="123">
        <v>-791004.37</v>
      </c>
      <c r="AC280" s="124">
        <v>-791566.02</v>
      </c>
      <c r="AD280" s="124">
        <v>-792040.45</v>
      </c>
      <c r="AE280" s="124">
        <v>-792524.62</v>
      </c>
      <c r="AF280" s="124">
        <v>-792984.51</v>
      </c>
      <c r="AG280" s="124">
        <v>-793456.53</v>
      </c>
      <c r="AH280" s="124">
        <v>-793879.33</v>
      </c>
      <c r="AI280" s="124">
        <v>-794180.11</v>
      </c>
      <c r="AJ280" s="124">
        <v>-794429.18</v>
      </c>
      <c r="AK280" s="124">
        <v>-794670.8</v>
      </c>
      <c r="AL280" s="124">
        <v>-794874.95</v>
      </c>
      <c r="AM280" s="124">
        <v>-795054.78</v>
      </c>
      <c r="AN280" s="124">
        <v>-795185.68</v>
      </c>
      <c r="AO280" s="125">
        <v>-795313.04</v>
      </c>
      <c r="AP280" s="125">
        <v>-795430.33</v>
      </c>
      <c r="AQ280" s="125">
        <v>-795560.21</v>
      </c>
      <c r="AR280" s="125">
        <v>-795685.88</v>
      </c>
      <c r="AS280" s="125">
        <v>-795812.18</v>
      </c>
      <c r="AT280" s="125">
        <v>-795890.42</v>
      </c>
      <c r="AU280" s="125">
        <v>-795971.27</v>
      </c>
      <c r="AV280" s="125">
        <v>-796052.14</v>
      </c>
      <c r="AW280" s="125">
        <v>-796130.38</v>
      </c>
      <c r="AX280" s="125">
        <v>-796209.92</v>
      </c>
      <c r="AY280" s="126"/>
      <c r="AZ280" s="126"/>
      <c r="BA280" s="126"/>
      <c r="BB280" s="126"/>
      <c r="BC280" s="126"/>
      <c r="BD280" s="126"/>
      <c r="BE280" s="126"/>
      <c r="BF280" s="127">
        <v>18991505</v>
      </c>
      <c r="BG280" s="97" t="s">
        <v>245</v>
      </c>
      <c r="BH280" s="127">
        <v>-793879.33</v>
      </c>
      <c r="BI280" s="127">
        <v>18991505</v>
      </c>
      <c r="BJ280" s="97" t="s">
        <v>245</v>
      </c>
      <c r="BK280" s="127">
        <v>-794180.11</v>
      </c>
    </row>
    <row r="281" spans="1:63" s="113" customFormat="1" x14ac:dyDescent="0.25">
      <c r="A281" s="97"/>
      <c r="B281" s="121">
        <v>18991510</v>
      </c>
      <c r="C281" s="122" t="s">
        <v>246</v>
      </c>
      <c r="D281" s="123">
        <v>-239517.31</v>
      </c>
      <c r="E281" s="123">
        <v>-240190.01</v>
      </c>
      <c r="F281" s="123">
        <v>-240793.3</v>
      </c>
      <c r="G281" s="123">
        <v>-241460.67</v>
      </c>
      <c r="H281" s="123">
        <v>-242096.07</v>
      </c>
      <c r="I281" s="123">
        <v>-242739.59</v>
      </c>
      <c r="J281" s="123">
        <v>-243362.37</v>
      </c>
      <c r="K281" s="123">
        <v>-243995.48</v>
      </c>
      <c r="L281" s="123">
        <v>-244621.83</v>
      </c>
      <c r="M281" s="123">
        <v>-245186.57</v>
      </c>
      <c r="N281" s="123">
        <v>-245723.17</v>
      </c>
      <c r="O281" s="123">
        <v>-246241.17</v>
      </c>
      <c r="P281" s="123">
        <v>-246765.45</v>
      </c>
      <c r="Q281" s="123">
        <v>-247178.44</v>
      </c>
      <c r="R281" s="123">
        <v>-247551.45</v>
      </c>
      <c r="S281" s="123">
        <v>-247961.58</v>
      </c>
      <c r="T281" s="123">
        <v>-248357.53</v>
      </c>
      <c r="U281" s="123">
        <v>-248764.27</v>
      </c>
      <c r="V281" s="123">
        <v>-249159.32</v>
      </c>
      <c r="W281" s="123">
        <v>-249567.55</v>
      </c>
      <c r="X281" s="123">
        <v>-249975.77</v>
      </c>
      <c r="Y281" s="123">
        <v>-250365.36</v>
      </c>
      <c r="Z281" s="123">
        <v>-250769.94</v>
      </c>
      <c r="AA281" s="123">
        <v>-251159.85</v>
      </c>
      <c r="AB281" s="123">
        <v>-251566.73</v>
      </c>
      <c r="AC281" s="124">
        <v>-251972.41</v>
      </c>
      <c r="AD281" s="124">
        <v>-252323.95</v>
      </c>
      <c r="AE281" s="124">
        <v>-252651.08</v>
      </c>
      <c r="AF281" s="124">
        <v>-252958.44</v>
      </c>
      <c r="AG281" s="124">
        <v>-253275.04</v>
      </c>
      <c r="AH281" s="124">
        <v>-253521.8</v>
      </c>
      <c r="AI281" s="124">
        <v>-253693.28</v>
      </c>
      <c r="AJ281" s="124">
        <v>-253836.35</v>
      </c>
      <c r="AK281" s="124">
        <v>-253975.13</v>
      </c>
      <c r="AL281" s="124">
        <v>-254127.61</v>
      </c>
      <c r="AM281" s="124">
        <v>-254277.53</v>
      </c>
      <c r="AN281" s="124">
        <v>-254374.93</v>
      </c>
      <c r="AO281" s="125">
        <v>-254359.71</v>
      </c>
      <c r="AP281" s="125">
        <v>-254371.47</v>
      </c>
      <c r="AQ281" s="125">
        <v>-254384.49</v>
      </c>
      <c r="AR281" s="125">
        <v>-254397.09</v>
      </c>
      <c r="AS281" s="125">
        <v>-254410.28</v>
      </c>
      <c r="AT281" s="125">
        <v>-254425.53</v>
      </c>
      <c r="AU281" s="125">
        <v>-254441.27</v>
      </c>
      <c r="AV281" s="125">
        <v>-254457.02</v>
      </c>
      <c r="AW281" s="125">
        <v>-254472.25</v>
      </c>
      <c r="AX281" s="125">
        <v>-254488</v>
      </c>
      <c r="AY281" s="126"/>
      <c r="AZ281" s="126"/>
      <c r="BA281" s="126"/>
      <c r="BB281" s="126"/>
      <c r="BC281" s="126"/>
      <c r="BD281" s="126"/>
      <c r="BE281" s="126"/>
      <c r="BF281" s="127">
        <v>18991510</v>
      </c>
      <c r="BG281" s="97" t="s">
        <v>246</v>
      </c>
      <c r="BH281" s="127">
        <v>-253521.8</v>
      </c>
      <c r="BI281" s="127">
        <v>18991510</v>
      </c>
      <c r="BJ281" s="97" t="s">
        <v>246</v>
      </c>
      <c r="BK281" s="127">
        <v>-253693.28</v>
      </c>
    </row>
    <row r="282" spans="1:63" x14ac:dyDescent="0.25">
      <c r="B282" s="121">
        <v>18991515</v>
      </c>
      <c r="C282" s="122" t="s">
        <v>247</v>
      </c>
      <c r="D282" s="123">
        <v>-112448.1</v>
      </c>
      <c r="E282" s="123">
        <v>-112617.91</v>
      </c>
      <c r="F282" s="123">
        <v>-112780.34</v>
      </c>
      <c r="G282" s="123">
        <v>-112941.21</v>
      </c>
      <c r="H282" s="123">
        <v>-113095.28</v>
      </c>
      <c r="I282" s="123">
        <v>-113254.51</v>
      </c>
      <c r="J282" s="123">
        <v>-113407.16</v>
      </c>
      <c r="K282" s="123">
        <v>-113565.74</v>
      </c>
      <c r="L282" s="123">
        <v>-113724.31</v>
      </c>
      <c r="M282" s="123">
        <v>-113870.87</v>
      </c>
      <c r="N282" s="123">
        <v>-114019.87</v>
      </c>
      <c r="O282" s="123">
        <v>-114164.08</v>
      </c>
      <c r="P282" s="123">
        <v>-114309.91</v>
      </c>
      <c r="Q282" s="123">
        <v>-114436.33</v>
      </c>
      <c r="R282" s="123">
        <v>-114550.53</v>
      </c>
      <c r="S282" s="123">
        <v>-114676.95</v>
      </c>
      <c r="T282" s="123">
        <v>-114799.3</v>
      </c>
      <c r="U282" s="123">
        <v>-114925.74</v>
      </c>
      <c r="V282" s="123">
        <v>-115048.08</v>
      </c>
      <c r="W282" s="123">
        <v>-115174.52</v>
      </c>
      <c r="X282" s="123">
        <v>-115300.95</v>
      </c>
      <c r="Y282" s="123">
        <v>-115423.29</v>
      </c>
      <c r="Z282" s="123">
        <v>-115549.73</v>
      </c>
      <c r="AA282" s="123">
        <v>-115672.07</v>
      </c>
      <c r="AB282" s="123">
        <v>-115796.32</v>
      </c>
      <c r="AC282" s="124">
        <v>-115920.99</v>
      </c>
      <c r="AD282" s="124">
        <v>-116037.62</v>
      </c>
      <c r="AE282" s="124">
        <v>-116162.29</v>
      </c>
      <c r="AF282" s="124">
        <v>-116282.95</v>
      </c>
      <c r="AG282" s="124">
        <v>-116407.61</v>
      </c>
      <c r="AH282" s="124">
        <v>-116511.25</v>
      </c>
      <c r="AI282" s="124">
        <v>-116586.23</v>
      </c>
      <c r="AJ282" s="124">
        <v>-116661.21</v>
      </c>
      <c r="AK282" s="124">
        <v>-116732.38</v>
      </c>
      <c r="AL282" s="124">
        <v>-116806.66</v>
      </c>
      <c r="AM282" s="124">
        <v>-116874.06</v>
      </c>
      <c r="AN282" s="124">
        <v>-116928.65</v>
      </c>
      <c r="AO282" s="125">
        <v>-116979.24</v>
      </c>
      <c r="AP282" s="125">
        <v>-117024.93</v>
      </c>
      <c r="AQ282" s="125">
        <v>-117075.52</v>
      </c>
      <c r="AR282" s="125">
        <v>-117088.53</v>
      </c>
      <c r="AS282" s="125">
        <v>-117100.28</v>
      </c>
      <c r="AT282" s="125">
        <v>-117110.81</v>
      </c>
      <c r="AU282" s="125">
        <v>-117122.69</v>
      </c>
      <c r="AV282" s="125">
        <v>-117134.58</v>
      </c>
      <c r="AW282" s="125">
        <v>-117146.07</v>
      </c>
      <c r="AX282" s="125">
        <v>-117173</v>
      </c>
      <c r="AY282" s="126"/>
      <c r="AZ282" s="126"/>
      <c r="BA282" s="126"/>
      <c r="BB282" s="126"/>
      <c r="BC282" s="126"/>
      <c r="BD282" s="126"/>
      <c r="BE282" s="126"/>
      <c r="BF282" s="127">
        <v>18991515</v>
      </c>
      <c r="BG282" s="97" t="s">
        <v>247</v>
      </c>
      <c r="BH282" s="127">
        <v>-116511.25</v>
      </c>
      <c r="BI282" s="127">
        <v>18991515</v>
      </c>
      <c r="BJ282" s="97" t="s">
        <v>247</v>
      </c>
      <c r="BK282" s="127">
        <v>-116586.23</v>
      </c>
    </row>
    <row r="283" spans="1:63" x14ac:dyDescent="0.25">
      <c r="B283" s="121">
        <v>189920</v>
      </c>
      <c r="C283" s="122" t="s">
        <v>254</v>
      </c>
      <c r="D283" s="123">
        <v>-1157671.95</v>
      </c>
      <c r="E283" s="123">
        <v>-1158671.24</v>
      </c>
      <c r="F283" s="123">
        <v>-1159616.29</v>
      </c>
      <c r="G283" s="123">
        <v>-1160664.33</v>
      </c>
      <c r="H283" s="123">
        <v>-1161665.69</v>
      </c>
      <c r="I283" s="123">
        <v>-1162685.42</v>
      </c>
      <c r="J283" s="123">
        <v>-1163676.54</v>
      </c>
      <c r="K283" s="123">
        <v>-1164543.6000000001</v>
      </c>
      <c r="L283" s="123">
        <v>-1165410.6599999999</v>
      </c>
      <c r="M283" s="123">
        <v>-1166121.3</v>
      </c>
      <c r="N283" s="123">
        <v>-1166780.43</v>
      </c>
      <c r="O283" s="123">
        <v>-1167454.71</v>
      </c>
      <c r="P283" s="123">
        <v>-1168152.76</v>
      </c>
      <c r="Q283" s="123">
        <v>-1168754.33</v>
      </c>
      <c r="R283" s="123">
        <v>-1169113.7</v>
      </c>
      <c r="S283" s="123">
        <v>-1169286.01</v>
      </c>
      <c r="T283" s="123">
        <v>-1169452.76</v>
      </c>
      <c r="U283" s="123">
        <v>-1169889.58</v>
      </c>
      <c r="V283" s="123">
        <v>-1170129.97</v>
      </c>
      <c r="W283" s="123">
        <v>-1170403.6200000001</v>
      </c>
      <c r="X283" s="123">
        <v>-1170683.32</v>
      </c>
      <c r="Y283" s="123">
        <v>-1170954.01</v>
      </c>
      <c r="Z283" s="123">
        <v>-1171233.71</v>
      </c>
      <c r="AA283" s="123">
        <v>-1171504.3999999999</v>
      </c>
      <c r="AB283" s="123">
        <v>-1171784.1000000001</v>
      </c>
      <c r="AC283" s="124">
        <v>-1172063.81</v>
      </c>
      <c r="AD283" s="124">
        <v>-1172325.47</v>
      </c>
      <c r="AE283" s="124">
        <v>-1172605.18</v>
      </c>
      <c r="AF283" s="124">
        <v>-1172875.8600000001</v>
      </c>
      <c r="AG283" s="124">
        <v>-1173170.93</v>
      </c>
      <c r="AH283" s="124">
        <v>-1173474.54</v>
      </c>
      <c r="AI283" s="124">
        <v>-1173788.27</v>
      </c>
      <c r="AJ283" s="124">
        <v>-1174102</v>
      </c>
      <c r="AK283" s="124">
        <v>-1174573.3</v>
      </c>
      <c r="AL283" s="124">
        <v>-1175118.56</v>
      </c>
      <c r="AM283" s="124">
        <v>-1175778.07</v>
      </c>
      <c r="AN283" s="124">
        <v>-1176597.3799999999</v>
      </c>
      <c r="AO283" s="125">
        <v>-1177534.3500000001</v>
      </c>
      <c r="AP283" s="125">
        <v>-1178355.3700000001</v>
      </c>
      <c r="AQ283" s="125">
        <v>-1179315.5900000001</v>
      </c>
      <c r="AR283" s="125">
        <v>-1180349.94</v>
      </c>
      <c r="AS283" s="125">
        <v>-1181478.83</v>
      </c>
      <c r="AT283" s="125">
        <v>-1182553.55</v>
      </c>
      <c r="AU283" s="125">
        <v>-1183654.46</v>
      </c>
      <c r="AV283" s="125">
        <v>-1184782.7</v>
      </c>
      <c r="AW283" s="125">
        <v>-1185874.52</v>
      </c>
      <c r="AX283" s="125">
        <v>-1187101.0900000001</v>
      </c>
      <c r="AY283" s="126"/>
      <c r="AZ283" s="126"/>
      <c r="BA283" s="126"/>
      <c r="BB283" s="126"/>
      <c r="BC283" s="126"/>
      <c r="BD283" s="126"/>
      <c r="BE283" s="126"/>
      <c r="BF283" s="127">
        <v>189920</v>
      </c>
      <c r="BG283" s="97" t="s">
        <v>254</v>
      </c>
      <c r="BH283" s="127">
        <v>-1173474.54</v>
      </c>
      <c r="BI283" s="127">
        <v>189920</v>
      </c>
      <c r="BJ283" s="97" t="s">
        <v>254</v>
      </c>
      <c r="BK283" s="127">
        <v>-1173788.27</v>
      </c>
    </row>
    <row r="284" spans="1:63" x14ac:dyDescent="0.25">
      <c r="B284" s="121">
        <v>189925</v>
      </c>
      <c r="C284" s="122" t="s">
        <v>255</v>
      </c>
      <c r="D284" s="123">
        <v>-139414.19</v>
      </c>
      <c r="E284" s="123">
        <v>-139414.19</v>
      </c>
      <c r="F284" s="123">
        <v>-119712.69</v>
      </c>
      <c r="G284" s="123">
        <v>-119712.69</v>
      </c>
      <c r="H284" s="123">
        <v>-119712.69</v>
      </c>
      <c r="I284" s="123">
        <v>-119712.69</v>
      </c>
      <c r="J284" s="123">
        <v>-119712.69</v>
      </c>
      <c r="K284" s="123">
        <v>-119712.69</v>
      </c>
      <c r="L284" s="123">
        <v>-119712.69</v>
      </c>
      <c r="M284" s="123">
        <v>-119712.69</v>
      </c>
      <c r="N284" s="123">
        <v>-119712.69</v>
      </c>
      <c r="O284" s="123">
        <v>-119712.69</v>
      </c>
      <c r="P284" s="123">
        <v>-119712.69</v>
      </c>
      <c r="Q284" s="123">
        <v>-119712.69</v>
      </c>
      <c r="R284" s="123">
        <v>-119712.69</v>
      </c>
      <c r="S284" s="123">
        <v>-119712.69</v>
      </c>
      <c r="T284" s="123">
        <v>-119712.69</v>
      </c>
      <c r="U284" s="123">
        <v>-119712.69</v>
      </c>
      <c r="V284" s="123">
        <v>-119712.69</v>
      </c>
      <c r="W284" s="123">
        <v>-119712.69</v>
      </c>
      <c r="X284" s="123">
        <v>-119712.69</v>
      </c>
      <c r="Y284" s="123">
        <v>-119712.69</v>
      </c>
      <c r="Z284" s="123">
        <v>-119712.69</v>
      </c>
      <c r="AA284" s="123">
        <v>-119712.69</v>
      </c>
      <c r="AB284" s="123">
        <v>-119712.69</v>
      </c>
      <c r="AC284" s="124">
        <v>-119712.69</v>
      </c>
      <c r="AD284" s="124">
        <v>-119712.69</v>
      </c>
      <c r="AE284" s="124">
        <v>-119712.69</v>
      </c>
      <c r="AF284" s="124">
        <v>-119712.69</v>
      </c>
      <c r="AG284" s="124">
        <v>-119712.69</v>
      </c>
      <c r="AH284" s="124">
        <v>-119712.69</v>
      </c>
      <c r="AI284" s="124">
        <v>-119712.69</v>
      </c>
      <c r="AJ284" s="124">
        <v>-119712.69</v>
      </c>
      <c r="AK284" s="124">
        <v>-79895.070000000007</v>
      </c>
      <c r="AL284" s="124">
        <v>-79895.070000000007</v>
      </c>
      <c r="AM284" s="124">
        <v>-79895.070000000007</v>
      </c>
      <c r="AN284" s="124">
        <v>-79895.070000000007</v>
      </c>
      <c r="AO284" s="125">
        <v>-79895.070000000007</v>
      </c>
      <c r="AP284" s="125">
        <v>-80303.98</v>
      </c>
      <c r="AQ284" s="125">
        <v>-81456.38</v>
      </c>
      <c r="AR284" s="125">
        <v>-82571.600000000006</v>
      </c>
      <c r="AS284" s="125">
        <v>-83724</v>
      </c>
      <c r="AT284" s="125">
        <v>-84839.22</v>
      </c>
      <c r="AU284" s="125">
        <v>-85991.62</v>
      </c>
      <c r="AV284" s="125">
        <v>-87144.01</v>
      </c>
      <c r="AW284" s="125">
        <v>-88259.23</v>
      </c>
      <c r="AX284" s="125">
        <v>-89411.63</v>
      </c>
      <c r="AY284" s="126"/>
      <c r="AZ284" s="126"/>
      <c r="BA284" s="126"/>
      <c r="BB284" s="126"/>
      <c r="BC284" s="126"/>
      <c r="BD284" s="126"/>
      <c r="BE284" s="126"/>
      <c r="BF284" s="127">
        <v>189925</v>
      </c>
      <c r="BG284" s="97" t="s">
        <v>255</v>
      </c>
      <c r="BH284" s="127">
        <v>-119712.69</v>
      </c>
      <c r="BI284" s="127">
        <v>189925</v>
      </c>
      <c r="BJ284" s="97" t="s">
        <v>255</v>
      </c>
      <c r="BK284" s="127">
        <v>-119712.69</v>
      </c>
    </row>
    <row r="285" spans="1:63" x14ac:dyDescent="0.25">
      <c r="B285" s="114">
        <v>19</v>
      </c>
      <c r="C285" s="115" t="s">
        <v>256</v>
      </c>
      <c r="D285" s="116">
        <v>2716189.03</v>
      </c>
      <c r="E285" s="116">
        <v>2772359.95</v>
      </c>
      <c r="F285" s="116">
        <v>2809369.86</v>
      </c>
      <c r="G285" s="116">
        <v>2926079.75</v>
      </c>
      <c r="H285" s="116">
        <v>2919715.93</v>
      </c>
      <c r="I285" s="116">
        <v>2860160.18</v>
      </c>
      <c r="J285" s="116">
        <v>2843712.57</v>
      </c>
      <c r="K285" s="116">
        <v>2834243.71</v>
      </c>
      <c r="L285" s="116">
        <v>2828217.42</v>
      </c>
      <c r="M285" s="116">
        <v>2822315.52</v>
      </c>
      <c r="N285" s="116">
        <v>2869402.22</v>
      </c>
      <c r="O285" s="116">
        <v>2894815.25</v>
      </c>
      <c r="P285" s="116">
        <v>2887600.29</v>
      </c>
      <c r="Q285" s="116">
        <v>2918504.62</v>
      </c>
      <c r="R285" s="116">
        <v>2902369.12</v>
      </c>
      <c r="S285" s="116">
        <v>2886278.72</v>
      </c>
      <c r="T285" s="116">
        <v>2877705.42</v>
      </c>
      <c r="U285" s="116">
        <v>2867695.39</v>
      </c>
      <c r="V285" s="116">
        <v>2811063.5</v>
      </c>
      <c r="W285" s="116">
        <v>2764389.65</v>
      </c>
      <c r="X285" s="116">
        <v>2735425.72</v>
      </c>
      <c r="Y285" s="116">
        <v>2709774.08</v>
      </c>
      <c r="Z285" s="116">
        <v>2703549.6</v>
      </c>
      <c r="AA285" s="116">
        <v>2712508.67</v>
      </c>
      <c r="AB285" s="116">
        <v>2761635.19</v>
      </c>
      <c r="AC285" s="117">
        <v>2798130.36</v>
      </c>
      <c r="AD285" s="117">
        <v>2799577.83</v>
      </c>
      <c r="AE285" s="117">
        <v>2795115.48</v>
      </c>
      <c r="AF285" s="117">
        <v>2760279.67</v>
      </c>
      <c r="AG285" s="117">
        <v>2778976.29</v>
      </c>
      <c r="AH285" s="117">
        <v>2797193.76</v>
      </c>
      <c r="AI285" s="117">
        <v>2869984.82</v>
      </c>
      <c r="AJ285" s="117">
        <v>2810931.21</v>
      </c>
      <c r="AK285" s="117">
        <v>2929018.69</v>
      </c>
      <c r="AL285" s="117">
        <v>2940444.57</v>
      </c>
      <c r="AM285" s="117">
        <v>4774068.3899999997</v>
      </c>
      <c r="AN285" s="117">
        <v>4827949.6100000003</v>
      </c>
      <c r="AO285" s="118">
        <v>4843070.09</v>
      </c>
      <c r="AP285" s="118">
        <v>4864844.6500000004</v>
      </c>
      <c r="AQ285" s="118">
        <v>4818468.25</v>
      </c>
      <c r="AR285" s="118">
        <v>4818258.95</v>
      </c>
      <c r="AS285" s="118">
        <v>4910247.8899999997</v>
      </c>
      <c r="AT285" s="118">
        <v>4891084.47</v>
      </c>
      <c r="AU285" s="118">
        <v>5048294.5599999996</v>
      </c>
      <c r="AV285" s="118">
        <v>5238009.1399999997</v>
      </c>
      <c r="AW285" s="118">
        <v>5453926.2699999996</v>
      </c>
      <c r="AX285" s="118">
        <v>3448964.09</v>
      </c>
      <c r="AY285" s="119"/>
      <c r="AZ285" s="119"/>
      <c r="BA285" s="119"/>
      <c r="BB285" s="119"/>
      <c r="BC285" s="119"/>
      <c r="BD285" s="119"/>
      <c r="BE285" s="119"/>
      <c r="BF285" s="127">
        <v>19</v>
      </c>
      <c r="BG285" s="97" t="s">
        <v>256</v>
      </c>
      <c r="BH285" s="127">
        <v>2797193.76</v>
      </c>
      <c r="BI285" s="127">
        <v>19</v>
      </c>
      <c r="BJ285" s="97" t="s">
        <v>256</v>
      </c>
      <c r="BK285" s="127">
        <v>2869984.82</v>
      </c>
    </row>
    <row r="286" spans="1:63" x14ac:dyDescent="0.25">
      <c r="B286" s="121">
        <v>1902</v>
      </c>
      <c r="C286" s="122" t="s">
        <v>257</v>
      </c>
      <c r="D286" s="116">
        <v>895770.26</v>
      </c>
      <c r="E286" s="116">
        <v>929963.63</v>
      </c>
      <c r="F286" s="116">
        <v>965021.02</v>
      </c>
      <c r="G286" s="116">
        <v>976386.57</v>
      </c>
      <c r="H286" s="116">
        <v>985933.89</v>
      </c>
      <c r="I286" s="116">
        <v>934480.78</v>
      </c>
      <c r="J286" s="116">
        <v>935131.91</v>
      </c>
      <c r="K286" s="116">
        <v>931253.01</v>
      </c>
      <c r="L286" s="116">
        <v>933891.53</v>
      </c>
      <c r="M286" s="116">
        <v>937843.59</v>
      </c>
      <c r="N286" s="116">
        <v>966640.38</v>
      </c>
      <c r="O286" s="116">
        <v>973689.23</v>
      </c>
      <c r="P286" s="116">
        <v>974659.33</v>
      </c>
      <c r="Q286" s="116">
        <v>983763.14</v>
      </c>
      <c r="R286" s="116">
        <v>987714.43</v>
      </c>
      <c r="S286" s="116">
        <v>982189.21</v>
      </c>
      <c r="T286" s="116">
        <v>978562.2</v>
      </c>
      <c r="U286" s="116">
        <v>972114.14</v>
      </c>
      <c r="V286" s="116">
        <v>958640.98</v>
      </c>
      <c r="W286" s="116">
        <v>945638.77</v>
      </c>
      <c r="X286" s="116">
        <v>938477.42</v>
      </c>
      <c r="Y286" s="116">
        <v>933339.48</v>
      </c>
      <c r="Z286" s="116">
        <v>924392.46</v>
      </c>
      <c r="AA286" s="116">
        <v>935042.68</v>
      </c>
      <c r="AB286" s="116">
        <v>941108.55</v>
      </c>
      <c r="AC286" s="124">
        <v>946051.46</v>
      </c>
      <c r="AD286" s="124">
        <v>948105.99</v>
      </c>
      <c r="AE286" s="124">
        <v>942894.88</v>
      </c>
      <c r="AF286" s="124">
        <v>946311.2</v>
      </c>
      <c r="AG286" s="124">
        <v>954997.97</v>
      </c>
      <c r="AH286" s="124">
        <v>982615.36</v>
      </c>
      <c r="AI286" s="124">
        <v>1051912.5</v>
      </c>
      <c r="AJ286" s="124">
        <v>962140.82</v>
      </c>
      <c r="AK286" s="124">
        <v>1031625.19</v>
      </c>
      <c r="AL286" s="124">
        <v>1028959.44</v>
      </c>
      <c r="AM286" s="124">
        <v>1045292.5</v>
      </c>
      <c r="AN286" s="124">
        <v>1062643.1200000001</v>
      </c>
      <c r="AO286" s="125">
        <v>1115734.52</v>
      </c>
      <c r="AP286" s="125">
        <v>1142446.43</v>
      </c>
      <c r="AQ286" s="125">
        <v>1169923.0900000001</v>
      </c>
      <c r="AR286" s="125">
        <v>1221585.0900000001</v>
      </c>
      <c r="AS286" s="125">
        <v>1248150.93</v>
      </c>
      <c r="AT286" s="125">
        <v>1245273.72</v>
      </c>
      <c r="AU286" s="125">
        <v>1297045.52</v>
      </c>
      <c r="AV286" s="125">
        <v>1446463.15</v>
      </c>
      <c r="AW286" s="125">
        <v>1674507.76</v>
      </c>
      <c r="AX286" s="125">
        <v>1382717.78</v>
      </c>
      <c r="AY286" s="126"/>
      <c r="AZ286" s="126"/>
      <c r="BA286" s="126"/>
      <c r="BB286" s="126"/>
      <c r="BC286" s="126"/>
      <c r="BD286" s="126"/>
      <c r="BE286" s="126"/>
      <c r="BF286" s="127">
        <v>1902</v>
      </c>
      <c r="BG286" s="97" t="s">
        <v>257</v>
      </c>
      <c r="BH286" s="127">
        <v>982615.36</v>
      </c>
      <c r="BI286" s="127">
        <v>1902</v>
      </c>
      <c r="BJ286" s="97" t="s">
        <v>257</v>
      </c>
      <c r="BK286" s="127">
        <v>1051912.5</v>
      </c>
    </row>
    <row r="287" spans="1:63" x14ac:dyDescent="0.25">
      <c r="B287" s="121">
        <v>190205</v>
      </c>
      <c r="C287" s="122" t="s">
        <v>258</v>
      </c>
      <c r="D287" s="128"/>
      <c r="E287" s="128"/>
      <c r="F287" s="128"/>
      <c r="G287" s="128"/>
      <c r="H287" s="128"/>
      <c r="I287" s="128"/>
      <c r="J287" s="123">
        <v>58266.57</v>
      </c>
      <c r="K287" s="123">
        <v>58266.57</v>
      </c>
      <c r="L287" s="123">
        <v>58266.57</v>
      </c>
      <c r="M287" s="123">
        <v>58266.57</v>
      </c>
      <c r="N287" s="123">
        <v>58266.57</v>
      </c>
      <c r="O287" s="123">
        <v>58266.57</v>
      </c>
      <c r="P287" s="123">
        <v>58266.57</v>
      </c>
      <c r="Q287" s="123">
        <v>58266.57</v>
      </c>
      <c r="R287" s="123">
        <v>58266.57</v>
      </c>
      <c r="S287" s="123">
        <v>58266.57</v>
      </c>
      <c r="T287" s="123">
        <v>58266.57</v>
      </c>
      <c r="U287" s="123">
        <v>58266.57</v>
      </c>
      <c r="V287" s="123">
        <v>58266.57</v>
      </c>
      <c r="W287" s="123">
        <v>58266.57</v>
      </c>
      <c r="X287" s="123">
        <v>58266.57</v>
      </c>
      <c r="Y287" s="123">
        <v>58266.57</v>
      </c>
      <c r="Z287" s="123">
        <v>58266.57</v>
      </c>
      <c r="AA287" s="123">
        <v>58266.57</v>
      </c>
      <c r="AB287" s="123">
        <v>58266.57</v>
      </c>
      <c r="AC287" s="124">
        <v>58266.57</v>
      </c>
      <c r="AD287" s="124">
        <v>58266.57</v>
      </c>
      <c r="AE287" s="124">
        <v>58266.57</v>
      </c>
      <c r="AF287" s="124">
        <v>57765.9</v>
      </c>
      <c r="AG287" s="124">
        <v>57765.9</v>
      </c>
      <c r="AH287" s="124">
        <v>57765.9</v>
      </c>
      <c r="AI287" s="124">
        <v>57765.9</v>
      </c>
      <c r="AJ287" s="124">
        <v>57765.9</v>
      </c>
      <c r="AK287" s="124">
        <v>57765.9</v>
      </c>
      <c r="AL287" s="124">
        <v>57765.9</v>
      </c>
      <c r="AM287" s="124">
        <v>57765.9</v>
      </c>
      <c r="AN287" s="124">
        <v>57765.9</v>
      </c>
      <c r="AO287" s="125">
        <v>57765.9</v>
      </c>
      <c r="AP287" s="125">
        <v>57765.9</v>
      </c>
      <c r="AQ287" s="125">
        <v>57765.9</v>
      </c>
      <c r="AR287" s="125">
        <v>57423.14</v>
      </c>
      <c r="AS287" s="125">
        <v>57423.14</v>
      </c>
      <c r="AT287" s="125">
        <v>57423.14</v>
      </c>
      <c r="AU287" s="125">
        <v>80197.56</v>
      </c>
      <c r="AV287" s="125">
        <v>184574.46</v>
      </c>
      <c r="AW287" s="125">
        <v>375541.25</v>
      </c>
      <c r="AX287" s="125">
        <v>60000</v>
      </c>
      <c r="AY287" s="126"/>
      <c r="AZ287" s="126"/>
      <c r="BA287" s="126"/>
      <c r="BB287" s="126"/>
      <c r="BC287" s="126"/>
      <c r="BD287" s="126"/>
      <c r="BE287" s="126"/>
      <c r="BF287" s="127">
        <v>190205</v>
      </c>
      <c r="BG287" s="97" t="s">
        <v>258</v>
      </c>
      <c r="BH287" s="127">
        <v>57765.9</v>
      </c>
      <c r="BI287" s="127">
        <v>190205</v>
      </c>
      <c r="BJ287" s="97" t="s">
        <v>258</v>
      </c>
      <c r="BK287" s="127">
        <v>57765.9</v>
      </c>
    </row>
    <row r="288" spans="1:63" x14ac:dyDescent="0.25">
      <c r="B288" s="121">
        <v>190210</v>
      </c>
      <c r="C288" s="122" t="s">
        <v>259</v>
      </c>
      <c r="D288" s="123">
        <v>140271.32999999999</v>
      </c>
      <c r="E288" s="123">
        <v>136130.12</v>
      </c>
      <c r="F288" s="123">
        <v>131953.81</v>
      </c>
      <c r="G288" s="123">
        <v>125401.32</v>
      </c>
      <c r="H288" s="123">
        <v>121957.53</v>
      </c>
      <c r="I288" s="123">
        <v>58266.57</v>
      </c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9"/>
      <c r="AD288" s="129"/>
      <c r="AE288" s="129"/>
      <c r="AF288" s="129"/>
      <c r="AG288" s="129"/>
      <c r="AH288" s="129"/>
      <c r="AI288" s="129"/>
      <c r="AJ288" s="124">
        <v>0</v>
      </c>
      <c r="AK288" s="124">
        <v>0</v>
      </c>
      <c r="AL288" s="124">
        <v>0</v>
      </c>
      <c r="AM288" s="124">
        <v>0</v>
      </c>
      <c r="AN288" s="124">
        <v>0</v>
      </c>
      <c r="AO288" s="125">
        <v>0</v>
      </c>
      <c r="AP288" s="125">
        <v>0</v>
      </c>
      <c r="AQ288" s="125">
        <v>0</v>
      </c>
      <c r="AR288" s="125">
        <v>0</v>
      </c>
      <c r="AS288" s="125">
        <v>0</v>
      </c>
      <c r="AT288" s="125">
        <v>0</v>
      </c>
      <c r="AU288" s="125">
        <v>0</v>
      </c>
      <c r="AV288" s="125">
        <v>0</v>
      </c>
      <c r="AW288" s="125">
        <v>0</v>
      </c>
      <c r="AX288" s="125">
        <v>0</v>
      </c>
      <c r="AY288" s="126"/>
      <c r="AZ288" s="126"/>
      <c r="BA288" s="126"/>
      <c r="BB288" s="126"/>
      <c r="BC288" s="126"/>
      <c r="BD288" s="126"/>
      <c r="BE288" s="126"/>
    </row>
    <row r="289" spans="1:63" x14ac:dyDescent="0.25">
      <c r="B289" s="121">
        <v>19021005</v>
      </c>
      <c r="C289" s="122" t="s">
        <v>260</v>
      </c>
      <c r="D289" s="123">
        <v>5467.66</v>
      </c>
      <c r="E289" s="123">
        <v>5780.1</v>
      </c>
      <c r="F289" s="123">
        <v>5982.63</v>
      </c>
      <c r="G289" s="123">
        <v>3710.61</v>
      </c>
      <c r="H289" s="123">
        <v>3812.12</v>
      </c>
      <c r="I289" s="123">
        <v>-23519.23</v>
      </c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9"/>
      <c r="AD289" s="129"/>
      <c r="AE289" s="129"/>
      <c r="AF289" s="129"/>
      <c r="AG289" s="129"/>
      <c r="AH289" s="129"/>
      <c r="AI289" s="129"/>
      <c r="AJ289" s="124">
        <v>0</v>
      </c>
      <c r="AK289" s="124">
        <v>0</v>
      </c>
      <c r="AL289" s="124">
        <v>0</v>
      </c>
      <c r="AM289" s="124">
        <v>0</v>
      </c>
      <c r="AN289" s="124">
        <v>0</v>
      </c>
      <c r="AO289" s="125">
        <v>0</v>
      </c>
      <c r="AP289" s="125">
        <v>0</v>
      </c>
      <c r="AQ289" s="125">
        <v>0</v>
      </c>
      <c r="AR289" s="125">
        <v>0</v>
      </c>
      <c r="AS289" s="125">
        <v>0</v>
      </c>
      <c r="AT289" s="125">
        <v>0</v>
      </c>
      <c r="AU289" s="125">
        <v>0</v>
      </c>
      <c r="AV289" s="125">
        <v>0</v>
      </c>
      <c r="AW289" s="125">
        <v>0</v>
      </c>
      <c r="AX289" s="125">
        <v>0</v>
      </c>
      <c r="AY289" s="126"/>
      <c r="AZ289" s="126"/>
      <c r="BA289" s="126"/>
      <c r="BB289" s="126"/>
      <c r="BC289" s="126"/>
      <c r="BD289" s="126"/>
      <c r="BE289" s="126"/>
    </row>
    <row r="290" spans="1:63" x14ac:dyDescent="0.25">
      <c r="B290" s="146">
        <v>19021010</v>
      </c>
      <c r="C290" s="97" t="s">
        <v>261</v>
      </c>
      <c r="D290" s="123">
        <v>8832.49</v>
      </c>
      <c r="E290" s="123">
        <v>8659.31</v>
      </c>
      <c r="F290" s="123">
        <v>7825.77</v>
      </c>
      <c r="G290" s="123">
        <v>7086.35</v>
      </c>
      <c r="H290" s="123">
        <v>7094.69</v>
      </c>
      <c r="I290" s="123">
        <v>2002.51</v>
      </c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9"/>
      <c r="AD290" s="129"/>
      <c r="AE290" s="129"/>
      <c r="AF290" s="129"/>
      <c r="AG290" s="129"/>
      <c r="AH290" s="129"/>
      <c r="AI290" s="129"/>
      <c r="AJ290" s="124">
        <v>0</v>
      </c>
      <c r="AK290" s="124">
        <v>0</v>
      </c>
      <c r="AL290" s="124">
        <v>0</v>
      </c>
      <c r="AM290" s="124">
        <v>0</v>
      </c>
      <c r="AN290" s="124">
        <v>0</v>
      </c>
      <c r="AO290" s="125">
        <v>0</v>
      </c>
      <c r="AP290" s="125">
        <v>0</v>
      </c>
      <c r="AQ290" s="125">
        <v>0</v>
      </c>
      <c r="AR290" s="125">
        <v>0</v>
      </c>
      <c r="AS290" s="125">
        <v>0</v>
      </c>
      <c r="AT290" s="125">
        <v>0</v>
      </c>
      <c r="AU290" s="125">
        <v>0</v>
      </c>
      <c r="AV290" s="125">
        <v>0</v>
      </c>
      <c r="AW290" s="125">
        <v>0</v>
      </c>
      <c r="AX290" s="125">
        <v>0</v>
      </c>
      <c r="AY290" s="126"/>
      <c r="AZ290" s="126"/>
      <c r="BA290" s="126"/>
      <c r="BB290" s="126"/>
      <c r="BC290" s="126"/>
      <c r="BD290" s="126"/>
      <c r="BE290" s="126"/>
    </row>
    <row r="291" spans="1:63" x14ac:dyDescent="0.25">
      <c r="B291" s="146">
        <v>19021015</v>
      </c>
      <c r="C291" s="97" t="s">
        <v>262</v>
      </c>
      <c r="D291" s="123">
        <v>11366.82</v>
      </c>
      <c r="E291" s="123">
        <v>10639.99</v>
      </c>
      <c r="F291" s="123">
        <v>9369.5</v>
      </c>
      <c r="G291" s="123">
        <v>8134.15</v>
      </c>
      <c r="H291" s="123">
        <v>6963.78</v>
      </c>
      <c r="I291" s="123">
        <v>2355.48</v>
      </c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9"/>
      <c r="AD291" s="129"/>
      <c r="AE291" s="129"/>
      <c r="AF291" s="129"/>
      <c r="AG291" s="129"/>
      <c r="AH291" s="129"/>
      <c r="AI291" s="129"/>
      <c r="AJ291" s="124">
        <v>0</v>
      </c>
      <c r="AK291" s="124">
        <v>0</v>
      </c>
      <c r="AL291" s="124">
        <v>0</v>
      </c>
      <c r="AM291" s="124">
        <v>0</v>
      </c>
      <c r="AN291" s="124">
        <v>0</v>
      </c>
      <c r="AO291" s="125">
        <v>0</v>
      </c>
      <c r="AP291" s="125">
        <v>0</v>
      </c>
      <c r="AQ291" s="125">
        <v>0</v>
      </c>
      <c r="AR291" s="125">
        <v>0</v>
      </c>
      <c r="AS291" s="125">
        <v>0</v>
      </c>
      <c r="AT291" s="125">
        <v>0</v>
      </c>
      <c r="AU291" s="125">
        <v>0</v>
      </c>
      <c r="AV291" s="125">
        <v>0</v>
      </c>
      <c r="AW291" s="125">
        <v>0</v>
      </c>
      <c r="AX291" s="125">
        <v>0</v>
      </c>
      <c r="AY291" s="126"/>
      <c r="AZ291" s="126"/>
      <c r="BA291" s="126"/>
      <c r="BB291" s="126"/>
      <c r="BC291" s="126"/>
      <c r="BD291" s="126"/>
      <c r="BE291" s="126"/>
    </row>
    <row r="292" spans="1:63" x14ac:dyDescent="0.25">
      <c r="B292" s="121">
        <v>19021020</v>
      </c>
      <c r="C292" s="122" t="s">
        <v>263</v>
      </c>
      <c r="D292" s="123">
        <v>15332.56</v>
      </c>
      <c r="E292" s="123">
        <v>14213.75</v>
      </c>
      <c r="F292" s="123">
        <v>14406.83</v>
      </c>
      <c r="G292" s="123">
        <v>14725.32</v>
      </c>
      <c r="H292" s="123">
        <v>14879.13</v>
      </c>
      <c r="I292" s="123">
        <v>5017.1899999999996</v>
      </c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9"/>
      <c r="AD292" s="129"/>
      <c r="AE292" s="129"/>
      <c r="AF292" s="129"/>
      <c r="AG292" s="129"/>
      <c r="AH292" s="129"/>
      <c r="AI292" s="129"/>
      <c r="AJ292" s="124">
        <v>0</v>
      </c>
      <c r="AK292" s="124">
        <v>0</v>
      </c>
      <c r="AL292" s="124">
        <v>0</v>
      </c>
      <c r="AM292" s="124">
        <v>0</v>
      </c>
      <c r="AN292" s="124">
        <v>0</v>
      </c>
      <c r="AO292" s="125">
        <v>0</v>
      </c>
      <c r="AP292" s="125">
        <v>0</v>
      </c>
      <c r="AQ292" s="125">
        <v>0</v>
      </c>
      <c r="AR292" s="125">
        <v>0</v>
      </c>
      <c r="AS292" s="125">
        <v>0</v>
      </c>
      <c r="AT292" s="125">
        <v>0</v>
      </c>
      <c r="AU292" s="125">
        <v>0</v>
      </c>
      <c r="AV292" s="125">
        <v>0</v>
      </c>
      <c r="AW292" s="125">
        <v>0</v>
      </c>
      <c r="AX292" s="125">
        <v>0</v>
      </c>
      <c r="AY292" s="126"/>
      <c r="AZ292" s="126"/>
      <c r="BA292" s="126"/>
      <c r="BB292" s="126"/>
      <c r="BC292" s="126"/>
      <c r="BD292" s="126"/>
      <c r="BE292" s="126"/>
    </row>
    <row r="293" spans="1:63" x14ac:dyDescent="0.25">
      <c r="B293" s="121">
        <v>19021025</v>
      </c>
      <c r="C293" s="122" t="s">
        <v>264</v>
      </c>
      <c r="D293" s="123">
        <v>99271.8</v>
      </c>
      <c r="E293" s="123">
        <v>96836.97</v>
      </c>
      <c r="F293" s="123">
        <v>94369.08</v>
      </c>
      <c r="G293" s="123">
        <v>91744.89</v>
      </c>
      <c r="H293" s="123">
        <v>89207.81</v>
      </c>
      <c r="I293" s="123">
        <v>14144.05</v>
      </c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9"/>
      <c r="AD293" s="129"/>
      <c r="AE293" s="129"/>
      <c r="AF293" s="129"/>
      <c r="AG293" s="129"/>
      <c r="AH293" s="129"/>
      <c r="AI293" s="129"/>
      <c r="AJ293" s="124">
        <v>0</v>
      </c>
      <c r="AK293" s="124">
        <v>0</v>
      </c>
      <c r="AL293" s="124">
        <v>0</v>
      </c>
      <c r="AM293" s="124">
        <v>0</v>
      </c>
      <c r="AN293" s="124">
        <v>0</v>
      </c>
      <c r="AO293" s="125">
        <v>0</v>
      </c>
      <c r="AP293" s="125">
        <v>0</v>
      </c>
      <c r="AQ293" s="125">
        <v>0</v>
      </c>
      <c r="AR293" s="125">
        <v>0</v>
      </c>
      <c r="AS293" s="125">
        <v>0</v>
      </c>
      <c r="AT293" s="125">
        <v>0</v>
      </c>
      <c r="AU293" s="125">
        <v>0</v>
      </c>
      <c r="AV293" s="125">
        <v>0</v>
      </c>
      <c r="AW293" s="125">
        <v>0</v>
      </c>
      <c r="AX293" s="125">
        <v>0</v>
      </c>
      <c r="AY293" s="126"/>
      <c r="AZ293" s="126"/>
      <c r="BA293" s="126"/>
      <c r="BB293" s="126"/>
      <c r="BC293" s="126"/>
      <c r="BD293" s="126"/>
      <c r="BE293" s="126"/>
    </row>
    <row r="294" spans="1:63" x14ac:dyDescent="0.25">
      <c r="B294" s="121">
        <v>190245</v>
      </c>
      <c r="C294" s="122" t="s">
        <v>265</v>
      </c>
      <c r="D294" s="123">
        <v>1115.97</v>
      </c>
      <c r="E294" s="123">
        <v>1290.3599999999999</v>
      </c>
      <c r="F294" s="123">
        <v>1335.1</v>
      </c>
      <c r="G294" s="123">
        <v>1141.57</v>
      </c>
      <c r="H294" s="123">
        <v>1129.07</v>
      </c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9"/>
      <c r="AD294" s="129"/>
      <c r="AE294" s="129"/>
      <c r="AF294" s="129"/>
      <c r="AG294" s="129"/>
      <c r="AH294" s="129"/>
      <c r="AI294" s="129"/>
      <c r="AJ294" s="124">
        <v>0</v>
      </c>
      <c r="AK294" s="124">
        <v>0</v>
      </c>
      <c r="AL294" s="124">
        <v>0</v>
      </c>
      <c r="AM294" s="124">
        <v>0</v>
      </c>
      <c r="AN294" s="124">
        <v>0</v>
      </c>
      <c r="AO294" s="125">
        <v>0</v>
      </c>
      <c r="AP294" s="125">
        <v>0</v>
      </c>
      <c r="AQ294" s="125">
        <v>0</v>
      </c>
      <c r="AR294" s="125">
        <v>0</v>
      </c>
      <c r="AS294" s="125">
        <v>0</v>
      </c>
      <c r="AT294" s="125">
        <v>0</v>
      </c>
      <c r="AU294" s="125">
        <v>0</v>
      </c>
      <c r="AV294" s="125">
        <v>0</v>
      </c>
      <c r="AW294" s="125">
        <v>0</v>
      </c>
      <c r="AX294" s="125">
        <v>0</v>
      </c>
      <c r="AY294" s="126"/>
      <c r="AZ294" s="126"/>
      <c r="BA294" s="126"/>
      <c r="BB294" s="126"/>
      <c r="BC294" s="126"/>
      <c r="BD294" s="126"/>
      <c r="BE294" s="126"/>
    </row>
    <row r="295" spans="1:63" x14ac:dyDescent="0.25">
      <c r="B295" s="121">
        <v>190286</v>
      </c>
      <c r="C295" s="122" t="s">
        <v>266</v>
      </c>
      <c r="D295" s="123">
        <v>754382.96</v>
      </c>
      <c r="E295" s="123">
        <v>792543.15</v>
      </c>
      <c r="F295" s="123">
        <v>831732.11</v>
      </c>
      <c r="G295" s="123">
        <v>849843.68</v>
      </c>
      <c r="H295" s="123">
        <v>862847.29</v>
      </c>
      <c r="I295" s="123">
        <v>876214.21</v>
      </c>
      <c r="J295" s="123">
        <v>876865.34</v>
      </c>
      <c r="K295" s="123">
        <v>872986.44</v>
      </c>
      <c r="L295" s="123">
        <v>875624.95999999996</v>
      </c>
      <c r="M295" s="123">
        <v>879577.02</v>
      </c>
      <c r="N295" s="123">
        <v>908373.81</v>
      </c>
      <c r="O295" s="123">
        <v>915422.66</v>
      </c>
      <c r="P295" s="123">
        <v>916392.76</v>
      </c>
      <c r="Q295" s="123">
        <v>925496.57</v>
      </c>
      <c r="R295" s="123">
        <v>929447.86</v>
      </c>
      <c r="S295" s="123">
        <v>923922.64</v>
      </c>
      <c r="T295" s="123">
        <v>920295.63</v>
      </c>
      <c r="U295" s="123">
        <v>913847.57</v>
      </c>
      <c r="V295" s="123">
        <v>900374.41</v>
      </c>
      <c r="W295" s="123">
        <v>887372.2</v>
      </c>
      <c r="X295" s="123">
        <v>880210.85</v>
      </c>
      <c r="Y295" s="123">
        <v>875072.91</v>
      </c>
      <c r="Z295" s="123">
        <v>866125.89</v>
      </c>
      <c r="AA295" s="123">
        <v>876776.11</v>
      </c>
      <c r="AB295" s="123">
        <v>882841.98</v>
      </c>
      <c r="AC295" s="124">
        <v>887784.89</v>
      </c>
      <c r="AD295" s="124">
        <v>889839.42</v>
      </c>
      <c r="AE295" s="124">
        <v>884628.31</v>
      </c>
      <c r="AF295" s="124">
        <v>888545.3</v>
      </c>
      <c r="AG295" s="124">
        <v>897232.07</v>
      </c>
      <c r="AH295" s="124">
        <v>924849.46</v>
      </c>
      <c r="AI295" s="124">
        <v>994146.6</v>
      </c>
      <c r="AJ295" s="124">
        <v>904374.92</v>
      </c>
      <c r="AK295" s="124">
        <v>973859.29</v>
      </c>
      <c r="AL295" s="124">
        <v>971193.54</v>
      </c>
      <c r="AM295" s="124">
        <v>987526.6</v>
      </c>
      <c r="AN295" s="124">
        <v>1004877.22</v>
      </c>
      <c r="AO295" s="125">
        <v>1057968.6200000001</v>
      </c>
      <c r="AP295" s="125">
        <v>1084680.53</v>
      </c>
      <c r="AQ295" s="125">
        <v>1112157.19</v>
      </c>
      <c r="AR295" s="125">
        <v>1164161.95</v>
      </c>
      <c r="AS295" s="125">
        <v>1190727.79</v>
      </c>
      <c r="AT295" s="125">
        <v>1187850.58</v>
      </c>
      <c r="AU295" s="125">
        <v>1216847.96</v>
      </c>
      <c r="AV295" s="125">
        <v>1261888.69</v>
      </c>
      <c r="AW295" s="125">
        <v>1298966.51</v>
      </c>
      <c r="AX295" s="125">
        <v>1322717.78</v>
      </c>
      <c r="AY295" s="126"/>
      <c r="AZ295" s="126"/>
      <c r="BA295" s="126"/>
      <c r="BB295" s="126"/>
      <c r="BC295" s="126"/>
      <c r="BD295" s="126"/>
      <c r="BE295" s="126"/>
      <c r="BF295" s="127">
        <v>190286</v>
      </c>
      <c r="BG295" s="97" t="s">
        <v>266</v>
      </c>
      <c r="BH295" s="127">
        <v>924849.46</v>
      </c>
      <c r="BI295" s="127">
        <v>190286</v>
      </c>
      <c r="BJ295" s="97" t="s">
        <v>266</v>
      </c>
      <c r="BK295" s="127">
        <v>994146.6</v>
      </c>
    </row>
    <row r="296" spans="1:63" x14ac:dyDescent="0.25">
      <c r="B296" s="121">
        <v>1904</v>
      </c>
      <c r="C296" s="122" t="s">
        <v>267</v>
      </c>
      <c r="D296" s="116">
        <v>72149.61</v>
      </c>
      <c r="E296" s="116">
        <v>70775.95</v>
      </c>
      <c r="F296" s="116">
        <v>68612.47</v>
      </c>
      <c r="G296" s="116">
        <v>68364.33</v>
      </c>
      <c r="H296" s="116">
        <v>66869.33</v>
      </c>
      <c r="I296" s="116">
        <v>66333.8</v>
      </c>
      <c r="J296" s="116">
        <v>64377.57</v>
      </c>
      <c r="K296" s="116">
        <v>86697.23</v>
      </c>
      <c r="L296" s="116">
        <v>69674.789999999994</v>
      </c>
      <c r="M296" s="116">
        <v>60841.59</v>
      </c>
      <c r="N296" s="116">
        <v>61121.45</v>
      </c>
      <c r="O296" s="116">
        <v>60627.63</v>
      </c>
      <c r="P296" s="116">
        <v>58673.19</v>
      </c>
      <c r="Q296" s="116">
        <v>56637.66</v>
      </c>
      <c r="R296" s="116">
        <v>67184.759999999995</v>
      </c>
      <c r="S296" s="116">
        <v>55245.5</v>
      </c>
      <c r="T296" s="116">
        <v>54182.55</v>
      </c>
      <c r="U296" s="116">
        <v>84611.28</v>
      </c>
      <c r="V296" s="116">
        <v>65669.259999999995</v>
      </c>
      <c r="W296" s="116">
        <v>49673.2</v>
      </c>
      <c r="X296" s="116">
        <v>44170.47</v>
      </c>
      <c r="Y296" s="116">
        <v>41815.71</v>
      </c>
      <c r="Z296" s="116">
        <v>39619.53</v>
      </c>
      <c r="AA296" s="116">
        <v>36267.129999999997</v>
      </c>
      <c r="AB296" s="116">
        <v>14109.49</v>
      </c>
      <c r="AC296" s="124">
        <v>13781.33</v>
      </c>
      <c r="AD296" s="124">
        <v>13210.01</v>
      </c>
      <c r="AE296" s="124">
        <v>12765.18</v>
      </c>
      <c r="AF296" s="124">
        <v>12319.87</v>
      </c>
      <c r="AG296" s="124">
        <v>11887.28</v>
      </c>
      <c r="AH296" s="124">
        <v>11463.94</v>
      </c>
      <c r="AI296" s="124">
        <v>11075.49</v>
      </c>
      <c r="AJ296" s="124">
        <v>10643</v>
      </c>
      <c r="AK296" s="124">
        <v>10227.1</v>
      </c>
      <c r="AL296" s="124">
        <v>9753.1</v>
      </c>
      <c r="AM296" s="124">
        <v>1826575.61</v>
      </c>
      <c r="AN296" s="124">
        <v>1841819.98</v>
      </c>
      <c r="AO296" s="125">
        <v>1795857.51</v>
      </c>
      <c r="AP296" s="125">
        <v>1757361.87</v>
      </c>
      <c r="AQ296" s="125">
        <v>1709085.3</v>
      </c>
      <c r="AR296" s="125">
        <v>1670394.98</v>
      </c>
      <c r="AS296" s="125">
        <v>1659965.91</v>
      </c>
      <c r="AT296" s="125">
        <v>1612230.43</v>
      </c>
      <c r="AU296" s="125">
        <v>1572355.74</v>
      </c>
      <c r="AV296" s="125">
        <v>1605493.68</v>
      </c>
      <c r="AW296" s="125">
        <v>1616341.17</v>
      </c>
      <c r="AX296" s="125">
        <v>1628649.98</v>
      </c>
      <c r="AY296" s="126"/>
      <c r="AZ296" s="126"/>
      <c r="BA296" s="126"/>
      <c r="BB296" s="126"/>
      <c r="BC296" s="126"/>
      <c r="BD296" s="126"/>
      <c r="BE296" s="126"/>
      <c r="BF296" s="127">
        <v>1904</v>
      </c>
      <c r="BG296" s="97" t="s">
        <v>267</v>
      </c>
      <c r="BH296" s="127">
        <v>11463.94</v>
      </c>
      <c r="BI296" s="127">
        <v>1904</v>
      </c>
      <c r="BJ296" s="97" t="s">
        <v>267</v>
      </c>
      <c r="BK296" s="127">
        <v>11075.49</v>
      </c>
    </row>
    <row r="297" spans="1:63" x14ac:dyDescent="0.25">
      <c r="B297" s="121">
        <v>190410</v>
      </c>
      <c r="C297" s="122" t="s">
        <v>268</v>
      </c>
      <c r="D297" s="123">
        <v>1</v>
      </c>
      <c r="E297" s="123">
        <v>1</v>
      </c>
      <c r="F297" s="123">
        <v>1</v>
      </c>
      <c r="G297" s="123">
        <v>1</v>
      </c>
      <c r="H297" s="123">
        <v>1</v>
      </c>
      <c r="I297" s="123">
        <v>1</v>
      </c>
      <c r="J297" s="123">
        <v>1</v>
      </c>
      <c r="K297" s="123">
        <v>1</v>
      </c>
      <c r="L297" s="123">
        <v>1</v>
      </c>
      <c r="M297" s="123">
        <v>1</v>
      </c>
      <c r="N297" s="123">
        <v>1</v>
      </c>
      <c r="O297" s="123">
        <v>1</v>
      </c>
      <c r="P297" s="123">
        <v>1</v>
      </c>
      <c r="Q297" s="123">
        <v>1</v>
      </c>
      <c r="R297" s="123">
        <v>1</v>
      </c>
      <c r="S297" s="123">
        <v>1</v>
      </c>
      <c r="T297" s="123">
        <v>1</v>
      </c>
      <c r="U297" s="123">
        <v>1</v>
      </c>
      <c r="V297" s="123">
        <v>1</v>
      </c>
      <c r="W297" s="123">
        <v>1</v>
      </c>
      <c r="X297" s="123">
        <v>1</v>
      </c>
      <c r="Y297" s="123">
        <v>1</v>
      </c>
      <c r="Z297" s="123">
        <v>1</v>
      </c>
      <c r="AA297" s="123">
        <v>1</v>
      </c>
      <c r="AB297" s="123">
        <v>1</v>
      </c>
      <c r="AC297" s="124">
        <v>1</v>
      </c>
      <c r="AD297" s="124">
        <v>1</v>
      </c>
      <c r="AE297" s="124">
        <v>1</v>
      </c>
      <c r="AF297" s="124">
        <v>1</v>
      </c>
      <c r="AG297" s="124">
        <v>1</v>
      </c>
      <c r="AH297" s="124">
        <v>1</v>
      </c>
      <c r="AI297" s="124">
        <v>1</v>
      </c>
      <c r="AJ297" s="124">
        <v>1</v>
      </c>
      <c r="AK297" s="124">
        <v>1</v>
      </c>
      <c r="AL297" s="124">
        <v>1</v>
      </c>
      <c r="AM297" s="124">
        <v>769</v>
      </c>
      <c r="AN297" s="124">
        <v>769</v>
      </c>
      <c r="AO297" s="125">
        <v>1</v>
      </c>
      <c r="AP297" s="125">
        <v>1</v>
      </c>
      <c r="AQ297" s="125">
        <v>1</v>
      </c>
      <c r="AR297" s="125">
        <v>1</v>
      </c>
      <c r="AS297" s="125">
        <v>1</v>
      </c>
      <c r="AT297" s="125">
        <v>1</v>
      </c>
      <c r="AU297" s="125">
        <v>1</v>
      </c>
      <c r="AV297" s="125">
        <v>1</v>
      </c>
      <c r="AW297" s="125">
        <v>1</v>
      </c>
      <c r="AX297" s="125">
        <v>1</v>
      </c>
      <c r="AY297" s="126"/>
      <c r="AZ297" s="126"/>
      <c r="BA297" s="126"/>
      <c r="BB297" s="126"/>
      <c r="BC297" s="126"/>
      <c r="BD297" s="126"/>
      <c r="BE297" s="126"/>
      <c r="BF297" s="127">
        <v>190410</v>
      </c>
      <c r="BG297" s="97" t="s">
        <v>268</v>
      </c>
      <c r="BH297" s="127">
        <v>1</v>
      </c>
      <c r="BI297" s="127">
        <v>190410</v>
      </c>
      <c r="BJ297" s="97" t="s">
        <v>268</v>
      </c>
      <c r="BK297" s="127">
        <v>1</v>
      </c>
    </row>
    <row r="298" spans="1:63" x14ac:dyDescent="0.25">
      <c r="B298" s="121">
        <v>190490</v>
      </c>
      <c r="C298" s="122" t="s">
        <v>249</v>
      </c>
      <c r="D298" s="123">
        <v>72148.61</v>
      </c>
      <c r="E298" s="123">
        <v>70774.95</v>
      </c>
      <c r="F298" s="123">
        <v>68611.47</v>
      </c>
      <c r="G298" s="123">
        <v>68363.33</v>
      </c>
      <c r="H298" s="123">
        <v>66868.33</v>
      </c>
      <c r="I298" s="123">
        <v>66332.800000000003</v>
      </c>
      <c r="J298" s="123">
        <v>64376.57</v>
      </c>
      <c r="K298" s="123">
        <v>86696.23</v>
      </c>
      <c r="L298" s="123">
        <v>69673.789999999994</v>
      </c>
      <c r="M298" s="123">
        <v>60840.59</v>
      </c>
      <c r="N298" s="123">
        <v>61120.45</v>
      </c>
      <c r="O298" s="123">
        <v>60626.63</v>
      </c>
      <c r="P298" s="123">
        <v>58672.19</v>
      </c>
      <c r="Q298" s="123">
        <v>56636.66</v>
      </c>
      <c r="R298" s="123">
        <v>67183.759999999995</v>
      </c>
      <c r="S298" s="123">
        <v>55244.5</v>
      </c>
      <c r="T298" s="123">
        <v>54181.55</v>
      </c>
      <c r="U298" s="123">
        <v>84610.28</v>
      </c>
      <c r="V298" s="123">
        <v>65668.259999999995</v>
      </c>
      <c r="W298" s="123">
        <v>49672.2</v>
      </c>
      <c r="X298" s="123">
        <v>44169.47</v>
      </c>
      <c r="Y298" s="123">
        <v>41814.71</v>
      </c>
      <c r="Z298" s="123">
        <v>39760.879999999997</v>
      </c>
      <c r="AA298" s="123">
        <v>36408.480000000003</v>
      </c>
      <c r="AB298" s="123">
        <v>14250.84</v>
      </c>
      <c r="AC298" s="124">
        <v>13780.33</v>
      </c>
      <c r="AD298" s="124">
        <v>13209.01</v>
      </c>
      <c r="AE298" s="124">
        <v>12764.18</v>
      </c>
      <c r="AF298" s="124">
        <v>12318.87</v>
      </c>
      <c r="AG298" s="124">
        <v>11886.28</v>
      </c>
      <c r="AH298" s="124">
        <v>11462.94</v>
      </c>
      <c r="AI298" s="124">
        <v>11074.49</v>
      </c>
      <c r="AJ298" s="124">
        <v>10642</v>
      </c>
      <c r="AK298" s="124">
        <v>10226.1</v>
      </c>
      <c r="AL298" s="124">
        <v>9752.1</v>
      </c>
      <c r="AM298" s="124">
        <v>1825806.61</v>
      </c>
      <c r="AN298" s="124">
        <v>1841050.98</v>
      </c>
      <c r="AO298" s="125">
        <v>1795856.51</v>
      </c>
      <c r="AP298" s="125">
        <v>1757360.87</v>
      </c>
      <c r="AQ298" s="125">
        <v>1709084.3</v>
      </c>
      <c r="AR298" s="125">
        <v>1670393.98</v>
      </c>
      <c r="AS298" s="125">
        <v>1659964.91</v>
      </c>
      <c r="AT298" s="125">
        <v>1612229.43</v>
      </c>
      <c r="AU298" s="125">
        <v>1572354.74</v>
      </c>
      <c r="AV298" s="125">
        <v>1605492.68</v>
      </c>
      <c r="AW298" s="125">
        <v>1616340.17</v>
      </c>
      <c r="AX298" s="125">
        <v>1628648.98</v>
      </c>
      <c r="AY298" s="126"/>
      <c r="AZ298" s="126"/>
      <c r="BA298" s="126"/>
      <c r="BB298" s="126"/>
      <c r="BC298" s="126"/>
      <c r="BD298" s="126"/>
      <c r="BE298" s="126"/>
      <c r="BF298" s="127">
        <v>190490</v>
      </c>
      <c r="BG298" s="97" t="s">
        <v>249</v>
      </c>
      <c r="BH298" s="127">
        <v>11462.94</v>
      </c>
      <c r="BI298" s="127">
        <v>190490</v>
      </c>
      <c r="BJ298" s="97" t="s">
        <v>249</v>
      </c>
      <c r="BK298" s="127">
        <v>11074.49</v>
      </c>
    </row>
    <row r="299" spans="1:63" x14ac:dyDescent="0.25">
      <c r="B299" s="142">
        <v>19049005</v>
      </c>
      <c r="C299" s="147" t="s">
        <v>269</v>
      </c>
      <c r="D299" s="123">
        <v>72148.61</v>
      </c>
      <c r="E299" s="123">
        <v>70774.95</v>
      </c>
      <c r="F299" s="123">
        <v>68611.47</v>
      </c>
      <c r="G299" s="123">
        <v>68363.33</v>
      </c>
      <c r="H299" s="123">
        <v>66868.33</v>
      </c>
      <c r="I299" s="123">
        <v>66332.800000000003</v>
      </c>
      <c r="J299" s="123">
        <v>64376.57</v>
      </c>
      <c r="K299" s="123">
        <v>63469.54</v>
      </c>
      <c r="L299" s="123">
        <v>62304.33</v>
      </c>
      <c r="M299" s="123">
        <v>60840.17</v>
      </c>
      <c r="N299" s="123">
        <v>61120.03</v>
      </c>
      <c r="O299" s="123">
        <v>60626.21</v>
      </c>
      <c r="P299" s="123">
        <v>58671.77</v>
      </c>
      <c r="Q299" s="123">
        <v>56636.24</v>
      </c>
      <c r="R299" s="123">
        <v>56127.31</v>
      </c>
      <c r="S299" s="123">
        <v>55244.08</v>
      </c>
      <c r="T299" s="123">
        <v>54181.13</v>
      </c>
      <c r="U299" s="123">
        <v>49630.03</v>
      </c>
      <c r="V299" s="123">
        <v>47565.46</v>
      </c>
      <c r="W299" s="123">
        <v>45624.97</v>
      </c>
      <c r="X299" s="123">
        <v>44169.47</v>
      </c>
      <c r="Y299" s="123">
        <v>41814.71</v>
      </c>
      <c r="Z299" s="123">
        <v>39760.879999999997</v>
      </c>
      <c r="AA299" s="123">
        <v>36408.480000000003</v>
      </c>
      <c r="AB299" s="123">
        <v>14250.84</v>
      </c>
      <c r="AC299" s="124">
        <v>13780.33</v>
      </c>
      <c r="AD299" s="124">
        <v>13209.01</v>
      </c>
      <c r="AE299" s="124">
        <v>12764.18</v>
      </c>
      <c r="AF299" s="124">
        <v>12318.87</v>
      </c>
      <c r="AG299" s="124">
        <v>11886.28</v>
      </c>
      <c r="AH299" s="124">
        <v>11462.94</v>
      </c>
      <c r="AI299" s="124">
        <v>11074.49</v>
      </c>
      <c r="AJ299" s="124">
        <v>10642</v>
      </c>
      <c r="AK299" s="124">
        <v>10226.1</v>
      </c>
      <c r="AL299" s="124">
        <v>9752.1</v>
      </c>
      <c r="AM299" s="124">
        <v>9443.89</v>
      </c>
      <c r="AN299" s="124">
        <v>9212.18</v>
      </c>
      <c r="AO299" s="125">
        <v>9026.41</v>
      </c>
      <c r="AP299" s="125">
        <v>8896.1299999999992</v>
      </c>
      <c r="AQ299" s="125">
        <v>8771.7900000000009</v>
      </c>
      <c r="AR299" s="125">
        <v>8655.4</v>
      </c>
      <c r="AS299" s="125">
        <v>8542.39</v>
      </c>
      <c r="AT299" s="125">
        <v>8439.4699999999993</v>
      </c>
      <c r="AU299" s="125">
        <v>8382.44</v>
      </c>
      <c r="AV299" s="125">
        <v>8332.39</v>
      </c>
      <c r="AW299" s="125">
        <v>8283.39</v>
      </c>
      <c r="AX299" s="125">
        <v>8248.36</v>
      </c>
      <c r="AY299" s="126"/>
      <c r="AZ299" s="126"/>
      <c r="BA299" s="126"/>
      <c r="BB299" s="126"/>
      <c r="BC299" s="126"/>
      <c r="BD299" s="126"/>
      <c r="BE299" s="126"/>
      <c r="BF299" s="127">
        <v>19049005</v>
      </c>
      <c r="BG299" s="97" t="s">
        <v>269</v>
      </c>
      <c r="BH299" s="127">
        <v>11462.94</v>
      </c>
      <c r="BI299" s="127">
        <v>19049005</v>
      </c>
      <c r="BJ299" s="97" t="s">
        <v>269</v>
      </c>
      <c r="BK299" s="127">
        <v>11074.49</v>
      </c>
    </row>
    <row r="300" spans="1:63" x14ac:dyDescent="0.25">
      <c r="B300" s="121">
        <v>19049090</v>
      </c>
      <c r="C300" s="122" t="s">
        <v>225</v>
      </c>
      <c r="D300" s="128"/>
      <c r="E300" s="128"/>
      <c r="F300" s="128"/>
      <c r="G300" s="128"/>
      <c r="H300" s="128"/>
      <c r="I300" s="128"/>
      <c r="J300" s="128"/>
      <c r="K300" s="123">
        <v>23226.69</v>
      </c>
      <c r="L300" s="123">
        <v>7369.46</v>
      </c>
      <c r="M300" s="123">
        <v>0.42</v>
      </c>
      <c r="N300" s="123">
        <v>0.42</v>
      </c>
      <c r="O300" s="123">
        <v>0.42</v>
      </c>
      <c r="P300" s="123">
        <v>0.42</v>
      </c>
      <c r="Q300" s="123">
        <v>0.42</v>
      </c>
      <c r="R300" s="123">
        <v>11056.45</v>
      </c>
      <c r="S300" s="123">
        <v>0.42</v>
      </c>
      <c r="T300" s="123">
        <v>0.42</v>
      </c>
      <c r="U300" s="123">
        <v>34980.25</v>
      </c>
      <c r="V300" s="123">
        <v>18102.8</v>
      </c>
      <c r="W300" s="123">
        <v>4047.23</v>
      </c>
      <c r="X300" s="128"/>
      <c r="Y300" s="128"/>
      <c r="Z300" s="128"/>
      <c r="AA300" s="128"/>
      <c r="AB300" s="128"/>
      <c r="AC300" s="129"/>
      <c r="AD300" s="129"/>
      <c r="AE300" s="129"/>
      <c r="AF300" s="129"/>
      <c r="AG300" s="129"/>
      <c r="AH300" s="129"/>
      <c r="AI300" s="129"/>
      <c r="AJ300" s="124">
        <v>0</v>
      </c>
      <c r="AK300" s="124">
        <v>0</v>
      </c>
      <c r="AL300" s="124">
        <v>0</v>
      </c>
      <c r="AM300" s="124">
        <v>0</v>
      </c>
      <c r="AN300" s="124">
        <v>0</v>
      </c>
      <c r="AO300" s="125">
        <v>0</v>
      </c>
      <c r="AP300" s="125">
        <v>0</v>
      </c>
      <c r="AQ300" s="125">
        <v>0</v>
      </c>
      <c r="AR300" s="125">
        <v>0</v>
      </c>
      <c r="AS300" s="125">
        <v>0</v>
      </c>
      <c r="AT300" s="125">
        <v>0</v>
      </c>
      <c r="AU300" s="125">
        <v>0</v>
      </c>
      <c r="AV300" s="125">
        <v>0</v>
      </c>
      <c r="AW300" s="125">
        <v>0</v>
      </c>
      <c r="AX300" s="125">
        <v>0</v>
      </c>
      <c r="AY300" s="126"/>
      <c r="AZ300" s="126"/>
      <c r="BA300" s="126"/>
      <c r="BB300" s="126"/>
      <c r="BC300" s="126"/>
      <c r="BD300" s="126"/>
      <c r="BE300" s="126"/>
    </row>
    <row r="301" spans="1:63" x14ac:dyDescent="0.25">
      <c r="B301" s="121">
        <v>190499</v>
      </c>
      <c r="C301" s="122" t="s">
        <v>270</v>
      </c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3">
        <v>-142.35</v>
      </c>
      <c r="AA301" s="123">
        <v>-142.35</v>
      </c>
      <c r="AB301" s="123">
        <v>-142.35</v>
      </c>
      <c r="AC301" s="129"/>
      <c r="AD301" s="129"/>
      <c r="AE301" s="129"/>
      <c r="AF301" s="129"/>
      <c r="AG301" s="129"/>
      <c r="AH301" s="129"/>
      <c r="AI301" s="129"/>
      <c r="AJ301" s="124">
        <v>0</v>
      </c>
      <c r="AK301" s="124">
        <v>0</v>
      </c>
      <c r="AL301" s="124">
        <v>0</v>
      </c>
      <c r="AM301" s="124">
        <v>0</v>
      </c>
      <c r="AN301" s="124">
        <v>0</v>
      </c>
      <c r="AO301" s="125">
        <v>0</v>
      </c>
      <c r="AP301" s="125">
        <v>0</v>
      </c>
      <c r="AQ301" s="125">
        <v>0</v>
      </c>
      <c r="AR301" s="125">
        <v>0</v>
      </c>
      <c r="AS301" s="125">
        <v>0</v>
      </c>
      <c r="AT301" s="125">
        <v>0</v>
      </c>
      <c r="AU301" s="125">
        <v>0</v>
      </c>
      <c r="AV301" s="125">
        <v>0</v>
      </c>
      <c r="AW301" s="125">
        <v>0</v>
      </c>
      <c r="AX301" s="125">
        <v>0</v>
      </c>
      <c r="AY301" s="126"/>
      <c r="AZ301" s="126"/>
      <c r="BA301" s="126"/>
      <c r="BB301" s="126"/>
      <c r="BC301" s="126"/>
      <c r="BD301" s="126"/>
      <c r="BE301" s="126"/>
    </row>
    <row r="302" spans="1:63" x14ac:dyDescent="0.25">
      <c r="B302" s="121">
        <v>1905</v>
      </c>
      <c r="C302" s="122" t="s">
        <v>271</v>
      </c>
      <c r="D302" s="116">
        <v>1596956.24</v>
      </c>
      <c r="E302" s="116">
        <v>1609391.61</v>
      </c>
      <c r="F302" s="116">
        <v>1609167.21</v>
      </c>
      <c r="G302" s="116">
        <v>1706464.25</v>
      </c>
      <c r="H302" s="116">
        <v>1691435.06</v>
      </c>
      <c r="I302" s="116">
        <v>1672145.61</v>
      </c>
      <c r="J302" s="116">
        <v>1652962.02</v>
      </c>
      <c r="K302" s="116">
        <v>1652761.15</v>
      </c>
      <c r="L302" s="116">
        <v>1650968.84</v>
      </c>
      <c r="M302" s="116">
        <v>1644950.04</v>
      </c>
      <c r="N302" s="116">
        <v>1659450.38</v>
      </c>
      <c r="O302" s="116">
        <v>1665990.54</v>
      </c>
      <c r="P302" s="116">
        <v>1652784.82</v>
      </c>
      <c r="Q302" s="116">
        <v>1662539.52</v>
      </c>
      <c r="R302" s="116">
        <v>1644006.77</v>
      </c>
      <c r="S302" s="116">
        <v>1633783.6</v>
      </c>
      <c r="T302" s="116">
        <v>1612431.89</v>
      </c>
      <c r="U302" s="116">
        <v>1623055.62</v>
      </c>
      <c r="V302" s="116">
        <v>1601309.31</v>
      </c>
      <c r="W302" s="116">
        <v>1574472.35</v>
      </c>
      <c r="X302" s="116">
        <v>1546896.06</v>
      </c>
      <c r="Y302" s="116">
        <v>1516907.8</v>
      </c>
      <c r="Z302" s="116">
        <v>1507463.75</v>
      </c>
      <c r="AA302" s="116">
        <v>1500085.15</v>
      </c>
      <c r="AB302" s="116">
        <v>1543123.53</v>
      </c>
      <c r="AC302" s="124">
        <v>1565914.29</v>
      </c>
      <c r="AD302" s="124">
        <v>1554872.84</v>
      </c>
      <c r="AE302" s="124">
        <v>1543398.91</v>
      </c>
      <c r="AF302" s="124">
        <v>1528734.18</v>
      </c>
      <c r="AG302" s="124">
        <v>1525735.21</v>
      </c>
      <c r="AH302" s="124">
        <v>1507184.5</v>
      </c>
      <c r="AI302" s="124">
        <v>1501344.44</v>
      </c>
      <c r="AJ302" s="124">
        <v>1527788.6</v>
      </c>
      <c r="AK302" s="124">
        <v>1563194.97</v>
      </c>
      <c r="AL302" s="124">
        <v>1564030.09</v>
      </c>
      <c r="AM302" s="124">
        <v>1554826.53</v>
      </c>
      <c r="AN302" s="124">
        <v>1561419.11</v>
      </c>
      <c r="AO302" s="125">
        <v>1557893.32</v>
      </c>
      <c r="AP302" s="125">
        <v>1531045.21</v>
      </c>
      <c r="AQ302" s="125">
        <v>1535374.78</v>
      </c>
      <c r="AR302" s="125">
        <v>1500440.93</v>
      </c>
      <c r="AS302" s="125">
        <v>1537704.37</v>
      </c>
      <c r="AT302" s="125">
        <v>1522473.99</v>
      </c>
      <c r="AU302" s="125">
        <v>1688758.68</v>
      </c>
      <c r="AV302" s="125">
        <v>1697220.75</v>
      </c>
      <c r="AW302" s="125">
        <v>1654405.41</v>
      </c>
      <c r="AX302" s="125">
        <v>1571034.72</v>
      </c>
      <c r="AY302" s="126"/>
      <c r="AZ302" s="126"/>
      <c r="BA302" s="126"/>
      <c r="BB302" s="126"/>
      <c r="BC302" s="126"/>
      <c r="BD302" s="126"/>
      <c r="BE302" s="126"/>
      <c r="BF302" s="127">
        <v>1905</v>
      </c>
      <c r="BG302" s="97" t="s">
        <v>271</v>
      </c>
      <c r="BH302" s="127">
        <v>1507184.5</v>
      </c>
      <c r="BI302" s="127">
        <v>1905</v>
      </c>
      <c r="BJ302" s="97" t="s">
        <v>271</v>
      </c>
      <c r="BK302" s="127">
        <v>1501344.44</v>
      </c>
    </row>
    <row r="303" spans="1:63" x14ac:dyDescent="0.25">
      <c r="B303" s="121">
        <v>190520</v>
      </c>
      <c r="C303" s="122" t="s">
        <v>272</v>
      </c>
      <c r="D303" s="123">
        <v>4119504.66</v>
      </c>
      <c r="E303" s="123">
        <v>4124915.58</v>
      </c>
      <c r="F303" s="123">
        <v>4128326.5</v>
      </c>
      <c r="G303" s="123">
        <v>4130706.67</v>
      </c>
      <c r="H303" s="123">
        <v>4133856.08</v>
      </c>
      <c r="I303" s="123">
        <v>4134852.16</v>
      </c>
      <c r="J303" s="123">
        <v>4135848.24</v>
      </c>
      <c r="K303" s="123">
        <v>4135848.24</v>
      </c>
      <c r="L303" s="123">
        <v>4153844.32</v>
      </c>
      <c r="M303" s="123">
        <v>4163536.48</v>
      </c>
      <c r="N303" s="123">
        <v>4175632.56</v>
      </c>
      <c r="O303" s="123">
        <v>4177928.64</v>
      </c>
      <c r="P303" s="123">
        <v>4178924.72</v>
      </c>
      <c r="Q303" s="123">
        <v>4184720.8</v>
      </c>
      <c r="R303" s="123">
        <v>4185716.88</v>
      </c>
      <c r="S303" s="123">
        <v>4185716.88</v>
      </c>
      <c r="T303" s="123">
        <v>4185716.88</v>
      </c>
      <c r="U303" s="123">
        <v>4190256.39</v>
      </c>
      <c r="V303" s="123">
        <v>4192850.99</v>
      </c>
      <c r="W303" s="123">
        <v>4194364.16</v>
      </c>
      <c r="X303" s="123">
        <v>4200377.33</v>
      </c>
      <c r="Y303" s="123">
        <v>4201890.5</v>
      </c>
      <c r="Z303" s="123">
        <v>4205803.67</v>
      </c>
      <c r="AA303" s="123">
        <v>4227316.84</v>
      </c>
      <c r="AB303" s="123">
        <v>4195095.55</v>
      </c>
      <c r="AC303" s="124">
        <v>4222058.72</v>
      </c>
      <c r="AD303" s="124">
        <v>4218771.8899999997</v>
      </c>
      <c r="AE303" s="124">
        <v>4218771.8899999997</v>
      </c>
      <c r="AF303" s="124">
        <v>4238771.8899999997</v>
      </c>
      <c r="AG303" s="124">
        <v>4241739.7699999996</v>
      </c>
      <c r="AH303" s="124">
        <v>4245352.53</v>
      </c>
      <c r="AI303" s="124">
        <v>4266833.91</v>
      </c>
      <c r="AJ303" s="124">
        <v>4269515.29</v>
      </c>
      <c r="AK303" s="124">
        <v>4271224.75</v>
      </c>
      <c r="AL303" s="124">
        <v>4294013.82</v>
      </c>
      <c r="AM303" s="124">
        <v>4302406.71</v>
      </c>
      <c r="AN303" s="124">
        <v>4349528.55</v>
      </c>
      <c r="AO303" s="125">
        <v>4357862.43</v>
      </c>
      <c r="AP303" s="125">
        <v>4362212.01</v>
      </c>
      <c r="AQ303" s="125">
        <v>4404047.01</v>
      </c>
      <c r="AR303" s="125">
        <v>4406122.3899999997</v>
      </c>
      <c r="AS303" s="125">
        <v>4421120.03</v>
      </c>
      <c r="AT303" s="125">
        <v>4445195.46</v>
      </c>
      <c r="AU303" s="125">
        <v>4464788.13</v>
      </c>
      <c r="AV303" s="125">
        <v>4472609.16</v>
      </c>
      <c r="AW303" s="125">
        <v>4502060.1900000004</v>
      </c>
      <c r="AX303" s="125">
        <v>4516861.22</v>
      </c>
      <c r="AY303" s="126"/>
      <c r="AZ303" s="126"/>
      <c r="BA303" s="126"/>
      <c r="BB303" s="126"/>
      <c r="BC303" s="126"/>
      <c r="BD303" s="126"/>
      <c r="BE303" s="126"/>
      <c r="BF303" s="127">
        <v>190520</v>
      </c>
      <c r="BG303" s="97" t="s">
        <v>272</v>
      </c>
      <c r="BH303" s="127">
        <v>4245352.53</v>
      </c>
      <c r="BI303" s="127">
        <v>190520</v>
      </c>
      <c r="BJ303" s="97" t="s">
        <v>272</v>
      </c>
      <c r="BK303" s="127">
        <v>4266833.91</v>
      </c>
    </row>
    <row r="304" spans="1:63" s="113" customFormat="1" x14ac:dyDescent="0.25">
      <c r="A304" s="97"/>
      <c r="B304" s="121">
        <v>190525</v>
      </c>
      <c r="C304" s="122" t="s">
        <v>273</v>
      </c>
      <c r="D304" s="123">
        <v>999768.92</v>
      </c>
      <c r="E304" s="123">
        <v>999768.92</v>
      </c>
      <c r="F304" s="123">
        <v>999768.92</v>
      </c>
      <c r="G304" s="123">
        <v>999768.92</v>
      </c>
      <c r="H304" s="123">
        <v>999768.92</v>
      </c>
      <c r="I304" s="123">
        <v>999768.92</v>
      </c>
      <c r="J304" s="123">
        <v>999768.92</v>
      </c>
      <c r="K304" s="123">
        <v>999768.92</v>
      </c>
      <c r="L304" s="123">
        <v>999768.92</v>
      </c>
      <c r="M304" s="123">
        <v>999768.92</v>
      </c>
      <c r="N304" s="123">
        <v>999768.92</v>
      </c>
      <c r="O304" s="123">
        <v>999768.92</v>
      </c>
      <c r="P304" s="123">
        <v>999768.92</v>
      </c>
      <c r="Q304" s="123">
        <v>999768.92</v>
      </c>
      <c r="R304" s="123">
        <v>999768.92</v>
      </c>
      <c r="S304" s="123">
        <v>999768.92</v>
      </c>
      <c r="T304" s="123">
        <v>999768.92</v>
      </c>
      <c r="U304" s="123">
        <v>999768.92</v>
      </c>
      <c r="V304" s="123">
        <v>999768.92</v>
      </c>
      <c r="W304" s="123">
        <v>999768.92</v>
      </c>
      <c r="X304" s="123">
        <v>999768.92</v>
      </c>
      <c r="Y304" s="123">
        <v>999768.92</v>
      </c>
      <c r="Z304" s="123">
        <v>999768.92</v>
      </c>
      <c r="AA304" s="123">
        <v>999768.92</v>
      </c>
      <c r="AB304" s="123">
        <v>999768.92</v>
      </c>
      <c r="AC304" s="124">
        <v>999768.92</v>
      </c>
      <c r="AD304" s="124">
        <v>999768.92</v>
      </c>
      <c r="AE304" s="124">
        <v>999768.92</v>
      </c>
      <c r="AF304" s="124">
        <v>999768.92</v>
      </c>
      <c r="AG304" s="124">
        <v>999768.92</v>
      </c>
      <c r="AH304" s="124">
        <v>999768.92</v>
      </c>
      <c r="AI304" s="124">
        <v>999768.92</v>
      </c>
      <c r="AJ304" s="124">
        <v>1020649.35</v>
      </c>
      <c r="AK304" s="124">
        <v>1030410.23</v>
      </c>
      <c r="AL304" s="124">
        <v>1044216.33</v>
      </c>
      <c r="AM304" s="124">
        <v>1061100.33</v>
      </c>
      <c r="AN304" s="124">
        <v>1061100.33</v>
      </c>
      <c r="AO304" s="125">
        <v>1080604.19</v>
      </c>
      <c r="AP304" s="125">
        <v>1080604.19</v>
      </c>
      <c r="AQ304" s="125">
        <v>1080604.19</v>
      </c>
      <c r="AR304" s="125">
        <v>1080604.19</v>
      </c>
      <c r="AS304" s="125">
        <v>1087386.8</v>
      </c>
      <c r="AT304" s="125">
        <v>1087386.8</v>
      </c>
      <c r="AU304" s="125">
        <v>1088186.83</v>
      </c>
      <c r="AV304" s="125">
        <v>1088186.83</v>
      </c>
      <c r="AW304" s="125">
        <v>1088186.83</v>
      </c>
      <c r="AX304" s="125">
        <v>1088186.83</v>
      </c>
      <c r="AY304" s="126"/>
      <c r="AZ304" s="126"/>
      <c r="BA304" s="126"/>
      <c r="BB304" s="126"/>
      <c r="BC304" s="126"/>
      <c r="BD304" s="126"/>
      <c r="BE304" s="126"/>
      <c r="BF304" s="127">
        <v>190525</v>
      </c>
      <c r="BG304" s="97" t="s">
        <v>273</v>
      </c>
      <c r="BH304" s="127">
        <v>999768.92</v>
      </c>
      <c r="BI304" s="127">
        <v>190525</v>
      </c>
      <c r="BJ304" s="97" t="s">
        <v>273</v>
      </c>
      <c r="BK304" s="127">
        <v>999768.92</v>
      </c>
    </row>
    <row r="305" spans="1:63" x14ac:dyDescent="0.25">
      <c r="B305" s="121">
        <v>190590</v>
      </c>
      <c r="C305" s="122" t="s">
        <v>249</v>
      </c>
      <c r="D305" s="123">
        <v>398034.04</v>
      </c>
      <c r="E305" s="123">
        <v>400764.23</v>
      </c>
      <c r="F305" s="123">
        <v>410761.16</v>
      </c>
      <c r="G305" s="123">
        <v>525283.87</v>
      </c>
      <c r="H305" s="123">
        <v>526737.82999999996</v>
      </c>
      <c r="I305" s="123">
        <v>526191.79</v>
      </c>
      <c r="J305" s="123">
        <v>525645.76</v>
      </c>
      <c r="K305" s="123">
        <v>545547.02</v>
      </c>
      <c r="L305" s="123">
        <v>544900.1</v>
      </c>
      <c r="M305" s="123">
        <v>548253.18000000005</v>
      </c>
      <c r="N305" s="123">
        <v>568802.82999999996</v>
      </c>
      <c r="O305" s="123">
        <v>572155.91</v>
      </c>
      <c r="P305" s="123">
        <v>571508.98</v>
      </c>
      <c r="Q305" s="123">
        <v>593940.13</v>
      </c>
      <c r="R305" s="123">
        <v>593245.56999999995</v>
      </c>
      <c r="S305" s="123">
        <v>601551.01</v>
      </c>
      <c r="T305" s="123">
        <v>605551.01</v>
      </c>
      <c r="U305" s="123">
        <v>645255.99</v>
      </c>
      <c r="V305" s="123">
        <v>648561.42000000004</v>
      </c>
      <c r="W305" s="123">
        <v>654053.97</v>
      </c>
      <c r="X305" s="123">
        <v>653369.19999999995</v>
      </c>
      <c r="Y305" s="123">
        <v>652684.43000000005</v>
      </c>
      <c r="Z305" s="123">
        <v>671790.97</v>
      </c>
      <c r="AA305" s="123">
        <v>671790.97</v>
      </c>
      <c r="AB305" s="123">
        <v>502525.65</v>
      </c>
      <c r="AC305" s="124">
        <v>524822.63</v>
      </c>
      <c r="AD305" s="124">
        <v>435273.47</v>
      </c>
      <c r="AE305" s="124">
        <v>456779.86</v>
      </c>
      <c r="AF305" s="124">
        <v>456136.25</v>
      </c>
      <c r="AG305" s="124">
        <v>491885.36</v>
      </c>
      <c r="AH305" s="124">
        <v>514452.11</v>
      </c>
      <c r="AI305" s="124">
        <v>516617.74</v>
      </c>
      <c r="AJ305" s="124">
        <v>558945.89</v>
      </c>
      <c r="AK305" s="124">
        <v>627817.6</v>
      </c>
      <c r="AL305" s="124">
        <v>642752.01</v>
      </c>
      <c r="AM305" s="124">
        <v>645094.44999999995</v>
      </c>
      <c r="AN305" s="124">
        <v>651578.18000000005</v>
      </c>
      <c r="AO305" s="125">
        <v>660715.39</v>
      </c>
      <c r="AP305" s="125">
        <v>666569.32999999996</v>
      </c>
      <c r="AQ305" s="125">
        <v>665802.69999999995</v>
      </c>
      <c r="AR305" s="125">
        <v>664999.25</v>
      </c>
      <c r="AS305" s="125">
        <v>721439.32</v>
      </c>
      <c r="AT305" s="125">
        <v>725420.95</v>
      </c>
      <c r="AU305" s="125">
        <v>915043.61</v>
      </c>
      <c r="AV305" s="125">
        <v>1020923.48</v>
      </c>
      <c r="AW305" s="125">
        <v>1060185.24</v>
      </c>
      <c r="AX305" s="125">
        <v>1075942.26</v>
      </c>
      <c r="AY305" s="126"/>
      <c r="AZ305" s="126"/>
      <c r="BA305" s="126"/>
      <c r="BB305" s="126"/>
      <c r="BC305" s="126"/>
      <c r="BD305" s="126"/>
      <c r="BE305" s="126"/>
      <c r="BF305" s="127">
        <v>190590</v>
      </c>
      <c r="BG305" s="97" t="s">
        <v>249</v>
      </c>
      <c r="BH305" s="127">
        <v>514452.11</v>
      </c>
      <c r="BI305" s="127">
        <v>190590</v>
      </c>
      <c r="BJ305" s="97" t="s">
        <v>249</v>
      </c>
      <c r="BK305" s="127">
        <v>516617.74</v>
      </c>
    </row>
    <row r="306" spans="1:63" x14ac:dyDescent="0.25">
      <c r="B306" s="121">
        <v>190599</v>
      </c>
      <c r="C306" s="122" t="s">
        <v>274</v>
      </c>
      <c r="D306" s="123">
        <v>-3920351.38</v>
      </c>
      <c r="E306" s="123">
        <v>-3916057.12</v>
      </c>
      <c r="F306" s="123">
        <v>-3929689.37</v>
      </c>
      <c r="G306" s="123">
        <v>-3949295.21</v>
      </c>
      <c r="H306" s="123">
        <v>-3968927.77</v>
      </c>
      <c r="I306" s="123">
        <v>-3988667.26</v>
      </c>
      <c r="J306" s="123">
        <v>-4008300.9</v>
      </c>
      <c r="K306" s="123">
        <v>-4028403.03</v>
      </c>
      <c r="L306" s="123">
        <v>-4047544.5</v>
      </c>
      <c r="M306" s="123">
        <v>-4066608.54</v>
      </c>
      <c r="N306" s="123">
        <v>-4084753.93</v>
      </c>
      <c r="O306" s="123">
        <v>-4083862.93</v>
      </c>
      <c r="P306" s="123">
        <v>-4097417.8</v>
      </c>
      <c r="Q306" s="123">
        <v>-4115890.33</v>
      </c>
      <c r="R306" s="123">
        <v>-4134724.6</v>
      </c>
      <c r="S306" s="123">
        <v>-4153253.21</v>
      </c>
      <c r="T306" s="123">
        <v>-4178604.92</v>
      </c>
      <c r="U306" s="123">
        <v>-4212225.68</v>
      </c>
      <c r="V306" s="123">
        <v>-4239872.0199999996</v>
      </c>
      <c r="W306" s="123">
        <v>-4273714.7</v>
      </c>
      <c r="X306" s="123">
        <v>-4306619.3899999997</v>
      </c>
      <c r="Y306" s="123">
        <v>-4337436.05</v>
      </c>
      <c r="Z306" s="123">
        <v>-4369899.8099999996</v>
      </c>
      <c r="AA306" s="123">
        <v>-4398791.58</v>
      </c>
      <c r="AB306" s="123">
        <v>-4154266.59</v>
      </c>
      <c r="AC306" s="124">
        <v>-4180735.98</v>
      </c>
      <c r="AD306" s="124">
        <v>-4098941.44</v>
      </c>
      <c r="AE306" s="124">
        <v>-4131921.76</v>
      </c>
      <c r="AF306" s="124">
        <v>-4165942.88</v>
      </c>
      <c r="AG306" s="124">
        <v>-4207658.84</v>
      </c>
      <c r="AH306" s="124">
        <v>-4252389.0599999996</v>
      </c>
      <c r="AI306" s="124">
        <v>-4281876.13</v>
      </c>
      <c r="AJ306" s="124">
        <v>-4321321.93</v>
      </c>
      <c r="AK306" s="124">
        <v>-4366257.6100000003</v>
      </c>
      <c r="AL306" s="124">
        <v>-4416952.07</v>
      </c>
      <c r="AM306" s="124">
        <v>-4453774.96</v>
      </c>
      <c r="AN306" s="124">
        <v>-4500787.95</v>
      </c>
      <c r="AO306" s="125">
        <v>-4541288.6900000004</v>
      </c>
      <c r="AP306" s="125">
        <v>-4578340.32</v>
      </c>
      <c r="AQ306" s="125">
        <v>-4615079.12</v>
      </c>
      <c r="AR306" s="125">
        <v>-4651284.9000000004</v>
      </c>
      <c r="AS306" s="125">
        <v>-4692241.78</v>
      </c>
      <c r="AT306" s="125">
        <v>-4735529.22</v>
      </c>
      <c r="AU306" s="125">
        <v>-4779259.8899999997</v>
      </c>
      <c r="AV306" s="125">
        <v>-4884498.72</v>
      </c>
      <c r="AW306" s="125">
        <v>-4996026.8499999996</v>
      </c>
      <c r="AX306" s="125">
        <v>-5109955.59</v>
      </c>
      <c r="AY306" s="126"/>
      <c r="AZ306" s="126"/>
      <c r="BA306" s="126"/>
      <c r="BB306" s="126"/>
      <c r="BC306" s="126"/>
      <c r="BD306" s="126"/>
      <c r="BE306" s="126"/>
      <c r="BF306" s="127">
        <v>190599</v>
      </c>
      <c r="BG306" s="97" t="s">
        <v>274</v>
      </c>
      <c r="BH306" s="127">
        <v>-4252389.0599999996</v>
      </c>
      <c r="BI306" s="127">
        <v>190599</v>
      </c>
      <c r="BJ306" s="97" t="s">
        <v>274</v>
      </c>
      <c r="BK306" s="127">
        <v>-4281876.13</v>
      </c>
    </row>
    <row r="307" spans="1:63" x14ac:dyDescent="0.25">
      <c r="B307" s="121">
        <v>1906</v>
      </c>
      <c r="C307" s="122" t="s">
        <v>275</v>
      </c>
      <c r="D307" s="116">
        <v>16515.55</v>
      </c>
      <c r="E307" s="116">
        <v>18041.939999999999</v>
      </c>
      <c r="F307" s="116">
        <v>17659.79</v>
      </c>
      <c r="G307" s="116">
        <v>17659.79</v>
      </c>
      <c r="H307" s="116">
        <v>17104.25</v>
      </c>
      <c r="I307" s="116">
        <v>18288.53</v>
      </c>
      <c r="J307" s="116">
        <v>17604.099999999999</v>
      </c>
      <c r="K307" s="116">
        <v>17846.919999999998</v>
      </c>
      <c r="L307" s="116">
        <v>16521.599999999999</v>
      </c>
      <c r="M307" s="116">
        <v>16214.55</v>
      </c>
      <c r="N307" s="116">
        <v>16214.55</v>
      </c>
      <c r="O307" s="116">
        <v>16244.81</v>
      </c>
      <c r="P307" s="116">
        <v>15633.98</v>
      </c>
      <c r="Q307" s="116">
        <v>15980.2</v>
      </c>
      <c r="R307" s="116">
        <v>17257.12</v>
      </c>
      <c r="S307" s="116">
        <v>18698.830000000002</v>
      </c>
      <c r="T307" s="116">
        <v>19103.560000000001</v>
      </c>
      <c r="U307" s="116">
        <v>19319.560000000001</v>
      </c>
      <c r="V307" s="116">
        <v>11314.79</v>
      </c>
      <c r="W307" s="116">
        <v>11314.79</v>
      </c>
      <c r="X307" s="116">
        <v>15022.66</v>
      </c>
      <c r="Y307" s="116">
        <v>18561.599999999999</v>
      </c>
      <c r="Z307" s="116">
        <v>21793.82</v>
      </c>
      <c r="AA307" s="116">
        <v>24774</v>
      </c>
      <c r="AB307" s="116">
        <v>31988.53</v>
      </c>
      <c r="AC307" s="124">
        <v>32456.18</v>
      </c>
      <c r="AD307" s="124">
        <v>30550.240000000002</v>
      </c>
      <c r="AE307" s="124">
        <v>29046.25</v>
      </c>
      <c r="AF307" s="124">
        <v>30458.639999999999</v>
      </c>
      <c r="AG307" s="124">
        <v>30059.03</v>
      </c>
      <c r="AH307" s="124">
        <v>31505.77</v>
      </c>
      <c r="AI307" s="124">
        <v>31505.77</v>
      </c>
      <c r="AJ307" s="124">
        <v>24720.58</v>
      </c>
      <c r="AK307" s="124">
        <v>28887.23</v>
      </c>
      <c r="AL307" s="124">
        <v>27816.34</v>
      </c>
      <c r="AM307" s="124">
        <v>30741.34</v>
      </c>
      <c r="AN307" s="124">
        <v>23023.05</v>
      </c>
      <c r="AO307" s="125">
        <v>24033.05</v>
      </c>
      <c r="AP307" s="125">
        <v>28355.14</v>
      </c>
      <c r="AQ307" s="125">
        <v>21404.37</v>
      </c>
      <c r="AR307" s="125">
        <v>28964.37</v>
      </c>
      <c r="AS307" s="125">
        <v>21149.37</v>
      </c>
      <c r="AT307" s="125">
        <v>21585.49</v>
      </c>
      <c r="AU307" s="125">
        <v>21585.49</v>
      </c>
      <c r="AV307" s="125">
        <v>21889.69</v>
      </c>
      <c r="AW307" s="125">
        <v>19595.87</v>
      </c>
      <c r="AX307" s="125">
        <v>19595.87</v>
      </c>
      <c r="AY307" s="126"/>
      <c r="AZ307" s="126"/>
      <c r="BA307" s="126"/>
      <c r="BB307" s="126"/>
      <c r="BC307" s="126"/>
      <c r="BD307" s="126"/>
      <c r="BE307" s="126"/>
      <c r="BF307" s="127">
        <v>1906</v>
      </c>
      <c r="BG307" s="97" t="s">
        <v>275</v>
      </c>
      <c r="BH307" s="127">
        <v>31505.77</v>
      </c>
      <c r="BI307" s="127">
        <v>1906</v>
      </c>
      <c r="BJ307" s="97" t="s">
        <v>275</v>
      </c>
      <c r="BK307" s="127">
        <v>31505.77</v>
      </c>
    </row>
    <row r="308" spans="1:63" x14ac:dyDescent="0.25">
      <c r="B308" s="121">
        <v>190615</v>
      </c>
      <c r="C308" s="122" t="s">
        <v>276</v>
      </c>
      <c r="D308" s="123">
        <v>16515.55</v>
      </c>
      <c r="E308" s="123">
        <v>18041.939999999999</v>
      </c>
      <c r="F308" s="123">
        <v>17659.79</v>
      </c>
      <c r="G308" s="123">
        <v>17659.79</v>
      </c>
      <c r="H308" s="123">
        <v>17104.25</v>
      </c>
      <c r="I308" s="123">
        <v>18288.53</v>
      </c>
      <c r="J308" s="123">
        <v>17604.099999999999</v>
      </c>
      <c r="K308" s="123">
        <v>17846.919999999998</v>
      </c>
      <c r="L308" s="123">
        <v>16521.599999999999</v>
      </c>
      <c r="M308" s="123">
        <v>16214.55</v>
      </c>
      <c r="N308" s="123">
        <v>16214.55</v>
      </c>
      <c r="O308" s="123">
        <v>16244.81</v>
      </c>
      <c r="P308" s="123">
        <v>15633.98</v>
      </c>
      <c r="Q308" s="123">
        <v>15980.2</v>
      </c>
      <c r="R308" s="123">
        <v>17257.12</v>
      </c>
      <c r="S308" s="123">
        <v>18698.830000000002</v>
      </c>
      <c r="T308" s="123">
        <v>19103.560000000001</v>
      </c>
      <c r="U308" s="123">
        <v>19319.560000000001</v>
      </c>
      <c r="V308" s="123">
        <v>11314.79</v>
      </c>
      <c r="W308" s="123">
        <v>11314.79</v>
      </c>
      <c r="X308" s="123">
        <v>15022.66</v>
      </c>
      <c r="Y308" s="123">
        <v>18561.599999999999</v>
      </c>
      <c r="Z308" s="123">
        <v>21793.82</v>
      </c>
      <c r="AA308" s="123">
        <v>24774</v>
      </c>
      <c r="AB308" s="123">
        <v>31988.53</v>
      </c>
      <c r="AC308" s="124">
        <v>32456.18</v>
      </c>
      <c r="AD308" s="124">
        <v>30550.240000000002</v>
      </c>
      <c r="AE308" s="124">
        <v>29046.25</v>
      </c>
      <c r="AF308" s="124">
        <v>30458.639999999999</v>
      </c>
      <c r="AG308" s="124">
        <v>30059.03</v>
      </c>
      <c r="AH308" s="124">
        <v>31505.77</v>
      </c>
      <c r="AI308" s="124">
        <v>31505.77</v>
      </c>
      <c r="AJ308" s="124">
        <v>24720.58</v>
      </c>
      <c r="AK308" s="124">
        <v>28887.23</v>
      </c>
      <c r="AL308" s="124">
        <v>27816.34</v>
      </c>
      <c r="AM308" s="124">
        <v>30741.34</v>
      </c>
      <c r="AN308" s="124">
        <v>23023.05</v>
      </c>
      <c r="AO308" s="125">
        <v>24033.05</v>
      </c>
      <c r="AP308" s="125">
        <v>28355.14</v>
      </c>
      <c r="AQ308" s="125">
        <v>21404.37</v>
      </c>
      <c r="AR308" s="125">
        <v>28964.37</v>
      </c>
      <c r="AS308" s="125">
        <v>21149.37</v>
      </c>
      <c r="AT308" s="125">
        <v>21585.49</v>
      </c>
      <c r="AU308" s="125">
        <v>21585.49</v>
      </c>
      <c r="AV308" s="125">
        <v>21889.69</v>
      </c>
      <c r="AW308" s="125">
        <v>19595.87</v>
      </c>
      <c r="AX308" s="125">
        <v>19595.87</v>
      </c>
      <c r="AY308" s="126"/>
      <c r="AZ308" s="126"/>
      <c r="BA308" s="126"/>
      <c r="BB308" s="126"/>
      <c r="BC308" s="126"/>
      <c r="BD308" s="126"/>
      <c r="BE308" s="126"/>
      <c r="BF308" s="127">
        <v>190615</v>
      </c>
      <c r="BG308" s="97" t="s">
        <v>276</v>
      </c>
      <c r="BH308" s="127">
        <v>31505.77</v>
      </c>
      <c r="BI308" s="127">
        <v>190615</v>
      </c>
      <c r="BJ308" s="97" t="s">
        <v>276</v>
      </c>
      <c r="BK308" s="127">
        <v>31505.77</v>
      </c>
    </row>
    <row r="309" spans="1:63" x14ac:dyDescent="0.25">
      <c r="A309" s="113"/>
      <c r="B309" s="121">
        <v>19061505</v>
      </c>
      <c r="C309" s="122" t="s">
        <v>277</v>
      </c>
      <c r="D309" s="123">
        <v>4295.8900000000003</v>
      </c>
      <c r="E309" s="123">
        <v>4971.95</v>
      </c>
      <c r="F309" s="123">
        <v>4716.18</v>
      </c>
      <c r="G309" s="123">
        <v>4716.18</v>
      </c>
      <c r="H309" s="123">
        <v>4354.2700000000004</v>
      </c>
      <c r="I309" s="123">
        <v>5224.59</v>
      </c>
      <c r="J309" s="123">
        <v>4957.9399999999996</v>
      </c>
      <c r="K309" s="123">
        <v>5200.76</v>
      </c>
      <c r="L309" s="123">
        <v>4660.1400000000003</v>
      </c>
      <c r="M309" s="123">
        <v>4364.76</v>
      </c>
      <c r="N309" s="123">
        <v>4364.76</v>
      </c>
      <c r="O309" s="123">
        <v>4927.55</v>
      </c>
      <c r="P309" s="123">
        <v>4637.4399999999996</v>
      </c>
      <c r="Q309" s="123">
        <v>4637.4399999999996</v>
      </c>
      <c r="R309" s="123">
        <v>4697.8</v>
      </c>
      <c r="S309" s="123">
        <v>5532.76</v>
      </c>
      <c r="T309" s="123">
        <v>5565.49</v>
      </c>
      <c r="U309" s="123">
        <v>5565.49</v>
      </c>
      <c r="V309" s="123">
        <v>1779.78</v>
      </c>
      <c r="W309" s="123">
        <v>1779.78</v>
      </c>
      <c r="X309" s="123">
        <v>2120.41</v>
      </c>
      <c r="Y309" s="123">
        <v>719.93</v>
      </c>
      <c r="Z309" s="123">
        <v>-411.82</v>
      </c>
      <c r="AA309" s="123">
        <v>-411.82</v>
      </c>
      <c r="AB309" s="123">
        <v>1511.73</v>
      </c>
      <c r="AC309" s="124">
        <v>2121.73</v>
      </c>
      <c r="AD309" s="124">
        <v>1987.03</v>
      </c>
      <c r="AE309" s="124">
        <v>1713.65</v>
      </c>
      <c r="AF309" s="124">
        <v>1517.05</v>
      </c>
      <c r="AG309" s="124">
        <v>1904.7</v>
      </c>
      <c r="AH309" s="124">
        <v>1820.7</v>
      </c>
      <c r="AI309" s="124">
        <v>1820.7</v>
      </c>
      <c r="AJ309" s="124">
        <v>1395.61</v>
      </c>
      <c r="AK309" s="124">
        <v>2697.86</v>
      </c>
      <c r="AL309" s="124">
        <v>1864.06</v>
      </c>
      <c r="AM309" s="124">
        <v>2566.06</v>
      </c>
      <c r="AN309" s="124">
        <v>1888.29</v>
      </c>
      <c r="AO309" s="125">
        <v>2898.29</v>
      </c>
      <c r="AP309" s="125">
        <v>3438.29</v>
      </c>
      <c r="AQ309" s="125">
        <v>2089.92</v>
      </c>
      <c r="AR309" s="125">
        <v>9649.92</v>
      </c>
      <c r="AS309" s="125">
        <v>2089.92</v>
      </c>
      <c r="AT309" s="125">
        <v>2089.92</v>
      </c>
      <c r="AU309" s="125">
        <v>2089.92</v>
      </c>
      <c r="AV309" s="125">
        <v>2394.12</v>
      </c>
      <c r="AW309" s="125">
        <v>2423.44</v>
      </c>
      <c r="AX309" s="125">
        <v>2423.44</v>
      </c>
      <c r="AY309" s="126"/>
      <c r="AZ309" s="126"/>
      <c r="BA309" s="126"/>
      <c r="BB309" s="126"/>
      <c r="BC309" s="126"/>
      <c r="BD309" s="126"/>
      <c r="BE309" s="126"/>
      <c r="BF309" s="127">
        <v>19061505</v>
      </c>
      <c r="BG309" s="97" t="s">
        <v>277</v>
      </c>
      <c r="BH309" s="127">
        <v>1820.7</v>
      </c>
      <c r="BI309" s="127">
        <v>19061505</v>
      </c>
      <c r="BJ309" s="97" t="s">
        <v>277</v>
      </c>
      <c r="BK309" s="127">
        <v>1820.7</v>
      </c>
    </row>
    <row r="310" spans="1:63" x14ac:dyDescent="0.25">
      <c r="B310" s="121">
        <v>19061510</v>
      </c>
      <c r="C310" s="122" t="s">
        <v>278</v>
      </c>
      <c r="D310" s="123">
        <v>12079.8</v>
      </c>
      <c r="E310" s="123">
        <v>12543.92</v>
      </c>
      <c r="F310" s="123">
        <v>12557.22</v>
      </c>
      <c r="G310" s="123">
        <v>12557.22</v>
      </c>
      <c r="H310" s="123">
        <v>12047.94</v>
      </c>
      <c r="I310" s="123">
        <v>12549.41</v>
      </c>
      <c r="J310" s="123">
        <v>12245.31</v>
      </c>
      <c r="K310" s="123">
        <v>12245.31</v>
      </c>
      <c r="L310" s="123">
        <v>11671.7</v>
      </c>
      <c r="M310" s="123">
        <v>11364.83</v>
      </c>
      <c r="N310" s="123">
        <v>11364.83</v>
      </c>
      <c r="O310" s="123">
        <v>11038.27</v>
      </c>
      <c r="P310" s="123">
        <v>10817.44</v>
      </c>
      <c r="Q310" s="123">
        <v>10817.44</v>
      </c>
      <c r="R310" s="123">
        <v>11747.44</v>
      </c>
      <c r="S310" s="123">
        <v>12354.19</v>
      </c>
      <c r="T310" s="123">
        <v>12726.19</v>
      </c>
      <c r="U310" s="123">
        <v>12942.19</v>
      </c>
      <c r="V310" s="123">
        <v>8862.5</v>
      </c>
      <c r="W310" s="123">
        <v>8862.5</v>
      </c>
      <c r="X310" s="123">
        <v>12400.19</v>
      </c>
      <c r="Y310" s="123">
        <v>15656.77</v>
      </c>
      <c r="Z310" s="123">
        <v>19710.05</v>
      </c>
      <c r="AA310" s="123">
        <v>19710.05</v>
      </c>
      <c r="AB310" s="123">
        <v>28788.5</v>
      </c>
      <c r="AC310" s="124">
        <v>28788.5</v>
      </c>
      <c r="AD310" s="124">
        <v>26909.95</v>
      </c>
      <c r="AE310" s="124">
        <v>26289.59</v>
      </c>
      <c r="AF310" s="124">
        <v>28181.39</v>
      </c>
      <c r="AG310" s="124">
        <v>28466.47</v>
      </c>
      <c r="AH310" s="124">
        <v>27214.95</v>
      </c>
      <c r="AI310" s="124">
        <v>27214.95</v>
      </c>
      <c r="AJ310" s="124">
        <v>22125.63</v>
      </c>
      <c r="AK310" s="124">
        <v>22125.63</v>
      </c>
      <c r="AL310" s="124">
        <v>20383.28</v>
      </c>
      <c r="AM310" s="124">
        <v>20383.28</v>
      </c>
      <c r="AN310" s="124">
        <v>15707.72</v>
      </c>
      <c r="AO310" s="125">
        <v>15707.72</v>
      </c>
      <c r="AP310" s="125">
        <v>18532.22</v>
      </c>
      <c r="AQ310" s="125">
        <v>14957.93</v>
      </c>
      <c r="AR310" s="125">
        <v>14957.93</v>
      </c>
      <c r="AS310" s="125">
        <v>14702.93</v>
      </c>
      <c r="AT310" s="125">
        <v>14702.93</v>
      </c>
      <c r="AU310" s="125">
        <v>14702.93</v>
      </c>
      <c r="AV310" s="125">
        <v>14702.93</v>
      </c>
      <c r="AW310" s="125">
        <v>12204.87</v>
      </c>
      <c r="AX310" s="125">
        <v>12204.87</v>
      </c>
      <c r="AY310" s="126"/>
      <c r="AZ310" s="126"/>
      <c r="BA310" s="126"/>
      <c r="BB310" s="126"/>
      <c r="BC310" s="126"/>
      <c r="BD310" s="126"/>
      <c r="BE310" s="126"/>
      <c r="BF310" s="127">
        <v>19061510</v>
      </c>
      <c r="BG310" s="97" t="s">
        <v>278</v>
      </c>
      <c r="BH310" s="127">
        <v>27214.95</v>
      </c>
      <c r="BI310" s="127">
        <v>19061510</v>
      </c>
      <c r="BJ310" s="97" t="s">
        <v>278</v>
      </c>
      <c r="BK310" s="127">
        <v>27214.95</v>
      </c>
    </row>
    <row r="311" spans="1:63" x14ac:dyDescent="0.25">
      <c r="B311" s="121">
        <v>19061515</v>
      </c>
      <c r="C311" s="122" t="s">
        <v>279</v>
      </c>
      <c r="D311" s="123">
        <v>139.86000000000001</v>
      </c>
      <c r="E311" s="123">
        <v>526.07000000000005</v>
      </c>
      <c r="F311" s="123">
        <v>386.39</v>
      </c>
      <c r="G311" s="123">
        <v>386.39</v>
      </c>
      <c r="H311" s="123">
        <v>702.04</v>
      </c>
      <c r="I311" s="123">
        <v>514.53</v>
      </c>
      <c r="J311" s="123">
        <v>400.85</v>
      </c>
      <c r="K311" s="123">
        <v>400.85</v>
      </c>
      <c r="L311" s="123">
        <v>189.76</v>
      </c>
      <c r="M311" s="123">
        <v>484.96</v>
      </c>
      <c r="N311" s="123">
        <v>484.96</v>
      </c>
      <c r="O311" s="123">
        <v>278.99</v>
      </c>
      <c r="P311" s="123">
        <v>179.1</v>
      </c>
      <c r="Q311" s="123">
        <v>525.32000000000005</v>
      </c>
      <c r="R311" s="123">
        <v>811.88</v>
      </c>
      <c r="S311" s="123">
        <v>811.88</v>
      </c>
      <c r="T311" s="123">
        <v>811.88</v>
      </c>
      <c r="U311" s="123">
        <v>811.88</v>
      </c>
      <c r="V311" s="123">
        <v>672.51</v>
      </c>
      <c r="W311" s="123">
        <v>672.51</v>
      </c>
      <c r="X311" s="123">
        <v>502.06</v>
      </c>
      <c r="Y311" s="123">
        <v>617.41</v>
      </c>
      <c r="Z311" s="123">
        <v>928.1</v>
      </c>
      <c r="AA311" s="123">
        <v>1323.6</v>
      </c>
      <c r="AB311" s="123">
        <v>512.28</v>
      </c>
      <c r="AC311" s="124">
        <v>512.28</v>
      </c>
      <c r="AD311" s="124">
        <v>423.25</v>
      </c>
      <c r="AE311" s="124">
        <v>246.04</v>
      </c>
      <c r="AF311" s="124">
        <v>174.6</v>
      </c>
      <c r="AG311" s="124">
        <v>78.59</v>
      </c>
      <c r="AH311" s="124">
        <v>929.89</v>
      </c>
      <c r="AI311" s="124">
        <v>929.89</v>
      </c>
      <c r="AJ311" s="124">
        <v>684.63</v>
      </c>
      <c r="AK311" s="124">
        <v>684.63</v>
      </c>
      <c r="AL311" s="124">
        <v>1155.02</v>
      </c>
      <c r="AM311" s="124">
        <v>1155.02</v>
      </c>
      <c r="AN311" s="124">
        <v>835.07</v>
      </c>
      <c r="AO311" s="125">
        <v>835.07</v>
      </c>
      <c r="AP311" s="125">
        <v>1792.66</v>
      </c>
      <c r="AQ311" s="125">
        <v>1310.96</v>
      </c>
      <c r="AR311" s="125">
        <v>1310.96</v>
      </c>
      <c r="AS311" s="125">
        <v>1310.96</v>
      </c>
      <c r="AT311" s="125">
        <v>1747.08</v>
      </c>
      <c r="AU311" s="125">
        <v>1747.08</v>
      </c>
      <c r="AV311" s="125">
        <v>1747.08</v>
      </c>
      <c r="AW311" s="125">
        <v>1049.95</v>
      </c>
      <c r="AX311" s="125">
        <v>1049.95</v>
      </c>
      <c r="AY311" s="126"/>
      <c r="AZ311" s="126"/>
      <c r="BA311" s="126"/>
      <c r="BB311" s="126"/>
      <c r="BC311" s="126"/>
      <c r="BD311" s="126"/>
      <c r="BE311" s="126"/>
      <c r="BF311" s="127">
        <v>19061515</v>
      </c>
      <c r="BG311" s="97" t="s">
        <v>279</v>
      </c>
      <c r="BH311" s="127">
        <v>929.89</v>
      </c>
      <c r="BI311" s="127">
        <v>19061515</v>
      </c>
      <c r="BJ311" s="97" t="s">
        <v>279</v>
      </c>
      <c r="BK311" s="127">
        <v>929.89</v>
      </c>
    </row>
    <row r="312" spans="1:63" x14ac:dyDescent="0.25">
      <c r="B312" s="121">
        <v>19061520</v>
      </c>
      <c r="C312" s="122" t="s">
        <v>280</v>
      </c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3">
        <v>1567.49</v>
      </c>
      <c r="Z312" s="123">
        <v>1567.49</v>
      </c>
      <c r="AA312" s="123">
        <v>4152.17</v>
      </c>
      <c r="AB312" s="123">
        <v>1176.02</v>
      </c>
      <c r="AC312" s="124">
        <v>1033.67</v>
      </c>
      <c r="AD312" s="124">
        <v>1230.01</v>
      </c>
      <c r="AE312" s="124">
        <v>796.97</v>
      </c>
      <c r="AF312" s="124">
        <v>585.6</v>
      </c>
      <c r="AG312" s="124">
        <v>-390.73</v>
      </c>
      <c r="AH312" s="124">
        <v>1540.23</v>
      </c>
      <c r="AI312" s="124">
        <v>1540.23</v>
      </c>
      <c r="AJ312" s="124">
        <v>514.71</v>
      </c>
      <c r="AK312" s="124">
        <v>3379.11</v>
      </c>
      <c r="AL312" s="124">
        <v>4413.9799999999996</v>
      </c>
      <c r="AM312" s="124">
        <v>6636.98</v>
      </c>
      <c r="AN312" s="124">
        <v>4591.97</v>
      </c>
      <c r="AO312" s="125">
        <v>4591.97</v>
      </c>
      <c r="AP312" s="125">
        <v>4591.97</v>
      </c>
      <c r="AQ312" s="125">
        <v>3045.56</v>
      </c>
      <c r="AR312" s="125">
        <v>3045.56</v>
      </c>
      <c r="AS312" s="125">
        <v>3045.56</v>
      </c>
      <c r="AT312" s="125">
        <v>3045.56</v>
      </c>
      <c r="AU312" s="125">
        <v>3045.56</v>
      </c>
      <c r="AV312" s="125">
        <v>3045.56</v>
      </c>
      <c r="AW312" s="125">
        <v>3917.61</v>
      </c>
      <c r="AX312" s="125">
        <v>3917.61</v>
      </c>
      <c r="AY312" s="126"/>
      <c r="AZ312" s="126"/>
      <c r="BA312" s="126"/>
      <c r="BB312" s="126"/>
      <c r="BC312" s="126"/>
      <c r="BD312" s="126"/>
      <c r="BE312" s="126"/>
      <c r="BF312" s="127">
        <v>19061520</v>
      </c>
      <c r="BG312" s="97" t="s">
        <v>280</v>
      </c>
      <c r="BH312" s="127">
        <v>1540.23</v>
      </c>
      <c r="BI312" s="127">
        <v>19061520</v>
      </c>
      <c r="BJ312" s="97" t="s">
        <v>280</v>
      </c>
      <c r="BK312" s="127">
        <v>1540.23</v>
      </c>
    </row>
    <row r="313" spans="1:63" x14ac:dyDescent="0.25">
      <c r="B313" s="121">
        <v>1990</v>
      </c>
      <c r="C313" s="122" t="s">
        <v>249</v>
      </c>
      <c r="D313" s="116">
        <v>136465.39000000001</v>
      </c>
      <c r="E313" s="116">
        <v>145815.07999999999</v>
      </c>
      <c r="F313" s="116">
        <v>150497.66</v>
      </c>
      <c r="G313" s="116">
        <v>158695.60999999999</v>
      </c>
      <c r="H313" s="116">
        <v>159829.93</v>
      </c>
      <c r="I313" s="116">
        <v>169146.54</v>
      </c>
      <c r="J313" s="116">
        <v>173860.63</v>
      </c>
      <c r="K313" s="116">
        <v>145909.06</v>
      </c>
      <c r="L313" s="116">
        <v>157384.32000000001</v>
      </c>
      <c r="M313" s="116">
        <v>162689.41</v>
      </c>
      <c r="N313" s="116">
        <v>166199.12</v>
      </c>
      <c r="O313" s="116">
        <v>178486.7</v>
      </c>
      <c r="P313" s="116">
        <v>186072.63</v>
      </c>
      <c r="Q313" s="116">
        <v>199807.76</v>
      </c>
      <c r="R313" s="116">
        <v>186429.7</v>
      </c>
      <c r="S313" s="116">
        <v>196585.24</v>
      </c>
      <c r="T313" s="116">
        <v>213648.88</v>
      </c>
      <c r="U313" s="116">
        <v>168818.45</v>
      </c>
      <c r="V313" s="116">
        <v>174352.82</v>
      </c>
      <c r="W313" s="116">
        <v>183514.2</v>
      </c>
      <c r="X313" s="116">
        <v>191082.77</v>
      </c>
      <c r="Y313" s="116">
        <v>199373.15</v>
      </c>
      <c r="Z313" s="116">
        <v>210503.7</v>
      </c>
      <c r="AA313" s="116">
        <v>216563.37</v>
      </c>
      <c r="AB313" s="116">
        <v>231528.75</v>
      </c>
      <c r="AC313" s="124">
        <v>240150.76</v>
      </c>
      <c r="AD313" s="124">
        <v>253062.41</v>
      </c>
      <c r="AE313" s="124">
        <v>267302.93</v>
      </c>
      <c r="AF313" s="124">
        <v>242748.45</v>
      </c>
      <c r="AG313" s="124">
        <v>256589.47</v>
      </c>
      <c r="AH313" s="124">
        <v>264717.25</v>
      </c>
      <c r="AI313" s="124">
        <v>274439.67999999999</v>
      </c>
      <c r="AJ313" s="124">
        <v>285931.27</v>
      </c>
      <c r="AK313" s="124">
        <v>295377.86</v>
      </c>
      <c r="AL313" s="124">
        <v>310179.26</v>
      </c>
      <c r="AM313" s="124">
        <v>316926.07</v>
      </c>
      <c r="AN313" s="124">
        <v>339338.01</v>
      </c>
      <c r="AO313" s="125">
        <v>349845.35</v>
      </c>
      <c r="AP313" s="125">
        <v>405929.66</v>
      </c>
      <c r="AQ313" s="125">
        <v>382974.37</v>
      </c>
      <c r="AR313" s="125">
        <v>397167.24</v>
      </c>
      <c r="AS313" s="125">
        <v>443570.97</v>
      </c>
      <c r="AT313" s="125">
        <v>489814.5</v>
      </c>
      <c r="AU313" s="125">
        <v>468842.79</v>
      </c>
      <c r="AV313" s="125">
        <v>467235.53</v>
      </c>
      <c r="AW313" s="125">
        <v>489369.72</v>
      </c>
      <c r="AX313" s="125">
        <v>514533.89</v>
      </c>
      <c r="AY313" s="126"/>
      <c r="AZ313" s="126"/>
      <c r="BA313" s="126"/>
      <c r="BB313" s="126"/>
      <c r="BC313" s="126"/>
      <c r="BD313" s="126"/>
      <c r="BE313" s="126"/>
      <c r="BF313" s="127">
        <v>1990</v>
      </c>
      <c r="BG313" s="97" t="s">
        <v>249</v>
      </c>
      <c r="BH313" s="127">
        <v>264717.25</v>
      </c>
      <c r="BI313" s="127">
        <v>1990</v>
      </c>
      <c r="BJ313" s="97" t="s">
        <v>249</v>
      </c>
      <c r="BK313" s="127">
        <v>274439.67999999999</v>
      </c>
    </row>
    <row r="314" spans="1:63" x14ac:dyDescent="0.25">
      <c r="B314" s="121">
        <v>199005</v>
      </c>
      <c r="C314" s="122" t="s">
        <v>281</v>
      </c>
      <c r="D314" s="123">
        <v>9655.08</v>
      </c>
      <c r="E314" s="123">
        <v>9987.82</v>
      </c>
      <c r="F314" s="123">
        <v>8835.02</v>
      </c>
      <c r="G314" s="123">
        <v>9709.1</v>
      </c>
      <c r="H314" s="123">
        <v>5941.76</v>
      </c>
      <c r="I314" s="123">
        <v>7611.49</v>
      </c>
      <c r="J314" s="123">
        <v>5532.56</v>
      </c>
      <c r="K314" s="123">
        <v>6480.71</v>
      </c>
      <c r="L314" s="123">
        <v>8712.58</v>
      </c>
      <c r="M314" s="123">
        <v>5983.56</v>
      </c>
      <c r="N314" s="123">
        <v>8847.76</v>
      </c>
      <c r="O314" s="123">
        <v>6332.41</v>
      </c>
      <c r="P314" s="123">
        <v>6765.65</v>
      </c>
      <c r="Q314" s="123">
        <v>6439.98</v>
      </c>
      <c r="R314" s="123">
        <v>3996.56</v>
      </c>
      <c r="S314" s="123">
        <v>6308.72</v>
      </c>
      <c r="T314" s="123">
        <v>6915.05</v>
      </c>
      <c r="U314" s="123">
        <v>7624.44</v>
      </c>
      <c r="V314" s="123">
        <v>4516.53</v>
      </c>
      <c r="W314" s="123">
        <v>6284.8</v>
      </c>
      <c r="X314" s="123">
        <v>5691.49</v>
      </c>
      <c r="Y314" s="123">
        <v>5334.78</v>
      </c>
      <c r="Z314" s="123">
        <v>7771.63</v>
      </c>
      <c r="AA314" s="123">
        <v>6232.51</v>
      </c>
      <c r="AB314" s="123">
        <v>10308.799999999999</v>
      </c>
      <c r="AC314" s="124">
        <v>6307.67</v>
      </c>
      <c r="AD314" s="124">
        <v>7732.91</v>
      </c>
      <c r="AE314" s="124">
        <v>6719.56</v>
      </c>
      <c r="AF314" s="124">
        <v>7440.62</v>
      </c>
      <c r="AG314" s="124">
        <v>11946.75</v>
      </c>
      <c r="AH314" s="124">
        <v>10673.48</v>
      </c>
      <c r="AI314" s="124">
        <v>11589.93</v>
      </c>
      <c r="AJ314" s="124">
        <v>12455.3</v>
      </c>
      <c r="AK314" s="124">
        <v>12287.83</v>
      </c>
      <c r="AL314" s="124">
        <v>16838.330000000002</v>
      </c>
      <c r="AM314" s="124">
        <v>15045.3</v>
      </c>
      <c r="AN314" s="124">
        <v>23029.68</v>
      </c>
      <c r="AO314" s="125">
        <v>15593.41</v>
      </c>
      <c r="AP314" s="125">
        <v>55215.01</v>
      </c>
      <c r="AQ314" s="125">
        <v>14096.54</v>
      </c>
      <c r="AR314" s="125">
        <v>11788.23</v>
      </c>
      <c r="AS314" s="125">
        <v>19471.88</v>
      </c>
      <c r="AT314" s="125">
        <v>16220.19</v>
      </c>
      <c r="AU314" s="125">
        <v>16772.849999999999</v>
      </c>
      <c r="AV314" s="125">
        <v>12780.05</v>
      </c>
      <c r="AW314" s="125">
        <v>13725.61</v>
      </c>
      <c r="AX314" s="125">
        <v>19929.509999999998</v>
      </c>
      <c r="AY314" s="126"/>
      <c r="AZ314" s="126"/>
      <c r="BA314" s="126"/>
      <c r="BB314" s="126"/>
      <c r="BC314" s="126"/>
      <c r="BD314" s="126"/>
      <c r="BE314" s="126"/>
      <c r="BF314" s="127">
        <v>199005</v>
      </c>
      <c r="BG314" s="97" t="s">
        <v>281</v>
      </c>
      <c r="BH314" s="127">
        <v>10673.48</v>
      </c>
      <c r="BI314" s="127">
        <v>199005</v>
      </c>
      <c r="BJ314" s="97" t="s">
        <v>281</v>
      </c>
      <c r="BK314" s="127">
        <v>11589.93</v>
      </c>
    </row>
    <row r="315" spans="1:63" x14ac:dyDescent="0.25">
      <c r="B315" s="121">
        <v>19900510</v>
      </c>
      <c r="C315" s="122" t="s">
        <v>282</v>
      </c>
      <c r="D315" s="123">
        <v>9296.89</v>
      </c>
      <c r="E315" s="123">
        <v>9865.44</v>
      </c>
      <c r="F315" s="123">
        <v>8673.93</v>
      </c>
      <c r="G315" s="123">
        <v>8861.5499999999993</v>
      </c>
      <c r="H315" s="123">
        <v>5403.49</v>
      </c>
      <c r="I315" s="123">
        <v>6738.92</v>
      </c>
      <c r="J315" s="123">
        <v>5308.82</v>
      </c>
      <c r="K315" s="123">
        <v>6175.03</v>
      </c>
      <c r="L315" s="123">
        <v>6520.48</v>
      </c>
      <c r="M315" s="123">
        <v>5833.24</v>
      </c>
      <c r="N315" s="123">
        <v>8353.3799999999992</v>
      </c>
      <c r="O315" s="123">
        <v>5932.39</v>
      </c>
      <c r="P315" s="123">
        <v>6330.89</v>
      </c>
      <c r="Q315" s="123">
        <v>5926.56</v>
      </c>
      <c r="R315" s="123">
        <v>3996.56</v>
      </c>
      <c r="S315" s="123">
        <v>5517.69</v>
      </c>
      <c r="T315" s="123">
        <v>5401.47</v>
      </c>
      <c r="U315" s="123">
        <v>7456.1</v>
      </c>
      <c r="V315" s="123">
        <v>4391.51</v>
      </c>
      <c r="W315" s="123">
        <v>6261.28</v>
      </c>
      <c r="X315" s="123">
        <v>5562.23</v>
      </c>
      <c r="Y315" s="123">
        <v>4710.8100000000004</v>
      </c>
      <c r="Z315" s="123">
        <v>7503.99</v>
      </c>
      <c r="AA315" s="123">
        <v>5385.15</v>
      </c>
      <c r="AB315" s="123">
        <v>8135.44</v>
      </c>
      <c r="AC315" s="124">
        <v>6145.29</v>
      </c>
      <c r="AD315" s="124">
        <v>6939.88</v>
      </c>
      <c r="AE315" s="124">
        <v>5646.21</v>
      </c>
      <c r="AF315" s="124">
        <v>6315.78</v>
      </c>
      <c r="AG315" s="124">
        <v>10728.52</v>
      </c>
      <c r="AH315" s="124">
        <v>9591.6200000000008</v>
      </c>
      <c r="AI315" s="124">
        <v>10101.65</v>
      </c>
      <c r="AJ315" s="124">
        <v>10441.89</v>
      </c>
      <c r="AK315" s="124">
        <v>10364.1</v>
      </c>
      <c r="AL315" s="124">
        <v>13486.37</v>
      </c>
      <c r="AM315" s="124">
        <v>14757.93</v>
      </c>
      <c r="AN315" s="124">
        <v>19624.54</v>
      </c>
      <c r="AO315" s="125">
        <v>13434.23</v>
      </c>
      <c r="AP315" s="125">
        <v>15460.97</v>
      </c>
      <c r="AQ315" s="125">
        <v>12678.61</v>
      </c>
      <c r="AR315" s="125">
        <v>11350.72</v>
      </c>
      <c r="AS315" s="125">
        <v>16621.62</v>
      </c>
      <c r="AT315" s="125">
        <v>14449.76</v>
      </c>
      <c r="AU315" s="125">
        <v>14520.07</v>
      </c>
      <c r="AV315" s="125">
        <v>11993.55</v>
      </c>
      <c r="AW315" s="125">
        <v>10872.59</v>
      </c>
      <c r="AX315" s="125">
        <v>15432.43</v>
      </c>
      <c r="AY315" s="126"/>
      <c r="AZ315" s="126"/>
      <c r="BA315" s="126"/>
      <c r="BB315" s="126"/>
      <c r="BC315" s="126"/>
      <c r="BD315" s="126"/>
      <c r="BE315" s="126"/>
      <c r="BF315" s="127">
        <v>19900510</v>
      </c>
      <c r="BG315" s="97" t="s">
        <v>282</v>
      </c>
      <c r="BH315" s="127">
        <v>9591.6200000000008</v>
      </c>
      <c r="BI315" s="127">
        <v>19900510</v>
      </c>
      <c r="BJ315" s="97" t="s">
        <v>282</v>
      </c>
      <c r="BK315" s="127">
        <v>10101.65</v>
      </c>
    </row>
    <row r="316" spans="1:63" x14ac:dyDescent="0.25">
      <c r="B316" s="121">
        <v>19900530</v>
      </c>
      <c r="C316" s="122" t="s">
        <v>283</v>
      </c>
      <c r="D316" s="123">
        <v>358.19</v>
      </c>
      <c r="E316" s="123">
        <v>122.38</v>
      </c>
      <c r="F316" s="123">
        <v>161.09</v>
      </c>
      <c r="G316" s="123">
        <v>847.55</v>
      </c>
      <c r="H316" s="123">
        <v>538.27</v>
      </c>
      <c r="I316" s="123">
        <v>872.57</v>
      </c>
      <c r="J316" s="123">
        <v>223.74</v>
      </c>
      <c r="K316" s="123">
        <v>305.68</v>
      </c>
      <c r="L316" s="123">
        <v>2192.1</v>
      </c>
      <c r="M316" s="123">
        <v>150.32</v>
      </c>
      <c r="N316" s="123">
        <v>494.38</v>
      </c>
      <c r="O316" s="123">
        <v>400.02</v>
      </c>
      <c r="P316" s="123">
        <v>434.76</v>
      </c>
      <c r="Q316" s="123">
        <v>513.41999999999996</v>
      </c>
      <c r="R316" s="128"/>
      <c r="S316" s="123">
        <v>791.03</v>
      </c>
      <c r="T316" s="123">
        <v>1513.58</v>
      </c>
      <c r="U316" s="123">
        <v>168.34</v>
      </c>
      <c r="V316" s="123">
        <v>125.02</v>
      </c>
      <c r="W316" s="123">
        <v>23.52</v>
      </c>
      <c r="X316" s="123">
        <v>129.26</v>
      </c>
      <c r="Y316" s="123">
        <v>623.97</v>
      </c>
      <c r="Z316" s="123">
        <v>267.64</v>
      </c>
      <c r="AA316" s="123">
        <v>847.36</v>
      </c>
      <c r="AB316" s="123">
        <v>2173.36</v>
      </c>
      <c r="AC316" s="129"/>
      <c r="AD316" s="129"/>
      <c r="AE316" s="129"/>
      <c r="AF316" s="124">
        <v>-1417.09</v>
      </c>
      <c r="AG316" s="129"/>
      <c r="AH316" s="124">
        <v>1081.8599999999999</v>
      </c>
      <c r="AI316" s="124">
        <v>1488.28</v>
      </c>
      <c r="AJ316" s="124">
        <v>1074.5999999999999</v>
      </c>
      <c r="AK316" s="124">
        <v>984.92</v>
      </c>
      <c r="AL316" s="124">
        <v>2413.15</v>
      </c>
      <c r="AM316" s="124">
        <v>202.14</v>
      </c>
      <c r="AN316" s="124">
        <v>3319.91</v>
      </c>
      <c r="AO316" s="125">
        <v>1987.64</v>
      </c>
      <c r="AP316" s="125">
        <v>1101.06</v>
      </c>
      <c r="AQ316" s="125">
        <v>1246.3900000000001</v>
      </c>
      <c r="AR316" s="125">
        <v>180.74</v>
      </c>
      <c r="AS316" s="125">
        <v>2339.67</v>
      </c>
      <c r="AT316" s="125">
        <v>1259.8399999999999</v>
      </c>
      <c r="AU316" s="125">
        <v>1742.19</v>
      </c>
      <c r="AV316" s="125">
        <v>199.61</v>
      </c>
      <c r="AW316" s="125">
        <v>2266.13</v>
      </c>
      <c r="AX316" s="125">
        <v>3747.29</v>
      </c>
      <c r="AY316" s="126"/>
      <c r="AZ316" s="126"/>
      <c r="BA316" s="126"/>
      <c r="BB316" s="126"/>
      <c r="BC316" s="126"/>
      <c r="BD316" s="126"/>
      <c r="BE316" s="126"/>
      <c r="BF316" s="127">
        <v>19900530</v>
      </c>
      <c r="BG316" s="97" t="s">
        <v>283</v>
      </c>
      <c r="BH316" s="127">
        <v>1081.8599999999999</v>
      </c>
      <c r="BI316" s="127">
        <v>19900530</v>
      </c>
      <c r="BJ316" s="97" t="s">
        <v>283</v>
      </c>
      <c r="BK316" s="127">
        <v>1488.28</v>
      </c>
    </row>
    <row r="317" spans="1:63" x14ac:dyDescent="0.25">
      <c r="B317" s="121">
        <v>19900535</v>
      </c>
      <c r="C317" s="122" t="s">
        <v>284</v>
      </c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3">
        <v>139818.62</v>
      </c>
      <c r="V317" s="128"/>
      <c r="W317" s="128"/>
      <c r="X317" s="128"/>
      <c r="Y317" s="128"/>
      <c r="Z317" s="128"/>
      <c r="AA317" s="128"/>
      <c r="AB317" s="128"/>
      <c r="AC317" s="124">
        <v>162.38</v>
      </c>
      <c r="AD317" s="124">
        <v>793.03</v>
      </c>
      <c r="AE317" s="124">
        <v>1073.3499999999999</v>
      </c>
      <c r="AF317" s="129"/>
      <c r="AG317" s="124">
        <v>1218.23</v>
      </c>
      <c r="AH317" s="129"/>
      <c r="AI317" s="129"/>
      <c r="AJ317" s="124">
        <v>0</v>
      </c>
      <c r="AK317" s="124">
        <v>0</v>
      </c>
      <c r="AL317" s="124">
        <v>0</v>
      </c>
      <c r="AM317" s="124">
        <v>0</v>
      </c>
      <c r="AN317" s="124">
        <v>0</v>
      </c>
      <c r="AO317" s="125">
        <v>0</v>
      </c>
      <c r="AP317" s="125">
        <v>0</v>
      </c>
      <c r="AQ317" s="125">
        <v>0</v>
      </c>
      <c r="AR317" s="125">
        <v>0</v>
      </c>
      <c r="AS317" s="125">
        <v>0</v>
      </c>
      <c r="AT317" s="125">
        <v>0</v>
      </c>
      <c r="AU317" s="125">
        <v>0</v>
      </c>
      <c r="AV317" s="125">
        <v>0</v>
      </c>
      <c r="AW317" s="125">
        <v>0</v>
      </c>
      <c r="AX317" s="125">
        <v>0</v>
      </c>
      <c r="AY317" s="126"/>
      <c r="AZ317" s="126"/>
      <c r="BA317" s="126"/>
      <c r="BB317" s="126"/>
      <c r="BC317" s="126"/>
      <c r="BD317" s="126"/>
      <c r="BE317" s="126"/>
    </row>
    <row r="318" spans="1:63" x14ac:dyDescent="0.25">
      <c r="B318" s="121">
        <v>199010</v>
      </c>
      <c r="C318" s="122" t="s">
        <v>285</v>
      </c>
      <c r="D318" s="123">
        <v>105434.95</v>
      </c>
      <c r="E318" s="123">
        <v>114451.9</v>
      </c>
      <c r="F318" s="123">
        <v>120287.28</v>
      </c>
      <c r="G318" s="123">
        <v>127611.15</v>
      </c>
      <c r="H318" s="123">
        <v>132512.81</v>
      </c>
      <c r="I318" s="123">
        <v>140159.69</v>
      </c>
      <c r="J318" s="123">
        <v>146952.71</v>
      </c>
      <c r="K318" s="123">
        <v>118052.99</v>
      </c>
      <c r="L318" s="123">
        <v>127296.38</v>
      </c>
      <c r="M318" s="123">
        <v>135330.49</v>
      </c>
      <c r="N318" s="123">
        <v>135976</v>
      </c>
      <c r="O318" s="123">
        <v>150778.93</v>
      </c>
      <c r="P318" s="123">
        <v>157931.62</v>
      </c>
      <c r="Q318" s="123">
        <v>171992.42</v>
      </c>
      <c r="R318" s="123">
        <v>161057.78</v>
      </c>
      <c r="S318" s="123">
        <v>168901.16</v>
      </c>
      <c r="T318" s="123">
        <v>185358.47</v>
      </c>
      <c r="U318" s="123">
        <v>21375.360000000001</v>
      </c>
      <c r="V318" s="123">
        <v>148460.93</v>
      </c>
      <c r="W318" s="123">
        <v>155854.04</v>
      </c>
      <c r="X318" s="123">
        <v>164015.92000000001</v>
      </c>
      <c r="Y318" s="123">
        <v>172663.01</v>
      </c>
      <c r="Z318" s="123">
        <v>181356.71</v>
      </c>
      <c r="AA318" s="123">
        <v>188955.13</v>
      </c>
      <c r="AB318" s="123">
        <v>199844.59</v>
      </c>
      <c r="AC318" s="129"/>
      <c r="AD318" s="129"/>
      <c r="AE318" s="129"/>
      <c r="AF318" s="124">
        <v>2541.9299999999998</v>
      </c>
      <c r="AG318" s="129"/>
      <c r="AH318" s="124">
        <v>225668.41</v>
      </c>
      <c r="AI318" s="124">
        <v>234474.39</v>
      </c>
      <c r="AJ318" s="124">
        <v>245100.61</v>
      </c>
      <c r="AK318" s="124">
        <v>254714.67</v>
      </c>
      <c r="AL318" s="124">
        <v>264889.32</v>
      </c>
      <c r="AM318" s="124">
        <v>273505.40999999997</v>
      </c>
      <c r="AN318" s="124">
        <v>287932.96999999997</v>
      </c>
      <c r="AO318" s="125">
        <v>305876.58</v>
      </c>
      <c r="AP318" s="125">
        <v>322339.28999999998</v>
      </c>
      <c r="AQ318" s="125">
        <v>340502.47</v>
      </c>
      <c r="AR318" s="125">
        <v>357003.65</v>
      </c>
      <c r="AS318" s="125">
        <v>395723.73</v>
      </c>
      <c r="AT318" s="125">
        <v>445218.95</v>
      </c>
      <c r="AU318" s="125">
        <v>423694.58</v>
      </c>
      <c r="AV318" s="125">
        <v>426080.12</v>
      </c>
      <c r="AW318" s="125">
        <v>447268.75</v>
      </c>
      <c r="AX318" s="125">
        <v>466229.02</v>
      </c>
      <c r="AY318" s="126"/>
      <c r="AZ318" s="126"/>
      <c r="BA318" s="126"/>
      <c r="BB318" s="126"/>
      <c r="BC318" s="126"/>
      <c r="BD318" s="126"/>
      <c r="BE318" s="126"/>
      <c r="BF318" s="127">
        <v>199010</v>
      </c>
      <c r="BG318" s="97" t="s">
        <v>285</v>
      </c>
      <c r="BH318" s="127">
        <v>225668.41</v>
      </c>
      <c r="BI318" s="127">
        <v>199010</v>
      </c>
      <c r="BJ318" s="97" t="s">
        <v>285</v>
      </c>
      <c r="BK318" s="127">
        <v>234474.39</v>
      </c>
    </row>
    <row r="319" spans="1:63" x14ac:dyDescent="0.25">
      <c r="B319" s="121">
        <v>199015</v>
      </c>
      <c r="C319" s="122" t="s">
        <v>286</v>
      </c>
      <c r="D319" s="123">
        <v>21375.360000000001</v>
      </c>
      <c r="E319" s="123">
        <v>21375.360000000001</v>
      </c>
      <c r="F319" s="123">
        <v>21375.360000000001</v>
      </c>
      <c r="G319" s="123">
        <v>21375.360000000001</v>
      </c>
      <c r="H319" s="123">
        <v>21375.360000000001</v>
      </c>
      <c r="I319" s="123">
        <v>21375.360000000001</v>
      </c>
      <c r="J319" s="123">
        <v>21375.360000000001</v>
      </c>
      <c r="K319" s="123">
        <v>21375.360000000001</v>
      </c>
      <c r="L319" s="123">
        <v>21375.360000000001</v>
      </c>
      <c r="M319" s="123">
        <v>21375.360000000001</v>
      </c>
      <c r="N319" s="123">
        <v>21375.360000000001</v>
      </c>
      <c r="O319" s="123">
        <v>21375.360000000001</v>
      </c>
      <c r="P319" s="123">
        <v>21375.360000000001</v>
      </c>
      <c r="Q319" s="123">
        <v>21375.360000000001</v>
      </c>
      <c r="R319" s="123">
        <v>21375.360000000001</v>
      </c>
      <c r="S319" s="123">
        <v>21375.360000000001</v>
      </c>
      <c r="T319" s="123">
        <v>21375.360000000001</v>
      </c>
      <c r="U319" s="123">
        <v>0.03</v>
      </c>
      <c r="V319" s="123">
        <v>21375.360000000001</v>
      </c>
      <c r="W319" s="123">
        <v>21375.360000000001</v>
      </c>
      <c r="X319" s="123">
        <v>21375.360000000001</v>
      </c>
      <c r="Y319" s="123">
        <v>21375.360000000001</v>
      </c>
      <c r="Z319" s="123">
        <v>21375.360000000001</v>
      </c>
      <c r="AA319" s="123">
        <v>21375.360000000001</v>
      </c>
      <c r="AB319" s="123">
        <v>21375.360000000001</v>
      </c>
      <c r="AC319" s="124">
        <v>212467.73</v>
      </c>
      <c r="AD319" s="124">
        <v>223954.14</v>
      </c>
      <c r="AE319" s="124">
        <v>232208.01</v>
      </c>
      <c r="AF319" s="124">
        <v>206932.47</v>
      </c>
      <c r="AG319" s="124">
        <v>216267.36</v>
      </c>
      <c r="AH319" s="124">
        <v>28375.360000000001</v>
      </c>
      <c r="AI319" s="124">
        <v>28375.360000000001</v>
      </c>
      <c r="AJ319" s="124">
        <v>28375.360000000001</v>
      </c>
      <c r="AK319" s="124">
        <v>28375.360000000001</v>
      </c>
      <c r="AL319" s="124">
        <v>28375.360000000001</v>
      </c>
      <c r="AM319" s="124">
        <v>28375.360000000001</v>
      </c>
      <c r="AN319" s="124">
        <v>28375.360000000001</v>
      </c>
      <c r="AO319" s="125">
        <v>28375.360000000001</v>
      </c>
      <c r="AP319" s="125">
        <v>28375.360000000001</v>
      </c>
      <c r="AQ319" s="125">
        <v>28375.360000000001</v>
      </c>
      <c r="AR319" s="125">
        <v>28375.360000000001</v>
      </c>
      <c r="AS319" s="125">
        <v>28375.360000000001</v>
      </c>
      <c r="AT319" s="125">
        <v>28375.360000000001</v>
      </c>
      <c r="AU319" s="125">
        <v>28375.360000000001</v>
      </c>
      <c r="AV319" s="125">
        <v>28375.360000000001</v>
      </c>
      <c r="AW319" s="125">
        <v>28375.360000000001</v>
      </c>
      <c r="AX319" s="125">
        <v>28375.360000000001</v>
      </c>
      <c r="AY319" s="126"/>
      <c r="AZ319" s="126"/>
      <c r="BA319" s="126"/>
      <c r="BB319" s="126"/>
      <c r="BC319" s="126"/>
      <c r="BD319" s="126"/>
      <c r="BE319" s="126"/>
      <c r="BF319" s="120">
        <v>199015</v>
      </c>
      <c r="BG319" s="113" t="s">
        <v>286</v>
      </c>
      <c r="BH319" s="120">
        <v>28375.360000000001</v>
      </c>
      <c r="BI319" s="127">
        <v>199015</v>
      </c>
      <c r="BJ319" s="97" t="s">
        <v>286</v>
      </c>
      <c r="BK319" s="127">
        <v>28375.360000000001</v>
      </c>
    </row>
    <row r="320" spans="1:63" x14ac:dyDescent="0.25">
      <c r="B320" s="130" t="s">
        <v>287</v>
      </c>
      <c r="C320" s="122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  <c r="AA320" s="123">
        <v>0.37</v>
      </c>
      <c r="AB320" s="128"/>
      <c r="AC320" s="124">
        <v>21375.360000000001</v>
      </c>
      <c r="AD320" s="124">
        <v>21375.360000000001</v>
      </c>
      <c r="AE320" s="124">
        <v>28375.360000000001</v>
      </c>
      <c r="AF320" s="124">
        <v>28375.360000000001</v>
      </c>
      <c r="AG320" s="124">
        <v>28375.360000000001</v>
      </c>
      <c r="AH320" s="129"/>
      <c r="AI320" s="129"/>
      <c r="AJ320" s="124">
        <v>0</v>
      </c>
      <c r="AK320" s="124">
        <v>0</v>
      </c>
      <c r="AL320" s="124">
        <v>0</v>
      </c>
      <c r="AM320" s="124">
        <v>0</v>
      </c>
      <c r="AN320" s="124">
        <v>0</v>
      </c>
      <c r="AO320" s="125">
        <v>0</v>
      </c>
      <c r="AP320" s="125">
        <v>0</v>
      </c>
      <c r="AQ320" s="125">
        <v>0</v>
      </c>
      <c r="AR320" s="125">
        <v>0</v>
      </c>
      <c r="AS320" s="125">
        <v>0</v>
      </c>
      <c r="AT320" s="125">
        <v>0</v>
      </c>
      <c r="AU320" s="125">
        <v>0</v>
      </c>
      <c r="AV320" s="125">
        <v>0</v>
      </c>
      <c r="AW320" s="125">
        <v>0</v>
      </c>
      <c r="AX320" s="125">
        <v>0</v>
      </c>
      <c r="AY320" s="126"/>
      <c r="AZ320" s="126"/>
      <c r="BA320" s="126"/>
      <c r="BB320" s="126"/>
      <c r="BC320" s="126"/>
      <c r="BD320" s="126"/>
      <c r="BE320" s="126"/>
      <c r="BF320" s="113"/>
      <c r="BG320" s="113"/>
      <c r="BH320" s="113"/>
    </row>
    <row r="321" spans="1:63" x14ac:dyDescent="0.25">
      <c r="B321" s="121">
        <v>1999</v>
      </c>
      <c r="C321" s="122" t="s">
        <v>288</v>
      </c>
      <c r="D321" s="116">
        <v>-1668.02</v>
      </c>
      <c r="E321" s="116">
        <v>-1628.26</v>
      </c>
      <c r="F321" s="116">
        <v>-1588.29</v>
      </c>
      <c r="G321" s="116">
        <v>-1490.8</v>
      </c>
      <c r="H321" s="116">
        <v>-1456.53</v>
      </c>
      <c r="I321" s="116">
        <v>-235.08</v>
      </c>
      <c r="J321" s="116">
        <v>-223.66</v>
      </c>
      <c r="K321" s="116">
        <v>-223.66</v>
      </c>
      <c r="L321" s="116">
        <v>-223.66</v>
      </c>
      <c r="M321" s="116">
        <v>-223.66</v>
      </c>
      <c r="N321" s="116">
        <v>-223.66</v>
      </c>
      <c r="O321" s="116">
        <v>-223.66</v>
      </c>
      <c r="P321" s="116">
        <v>-223.66</v>
      </c>
      <c r="Q321" s="116">
        <v>-223.66</v>
      </c>
      <c r="R321" s="116">
        <v>-223.66</v>
      </c>
      <c r="S321" s="116">
        <v>-223.66</v>
      </c>
      <c r="T321" s="116">
        <v>-223.66</v>
      </c>
      <c r="U321" s="116">
        <v>-223.66</v>
      </c>
      <c r="V321" s="116">
        <v>-223.66</v>
      </c>
      <c r="W321" s="116">
        <v>-223.66</v>
      </c>
      <c r="X321" s="116">
        <v>-223.66</v>
      </c>
      <c r="Y321" s="116">
        <v>-223.66</v>
      </c>
      <c r="Z321" s="116">
        <v>-223.66</v>
      </c>
      <c r="AA321" s="116">
        <v>-223.66</v>
      </c>
      <c r="AB321" s="116">
        <v>-223.66</v>
      </c>
      <c r="AC321" s="124">
        <v>-223.66</v>
      </c>
      <c r="AD321" s="124">
        <v>-223.66</v>
      </c>
      <c r="AE321" s="124">
        <v>-292.67</v>
      </c>
      <c r="AF321" s="124">
        <v>-292.67</v>
      </c>
      <c r="AG321" s="124">
        <v>-292.67</v>
      </c>
      <c r="AH321" s="124">
        <v>-293.06</v>
      </c>
      <c r="AI321" s="124">
        <v>-293.06</v>
      </c>
      <c r="AJ321" s="124">
        <v>-293.06</v>
      </c>
      <c r="AK321" s="124">
        <v>-293.66000000000003</v>
      </c>
      <c r="AL321" s="124">
        <v>-293.66000000000003</v>
      </c>
      <c r="AM321" s="124">
        <v>-293.66000000000003</v>
      </c>
      <c r="AN321" s="124">
        <v>-293.66000000000003</v>
      </c>
      <c r="AO321" s="125">
        <v>-293.66000000000003</v>
      </c>
      <c r="AP321" s="125">
        <v>-293.66000000000003</v>
      </c>
      <c r="AQ321" s="125">
        <v>-293.66000000000003</v>
      </c>
      <c r="AR321" s="125">
        <v>-293.66000000000003</v>
      </c>
      <c r="AS321" s="125">
        <v>-293.66000000000003</v>
      </c>
      <c r="AT321" s="125">
        <v>-293.66000000000003</v>
      </c>
      <c r="AU321" s="125">
        <v>-293.66000000000003</v>
      </c>
      <c r="AV321" s="125">
        <v>-293.66000000000003</v>
      </c>
      <c r="AW321" s="125">
        <v>-293.66000000000003</v>
      </c>
      <c r="AX321" s="125">
        <v>-1667568.15</v>
      </c>
      <c r="AY321" s="126"/>
      <c r="AZ321" s="126"/>
      <c r="BA321" s="126"/>
      <c r="BB321" s="126"/>
      <c r="BC321" s="126"/>
      <c r="BD321" s="126"/>
      <c r="BE321" s="126"/>
      <c r="BF321" s="127">
        <v>1999</v>
      </c>
      <c r="BG321" s="97" t="s">
        <v>288</v>
      </c>
      <c r="BH321" s="127">
        <v>-293.06</v>
      </c>
      <c r="BI321" s="120">
        <v>1999</v>
      </c>
      <c r="BJ321" s="113" t="s">
        <v>288</v>
      </c>
      <c r="BK321" s="120">
        <v>-293.06</v>
      </c>
    </row>
    <row r="322" spans="1:63" x14ac:dyDescent="0.25">
      <c r="B322" s="121">
        <v>199910</v>
      </c>
      <c r="C322" s="122" t="s">
        <v>289</v>
      </c>
      <c r="D322" s="123">
        <v>-1414.36</v>
      </c>
      <c r="E322" s="123">
        <v>-1374.6</v>
      </c>
      <c r="F322" s="123">
        <v>-1334.63</v>
      </c>
      <c r="G322" s="123">
        <v>-1267.1400000000001</v>
      </c>
      <c r="H322" s="123">
        <v>-1232.8699999999999</v>
      </c>
      <c r="I322" s="123">
        <v>-11.42</v>
      </c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  <c r="AA322" s="128"/>
      <c r="AB322" s="128"/>
      <c r="AC322" s="129"/>
      <c r="AD322" s="129"/>
      <c r="AE322" s="124">
        <v>-69.010000000000005</v>
      </c>
      <c r="AF322" s="129"/>
      <c r="AG322" s="129"/>
      <c r="AH322" s="129"/>
      <c r="AI322" s="129"/>
      <c r="AJ322" s="124">
        <v>0</v>
      </c>
      <c r="AK322" s="124">
        <v>0</v>
      </c>
      <c r="AL322" s="124">
        <v>0</v>
      </c>
      <c r="AM322" s="124">
        <v>0</v>
      </c>
      <c r="AN322" s="124">
        <v>0</v>
      </c>
      <c r="AO322" s="125">
        <v>0</v>
      </c>
      <c r="AP322" s="125">
        <v>0</v>
      </c>
      <c r="AQ322" s="125">
        <v>0</v>
      </c>
      <c r="AR322" s="125">
        <v>0</v>
      </c>
      <c r="AS322" s="125">
        <v>0</v>
      </c>
      <c r="AT322" s="125">
        <v>0</v>
      </c>
      <c r="AU322" s="125">
        <v>0</v>
      </c>
      <c r="AV322" s="125">
        <v>0</v>
      </c>
      <c r="AW322" s="125">
        <v>0</v>
      </c>
      <c r="AX322" s="125">
        <v>0</v>
      </c>
      <c r="AY322" s="126"/>
      <c r="AZ322" s="126"/>
      <c r="BA322" s="126"/>
      <c r="BB322" s="126"/>
      <c r="BC322" s="126"/>
      <c r="BD322" s="126"/>
      <c r="BE322" s="126"/>
      <c r="BI322" s="113"/>
      <c r="BJ322" s="113"/>
      <c r="BK322" s="113"/>
    </row>
    <row r="323" spans="1:63" x14ac:dyDescent="0.25">
      <c r="B323" s="121">
        <v>199990</v>
      </c>
      <c r="C323" s="122" t="s">
        <v>290</v>
      </c>
      <c r="D323" s="123">
        <v>-253.66</v>
      </c>
      <c r="E323" s="123">
        <v>-253.66</v>
      </c>
      <c r="F323" s="123">
        <v>-253.66</v>
      </c>
      <c r="G323" s="123">
        <v>-223.66</v>
      </c>
      <c r="H323" s="123">
        <v>-223.66</v>
      </c>
      <c r="I323" s="123">
        <v>-223.66</v>
      </c>
      <c r="J323" s="123">
        <v>-223.66</v>
      </c>
      <c r="K323" s="123">
        <v>-223.66</v>
      </c>
      <c r="L323" s="123">
        <v>-223.66</v>
      </c>
      <c r="M323" s="123">
        <v>-223.66</v>
      </c>
      <c r="N323" s="123">
        <v>-223.66</v>
      </c>
      <c r="O323" s="123">
        <v>-223.66</v>
      </c>
      <c r="P323" s="123">
        <v>-223.66</v>
      </c>
      <c r="Q323" s="123">
        <v>-223.66</v>
      </c>
      <c r="R323" s="123">
        <v>-223.66</v>
      </c>
      <c r="S323" s="123">
        <v>-223.66</v>
      </c>
      <c r="T323" s="123">
        <v>-223.66</v>
      </c>
      <c r="U323" s="123">
        <v>-223.66</v>
      </c>
      <c r="V323" s="123">
        <v>-223.66</v>
      </c>
      <c r="W323" s="123">
        <v>-223.66</v>
      </c>
      <c r="X323" s="123">
        <v>-223.66</v>
      </c>
      <c r="Y323" s="123">
        <v>-223.66</v>
      </c>
      <c r="Z323" s="123">
        <v>-223.66</v>
      </c>
      <c r="AA323" s="123">
        <v>-223.66</v>
      </c>
      <c r="AB323" s="123">
        <v>-223.66</v>
      </c>
      <c r="AC323" s="124">
        <v>-223.66</v>
      </c>
      <c r="AD323" s="124">
        <v>-223.66</v>
      </c>
      <c r="AE323" s="124">
        <v>-223.66</v>
      </c>
      <c r="AF323" s="124">
        <v>-292.67</v>
      </c>
      <c r="AG323" s="124">
        <v>-292.67</v>
      </c>
      <c r="AH323" s="124">
        <v>-293.06</v>
      </c>
      <c r="AI323" s="124">
        <v>-293.06</v>
      </c>
      <c r="AJ323" s="124">
        <v>-293.06</v>
      </c>
      <c r="AK323" s="124">
        <v>-293.66000000000003</v>
      </c>
      <c r="AL323" s="124">
        <v>-293.66000000000003</v>
      </c>
      <c r="AM323" s="124">
        <v>-293.66000000000003</v>
      </c>
      <c r="AN323" s="124">
        <v>-293.66000000000003</v>
      </c>
      <c r="AO323" s="125">
        <v>-293.66000000000003</v>
      </c>
      <c r="AP323" s="125">
        <v>-293.66000000000003</v>
      </c>
      <c r="AQ323" s="125">
        <v>-293.66000000000003</v>
      </c>
      <c r="AR323" s="125">
        <v>-293.66000000000003</v>
      </c>
      <c r="AS323" s="125">
        <v>-293.66000000000003</v>
      </c>
      <c r="AT323" s="125">
        <v>-293.66000000000003</v>
      </c>
      <c r="AU323" s="125">
        <v>-293.66000000000003</v>
      </c>
      <c r="AV323" s="125">
        <v>-293.66000000000003</v>
      </c>
      <c r="AW323" s="125">
        <v>-293.66000000000003</v>
      </c>
      <c r="AX323" s="125">
        <v>-1667568.15</v>
      </c>
      <c r="AY323" s="126"/>
      <c r="AZ323" s="126"/>
      <c r="BA323" s="126"/>
      <c r="BB323" s="126"/>
      <c r="BC323" s="126"/>
      <c r="BD323" s="126"/>
      <c r="BE323" s="126"/>
      <c r="BF323" s="127">
        <v>199990</v>
      </c>
      <c r="BG323" s="97" t="s">
        <v>290</v>
      </c>
      <c r="BH323" s="127">
        <v>-293.06</v>
      </c>
      <c r="BI323" s="127">
        <v>199990</v>
      </c>
      <c r="BJ323" s="97" t="s">
        <v>290</v>
      </c>
      <c r="BK323" s="127">
        <v>-293.06</v>
      </c>
    </row>
    <row r="324" spans="1:63" x14ac:dyDescent="0.25">
      <c r="B324" s="142">
        <v>2</v>
      </c>
      <c r="C324" s="122" t="s">
        <v>291</v>
      </c>
      <c r="D324" s="116">
        <v>29895217.879999999</v>
      </c>
      <c r="E324" s="116">
        <v>30155181.809999999</v>
      </c>
      <c r="F324" s="116">
        <v>31731048.609999999</v>
      </c>
      <c r="G324" s="116">
        <v>32261367.829999998</v>
      </c>
      <c r="H324" s="116">
        <v>32699960.039999999</v>
      </c>
      <c r="I324" s="116">
        <v>33376216.760000002</v>
      </c>
      <c r="J324" s="116">
        <v>34058050.329999998</v>
      </c>
      <c r="K324" s="116">
        <v>34637373.200000003</v>
      </c>
      <c r="L324" s="116">
        <v>34225036.520000003</v>
      </c>
      <c r="M324" s="116">
        <v>36512224.219999999</v>
      </c>
      <c r="N324" s="116">
        <v>36706766.710000001</v>
      </c>
      <c r="O324" s="116">
        <v>36896649.07</v>
      </c>
      <c r="P324" s="116">
        <v>36059373.399999999</v>
      </c>
      <c r="Q324" s="116">
        <v>35710466.640000001</v>
      </c>
      <c r="R324" s="116">
        <v>35617627.350000001</v>
      </c>
      <c r="S324" s="116">
        <v>35936687.469999999</v>
      </c>
      <c r="T324" s="116">
        <v>35503000.359999999</v>
      </c>
      <c r="U324" s="116">
        <v>34996410.369999997</v>
      </c>
      <c r="V324" s="116">
        <v>34181073.200000003</v>
      </c>
      <c r="W324" s="116">
        <v>33194030.280000001</v>
      </c>
      <c r="X324" s="116">
        <v>32893108.57</v>
      </c>
      <c r="Y324" s="116">
        <v>32855896.600000001</v>
      </c>
      <c r="Z324" s="116">
        <v>33825110.149999999</v>
      </c>
      <c r="AA324" s="116">
        <v>33040704.850000001</v>
      </c>
      <c r="AB324" s="116">
        <v>32363256.350000001</v>
      </c>
      <c r="AC324" s="117">
        <v>32478124.02</v>
      </c>
      <c r="AD324" s="117">
        <v>32148021.460000001</v>
      </c>
      <c r="AE324" s="117">
        <v>32618101.52</v>
      </c>
      <c r="AF324" s="117">
        <v>32913039.129999999</v>
      </c>
      <c r="AG324" s="117">
        <v>36222889.899999999</v>
      </c>
      <c r="AH324" s="117">
        <v>41694567.32</v>
      </c>
      <c r="AI324" s="117">
        <v>41677736.619999997</v>
      </c>
      <c r="AJ324" s="117">
        <v>36600108.43</v>
      </c>
      <c r="AK324" s="117">
        <v>37487436.649999999</v>
      </c>
      <c r="AL324" s="117">
        <v>39114757.170000002</v>
      </c>
      <c r="AM324" s="117">
        <v>40388410.229999997</v>
      </c>
      <c r="AN324" s="117">
        <v>41112303.659999996</v>
      </c>
      <c r="AO324" s="118">
        <v>43484157.329999998</v>
      </c>
      <c r="AP324" s="118">
        <v>45447800.149999999</v>
      </c>
      <c r="AQ324" s="118">
        <v>50940568.57</v>
      </c>
      <c r="AR324" s="118">
        <v>48430534.229999997</v>
      </c>
      <c r="AS324" s="118">
        <v>50703286.5</v>
      </c>
      <c r="AT324" s="118">
        <v>52499657.539999999</v>
      </c>
      <c r="AU324" s="118">
        <v>55632311.43</v>
      </c>
      <c r="AV324" s="118">
        <v>57714809.310000002</v>
      </c>
      <c r="AW324" s="118">
        <v>58792896.630000003</v>
      </c>
      <c r="AX324" s="118">
        <v>61356200.789999999</v>
      </c>
      <c r="AY324" s="119"/>
      <c r="AZ324" s="119"/>
      <c r="BA324" s="119"/>
      <c r="BB324" s="119"/>
      <c r="BC324" s="119"/>
      <c r="BD324" s="119"/>
      <c r="BE324" s="119"/>
      <c r="BF324" s="127">
        <v>2</v>
      </c>
      <c r="BG324" s="97" t="s">
        <v>291</v>
      </c>
      <c r="BH324" s="127">
        <v>41694567.32</v>
      </c>
      <c r="BI324" s="127">
        <v>2</v>
      </c>
      <c r="BJ324" s="97" t="s">
        <v>291</v>
      </c>
      <c r="BK324" s="127">
        <v>41677736.619999997</v>
      </c>
    </row>
    <row r="325" spans="1:63" x14ac:dyDescent="0.25">
      <c r="B325" s="142">
        <v>21</v>
      </c>
      <c r="C325" s="122" t="s">
        <v>292</v>
      </c>
      <c r="D325" s="116">
        <v>27728415.890000001</v>
      </c>
      <c r="E325" s="116">
        <v>27749363.239999998</v>
      </c>
      <c r="F325" s="116">
        <v>29271751.43</v>
      </c>
      <c r="G325" s="116">
        <v>29795616.460000001</v>
      </c>
      <c r="H325" s="116">
        <v>30236495.16</v>
      </c>
      <c r="I325" s="116">
        <v>30666168.850000001</v>
      </c>
      <c r="J325" s="116">
        <v>30105265.82</v>
      </c>
      <c r="K325" s="116">
        <v>30707737.239999998</v>
      </c>
      <c r="L325" s="116">
        <v>30550742.600000001</v>
      </c>
      <c r="M325" s="116">
        <v>32896794.02</v>
      </c>
      <c r="N325" s="116">
        <v>33225352.23</v>
      </c>
      <c r="O325" s="116">
        <v>33355324.109999999</v>
      </c>
      <c r="P325" s="116">
        <v>33474627.530000001</v>
      </c>
      <c r="Q325" s="116">
        <v>33076530.940000001</v>
      </c>
      <c r="R325" s="116">
        <v>32542783.809999999</v>
      </c>
      <c r="S325" s="116">
        <v>32688741.670000002</v>
      </c>
      <c r="T325" s="116">
        <v>31323782.859999999</v>
      </c>
      <c r="U325" s="116">
        <v>30646542.879999999</v>
      </c>
      <c r="V325" s="116">
        <v>30175093.699999999</v>
      </c>
      <c r="W325" s="116">
        <v>29708156.25</v>
      </c>
      <c r="X325" s="116">
        <v>29331614.530000001</v>
      </c>
      <c r="Y325" s="116">
        <v>28758404.260000002</v>
      </c>
      <c r="Z325" s="116">
        <v>30002048.82</v>
      </c>
      <c r="AA325" s="116">
        <v>29945443.190000001</v>
      </c>
      <c r="AB325" s="116">
        <v>29670156.870000001</v>
      </c>
      <c r="AC325" s="117">
        <v>29727154.920000002</v>
      </c>
      <c r="AD325" s="117">
        <v>29562549.100000001</v>
      </c>
      <c r="AE325" s="117">
        <v>29807181.149999999</v>
      </c>
      <c r="AF325" s="117">
        <v>30256838.489999998</v>
      </c>
      <c r="AG325" s="117">
        <v>33415403.210000001</v>
      </c>
      <c r="AH325" s="117">
        <v>33400252.079999998</v>
      </c>
      <c r="AI325" s="117">
        <v>32718034.23</v>
      </c>
      <c r="AJ325" s="117">
        <v>33378953.420000002</v>
      </c>
      <c r="AK325" s="117">
        <v>33247974.059999999</v>
      </c>
      <c r="AL325" s="117">
        <v>34538852.799999997</v>
      </c>
      <c r="AM325" s="117">
        <v>35257549.18</v>
      </c>
      <c r="AN325" s="117">
        <v>36652317.259999998</v>
      </c>
      <c r="AO325" s="118">
        <v>38639818.140000001</v>
      </c>
      <c r="AP325" s="118">
        <v>40665920.399999999</v>
      </c>
      <c r="AQ325" s="118">
        <v>41861894.119999997</v>
      </c>
      <c r="AR325" s="118">
        <v>42994695.390000001</v>
      </c>
      <c r="AS325" s="118">
        <v>45618494.170000002</v>
      </c>
      <c r="AT325" s="118">
        <v>47667087.409999996</v>
      </c>
      <c r="AU325" s="118">
        <v>51116295.619999997</v>
      </c>
      <c r="AV325" s="118">
        <v>52915603.380000003</v>
      </c>
      <c r="AW325" s="118">
        <v>54576179.469999999</v>
      </c>
      <c r="AX325" s="118">
        <v>56448059.579999998</v>
      </c>
      <c r="AY325" s="119"/>
      <c r="AZ325" s="119"/>
      <c r="BA325" s="119"/>
      <c r="BB325" s="119"/>
      <c r="BC325" s="119"/>
      <c r="BD325" s="119"/>
      <c r="BE325" s="119"/>
      <c r="BF325" s="127">
        <v>21</v>
      </c>
      <c r="BG325" s="97" t="s">
        <v>292</v>
      </c>
      <c r="BH325" s="127">
        <v>33400252.079999998</v>
      </c>
      <c r="BI325" s="127">
        <v>21</v>
      </c>
      <c r="BJ325" s="97" t="s">
        <v>292</v>
      </c>
      <c r="BK325" s="127">
        <v>32718034.23</v>
      </c>
    </row>
    <row r="326" spans="1:63" s="113" customFormat="1" x14ac:dyDescent="0.25">
      <c r="A326" s="97"/>
      <c r="B326" s="121">
        <v>2101</v>
      </c>
      <c r="C326" s="122" t="s">
        <v>293</v>
      </c>
      <c r="D326" s="116">
        <v>3688540.92</v>
      </c>
      <c r="E326" s="116">
        <v>2505666.79</v>
      </c>
      <c r="F326" s="116">
        <v>2573646.35</v>
      </c>
      <c r="G326" s="116">
        <v>2888042.65</v>
      </c>
      <c r="H326" s="116">
        <v>2749317.68</v>
      </c>
      <c r="I326" s="116">
        <v>3390713.24</v>
      </c>
      <c r="J326" s="116">
        <v>2952467.96</v>
      </c>
      <c r="K326" s="116">
        <v>3183271.72</v>
      </c>
      <c r="L326" s="116">
        <v>3118399.06</v>
      </c>
      <c r="M326" s="116">
        <v>2779750</v>
      </c>
      <c r="N326" s="116">
        <v>2760457.57</v>
      </c>
      <c r="O326" s="116">
        <v>2769700.86</v>
      </c>
      <c r="P326" s="116">
        <v>2785447.84</v>
      </c>
      <c r="Q326" s="116">
        <v>2149664.19</v>
      </c>
      <c r="R326" s="116">
        <v>2220716.85</v>
      </c>
      <c r="S326" s="116">
        <v>2486838.7400000002</v>
      </c>
      <c r="T326" s="116">
        <v>2370594.61</v>
      </c>
      <c r="U326" s="116">
        <v>2070144.32</v>
      </c>
      <c r="V326" s="116">
        <v>1932542.77</v>
      </c>
      <c r="W326" s="116">
        <v>2143831.6800000002</v>
      </c>
      <c r="X326" s="116">
        <v>2109438.85</v>
      </c>
      <c r="Y326" s="116">
        <v>1554788.74</v>
      </c>
      <c r="Z326" s="116">
        <v>1585440.94</v>
      </c>
      <c r="AA326" s="116">
        <v>1720835.11</v>
      </c>
      <c r="AB326" s="116">
        <v>1654073.08</v>
      </c>
      <c r="AC326" s="124">
        <v>1763984.37</v>
      </c>
      <c r="AD326" s="124">
        <v>1565857.09</v>
      </c>
      <c r="AE326" s="124">
        <v>1674007.78</v>
      </c>
      <c r="AF326" s="124">
        <v>1828667.75</v>
      </c>
      <c r="AG326" s="124">
        <v>5321348.2300000004</v>
      </c>
      <c r="AH326" s="124">
        <v>5398046.9900000002</v>
      </c>
      <c r="AI326" s="124">
        <v>3624771.57</v>
      </c>
      <c r="AJ326" s="124">
        <v>3473864.84</v>
      </c>
      <c r="AK326" s="124">
        <v>3550861.75</v>
      </c>
      <c r="AL326" s="124">
        <v>2598330.56</v>
      </c>
      <c r="AM326" s="124">
        <v>2793866.7</v>
      </c>
      <c r="AN326" s="124">
        <v>3550753.7</v>
      </c>
      <c r="AO326" s="125">
        <v>3344738.82</v>
      </c>
      <c r="AP326" s="125">
        <v>3213452.6</v>
      </c>
      <c r="AQ326" s="125">
        <v>3495435.68</v>
      </c>
      <c r="AR326" s="125">
        <v>3281849.34</v>
      </c>
      <c r="AS326" s="125">
        <v>3448782.41</v>
      </c>
      <c r="AT326" s="125">
        <v>4105433.61</v>
      </c>
      <c r="AU326" s="125">
        <v>4288749.26</v>
      </c>
      <c r="AV326" s="125">
        <v>4189119.69</v>
      </c>
      <c r="AW326" s="125">
        <v>3597423.31</v>
      </c>
      <c r="AX326" s="125">
        <v>3263886.28</v>
      </c>
      <c r="AY326" s="126"/>
      <c r="AZ326" s="126"/>
      <c r="BA326" s="126"/>
      <c r="BB326" s="126"/>
      <c r="BC326" s="126"/>
      <c r="BD326" s="126"/>
      <c r="BE326" s="126"/>
      <c r="BF326" s="127">
        <v>2101</v>
      </c>
      <c r="BG326" s="97" t="s">
        <v>293</v>
      </c>
      <c r="BH326" s="127">
        <v>5398046.9900000002</v>
      </c>
      <c r="BI326" s="127">
        <v>2101</v>
      </c>
      <c r="BJ326" s="97" t="s">
        <v>293</v>
      </c>
      <c r="BK326" s="127">
        <v>3624771.57</v>
      </c>
    </row>
    <row r="327" spans="1:63" x14ac:dyDescent="0.25">
      <c r="A327" s="113"/>
      <c r="B327" s="121">
        <v>210105</v>
      </c>
      <c r="C327" s="122" t="s">
        <v>294</v>
      </c>
      <c r="D327" s="123">
        <v>2210855.66</v>
      </c>
      <c r="E327" s="123">
        <v>1238846.73</v>
      </c>
      <c r="F327" s="123">
        <v>1225691.92</v>
      </c>
      <c r="G327" s="123">
        <v>1055980.0900000001</v>
      </c>
      <c r="H327" s="123">
        <v>1178094.68</v>
      </c>
      <c r="I327" s="123">
        <v>1584503.4</v>
      </c>
      <c r="J327" s="123">
        <v>1126793.77</v>
      </c>
      <c r="K327" s="123">
        <v>1154963.01</v>
      </c>
      <c r="L327" s="123">
        <v>1081936.8999999999</v>
      </c>
      <c r="M327" s="123">
        <v>852337.09</v>
      </c>
      <c r="N327" s="123">
        <v>1080413.76</v>
      </c>
      <c r="O327" s="123">
        <v>1143726.82</v>
      </c>
      <c r="P327" s="123">
        <v>725392.49</v>
      </c>
      <c r="Q327" s="123">
        <v>768437.68</v>
      </c>
      <c r="R327" s="123">
        <v>806328.96</v>
      </c>
      <c r="S327" s="123">
        <v>1106248.8500000001</v>
      </c>
      <c r="T327" s="123">
        <v>1064365.51</v>
      </c>
      <c r="U327" s="123">
        <v>758720.07</v>
      </c>
      <c r="V327" s="123">
        <v>753232.43</v>
      </c>
      <c r="W327" s="123">
        <v>705190.11</v>
      </c>
      <c r="X327" s="123">
        <v>706149.68</v>
      </c>
      <c r="Y327" s="123">
        <v>604426.52</v>
      </c>
      <c r="Z327" s="123">
        <v>625475.59</v>
      </c>
      <c r="AA327" s="123">
        <v>578207.99</v>
      </c>
      <c r="AB327" s="123">
        <v>662845.12</v>
      </c>
      <c r="AC327" s="124">
        <v>580515.13</v>
      </c>
      <c r="AD327" s="124">
        <v>567497.9</v>
      </c>
      <c r="AE327" s="124">
        <v>708952.11</v>
      </c>
      <c r="AF327" s="124">
        <v>862191.11</v>
      </c>
      <c r="AG327" s="124">
        <v>4295631.07</v>
      </c>
      <c r="AH327" s="124">
        <v>4313670.66</v>
      </c>
      <c r="AI327" s="124">
        <v>2580643.6</v>
      </c>
      <c r="AJ327" s="124">
        <v>2283295.27</v>
      </c>
      <c r="AK327" s="124">
        <v>2355385.56</v>
      </c>
      <c r="AL327" s="124">
        <v>1412352.12</v>
      </c>
      <c r="AM327" s="124">
        <v>1594867.25</v>
      </c>
      <c r="AN327" s="124">
        <v>1744096.21</v>
      </c>
      <c r="AO327" s="125">
        <v>1590364.95</v>
      </c>
      <c r="AP327" s="125">
        <v>1323385.83</v>
      </c>
      <c r="AQ327" s="125">
        <v>1509371.31</v>
      </c>
      <c r="AR327" s="125">
        <v>1770907.33</v>
      </c>
      <c r="AS327" s="125">
        <v>1921778.76</v>
      </c>
      <c r="AT327" s="125">
        <v>2478071.83</v>
      </c>
      <c r="AU327" s="125">
        <v>2596953.81</v>
      </c>
      <c r="AV327" s="125">
        <v>2359999.52</v>
      </c>
      <c r="AW327" s="125">
        <v>1302756.27</v>
      </c>
      <c r="AX327" s="125">
        <v>1251670.18</v>
      </c>
      <c r="AY327" s="126"/>
      <c r="AZ327" s="126"/>
      <c r="BA327" s="126"/>
      <c r="BB327" s="126"/>
      <c r="BC327" s="126"/>
      <c r="BD327" s="126"/>
      <c r="BE327" s="126"/>
      <c r="BF327" s="127">
        <v>210105</v>
      </c>
      <c r="BG327" s="97" t="s">
        <v>294</v>
      </c>
      <c r="BH327" s="127">
        <v>4313670.66</v>
      </c>
      <c r="BI327" s="127">
        <v>210105</v>
      </c>
      <c r="BJ327" s="97" t="s">
        <v>294</v>
      </c>
      <c r="BK327" s="127">
        <v>2580643.6</v>
      </c>
    </row>
    <row r="328" spans="1:63" x14ac:dyDescent="0.25">
      <c r="B328" s="121">
        <v>21010505</v>
      </c>
      <c r="C328" s="122" t="s">
        <v>295</v>
      </c>
      <c r="D328" s="123">
        <v>2210855.66</v>
      </c>
      <c r="E328" s="123">
        <v>1238846.73</v>
      </c>
      <c r="F328" s="123">
        <v>1225691.92</v>
      </c>
      <c r="G328" s="123">
        <v>1055980.0900000001</v>
      </c>
      <c r="H328" s="123">
        <v>1178094.68</v>
      </c>
      <c r="I328" s="123">
        <v>1584503.4</v>
      </c>
      <c r="J328" s="123">
        <v>1126793.77</v>
      </c>
      <c r="K328" s="123">
        <v>1154963.01</v>
      </c>
      <c r="L328" s="123">
        <v>1081936.8999999999</v>
      </c>
      <c r="M328" s="123">
        <v>852337.09</v>
      </c>
      <c r="N328" s="123">
        <v>1080413.76</v>
      </c>
      <c r="O328" s="123">
        <v>1143726.82</v>
      </c>
      <c r="P328" s="123">
        <v>725392.49</v>
      </c>
      <c r="Q328" s="123">
        <v>768437.68</v>
      </c>
      <c r="R328" s="123">
        <v>806328.96</v>
      </c>
      <c r="S328" s="123">
        <v>1106248.8500000001</v>
      </c>
      <c r="T328" s="123">
        <v>1064365.51</v>
      </c>
      <c r="U328" s="123">
        <v>758720.07</v>
      </c>
      <c r="V328" s="123">
        <v>753232.43</v>
      </c>
      <c r="W328" s="123">
        <v>705190.11</v>
      </c>
      <c r="X328" s="123">
        <v>706149.68</v>
      </c>
      <c r="Y328" s="123">
        <v>604426.52</v>
      </c>
      <c r="Z328" s="123">
        <v>625475.59</v>
      </c>
      <c r="AA328" s="123">
        <v>578207.99</v>
      </c>
      <c r="AB328" s="123">
        <v>662845.12</v>
      </c>
      <c r="AC328" s="124">
        <v>580515.13</v>
      </c>
      <c r="AD328" s="124">
        <v>567497.9</v>
      </c>
      <c r="AE328" s="124">
        <v>708952.11</v>
      </c>
      <c r="AF328" s="124">
        <v>862191.11</v>
      </c>
      <c r="AG328" s="124">
        <v>4295631.07</v>
      </c>
      <c r="AH328" s="124">
        <v>4313670.66</v>
      </c>
      <c r="AI328" s="124">
        <v>2580643.6</v>
      </c>
      <c r="AJ328" s="124">
        <v>2283295.27</v>
      </c>
      <c r="AK328" s="124">
        <v>2355385.56</v>
      </c>
      <c r="AL328" s="124">
        <v>1412352.12</v>
      </c>
      <c r="AM328" s="124">
        <v>1594867.25</v>
      </c>
      <c r="AN328" s="124">
        <v>1744096.21</v>
      </c>
      <c r="AO328" s="125">
        <v>1590364.95</v>
      </c>
      <c r="AP328" s="125">
        <v>1323385.83</v>
      </c>
      <c r="AQ328" s="125">
        <v>1509371.31</v>
      </c>
      <c r="AR328" s="125">
        <v>1770907.33</v>
      </c>
      <c r="AS328" s="125">
        <v>1921778.76</v>
      </c>
      <c r="AT328" s="125">
        <v>2478071.83</v>
      </c>
      <c r="AU328" s="125">
        <v>2596953.81</v>
      </c>
      <c r="AV328" s="125">
        <v>2359999.52</v>
      </c>
      <c r="AW328" s="125">
        <v>1302756.27</v>
      </c>
      <c r="AX328" s="125">
        <v>1251670.18</v>
      </c>
      <c r="AY328" s="126"/>
      <c r="AZ328" s="126"/>
      <c r="BA328" s="126"/>
      <c r="BB328" s="126"/>
      <c r="BC328" s="126"/>
      <c r="BD328" s="126"/>
      <c r="BE328" s="126"/>
      <c r="BF328" s="127">
        <v>21010505</v>
      </c>
      <c r="BG328" s="97" t="s">
        <v>295</v>
      </c>
      <c r="BH328" s="127">
        <v>4313670.66</v>
      </c>
      <c r="BI328" s="127">
        <v>21010505</v>
      </c>
      <c r="BJ328" s="97" t="s">
        <v>295</v>
      </c>
      <c r="BK328" s="127">
        <v>2580643.6</v>
      </c>
    </row>
    <row r="329" spans="1:63" x14ac:dyDescent="0.25">
      <c r="B329" s="121">
        <v>210110</v>
      </c>
      <c r="C329" s="122" t="s">
        <v>296</v>
      </c>
      <c r="D329" s="123">
        <v>37631.230000000003</v>
      </c>
      <c r="E329" s="123">
        <v>36784.46</v>
      </c>
      <c r="F329" s="123">
        <v>36784.97</v>
      </c>
      <c r="G329" s="123">
        <v>36784.97</v>
      </c>
      <c r="H329" s="123">
        <v>36784.97</v>
      </c>
      <c r="I329" s="123">
        <v>36784.97</v>
      </c>
      <c r="J329" s="123">
        <v>36789.46</v>
      </c>
      <c r="K329" s="123">
        <v>36789.46</v>
      </c>
      <c r="L329" s="123">
        <v>36783.879999999997</v>
      </c>
      <c r="M329" s="123">
        <v>36783.879999999997</v>
      </c>
      <c r="N329" s="123">
        <v>36783.879999999997</v>
      </c>
      <c r="O329" s="123">
        <v>36783.879999999997</v>
      </c>
      <c r="P329" s="123">
        <v>50011.85</v>
      </c>
      <c r="Q329" s="123">
        <v>36786.03</v>
      </c>
      <c r="R329" s="123">
        <v>36783.879999999997</v>
      </c>
      <c r="S329" s="123">
        <v>35041.99</v>
      </c>
      <c r="T329" s="123">
        <v>35041.99</v>
      </c>
      <c r="U329" s="123">
        <v>35041.99</v>
      </c>
      <c r="V329" s="123">
        <v>35041.99</v>
      </c>
      <c r="W329" s="123">
        <v>35041.99</v>
      </c>
      <c r="X329" s="123">
        <v>35041.99</v>
      </c>
      <c r="Y329" s="123">
        <v>35041.99</v>
      </c>
      <c r="Z329" s="123">
        <v>35041.99</v>
      </c>
      <c r="AA329" s="123">
        <v>35041.99</v>
      </c>
      <c r="AB329" s="123">
        <v>35041.99</v>
      </c>
      <c r="AC329" s="124">
        <v>35041.99</v>
      </c>
      <c r="AD329" s="124">
        <v>35041.99</v>
      </c>
      <c r="AE329" s="124">
        <v>35041.99</v>
      </c>
      <c r="AF329" s="124">
        <v>35041.99</v>
      </c>
      <c r="AG329" s="124">
        <v>35041.99</v>
      </c>
      <c r="AH329" s="124">
        <v>35041.99</v>
      </c>
      <c r="AI329" s="124">
        <v>35041.99</v>
      </c>
      <c r="AJ329" s="124">
        <v>35041.99</v>
      </c>
      <c r="AK329" s="124">
        <v>35041.99</v>
      </c>
      <c r="AL329" s="124">
        <v>35041.99</v>
      </c>
      <c r="AM329" s="124">
        <v>35041.99</v>
      </c>
      <c r="AN329" s="124">
        <v>35042.94</v>
      </c>
      <c r="AO329" s="125">
        <v>35042.94</v>
      </c>
      <c r="AP329" s="125">
        <v>35042.94</v>
      </c>
      <c r="AQ329" s="125">
        <v>35042.94</v>
      </c>
      <c r="AR329" s="125">
        <v>35135.879999999997</v>
      </c>
      <c r="AS329" s="125">
        <v>35568.44</v>
      </c>
      <c r="AT329" s="125">
        <v>35568.44</v>
      </c>
      <c r="AU329" s="125">
        <v>35568.44</v>
      </c>
      <c r="AV329" s="125">
        <v>35568.44</v>
      </c>
      <c r="AW329" s="125">
        <v>35568.44</v>
      </c>
      <c r="AX329" s="125">
        <v>36514.199999999997</v>
      </c>
      <c r="AY329" s="126"/>
      <c r="AZ329" s="126"/>
      <c r="BA329" s="126"/>
      <c r="BB329" s="126"/>
      <c r="BC329" s="126"/>
      <c r="BD329" s="126"/>
      <c r="BE329" s="126"/>
      <c r="BF329" s="127">
        <v>210110</v>
      </c>
      <c r="BG329" s="97" t="s">
        <v>296</v>
      </c>
      <c r="BH329" s="127">
        <v>35041.99</v>
      </c>
      <c r="BI329" s="127">
        <v>210110</v>
      </c>
      <c r="BJ329" s="97" t="s">
        <v>296</v>
      </c>
      <c r="BK329" s="127">
        <v>35041.99</v>
      </c>
    </row>
    <row r="330" spans="1:63" x14ac:dyDescent="0.25">
      <c r="B330" s="121">
        <v>21011010</v>
      </c>
      <c r="C330" s="122" t="s">
        <v>297</v>
      </c>
      <c r="D330" s="123">
        <v>37631.230000000003</v>
      </c>
      <c r="E330" s="123">
        <v>36784.46</v>
      </c>
      <c r="F330" s="123">
        <v>36784.97</v>
      </c>
      <c r="G330" s="123">
        <v>36784.97</v>
      </c>
      <c r="H330" s="123">
        <v>36784.97</v>
      </c>
      <c r="I330" s="123">
        <v>36784.97</v>
      </c>
      <c r="J330" s="123">
        <v>36789.46</v>
      </c>
      <c r="K330" s="123">
        <v>36789.46</v>
      </c>
      <c r="L330" s="123">
        <v>36783.879999999997</v>
      </c>
      <c r="M330" s="123">
        <v>36783.879999999997</v>
      </c>
      <c r="N330" s="123">
        <v>36783.879999999997</v>
      </c>
      <c r="O330" s="123">
        <v>36783.879999999997</v>
      </c>
      <c r="P330" s="123">
        <v>50011.85</v>
      </c>
      <c r="Q330" s="123">
        <v>36786.03</v>
      </c>
      <c r="R330" s="123">
        <v>36783.879999999997</v>
      </c>
      <c r="S330" s="123">
        <v>35041.99</v>
      </c>
      <c r="T330" s="123">
        <v>35041.99</v>
      </c>
      <c r="U330" s="123">
        <v>35041.99</v>
      </c>
      <c r="V330" s="123">
        <v>35041.99</v>
      </c>
      <c r="W330" s="123">
        <v>35041.99</v>
      </c>
      <c r="X330" s="123">
        <v>35041.99</v>
      </c>
      <c r="Y330" s="123">
        <v>35041.99</v>
      </c>
      <c r="Z330" s="123">
        <v>35041.99</v>
      </c>
      <c r="AA330" s="123">
        <v>35041.99</v>
      </c>
      <c r="AB330" s="123">
        <v>35041.99</v>
      </c>
      <c r="AC330" s="124">
        <v>35041.99</v>
      </c>
      <c r="AD330" s="124">
        <v>35041.99</v>
      </c>
      <c r="AE330" s="124">
        <v>35041.99</v>
      </c>
      <c r="AF330" s="124">
        <v>35041.99</v>
      </c>
      <c r="AG330" s="124">
        <v>35041.99</v>
      </c>
      <c r="AH330" s="124">
        <v>35041.99</v>
      </c>
      <c r="AI330" s="124">
        <v>35041.99</v>
      </c>
      <c r="AJ330" s="124">
        <v>35041.99</v>
      </c>
      <c r="AK330" s="124">
        <v>35041.99</v>
      </c>
      <c r="AL330" s="124">
        <v>35041.99</v>
      </c>
      <c r="AM330" s="124">
        <v>35041.99</v>
      </c>
      <c r="AN330" s="124">
        <v>35042.94</v>
      </c>
      <c r="AO330" s="125">
        <v>35042.94</v>
      </c>
      <c r="AP330" s="125">
        <v>35042.94</v>
      </c>
      <c r="AQ330" s="125">
        <v>35042.94</v>
      </c>
      <c r="AR330" s="125">
        <v>35135.879999999997</v>
      </c>
      <c r="AS330" s="125">
        <v>35568.44</v>
      </c>
      <c r="AT330" s="125">
        <v>35568.44</v>
      </c>
      <c r="AU330" s="125">
        <v>35568.44</v>
      </c>
      <c r="AV330" s="125">
        <v>35568.44</v>
      </c>
      <c r="AW330" s="125">
        <v>35568.44</v>
      </c>
      <c r="AX330" s="125">
        <v>36514.199999999997</v>
      </c>
      <c r="AY330" s="126"/>
      <c r="AZ330" s="126"/>
      <c r="BA330" s="126"/>
      <c r="BB330" s="126"/>
      <c r="BC330" s="126"/>
      <c r="BD330" s="126"/>
      <c r="BE330" s="126"/>
      <c r="BF330" s="127">
        <v>21011010</v>
      </c>
      <c r="BG330" s="97" t="s">
        <v>297</v>
      </c>
      <c r="BH330" s="127">
        <v>35041.99</v>
      </c>
      <c r="BI330" s="127">
        <v>21011010</v>
      </c>
      <c r="BJ330" s="97" t="s">
        <v>297</v>
      </c>
      <c r="BK330" s="127">
        <v>35041.99</v>
      </c>
    </row>
    <row r="331" spans="1:63" x14ac:dyDescent="0.25">
      <c r="B331" s="121">
        <v>210130</v>
      </c>
      <c r="C331" s="122" t="s">
        <v>298</v>
      </c>
      <c r="D331" s="123">
        <v>60748.78</v>
      </c>
      <c r="E331" s="123">
        <v>33483.75</v>
      </c>
      <c r="F331" s="123">
        <v>39856.6</v>
      </c>
      <c r="G331" s="123">
        <v>41914.65</v>
      </c>
      <c r="H331" s="123">
        <v>39856.6</v>
      </c>
      <c r="I331" s="123">
        <v>39856.6</v>
      </c>
      <c r="J331" s="123">
        <v>39939.51</v>
      </c>
      <c r="K331" s="123">
        <v>39856.6</v>
      </c>
      <c r="L331" s="123">
        <v>39942.18</v>
      </c>
      <c r="M331" s="123">
        <v>40781.599999999999</v>
      </c>
      <c r="N331" s="123">
        <v>39857.5</v>
      </c>
      <c r="O331" s="123">
        <v>41531.69</v>
      </c>
      <c r="P331" s="123">
        <v>39856.6</v>
      </c>
      <c r="Q331" s="123">
        <v>40631.440000000002</v>
      </c>
      <c r="R331" s="123">
        <v>40007.919999999998</v>
      </c>
      <c r="S331" s="123">
        <v>39856.6</v>
      </c>
      <c r="T331" s="123">
        <v>36177.72</v>
      </c>
      <c r="U331" s="123">
        <v>35465.08</v>
      </c>
      <c r="V331" s="123">
        <v>35360.839999999997</v>
      </c>
      <c r="W331" s="123">
        <v>35263.68</v>
      </c>
      <c r="X331" s="123">
        <v>35327.71</v>
      </c>
      <c r="Y331" s="123">
        <v>35263.68</v>
      </c>
      <c r="Z331" s="123">
        <v>35263.68</v>
      </c>
      <c r="AA331" s="123">
        <v>35263.68</v>
      </c>
      <c r="AB331" s="123">
        <v>35263.68</v>
      </c>
      <c r="AC331" s="124">
        <v>35263.68</v>
      </c>
      <c r="AD331" s="124">
        <v>35263.68</v>
      </c>
      <c r="AE331" s="124">
        <v>35860.339999999997</v>
      </c>
      <c r="AF331" s="124">
        <v>35903.07</v>
      </c>
      <c r="AG331" s="124">
        <v>35505.68</v>
      </c>
      <c r="AH331" s="124">
        <v>35863.410000000003</v>
      </c>
      <c r="AI331" s="124">
        <v>35263.68</v>
      </c>
      <c r="AJ331" s="124">
        <v>35263.68</v>
      </c>
      <c r="AK331" s="124">
        <v>35608.68</v>
      </c>
      <c r="AL331" s="124">
        <v>35608.68</v>
      </c>
      <c r="AM331" s="124">
        <v>36282.5</v>
      </c>
      <c r="AN331" s="124">
        <v>35608.68</v>
      </c>
      <c r="AO331" s="125">
        <v>98885.47</v>
      </c>
      <c r="AP331" s="125">
        <v>10292.32</v>
      </c>
      <c r="AQ331" s="125">
        <v>10292.32</v>
      </c>
      <c r="AR331" s="125">
        <v>10292.32</v>
      </c>
      <c r="AS331" s="125">
        <v>10292.32</v>
      </c>
      <c r="AT331" s="125">
        <v>10292.32</v>
      </c>
      <c r="AU331" s="125">
        <v>10446.76</v>
      </c>
      <c r="AV331" s="125">
        <v>10292.32</v>
      </c>
      <c r="AW331" s="125">
        <v>10292.32</v>
      </c>
      <c r="AX331" s="125">
        <v>10292.32</v>
      </c>
      <c r="AY331" s="126"/>
      <c r="AZ331" s="126"/>
      <c r="BA331" s="126"/>
      <c r="BB331" s="126"/>
      <c r="BC331" s="126"/>
      <c r="BD331" s="126"/>
      <c r="BE331" s="126"/>
      <c r="BF331" s="127">
        <v>210130</v>
      </c>
      <c r="BG331" s="97" t="s">
        <v>298</v>
      </c>
      <c r="BH331" s="127">
        <v>35863.410000000003</v>
      </c>
      <c r="BI331" s="127">
        <v>210130</v>
      </c>
      <c r="BJ331" s="97" t="s">
        <v>298</v>
      </c>
      <c r="BK331" s="127">
        <v>35263.68</v>
      </c>
    </row>
    <row r="332" spans="1:63" x14ac:dyDescent="0.25">
      <c r="B332" s="121">
        <v>210135</v>
      </c>
      <c r="C332" s="122" t="s">
        <v>299</v>
      </c>
      <c r="D332" s="123">
        <v>1202035.8400000001</v>
      </c>
      <c r="E332" s="123">
        <v>1124428.82</v>
      </c>
      <c r="F332" s="123">
        <v>1185488.8500000001</v>
      </c>
      <c r="G332" s="123">
        <v>1695633.41</v>
      </c>
      <c r="H332" s="123">
        <v>1421073.82</v>
      </c>
      <c r="I332" s="123">
        <v>1651104.91</v>
      </c>
      <c r="J332" s="123">
        <v>1627240.99</v>
      </c>
      <c r="K332" s="123">
        <v>1879062.59</v>
      </c>
      <c r="L332" s="123">
        <v>1901648.48</v>
      </c>
      <c r="M332" s="123">
        <v>1786223.78</v>
      </c>
      <c r="N332" s="123">
        <v>1501093.76</v>
      </c>
      <c r="O332" s="123">
        <v>1488040.35</v>
      </c>
      <c r="P332" s="123">
        <v>1882581.93</v>
      </c>
      <c r="Q332" s="123">
        <v>1232938.6299999999</v>
      </c>
      <c r="R332" s="123">
        <v>1257058.82</v>
      </c>
      <c r="S332" s="123">
        <v>1186020.54</v>
      </c>
      <c r="T332" s="123">
        <v>1132962</v>
      </c>
      <c r="U332" s="123">
        <v>1169319.18</v>
      </c>
      <c r="V332" s="123">
        <v>1055075.98</v>
      </c>
      <c r="W332" s="123">
        <v>1279696.44</v>
      </c>
      <c r="X332" s="123">
        <v>1261747.8899999999</v>
      </c>
      <c r="Y332" s="123">
        <v>822670.21</v>
      </c>
      <c r="Z332" s="123">
        <v>804620.88</v>
      </c>
      <c r="AA332" s="123">
        <v>1015053.9</v>
      </c>
      <c r="AB332" s="123">
        <v>854348.73</v>
      </c>
      <c r="AC332" s="124">
        <v>767708.17</v>
      </c>
      <c r="AD332" s="124">
        <v>837219.77</v>
      </c>
      <c r="AE332" s="124">
        <v>830640.39</v>
      </c>
      <c r="AF332" s="124">
        <v>835857.77</v>
      </c>
      <c r="AG332" s="124">
        <v>890394.72</v>
      </c>
      <c r="AH332" s="124">
        <v>945972.84</v>
      </c>
      <c r="AI332" s="124">
        <v>901281.57</v>
      </c>
      <c r="AJ332" s="124">
        <v>1020458.46</v>
      </c>
      <c r="AK332" s="124">
        <v>1034647.67</v>
      </c>
      <c r="AL332" s="124">
        <v>1053340.73</v>
      </c>
      <c r="AM332" s="124">
        <v>1056657.27</v>
      </c>
      <c r="AN332" s="124">
        <v>1585527.91</v>
      </c>
      <c r="AO332" s="125">
        <v>1509714.23</v>
      </c>
      <c r="AP332" s="125">
        <v>1800342.73</v>
      </c>
      <c r="AQ332" s="125">
        <v>1792106.36</v>
      </c>
      <c r="AR332" s="125">
        <v>1404069.57</v>
      </c>
      <c r="AS332" s="125">
        <v>1366934.42</v>
      </c>
      <c r="AT332" s="125">
        <v>1373091.65</v>
      </c>
      <c r="AU332" s="125">
        <v>1514111.92</v>
      </c>
      <c r="AV332" s="125">
        <v>1681279.94</v>
      </c>
      <c r="AW332" s="125">
        <v>2176796.6800000002</v>
      </c>
      <c r="AX332" s="125">
        <v>1890406.27</v>
      </c>
      <c r="AY332" s="126"/>
      <c r="AZ332" s="126"/>
      <c r="BA332" s="126"/>
      <c r="BB332" s="126"/>
      <c r="BC332" s="126"/>
      <c r="BD332" s="126"/>
      <c r="BE332" s="126"/>
      <c r="BF332" s="127">
        <v>210135</v>
      </c>
      <c r="BG332" s="97" t="s">
        <v>299</v>
      </c>
      <c r="BH332" s="127">
        <v>945972.84</v>
      </c>
      <c r="BI332" s="127">
        <v>210135</v>
      </c>
      <c r="BJ332" s="97" t="s">
        <v>299</v>
      </c>
      <c r="BK332" s="127">
        <v>901281.57</v>
      </c>
    </row>
    <row r="333" spans="1:63" x14ac:dyDescent="0.25">
      <c r="B333" s="121">
        <v>21013505</v>
      </c>
      <c r="C333" s="122" t="s">
        <v>295</v>
      </c>
      <c r="D333" s="123">
        <v>1202034.21</v>
      </c>
      <c r="E333" s="123">
        <v>1124425.19</v>
      </c>
      <c r="F333" s="123">
        <v>1185485.22</v>
      </c>
      <c r="G333" s="123">
        <v>1695629.78</v>
      </c>
      <c r="H333" s="123">
        <v>1421070.19</v>
      </c>
      <c r="I333" s="123">
        <v>1651101.28</v>
      </c>
      <c r="J333" s="123">
        <v>1627237.36</v>
      </c>
      <c r="K333" s="123">
        <v>1879058.52</v>
      </c>
      <c r="L333" s="123">
        <v>1901644.36</v>
      </c>
      <c r="M333" s="123">
        <v>1786219.57</v>
      </c>
      <c r="N333" s="123">
        <v>1501089.45</v>
      </c>
      <c r="O333" s="123">
        <v>1488035.69</v>
      </c>
      <c r="P333" s="123">
        <v>1882575.14</v>
      </c>
      <c r="Q333" s="123">
        <v>1232931.7</v>
      </c>
      <c r="R333" s="123">
        <v>1257051.8899999999</v>
      </c>
      <c r="S333" s="123">
        <v>1186013.6100000001</v>
      </c>
      <c r="T333" s="123">
        <v>1132955.07</v>
      </c>
      <c r="U333" s="123">
        <v>1169311.6499999999</v>
      </c>
      <c r="V333" s="123">
        <v>1055065.24</v>
      </c>
      <c r="W333" s="123">
        <v>1279685.07</v>
      </c>
      <c r="X333" s="123">
        <v>1261736.52</v>
      </c>
      <c r="Y333" s="123">
        <v>822658.63</v>
      </c>
      <c r="Z333" s="123">
        <v>804609.24</v>
      </c>
      <c r="AA333" s="123">
        <v>1015042.26</v>
      </c>
      <c r="AB333" s="123">
        <v>854337.09</v>
      </c>
      <c r="AC333" s="124">
        <v>767696.41</v>
      </c>
      <c r="AD333" s="124">
        <v>837207.89</v>
      </c>
      <c r="AE333" s="124">
        <v>830628.23</v>
      </c>
      <c r="AF333" s="124">
        <v>835845.61</v>
      </c>
      <c r="AG333" s="124">
        <v>890382.56</v>
      </c>
      <c r="AH333" s="124">
        <v>945960.68</v>
      </c>
      <c r="AI333" s="124">
        <v>901269.41</v>
      </c>
      <c r="AJ333" s="124">
        <v>1020446.3</v>
      </c>
      <c r="AK333" s="124">
        <v>1034634.49</v>
      </c>
      <c r="AL333" s="124">
        <v>1053327.55</v>
      </c>
      <c r="AM333" s="124">
        <v>1056643.8600000001</v>
      </c>
      <c r="AN333" s="124">
        <v>1585514.5</v>
      </c>
      <c r="AO333" s="125">
        <v>1509700.82</v>
      </c>
      <c r="AP333" s="125">
        <v>1800318.84</v>
      </c>
      <c r="AQ333" s="125">
        <v>1792082.47</v>
      </c>
      <c r="AR333" s="125">
        <v>1404045.31</v>
      </c>
      <c r="AS333" s="125">
        <v>1366910.16</v>
      </c>
      <c r="AT333" s="125">
        <v>1373066.93</v>
      </c>
      <c r="AU333" s="125">
        <v>1514083.5</v>
      </c>
      <c r="AV333" s="125">
        <v>1681251.52</v>
      </c>
      <c r="AW333" s="125">
        <v>2176767.96</v>
      </c>
      <c r="AX333" s="125">
        <v>1890377.26</v>
      </c>
      <c r="AY333" s="126"/>
      <c r="AZ333" s="126"/>
      <c r="BA333" s="126"/>
      <c r="BB333" s="126"/>
      <c r="BC333" s="126"/>
      <c r="BD333" s="126"/>
      <c r="BE333" s="126"/>
      <c r="BF333" s="127">
        <v>21013505</v>
      </c>
      <c r="BG333" s="97" t="s">
        <v>295</v>
      </c>
      <c r="BH333" s="127">
        <v>945960.68</v>
      </c>
      <c r="BI333" s="127">
        <v>21013505</v>
      </c>
      <c r="BJ333" s="97" t="s">
        <v>295</v>
      </c>
      <c r="BK333" s="127">
        <v>901269.41</v>
      </c>
    </row>
    <row r="334" spans="1:63" x14ac:dyDescent="0.25">
      <c r="B334" s="121">
        <v>21013510</v>
      </c>
      <c r="C334" s="122" t="s">
        <v>297</v>
      </c>
      <c r="D334" s="123">
        <v>1.63</v>
      </c>
      <c r="E334" s="123">
        <v>3.63</v>
      </c>
      <c r="F334" s="123">
        <v>3.63</v>
      </c>
      <c r="G334" s="123">
        <v>3.63</v>
      </c>
      <c r="H334" s="123">
        <v>3.63</v>
      </c>
      <c r="I334" s="123">
        <v>3.63</v>
      </c>
      <c r="J334" s="123">
        <v>3.63</v>
      </c>
      <c r="K334" s="123">
        <v>4.07</v>
      </c>
      <c r="L334" s="123">
        <v>4.12</v>
      </c>
      <c r="M334" s="123">
        <v>4.21</v>
      </c>
      <c r="N334" s="123">
        <v>4.3099999999999996</v>
      </c>
      <c r="O334" s="123">
        <v>4.66</v>
      </c>
      <c r="P334" s="123">
        <v>6.79</v>
      </c>
      <c r="Q334" s="123">
        <v>6.93</v>
      </c>
      <c r="R334" s="123">
        <v>6.93</v>
      </c>
      <c r="S334" s="123">
        <v>6.93</v>
      </c>
      <c r="T334" s="123">
        <v>6.93</v>
      </c>
      <c r="U334" s="123">
        <v>7.53</v>
      </c>
      <c r="V334" s="123">
        <v>10.74</v>
      </c>
      <c r="W334" s="123">
        <v>11.37</v>
      </c>
      <c r="X334" s="123">
        <v>11.37</v>
      </c>
      <c r="Y334" s="123">
        <v>11.58</v>
      </c>
      <c r="Z334" s="123">
        <v>11.64</v>
      </c>
      <c r="AA334" s="123">
        <v>11.64</v>
      </c>
      <c r="AB334" s="123">
        <v>11.64</v>
      </c>
      <c r="AC334" s="124">
        <v>11.76</v>
      </c>
      <c r="AD334" s="124">
        <v>11.88</v>
      </c>
      <c r="AE334" s="124">
        <v>12.16</v>
      </c>
      <c r="AF334" s="124">
        <v>12.16</v>
      </c>
      <c r="AG334" s="124">
        <v>12.16</v>
      </c>
      <c r="AH334" s="124">
        <v>12.16</v>
      </c>
      <c r="AI334" s="124">
        <v>12.16</v>
      </c>
      <c r="AJ334" s="124">
        <v>12.16</v>
      </c>
      <c r="AK334" s="124">
        <v>13.18</v>
      </c>
      <c r="AL334" s="124">
        <v>13.18</v>
      </c>
      <c r="AM334" s="124">
        <v>13.41</v>
      </c>
      <c r="AN334" s="124">
        <v>13.41</v>
      </c>
      <c r="AO334" s="125">
        <v>13.41</v>
      </c>
      <c r="AP334" s="125">
        <v>23.89</v>
      </c>
      <c r="AQ334" s="125">
        <v>23.89</v>
      </c>
      <c r="AR334" s="125">
        <v>24.26</v>
      </c>
      <c r="AS334" s="125">
        <v>24.26</v>
      </c>
      <c r="AT334" s="125">
        <v>24.72</v>
      </c>
      <c r="AU334" s="125">
        <v>28.42</v>
      </c>
      <c r="AV334" s="125">
        <v>28.42</v>
      </c>
      <c r="AW334" s="125">
        <v>28.72</v>
      </c>
      <c r="AX334" s="125">
        <v>29.01</v>
      </c>
      <c r="AY334" s="126"/>
      <c r="AZ334" s="126"/>
      <c r="BA334" s="126"/>
      <c r="BB334" s="126"/>
      <c r="BC334" s="126"/>
      <c r="BD334" s="126"/>
      <c r="BE334" s="126"/>
      <c r="BF334" s="127">
        <v>21013510</v>
      </c>
      <c r="BG334" s="97" t="s">
        <v>297</v>
      </c>
      <c r="BH334" s="127">
        <v>12.16</v>
      </c>
      <c r="BI334" s="127">
        <v>21013510</v>
      </c>
      <c r="BJ334" s="97" t="s">
        <v>297</v>
      </c>
      <c r="BK334" s="127">
        <v>12.16</v>
      </c>
    </row>
    <row r="335" spans="1:63" x14ac:dyDescent="0.25">
      <c r="B335" s="121">
        <v>210140</v>
      </c>
      <c r="C335" s="122" t="s">
        <v>300</v>
      </c>
      <c r="D335" s="123">
        <v>177269.41</v>
      </c>
      <c r="E335" s="123">
        <v>72123.03</v>
      </c>
      <c r="F335" s="123">
        <v>85824.01</v>
      </c>
      <c r="G335" s="123">
        <v>57729.53</v>
      </c>
      <c r="H335" s="123">
        <v>73507.61</v>
      </c>
      <c r="I335" s="123">
        <v>78463.360000000001</v>
      </c>
      <c r="J335" s="123">
        <v>121704.23</v>
      </c>
      <c r="K335" s="123">
        <v>72600.06</v>
      </c>
      <c r="L335" s="123">
        <v>58087.62</v>
      </c>
      <c r="M335" s="123">
        <v>63623.65</v>
      </c>
      <c r="N335" s="123">
        <v>102308.67</v>
      </c>
      <c r="O335" s="123">
        <v>59618.12</v>
      </c>
      <c r="P335" s="123">
        <v>87604.97</v>
      </c>
      <c r="Q335" s="123">
        <v>70870.41</v>
      </c>
      <c r="R335" s="123">
        <v>80537.27</v>
      </c>
      <c r="S335" s="123">
        <v>119670.76</v>
      </c>
      <c r="T335" s="123">
        <v>102047.39</v>
      </c>
      <c r="U335" s="123">
        <v>71598</v>
      </c>
      <c r="V335" s="123">
        <v>53831.53</v>
      </c>
      <c r="W335" s="123">
        <v>88639.46</v>
      </c>
      <c r="X335" s="123">
        <v>71171.58</v>
      </c>
      <c r="Y335" s="123">
        <v>57386.34</v>
      </c>
      <c r="Z335" s="123">
        <v>85038.8</v>
      </c>
      <c r="AA335" s="123">
        <v>57267.55</v>
      </c>
      <c r="AB335" s="123">
        <v>66573.56</v>
      </c>
      <c r="AC335" s="124">
        <v>345455.4</v>
      </c>
      <c r="AD335" s="124">
        <v>90833.75</v>
      </c>
      <c r="AE335" s="124">
        <v>63512.95</v>
      </c>
      <c r="AF335" s="124">
        <v>59673.81</v>
      </c>
      <c r="AG335" s="124">
        <v>64774.77</v>
      </c>
      <c r="AH335" s="124">
        <v>67498.09</v>
      </c>
      <c r="AI335" s="124">
        <v>72540.73</v>
      </c>
      <c r="AJ335" s="124">
        <v>99805.440000000002</v>
      </c>
      <c r="AK335" s="124">
        <v>90177.85</v>
      </c>
      <c r="AL335" s="124">
        <v>61987.040000000001</v>
      </c>
      <c r="AM335" s="124">
        <v>71017.69</v>
      </c>
      <c r="AN335" s="124">
        <v>150477.96</v>
      </c>
      <c r="AO335" s="125">
        <v>110731.23</v>
      </c>
      <c r="AP335" s="125">
        <v>44388.78</v>
      </c>
      <c r="AQ335" s="125">
        <v>148622.75</v>
      </c>
      <c r="AR335" s="125">
        <v>61444.24</v>
      </c>
      <c r="AS335" s="125">
        <v>114208.47</v>
      </c>
      <c r="AT335" s="125">
        <v>208409.37</v>
      </c>
      <c r="AU335" s="125">
        <v>131668.32999999999</v>
      </c>
      <c r="AV335" s="125">
        <v>101979.47</v>
      </c>
      <c r="AW335" s="125">
        <v>72009.600000000006</v>
      </c>
      <c r="AX335" s="125">
        <v>75003.31</v>
      </c>
      <c r="AY335" s="126"/>
      <c r="AZ335" s="126"/>
      <c r="BA335" s="126"/>
      <c r="BB335" s="126"/>
      <c r="BC335" s="126"/>
      <c r="BD335" s="126"/>
      <c r="BE335" s="126"/>
      <c r="BF335" s="127">
        <v>210140</v>
      </c>
      <c r="BG335" s="97" t="s">
        <v>300</v>
      </c>
      <c r="BH335" s="127">
        <v>67498.09</v>
      </c>
      <c r="BI335" s="127">
        <v>210140</v>
      </c>
      <c r="BJ335" s="97" t="s">
        <v>300</v>
      </c>
      <c r="BK335" s="127">
        <v>72540.73</v>
      </c>
    </row>
    <row r="336" spans="1:63" x14ac:dyDescent="0.25">
      <c r="B336" s="121">
        <v>21014015</v>
      </c>
      <c r="C336" s="122" t="s">
        <v>301</v>
      </c>
      <c r="D336" s="123">
        <v>177269.41</v>
      </c>
      <c r="E336" s="123">
        <v>72123.03</v>
      </c>
      <c r="F336" s="123">
        <v>85824.01</v>
      </c>
      <c r="G336" s="123">
        <v>57729.53</v>
      </c>
      <c r="H336" s="123">
        <v>73507.61</v>
      </c>
      <c r="I336" s="123">
        <v>78463.360000000001</v>
      </c>
      <c r="J336" s="123">
        <v>121704.23</v>
      </c>
      <c r="K336" s="123">
        <v>72600.06</v>
      </c>
      <c r="L336" s="123">
        <v>58087.62</v>
      </c>
      <c r="M336" s="123">
        <v>63623.65</v>
      </c>
      <c r="N336" s="123">
        <v>102308.67</v>
      </c>
      <c r="O336" s="123">
        <v>59618.12</v>
      </c>
      <c r="P336" s="123">
        <v>87604.97</v>
      </c>
      <c r="Q336" s="123">
        <v>70870.41</v>
      </c>
      <c r="R336" s="123">
        <v>80537.27</v>
      </c>
      <c r="S336" s="123">
        <v>119670.76</v>
      </c>
      <c r="T336" s="123">
        <v>102047.39</v>
      </c>
      <c r="U336" s="123">
        <v>71598</v>
      </c>
      <c r="V336" s="123">
        <v>53831.53</v>
      </c>
      <c r="W336" s="123">
        <v>88639.46</v>
      </c>
      <c r="X336" s="123">
        <v>71171.58</v>
      </c>
      <c r="Y336" s="123">
        <v>57386.34</v>
      </c>
      <c r="Z336" s="123">
        <v>85038.8</v>
      </c>
      <c r="AA336" s="123">
        <v>57267.55</v>
      </c>
      <c r="AB336" s="123">
        <v>66573.56</v>
      </c>
      <c r="AC336" s="124">
        <v>345455.4</v>
      </c>
      <c r="AD336" s="124">
        <v>90833.75</v>
      </c>
      <c r="AE336" s="124">
        <v>63512.95</v>
      </c>
      <c r="AF336" s="124">
        <v>59673.81</v>
      </c>
      <c r="AG336" s="124">
        <v>64774.77</v>
      </c>
      <c r="AH336" s="124">
        <v>67498.09</v>
      </c>
      <c r="AI336" s="124">
        <v>72540.73</v>
      </c>
      <c r="AJ336" s="124">
        <v>99805.440000000002</v>
      </c>
      <c r="AK336" s="124">
        <v>90177.85</v>
      </c>
      <c r="AL336" s="124">
        <v>61987.040000000001</v>
      </c>
      <c r="AM336" s="124">
        <v>71017.69</v>
      </c>
      <c r="AN336" s="124">
        <v>150477.96</v>
      </c>
      <c r="AO336" s="125">
        <v>110731.23</v>
      </c>
      <c r="AP336" s="125">
        <v>44388.78</v>
      </c>
      <c r="AQ336" s="125">
        <v>148622.75</v>
      </c>
      <c r="AR336" s="125">
        <v>61444.24</v>
      </c>
      <c r="AS336" s="125">
        <v>114208.47</v>
      </c>
      <c r="AT336" s="125">
        <v>208409.37</v>
      </c>
      <c r="AU336" s="125">
        <v>131668.32999999999</v>
      </c>
      <c r="AV336" s="125">
        <v>101979.47</v>
      </c>
      <c r="AW336" s="125">
        <v>72009.600000000006</v>
      </c>
      <c r="AX336" s="125">
        <v>75003.31</v>
      </c>
      <c r="AY336" s="126"/>
      <c r="AZ336" s="126"/>
      <c r="BA336" s="126"/>
      <c r="BB336" s="126"/>
      <c r="BC336" s="126"/>
      <c r="BD336" s="126"/>
      <c r="BE336" s="126"/>
      <c r="BF336" s="127">
        <v>21014015</v>
      </c>
      <c r="BG336" s="97" t="s">
        <v>301</v>
      </c>
      <c r="BH336" s="127">
        <v>67498.09</v>
      </c>
      <c r="BI336" s="127">
        <v>21014015</v>
      </c>
      <c r="BJ336" s="97" t="s">
        <v>301</v>
      </c>
      <c r="BK336" s="127">
        <v>72540.73</v>
      </c>
    </row>
    <row r="337" spans="1:63" x14ac:dyDescent="0.25">
      <c r="B337" s="121">
        <v>2103</v>
      </c>
      <c r="C337" s="122" t="s">
        <v>302</v>
      </c>
      <c r="D337" s="116">
        <v>23959538.850000001</v>
      </c>
      <c r="E337" s="116">
        <v>25163360.329999998</v>
      </c>
      <c r="F337" s="116">
        <v>26617768.960000001</v>
      </c>
      <c r="G337" s="116">
        <v>26827237.690000001</v>
      </c>
      <c r="H337" s="116">
        <v>27406841.359999999</v>
      </c>
      <c r="I337" s="116">
        <v>27195119.489999998</v>
      </c>
      <c r="J337" s="116">
        <v>27072461.739999998</v>
      </c>
      <c r="K337" s="116">
        <v>27444129.399999999</v>
      </c>
      <c r="L337" s="116">
        <v>27352007.420000002</v>
      </c>
      <c r="M337" s="116">
        <v>30036707.899999999</v>
      </c>
      <c r="N337" s="116">
        <v>30384558.539999999</v>
      </c>
      <c r="O337" s="116">
        <v>30505287.129999999</v>
      </c>
      <c r="P337" s="116">
        <v>30608843.57</v>
      </c>
      <c r="Q337" s="116">
        <v>30846530.629999999</v>
      </c>
      <c r="R337" s="116">
        <v>30241730.84</v>
      </c>
      <c r="S337" s="116">
        <v>30121566.809999999</v>
      </c>
      <c r="T337" s="116">
        <v>28872852.129999999</v>
      </c>
      <c r="U337" s="116">
        <v>28496062.440000001</v>
      </c>
      <c r="V337" s="116">
        <v>28162214.809999999</v>
      </c>
      <c r="W337" s="116">
        <v>27483988.449999999</v>
      </c>
      <c r="X337" s="116">
        <v>27141839.559999999</v>
      </c>
      <c r="Y337" s="116">
        <v>27123279.399999999</v>
      </c>
      <c r="Z337" s="116">
        <v>28336271.760000002</v>
      </c>
      <c r="AA337" s="116">
        <v>28144271.960000001</v>
      </c>
      <c r="AB337" s="116">
        <v>27935747.670000002</v>
      </c>
      <c r="AC337" s="124">
        <v>27882834.43</v>
      </c>
      <c r="AD337" s="124">
        <v>27906757.120000001</v>
      </c>
      <c r="AE337" s="124">
        <v>28043238.48</v>
      </c>
      <c r="AF337" s="124">
        <v>28347834.620000001</v>
      </c>
      <c r="AG337" s="124">
        <v>28013718.859999999</v>
      </c>
      <c r="AH337" s="124">
        <v>27921868.969999999</v>
      </c>
      <c r="AI337" s="124">
        <v>29012926.539999999</v>
      </c>
      <c r="AJ337" s="124">
        <v>29824752.460000001</v>
      </c>
      <c r="AK337" s="124">
        <v>29616776.190000001</v>
      </c>
      <c r="AL337" s="124">
        <v>31860186.120000001</v>
      </c>
      <c r="AM337" s="124">
        <v>32383346.359999999</v>
      </c>
      <c r="AN337" s="124">
        <v>33021227.440000001</v>
      </c>
      <c r="AO337" s="125">
        <v>35214743.200000003</v>
      </c>
      <c r="AP337" s="125">
        <v>37372131.68</v>
      </c>
      <c r="AQ337" s="125">
        <v>38286122.32</v>
      </c>
      <c r="AR337" s="125">
        <v>39632509.93</v>
      </c>
      <c r="AS337" s="125">
        <v>42089375.640000001</v>
      </c>
      <c r="AT337" s="125">
        <v>43481317.68</v>
      </c>
      <c r="AU337" s="125">
        <v>46747210.240000002</v>
      </c>
      <c r="AV337" s="125">
        <v>48646147.57</v>
      </c>
      <c r="AW337" s="125">
        <v>50898420.039999999</v>
      </c>
      <c r="AX337" s="125">
        <v>53103837.18</v>
      </c>
      <c r="AY337" s="126"/>
      <c r="AZ337" s="126"/>
      <c r="BA337" s="126"/>
      <c r="BB337" s="126"/>
      <c r="BC337" s="126"/>
      <c r="BD337" s="126"/>
      <c r="BE337" s="126"/>
      <c r="BF337" s="120">
        <v>2103</v>
      </c>
      <c r="BG337" s="113" t="s">
        <v>302</v>
      </c>
      <c r="BH337" s="120">
        <v>27921868.969999999</v>
      </c>
      <c r="BI337" s="127">
        <v>2103</v>
      </c>
      <c r="BJ337" s="97" t="s">
        <v>302</v>
      </c>
      <c r="BK337" s="127">
        <v>29012926.539999999</v>
      </c>
    </row>
    <row r="338" spans="1:63" x14ac:dyDescent="0.25">
      <c r="B338" s="121">
        <v>210305</v>
      </c>
      <c r="C338" s="122" t="s">
        <v>97</v>
      </c>
      <c r="D338" s="123">
        <v>4764005.0199999996</v>
      </c>
      <c r="E338" s="123">
        <v>3678685.54</v>
      </c>
      <c r="F338" s="123">
        <v>4111947.45</v>
      </c>
      <c r="G338" s="123">
        <v>4688096.08</v>
      </c>
      <c r="H338" s="123">
        <v>4975620.01</v>
      </c>
      <c r="I338" s="123">
        <v>2916019.35</v>
      </c>
      <c r="J338" s="123">
        <v>3997215.2</v>
      </c>
      <c r="K338" s="123">
        <v>5081579.68</v>
      </c>
      <c r="L338" s="123">
        <v>3655719.9</v>
      </c>
      <c r="M338" s="123">
        <v>3917680.25</v>
      </c>
      <c r="N338" s="123">
        <v>3667851.55</v>
      </c>
      <c r="O338" s="123">
        <v>4369559.71</v>
      </c>
      <c r="P338" s="123">
        <v>5517049.5300000003</v>
      </c>
      <c r="Q338" s="123">
        <v>5419533.2400000002</v>
      </c>
      <c r="R338" s="123">
        <v>3631898.63</v>
      </c>
      <c r="S338" s="123">
        <v>4139425.61</v>
      </c>
      <c r="T338" s="123">
        <v>3809258.71</v>
      </c>
      <c r="U338" s="123">
        <v>3529739.1</v>
      </c>
      <c r="V338" s="123">
        <v>3845884.83</v>
      </c>
      <c r="W338" s="123">
        <v>4259391.33</v>
      </c>
      <c r="X338" s="123">
        <v>3525112.58</v>
      </c>
      <c r="Y338" s="123">
        <v>3622239.94</v>
      </c>
      <c r="Z338" s="123">
        <v>3033997.83</v>
      </c>
      <c r="AA338" s="123">
        <v>3614115.47</v>
      </c>
      <c r="AB338" s="123">
        <v>4750984.6900000004</v>
      </c>
      <c r="AC338" s="124">
        <v>4470048.22</v>
      </c>
      <c r="AD338" s="124">
        <v>2845893.33</v>
      </c>
      <c r="AE338" s="124">
        <v>2965598.98</v>
      </c>
      <c r="AF338" s="124">
        <v>3600753.25</v>
      </c>
      <c r="AG338" s="124">
        <v>3974374.51</v>
      </c>
      <c r="AH338" s="124">
        <v>3836988.28</v>
      </c>
      <c r="AI338" s="124">
        <v>3032097.32</v>
      </c>
      <c r="AJ338" s="124">
        <v>3343116.61</v>
      </c>
      <c r="AK338" s="124">
        <v>4232257.54</v>
      </c>
      <c r="AL338" s="124">
        <v>2377799.85</v>
      </c>
      <c r="AM338" s="124">
        <v>4264467.59</v>
      </c>
      <c r="AN338" s="124">
        <v>4811660.92</v>
      </c>
      <c r="AO338" s="125">
        <v>4192474.59</v>
      </c>
      <c r="AP338" s="125">
        <v>3259655.87</v>
      </c>
      <c r="AQ338" s="125">
        <v>5740853.4800000004</v>
      </c>
      <c r="AR338" s="125">
        <v>5543196.6699999999</v>
      </c>
      <c r="AS338" s="125">
        <v>4903604.7699999996</v>
      </c>
      <c r="AT338" s="125">
        <v>5302450.71</v>
      </c>
      <c r="AU338" s="125">
        <v>4871483.21</v>
      </c>
      <c r="AV338" s="125">
        <v>3968926.42</v>
      </c>
      <c r="AW338" s="125">
        <v>4937612.7300000004</v>
      </c>
      <c r="AX338" s="125">
        <v>4549186.2300000004</v>
      </c>
      <c r="AY338" s="126"/>
      <c r="AZ338" s="126"/>
      <c r="BA338" s="126"/>
      <c r="BB338" s="126"/>
      <c r="BC338" s="126"/>
      <c r="BD338" s="126"/>
      <c r="BE338" s="126"/>
      <c r="BF338" s="127">
        <v>210305</v>
      </c>
      <c r="BG338" s="97" t="s">
        <v>97</v>
      </c>
      <c r="BH338" s="127">
        <v>3836988.28</v>
      </c>
      <c r="BI338" s="120">
        <v>210305</v>
      </c>
      <c r="BJ338" s="113" t="s">
        <v>97</v>
      </c>
      <c r="BK338" s="120">
        <v>3032097.32</v>
      </c>
    </row>
    <row r="339" spans="1:63" x14ac:dyDescent="0.25">
      <c r="B339" s="121">
        <v>210310</v>
      </c>
      <c r="C339" s="122" t="s">
        <v>99</v>
      </c>
      <c r="D339" s="123">
        <v>5255066.3899999997</v>
      </c>
      <c r="E339" s="123">
        <v>5938651.0800000001</v>
      </c>
      <c r="F339" s="123">
        <v>6235104.0800000001</v>
      </c>
      <c r="G339" s="123">
        <v>5491107.3899999997</v>
      </c>
      <c r="H339" s="123">
        <v>5561063.6100000003</v>
      </c>
      <c r="I339" s="123">
        <v>8081572.2300000004</v>
      </c>
      <c r="J339" s="123">
        <v>7010224.3399999999</v>
      </c>
      <c r="K339" s="123">
        <v>5489447.0700000003</v>
      </c>
      <c r="L339" s="123">
        <v>5975268.4199999999</v>
      </c>
      <c r="M339" s="123">
        <v>7172968.8799999999</v>
      </c>
      <c r="N339" s="123">
        <v>8983131.6899999995</v>
      </c>
      <c r="O339" s="123">
        <v>9641105.9000000004</v>
      </c>
      <c r="P339" s="123">
        <v>7865714.2800000003</v>
      </c>
      <c r="Q339" s="123">
        <v>6596724.4199999999</v>
      </c>
      <c r="R339" s="123">
        <v>7443052.8600000003</v>
      </c>
      <c r="S339" s="123">
        <v>7088478.1399999997</v>
      </c>
      <c r="T339" s="123">
        <v>6926210.1200000001</v>
      </c>
      <c r="U339" s="123">
        <v>7590094.21</v>
      </c>
      <c r="V339" s="123">
        <v>7081861.9000000004</v>
      </c>
      <c r="W339" s="123">
        <v>6004456.54</v>
      </c>
      <c r="X339" s="123">
        <v>5537815.5499999998</v>
      </c>
      <c r="Y339" s="123">
        <v>5637806.6900000004</v>
      </c>
      <c r="Z339" s="123">
        <v>7852460.0199999996</v>
      </c>
      <c r="AA339" s="123">
        <v>8529017.75</v>
      </c>
      <c r="AB339" s="123">
        <v>6916715.8799999999</v>
      </c>
      <c r="AC339" s="124">
        <v>5513189.7999999998</v>
      </c>
      <c r="AD339" s="124">
        <v>6168774.5599999996</v>
      </c>
      <c r="AE339" s="124">
        <v>6538414.7400000002</v>
      </c>
      <c r="AF339" s="124">
        <v>6070244.1500000004</v>
      </c>
      <c r="AG339" s="124">
        <v>5251602.24</v>
      </c>
      <c r="AH339" s="124">
        <v>5449837.1799999997</v>
      </c>
      <c r="AI339" s="124">
        <v>7108858.9000000004</v>
      </c>
      <c r="AJ339" s="124">
        <v>6271403.6200000001</v>
      </c>
      <c r="AK339" s="124">
        <v>5661222.9400000004</v>
      </c>
      <c r="AL339" s="124">
        <v>7898159.7999999998</v>
      </c>
      <c r="AM339" s="124">
        <v>9066467.1300000008</v>
      </c>
      <c r="AN339" s="124">
        <v>6396342.9199999999</v>
      </c>
      <c r="AO339" s="125">
        <v>8007309.2699999996</v>
      </c>
      <c r="AP339" s="125">
        <v>10241954.359999999</v>
      </c>
      <c r="AQ339" s="125">
        <v>8998177.7300000004</v>
      </c>
      <c r="AR339" s="125">
        <v>8825974.7400000002</v>
      </c>
      <c r="AS339" s="125">
        <v>8924751.7799999993</v>
      </c>
      <c r="AT339" s="125">
        <v>7284621.3600000003</v>
      </c>
      <c r="AU339" s="125">
        <v>8673883.6999999993</v>
      </c>
      <c r="AV339" s="125">
        <v>9437153.6999999993</v>
      </c>
      <c r="AW339" s="125">
        <v>9579108.8599999994</v>
      </c>
      <c r="AX339" s="125">
        <v>11307894.699999999</v>
      </c>
      <c r="AY339" s="126"/>
      <c r="AZ339" s="126"/>
      <c r="BA339" s="126"/>
      <c r="BB339" s="126"/>
      <c r="BC339" s="126"/>
      <c r="BD339" s="126"/>
      <c r="BE339" s="126"/>
      <c r="BF339" s="127">
        <v>210310</v>
      </c>
      <c r="BG339" s="97" t="s">
        <v>99</v>
      </c>
      <c r="BH339" s="127">
        <v>5449837.1799999997</v>
      </c>
      <c r="BI339" s="127">
        <v>210310</v>
      </c>
      <c r="BJ339" s="97" t="s">
        <v>99</v>
      </c>
      <c r="BK339" s="127">
        <v>7108858.9000000004</v>
      </c>
    </row>
    <row r="340" spans="1:63" x14ac:dyDescent="0.25">
      <c r="B340" s="121">
        <v>210315</v>
      </c>
      <c r="C340" s="122" t="s">
        <v>101</v>
      </c>
      <c r="D340" s="123">
        <v>6894082.8799999999</v>
      </c>
      <c r="E340" s="123">
        <v>7618413.6100000003</v>
      </c>
      <c r="F340" s="123">
        <v>7874585.3799999999</v>
      </c>
      <c r="G340" s="123">
        <v>8233007.4699999997</v>
      </c>
      <c r="H340" s="123">
        <v>7637753.1200000001</v>
      </c>
      <c r="I340" s="123">
        <v>6402144.4000000004</v>
      </c>
      <c r="J340" s="123">
        <v>6998750.4500000002</v>
      </c>
      <c r="K340" s="123">
        <v>9149749.6099999994</v>
      </c>
      <c r="L340" s="123">
        <v>10214066.08</v>
      </c>
      <c r="M340" s="123">
        <v>10546658.58</v>
      </c>
      <c r="N340" s="123">
        <v>9636520.1899999995</v>
      </c>
      <c r="O340" s="123">
        <v>8984578.1600000001</v>
      </c>
      <c r="P340" s="123">
        <v>9408683.4199999999</v>
      </c>
      <c r="Q340" s="123">
        <v>9016007.6799999997</v>
      </c>
      <c r="R340" s="123">
        <v>8921252</v>
      </c>
      <c r="S340" s="123">
        <v>8742180.6300000008</v>
      </c>
      <c r="T340" s="123">
        <v>8542330.5700000003</v>
      </c>
      <c r="U340" s="123">
        <v>7252100.29</v>
      </c>
      <c r="V340" s="123">
        <v>7124053.7300000004</v>
      </c>
      <c r="W340" s="123">
        <v>8732263.5099999998</v>
      </c>
      <c r="X340" s="123">
        <v>10260852.76</v>
      </c>
      <c r="Y340" s="123">
        <v>9809628.8100000005</v>
      </c>
      <c r="Z340" s="123">
        <v>8530379.9000000004</v>
      </c>
      <c r="AA340" s="123">
        <v>7656606.1600000001</v>
      </c>
      <c r="AB340" s="123">
        <v>7477741.7800000003</v>
      </c>
      <c r="AC340" s="124">
        <v>7674845.0999999996</v>
      </c>
      <c r="AD340" s="124">
        <v>7851535.7000000002</v>
      </c>
      <c r="AE340" s="124">
        <v>7862510.96</v>
      </c>
      <c r="AF340" s="124">
        <v>8450177.0099999998</v>
      </c>
      <c r="AG340" s="124">
        <v>8273251.25</v>
      </c>
      <c r="AH340" s="124">
        <v>8270801.29</v>
      </c>
      <c r="AI340" s="124">
        <v>7883970.3700000001</v>
      </c>
      <c r="AJ340" s="124">
        <v>11064429.74</v>
      </c>
      <c r="AK340" s="124">
        <v>10627210.26</v>
      </c>
      <c r="AL340" s="124">
        <v>11949621.57</v>
      </c>
      <c r="AM340" s="124">
        <v>9592198.1799999997</v>
      </c>
      <c r="AN340" s="124">
        <v>11803543.960000001</v>
      </c>
      <c r="AO340" s="125">
        <v>11903142.1</v>
      </c>
      <c r="AP340" s="125">
        <v>11472152.15</v>
      </c>
      <c r="AQ340" s="125">
        <v>10578210.52</v>
      </c>
      <c r="AR340" s="125">
        <v>10595602.84</v>
      </c>
      <c r="AS340" s="125">
        <v>10991424.460000001</v>
      </c>
      <c r="AT340" s="125">
        <v>12311301.369999999</v>
      </c>
      <c r="AU340" s="125">
        <v>13822923.439999999</v>
      </c>
      <c r="AV340" s="125">
        <v>13509346.109999999</v>
      </c>
      <c r="AW340" s="125">
        <v>11166818.640000001</v>
      </c>
      <c r="AX340" s="125">
        <v>11080642.91</v>
      </c>
      <c r="AY340" s="126"/>
      <c r="AZ340" s="126"/>
      <c r="BA340" s="126"/>
      <c r="BB340" s="126"/>
      <c r="BC340" s="126"/>
      <c r="BD340" s="126"/>
      <c r="BE340" s="126"/>
      <c r="BF340" s="127">
        <v>210315</v>
      </c>
      <c r="BG340" s="97" t="s">
        <v>101</v>
      </c>
      <c r="BH340" s="127">
        <v>8270801.29</v>
      </c>
      <c r="BI340" s="127">
        <v>210315</v>
      </c>
      <c r="BJ340" s="97" t="s">
        <v>101</v>
      </c>
      <c r="BK340" s="127">
        <v>7883970.3700000001</v>
      </c>
    </row>
    <row r="341" spans="1:63" x14ac:dyDescent="0.25">
      <c r="B341" s="121">
        <v>210320</v>
      </c>
      <c r="C341" s="122" t="s">
        <v>102</v>
      </c>
      <c r="D341" s="123">
        <v>6558867.1900000004</v>
      </c>
      <c r="E341" s="123">
        <v>7461785.5999999996</v>
      </c>
      <c r="F341" s="123">
        <v>7563260.21</v>
      </c>
      <c r="G341" s="123">
        <v>7540564.6500000004</v>
      </c>
      <c r="H341" s="123">
        <v>8149692.6699999999</v>
      </c>
      <c r="I341" s="123">
        <v>8883634.9600000009</v>
      </c>
      <c r="J341" s="123">
        <v>8244856.4100000001</v>
      </c>
      <c r="K341" s="123">
        <v>7099623.7699999996</v>
      </c>
      <c r="L341" s="123">
        <v>6889854.4800000004</v>
      </c>
      <c r="M341" s="123">
        <v>7764160.2400000002</v>
      </c>
      <c r="N341" s="123">
        <v>7692048.2800000003</v>
      </c>
      <c r="O341" s="123">
        <v>7080266.0499999998</v>
      </c>
      <c r="P341" s="123">
        <v>7071857.04</v>
      </c>
      <c r="Q341" s="123">
        <v>9343840.1400000006</v>
      </c>
      <c r="R341" s="123">
        <v>9503705.5999999996</v>
      </c>
      <c r="S341" s="123">
        <v>9736584.6899999995</v>
      </c>
      <c r="T341" s="123">
        <v>9247762.5099999998</v>
      </c>
      <c r="U341" s="123">
        <v>9812825.5399999991</v>
      </c>
      <c r="V341" s="123">
        <v>9714516.6099999994</v>
      </c>
      <c r="W341" s="123">
        <v>7876471.2800000003</v>
      </c>
      <c r="X341" s="123">
        <v>6894694.4000000004</v>
      </c>
      <c r="Y341" s="123">
        <v>7360838.4199999999</v>
      </c>
      <c r="Z341" s="123">
        <v>8088000.9100000001</v>
      </c>
      <c r="AA341" s="123">
        <v>7652977.2000000002</v>
      </c>
      <c r="AB341" s="123">
        <v>7738683.6799999997</v>
      </c>
      <c r="AC341" s="124">
        <v>9052945.5700000003</v>
      </c>
      <c r="AD341" s="124">
        <v>9445017.0700000003</v>
      </c>
      <c r="AE341" s="124">
        <v>9586730.5199999996</v>
      </c>
      <c r="AF341" s="124">
        <v>9410473.0399999991</v>
      </c>
      <c r="AG341" s="124">
        <v>9752826.3300000001</v>
      </c>
      <c r="AH341" s="124">
        <v>9744232.0600000005</v>
      </c>
      <c r="AI341" s="124">
        <v>10661728.210000001</v>
      </c>
      <c r="AJ341" s="124">
        <v>8905664.0700000003</v>
      </c>
      <c r="AK341" s="124">
        <v>8821560.8000000007</v>
      </c>
      <c r="AL341" s="124">
        <v>8369703.6600000001</v>
      </c>
      <c r="AM341" s="124">
        <v>8992699.4000000004</v>
      </c>
      <c r="AN341" s="124">
        <v>9093566</v>
      </c>
      <c r="AO341" s="125">
        <v>10685246.869999999</v>
      </c>
      <c r="AP341" s="125">
        <v>11534807.82</v>
      </c>
      <c r="AQ341" s="125">
        <v>11397008.869999999</v>
      </c>
      <c r="AR341" s="125">
        <v>12046552.880000001</v>
      </c>
      <c r="AS341" s="125">
        <v>14278381.16</v>
      </c>
      <c r="AT341" s="125">
        <v>15170091.810000001</v>
      </c>
      <c r="AU341" s="125">
        <v>15771949.32</v>
      </c>
      <c r="AV341" s="125">
        <v>18282529.41</v>
      </c>
      <c r="AW341" s="125">
        <v>21531250.829999998</v>
      </c>
      <c r="AX341" s="125">
        <v>22766160.239999998</v>
      </c>
      <c r="AY341" s="126"/>
      <c r="AZ341" s="126"/>
      <c r="BA341" s="126"/>
      <c r="BB341" s="126"/>
      <c r="BC341" s="126"/>
      <c r="BD341" s="126"/>
      <c r="BE341" s="126"/>
      <c r="BF341" s="127">
        <v>210320</v>
      </c>
      <c r="BG341" s="97" t="s">
        <v>102</v>
      </c>
      <c r="BH341" s="127">
        <v>9744232.0600000005</v>
      </c>
      <c r="BI341" s="127">
        <v>210320</v>
      </c>
      <c r="BJ341" s="97" t="s">
        <v>102</v>
      </c>
      <c r="BK341" s="127">
        <v>10661728.210000001</v>
      </c>
    </row>
    <row r="342" spans="1:63" x14ac:dyDescent="0.25">
      <c r="B342" s="121">
        <v>210325</v>
      </c>
      <c r="C342" s="122" t="s">
        <v>303</v>
      </c>
      <c r="D342" s="123">
        <v>487517.37</v>
      </c>
      <c r="E342" s="123">
        <v>465824.5</v>
      </c>
      <c r="F342" s="123">
        <v>832871.84</v>
      </c>
      <c r="G342" s="123">
        <v>874462.1</v>
      </c>
      <c r="H342" s="123">
        <v>1082711.95</v>
      </c>
      <c r="I342" s="123">
        <v>911748.55</v>
      </c>
      <c r="J342" s="123">
        <v>821415.34</v>
      </c>
      <c r="K342" s="123">
        <v>623729.27</v>
      </c>
      <c r="L342" s="123">
        <v>617098.54</v>
      </c>
      <c r="M342" s="123">
        <v>635239.94999999995</v>
      </c>
      <c r="N342" s="123">
        <v>405006.83</v>
      </c>
      <c r="O342" s="123">
        <v>429777.31</v>
      </c>
      <c r="P342" s="123">
        <v>745539.3</v>
      </c>
      <c r="Q342" s="123">
        <v>470425.15</v>
      </c>
      <c r="R342" s="123">
        <v>741821.75</v>
      </c>
      <c r="S342" s="123">
        <v>414897.74</v>
      </c>
      <c r="T342" s="123">
        <v>347290.22</v>
      </c>
      <c r="U342" s="123">
        <v>311303.3</v>
      </c>
      <c r="V342" s="123">
        <v>395897.74</v>
      </c>
      <c r="W342" s="123">
        <v>611405.79</v>
      </c>
      <c r="X342" s="123">
        <v>923364.27</v>
      </c>
      <c r="Y342" s="123">
        <v>692765.54</v>
      </c>
      <c r="Z342" s="123">
        <v>831433.1</v>
      </c>
      <c r="AA342" s="123">
        <v>691555.38</v>
      </c>
      <c r="AB342" s="123">
        <v>1051621.6399999999</v>
      </c>
      <c r="AC342" s="124">
        <v>1171805.74</v>
      </c>
      <c r="AD342" s="124">
        <v>1595536.46</v>
      </c>
      <c r="AE342" s="124">
        <v>1089983.28</v>
      </c>
      <c r="AF342" s="124">
        <v>816187.17</v>
      </c>
      <c r="AG342" s="124">
        <v>761664.53</v>
      </c>
      <c r="AH342" s="124">
        <v>620010.16</v>
      </c>
      <c r="AI342" s="124">
        <v>326271.74</v>
      </c>
      <c r="AJ342" s="124">
        <v>240138.42</v>
      </c>
      <c r="AK342" s="124">
        <v>274524.65000000002</v>
      </c>
      <c r="AL342" s="124">
        <v>1264901.24</v>
      </c>
      <c r="AM342" s="124">
        <v>467514.06</v>
      </c>
      <c r="AN342" s="124">
        <v>916113.64</v>
      </c>
      <c r="AO342" s="125">
        <v>426570.37</v>
      </c>
      <c r="AP342" s="125">
        <v>863561.48</v>
      </c>
      <c r="AQ342" s="125">
        <v>1571871.72</v>
      </c>
      <c r="AR342" s="125">
        <v>2621182.7999999998</v>
      </c>
      <c r="AS342" s="125">
        <v>2991213.47</v>
      </c>
      <c r="AT342" s="125">
        <v>3412852.43</v>
      </c>
      <c r="AU342" s="125">
        <v>3606970.57</v>
      </c>
      <c r="AV342" s="125">
        <v>3448191.93</v>
      </c>
      <c r="AW342" s="125">
        <v>3683628.98</v>
      </c>
      <c r="AX342" s="125">
        <v>3399953.1</v>
      </c>
      <c r="AY342" s="126"/>
      <c r="AZ342" s="126"/>
      <c r="BA342" s="126"/>
      <c r="BB342" s="126"/>
      <c r="BC342" s="126"/>
      <c r="BD342" s="126"/>
      <c r="BE342" s="126"/>
      <c r="BF342" s="127">
        <v>210325</v>
      </c>
      <c r="BG342" s="97" t="s">
        <v>303</v>
      </c>
      <c r="BH342" s="127">
        <v>620010.16</v>
      </c>
      <c r="BI342" s="127">
        <v>210325</v>
      </c>
      <c r="BJ342" s="97" t="s">
        <v>303</v>
      </c>
      <c r="BK342" s="127">
        <v>326271.74</v>
      </c>
    </row>
    <row r="343" spans="1:63" x14ac:dyDescent="0.25">
      <c r="B343" s="121">
        <v>2105</v>
      </c>
      <c r="C343" s="122" t="s">
        <v>304</v>
      </c>
      <c r="D343" s="116">
        <v>80336.12</v>
      </c>
      <c r="E343" s="116">
        <v>80336.12</v>
      </c>
      <c r="F343" s="116">
        <v>80336.12</v>
      </c>
      <c r="G343" s="116">
        <v>80336.12</v>
      </c>
      <c r="H343" s="116">
        <v>80336.12</v>
      </c>
      <c r="I343" s="116">
        <v>80336.12</v>
      </c>
      <c r="J343" s="116">
        <v>80336.12</v>
      </c>
      <c r="K343" s="116">
        <v>80336.12</v>
      </c>
      <c r="L343" s="116">
        <v>80336.12</v>
      </c>
      <c r="M343" s="116">
        <v>80336.12</v>
      </c>
      <c r="N343" s="116">
        <v>80336.12</v>
      </c>
      <c r="O343" s="116">
        <v>80336.12</v>
      </c>
      <c r="P343" s="116">
        <v>80336.12</v>
      </c>
      <c r="Q343" s="116">
        <v>80336.12</v>
      </c>
      <c r="R343" s="116">
        <v>80336.12</v>
      </c>
      <c r="S343" s="116">
        <v>80336.12</v>
      </c>
      <c r="T343" s="116">
        <v>80336.12</v>
      </c>
      <c r="U343" s="116">
        <v>80336.12</v>
      </c>
      <c r="V343" s="116">
        <v>80336.12</v>
      </c>
      <c r="W343" s="116">
        <v>80336.12</v>
      </c>
      <c r="X343" s="116">
        <v>80336.12</v>
      </c>
      <c r="Y343" s="116">
        <v>80336.12</v>
      </c>
      <c r="Z343" s="116">
        <v>80336.12</v>
      </c>
      <c r="AA343" s="116">
        <v>80336.12</v>
      </c>
      <c r="AB343" s="116">
        <v>80336.12</v>
      </c>
      <c r="AC343" s="124">
        <v>80336.12</v>
      </c>
      <c r="AD343" s="124">
        <v>89934.89</v>
      </c>
      <c r="AE343" s="124">
        <v>89934.89</v>
      </c>
      <c r="AF343" s="124">
        <v>80336.12</v>
      </c>
      <c r="AG343" s="124">
        <v>80336.12</v>
      </c>
      <c r="AH343" s="124">
        <v>80336.12</v>
      </c>
      <c r="AI343" s="124">
        <v>80336.12</v>
      </c>
      <c r="AJ343" s="124">
        <v>80336.12</v>
      </c>
      <c r="AK343" s="124">
        <v>80336.12</v>
      </c>
      <c r="AL343" s="124">
        <v>80336.12</v>
      </c>
      <c r="AM343" s="124">
        <v>80336.12</v>
      </c>
      <c r="AN343" s="124">
        <v>80336.12</v>
      </c>
      <c r="AO343" s="125">
        <v>80336.12</v>
      </c>
      <c r="AP343" s="125">
        <v>80336.12</v>
      </c>
      <c r="AQ343" s="125">
        <v>80336.12</v>
      </c>
      <c r="AR343" s="125">
        <v>80336.12</v>
      </c>
      <c r="AS343" s="125">
        <v>80336.12</v>
      </c>
      <c r="AT343" s="125">
        <v>80336.12</v>
      </c>
      <c r="AU343" s="125">
        <v>80336.12</v>
      </c>
      <c r="AV343" s="125">
        <v>80336.12</v>
      </c>
      <c r="AW343" s="125">
        <v>80336.12</v>
      </c>
      <c r="AX343" s="125">
        <v>80336.12</v>
      </c>
      <c r="AY343" s="126"/>
      <c r="AZ343" s="126"/>
      <c r="BA343" s="126"/>
      <c r="BB343" s="126"/>
      <c r="BC343" s="126"/>
      <c r="BD343" s="126"/>
      <c r="BE343" s="126"/>
      <c r="BF343" s="127">
        <v>2105</v>
      </c>
      <c r="BG343" s="97" t="s">
        <v>304</v>
      </c>
      <c r="BH343" s="127">
        <v>80336.12</v>
      </c>
      <c r="BI343" s="127">
        <v>2105</v>
      </c>
      <c r="BJ343" s="97" t="s">
        <v>304</v>
      </c>
      <c r="BK343" s="127">
        <v>80336.12</v>
      </c>
    </row>
    <row r="344" spans="1:63" x14ac:dyDescent="0.25">
      <c r="B344" s="121">
        <v>210505</v>
      </c>
      <c r="C344" s="122" t="s">
        <v>305</v>
      </c>
      <c r="D344" s="123">
        <v>15781</v>
      </c>
      <c r="E344" s="123">
        <v>15781</v>
      </c>
      <c r="F344" s="123">
        <v>15781</v>
      </c>
      <c r="G344" s="123">
        <v>15781</v>
      </c>
      <c r="H344" s="123">
        <v>15781</v>
      </c>
      <c r="I344" s="123">
        <v>15781</v>
      </c>
      <c r="J344" s="123">
        <v>15781</v>
      </c>
      <c r="K344" s="123">
        <v>15781</v>
      </c>
      <c r="L344" s="123">
        <v>15781</v>
      </c>
      <c r="M344" s="123">
        <v>15781</v>
      </c>
      <c r="N344" s="123">
        <v>15781</v>
      </c>
      <c r="O344" s="123">
        <v>15781</v>
      </c>
      <c r="P344" s="123">
        <v>15781</v>
      </c>
      <c r="Q344" s="123">
        <v>15781</v>
      </c>
      <c r="R344" s="123">
        <v>15781</v>
      </c>
      <c r="S344" s="123">
        <v>15781</v>
      </c>
      <c r="T344" s="123">
        <v>15781</v>
      </c>
      <c r="U344" s="123">
        <v>15781</v>
      </c>
      <c r="V344" s="123">
        <v>15781</v>
      </c>
      <c r="W344" s="123">
        <v>15781</v>
      </c>
      <c r="X344" s="123">
        <v>15781</v>
      </c>
      <c r="Y344" s="123">
        <v>15781</v>
      </c>
      <c r="Z344" s="123">
        <v>15781</v>
      </c>
      <c r="AA344" s="123">
        <v>15781</v>
      </c>
      <c r="AB344" s="123">
        <v>15781</v>
      </c>
      <c r="AC344" s="124">
        <v>15781</v>
      </c>
      <c r="AD344" s="124">
        <v>15781</v>
      </c>
      <c r="AE344" s="124">
        <v>15781</v>
      </c>
      <c r="AF344" s="124">
        <v>15781</v>
      </c>
      <c r="AG344" s="124">
        <v>15781</v>
      </c>
      <c r="AH344" s="124">
        <v>15781</v>
      </c>
      <c r="AI344" s="124">
        <v>15781</v>
      </c>
      <c r="AJ344" s="124">
        <v>15781</v>
      </c>
      <c r="AK344" s="124">
        <v>15781</v>
      </c>
      <c r="AL344" s="124">
        <v>15781</v>
      </c>
      <c r="AM344" s="124">
        <v>15781</v>
      </c>
      <c r="AN344" s="124">
        <v>15781</v>
      </c>
      <c r="AO344" s="125">
        <v>15781</v>
      </c>
      <c r="AP344" s="125">
        <v>15781</v>
      </c>
      <c r="AQ344" s="125">
        <v>15781</v>
      </c>
      <c r="AR344" s="125">
        <v>15781</v>
      </c>
      <c r="AS344" s="125">
        <v>15781</v>
      </c>
      <c r="AT344" s="125">
        <v>15781</v>
      </c>
      <c r="AU344" s="125">
        <v>15781</v>
      </c>
      <c r="AV344" s="125">
        <v>15781</v>
      </c>
      <c r="AW344" s="125">
        <v>15781</v>
      </c>
      <c r="AX344" s="125">
        <v>15781</v>
      </c>
      <c r="AY344" s="126"/>
      <c r="AZ344" s="126"/>
      <c r="BA344" s="126"/>
      <c r="BB344" s="126"/>
      <c r="BC344" s="126"/>
      <c r="BD344" s="126"/>
      <c r="BE344" s="126"/>
      <c r="BF344" s="127">
        <v>210505</v>
      </c>
      <c r="BG344" s="97" t="s">
        <v>305</v>
      </c>
      <c r="BH344" s="127">
        <v>15781</v>
      </c>
      <c r="BI344" s="127">
        <v>210505</v>
      </c>
      <c r="BJ344" s="97" t="s">
        <v>305</v>
      </c>
      <c r="BK344" s="127">
        <v>15781</v>
      </c>
    </row>
    <row r="345" spans="1:63" x14ac:dyDescent="0.25">
      <c r="B345" s="121">
        <v>210510</v>
      </c>
      <c r="C345" s="122" t="s">
        <v>306</v>
      </c>
      <c r="D345" s="123">
        <v>64555.12</v>
      </c>
      <c r="E345" s="123">
        <v>64555.12</v>
      </c>
      <c r="F345" s="123">
        <v>64555.12</v>
      </c>
      <c r="G345" s="123">
        <v>64555.12</v>
      </c>
      <c r="H345" s="123">
        <v>64555.12</v>
      </c>
      <c r="I345" s="123">
        <v>64555.12</v>
      </c>
      <c r="J345" s="123">
        <v>64555.12</v>
      </c>
      <c r="K345" s="123">
        <v>64555.12</v>
      </c>
      <c r="L345" s="123">
        <v>64555.12</v>
      </c>
      <c r="M345" s="123">
        <v>64555.12</v>
      </c>
      <c r="N345" s="123">
        <v>64555.12</v>
      </c>
      <c r="O345" s="123">
        <v>64555.12</v>
      </c>
      <c r="P345" s="123">
        <v>64555.12</v>
      </c>
      <c r="Q345" s="123">
        <v>64555.12</v>
      </c>
      <c r="R345" s="123">
        <v>64555.12</v>
      </c>
      <c r="S345" s="123">
        <v>64555.12</v>
      </c>
      <c r="T345" s="123">
        <v>64555.12</v>
      </c>
      <c r="U345" s="123">
        <v>64555.12</v>
      </c>
      <c r="V345" s="123">
        <v>64555.12</v>
      </c>
      <c r="W345" s="123">
        <v>64555.12</v>
      </c>
      <c r="X345" s="123">
        <v>64555.12</v>
      </c>
      <c r="Y345" s="123">
        <v>64555.12</v>
      </c>
      <c r="Z345" s="123">
        <v>64555.12</v>
      </c>
      <c r="AA345" s="123">
        <v>64555.12</v>
      </c>
      <c r="AB345" s="123">
        <v>64555.12</v>
      </c>
      <c r="AC345" s="124">
        <v>64555.12</v>
      </c>
      <c r="AD345" s="124">
        <v>74153.89</v>
      </c>
      <c r="AE345" s="124">
        <v>74153.89</v>
      </c>
      <c r="AF345" s="124">
        <v>64555.12</v>
      </c>
      <c r="AG345" s="124">
        <v>64555.12</v>
      </c>
      <c r="AH345" s="124">
        <v>64555.12</v>
      </c>
      <c r="AI345" s="124">
        <v>64555.12</v>
      </c>
      <c r="AJ345" s="124">
        <v>64555.12</v>
      </c>
      <c r="AK345" s="124">
        <v>64555.12</v>
      </c>
      <c r="AL345" s="124">
        <v>64555.12</v>
      </c>
      <c r="AM345" s="124">
        <v>64555.12</v>
      </c>
      <c r="AN345" s="124">
        <v>64555.12</v>
      </c>
      <c r="AO345" s="125">
        <v>64555.12</v>
      </c>
      <c r="AP345" s="125">
        <v>64555.12</v>
      </c>
      <c r="AQ345" s="125">
        <v>64555.12</v>
      </c>
      <c r="AR345" s="125">
        <v>64555.12</v>
      </c>
      <c r="AS345" s="125">
        <v>64555.12</v>
      </c>
      <c r="AT345" s="125">
        <v>64555.12</v>
      </c>
      <c r="AU345" s="125">
        <v>64555.12</v>
      </c>
      <c r="AV345" s="125">
        <v>64555.12</v>
      </c>
      <c r="AW345" s="125">
        <v>64555.12</v>
      </c>
      <c r="AX345" s="125">
        <v>64555.12</v>
      </c>
      <c r="AY345" s="126"/>
      <c r="AZ345" s="126"/>
      <c r="BA345" s="126"/>
      <c r="BB345" s="126"/>
      <c r="BC345" s="126"/>
      <c r="BD345" s="126"/>
      <c r="BE345" s="126"/>
      <c r="BF345" s="127">
        <v>210510</v>
      </c>
      <c r="BG345" s="97" t="s">
        <v>306</v>
      </c>
      <c r="BH345" s="127">
        <v>64555.12</v>
      </c>
      <c r="BI345" s="127">
        <v>210510</v>
      </c>
      <c r="BJ345" s="97" t="s">
        <v>306</v>
      </c>
      <c r="BK345" s="127">
        <v>64555.12</v>
      </c>
    </row>
    <row r="346" spans="1:63" x14ac:dyDescent="0.25">
      <c r="B346" s="121">
        <v>23</v>
      </c>
      <c r="C346" s="122" t="s">
        <v>307</v>
      </c>
      <c r="D346" s="116">
        <v>943.45</v>
      </c>
      <c r="E346" s="116">
        <v>18406.240000000002</v>
      </c>
      <c r="F346" s="116">
        <v>72197.53</v>
      </c>
      <c r="G346" s="116">
        <v>57534.35</v>
      </c>
      <c r="H346" s="116">
        <v>64628.62</v>
      </c>
      <c r="I346" s="116">
        <v>34018.620000000003</v>
      </c>
      <c r="J346" s="116">
        <v>65526</v>
      </c>
      <c r="K346" s="116">
        <v>101155.81</v>
      </c>
      <c r="L346" s="116">
        <v>72438</v>
      </c>
      <c r="M346" s="141"/>
      <c r="N346" s="116">
        <v>18848.8</v>
      </c>
      <c r="O346" s="116">
        <v>141.02000000000001</v>
      </c>
      <c r="P346" s="116">
        <v>18084.04</v>
      </c>
      <c r="Q346" s="116">
        <v>1123.92</v>
      </c>
      <c r="R346" s="116">
        <v>1411.84</v>
      </c>
      <c r="S346" s="141"/>
      <c r="T346" s="116">
        <v>48247.89</v>
      </c>
      <c r="U346" s="116">
        <v>31993.119999999999</v>
      </c>
      <c r="V346" s="116">
        <v>90166.24</v>
      </c>
      <c r="W346" s="116">
        <v>20154.36</v>
      </c>
      <c r="X346" s="116">
        <v>2702.81</v>
      </c>
      <c r="Y346" s="116">
        <v>43114.11</v>
      </c>
      <c r="Z346" s="116">
        <v>51911.92</v>
      </c>
      <c r="AA346" s="116">
        <v>131379.97</v>
      </c>
      <c r="AB346" s="116">
        <v>12407.7</v>
      </c>
      <c r="AC346" s="117">
        <v>817.7</v>
      </c>
      <c r="AD346" s="117">
        <v>817.7</v>
      </c>
      <c r="AE346" s="117">
        <v>17769.05</v>
      </c>
      <c r="AF346" s="117">
        <v>3178.26</v>
      </c>
      <c r="AG346" s="117">
        <v>2887.67</v>
      </c>
      <c r="AH346" s="117">
        <v>71343.37</v>
      </c>
      <c r="AI346" s="117">
        <v>62335.65</v>
      </c>
      <c r="AJ346" s="117">
        <v>58836.75</v>
      </c>
      <c r="AK346" s="117">
        <v>56584.84</v>
      </c>
      <c r="AL346" s="117">
        <v>75408.88</v>
      </c>
      <c r="AM346" s="117">
        <v>3591.6</v>
      </c>
      <c r="AN346" s="117">
        <v>293971.86</v>
      </c>
      <c r="AO346" s="118">
        <v>33690.06</v>
      </c>
      <c r="AP346" s="118">
        <v>16326.76</v>
      </c>
      <c r="AQ346" s="118">
        <v>4214418.2300000004</v>
      </c>
      <c r="AR346" s="118">
        <v>71786.06</v>
      </c>
      <c r="AS346" s="118">
        <v>22274.14</v>
      </c>
      <c r="AT346" s="118">
        <v>40559.660000000003</v>
      </c>
      <c r="AU346" s="118">
        <v>16130.71</v>
      </c>
      <c r="AV346" s="118">
        <v>106013.15</v>
      </c>
      <c r="AW346" s="118">
        <v>8597.19</v>
      </c>
      <c r="AX346" s="118">
        <v>2254.75</v>
      </c>
      <c r="AY346" s="119"/>
      <c r="AZ346" s="119"/>
      <c r="BA346" s="119"/>
      <c r="BB346" s="119"/>
      <c r="BC346" s="119"/>
      <c r="BD346" s="119"/>
      <c r="BE346" s="119"/>
      <c r="BF346" s="127">
        <v>23</v>
      </c>
      <c r="BG346" s="97" t="s">
        <v>307</v>
      </c>
      <c r="BH346" s="127">
        <v>71343.37</v>
      </c>
      <c r="BI346" s="127">
        <v>23</v>
      </c>
      <c r="BJ346" s="97" t="s">
        <v>307</v>
      </c>
      <c r="BK346" s="127">
        <v>62335.65</v>
      </c>
    </row>
    <row r="347" spans="1:63" x14ac:dyDescent="0.25">
      <c r="B347" s="121">
        <v>2301</v>
      </c>
      <c r="C347" s="122" t="s">
        <v>308</v>
      </c>
      <c r="D347" s="116">
        <v>943.45</v>
      </c>
      <c r="E347" s="116">
        <v>18406.240000000002</v>
      </c>
      <c r="F347" s="116">
        <v>72197.53</v>
      </c>
      <c r="G347" s="116">
        <v>57534.35</v>
      </c>
      <c r="H347" s="116">
        <v>64628.62</v>
      </c>
      <c r="I347" s="116">
        <v>34018.620000000003</v>
      </c>
      <c r="J347" s="116">
        <v>65526</v>
      </c>
      <c r="K347" s="116">
        <v>101155.81</v>
      </c>
      <c r="L347" s="116">
        <v>72438</v>
      </c>
      <c r="M347" s="141"/>
      <c r="N347" s="116">
        <v>18848.8</v>
      </c>
      <c r="O347" s="116">
        <v>141.02000000000001</v>
      </c>
      <c r="P347" s="116">
        <v>18084.04</v>
      </c>
      <c r="Q347" s="116">
        <v>1123.92</v>
      </c>
      <c r="R347" s="116">
        <v>1411.84</v>
      </c>
      <c r="S347" s="141"/>
      <c r="T347" s="116">
        <v>48247.89</v>
      </c>
      <c r="U347" s="116">
        <v>31993.119999999999</v>
      </c>
      <c r="V347" s="116">
        <v>90166.24</v>
      </c>
      <c r="W347" s="116">
        <v>20154.36</v>
      </c>
      <c r="X347" s="116">
        <v>2702.81</v>
      </c>
      <c r="Y347" s="116">
        <v>43114.11</v>
      </c>
      <c r="Z347" s="116">
        <v>51911.92</v>
      </c>
      <c r="AA347" s="116">
        <v>131379.97</v>
      </c>
      <c r="AB347" s="116">
        <v>12407.7</v>
      </c>
      <c r="AC347" s="124">
        <v>817.7</v>
      </c>
      <c r="AD347" s="124">
        <v>817.7</v>
      </c>
      <c r="AE347" s="124">
        <v>17769.05</v>
      </c>
      <c r="AF347" s="124">
        <v>3178.26</v>
      </c>
      <c r="AG347" s="124">
        <v>2887.67</v>
      </c>
      <c r="AH347" s="124">
        <v>71343.37</v>
      </c>
      <c r="AI347" s="124">
        <v>62335.65</v>
      </c>
      <c r="AJ347" s="124">
        <v>58836.75</v>
      </c>
      <c r="AK347" s="124">
        <v>56584.84</v>
      </c>
      <c r="AL347" s="124">
        <v>75408.88</v>
      </c>
      <c r="AM347" s="124">
        <v>3591.6</v>
      </c>
      <c r="AN347" s="124">
        <v>293971.86</v>
      </c>
      <c r="AO347" s="125">
        <v>33690.06</v>
      </c>
      <c r="AP347" s="125">
        <v>16326.76</v>
      </c>
      <c r="AQ347" s="125">
        <v>4214418.2300000004</v>
      </c>
      <c r="AR347" s="125">
        <v>71786.06</v>
      </c>
      <c r="AS347" s="125">
        <v>22274.14</v>
      </c>
      <c r="AT347" s="125">
        <v>40559.660000000003</v>
      </c>
      <c r="AU347" s="125">
        <v>16130.71</v>
      </c>
      <c r="AV347" s="125">
        <v>106013.15</v>
      </c>
      <c r="AW347" s="125">
        <v>8597.19</v>
      </c>
      <c r="AX347" s="125">
        <v>2254.75</v>
      </c>
      <c r="AY347" s="126"/>
      <c r="AZ347" s="126"/>
      <c r="BA347" s="126"/>
      <c r="BB347" s="126"/>
      <c r="BC347" s="126"/>
      <c r="BD347" s="126"/>
      <c r="BE347" s="126"/>
      <c r="BF347" s="127">
        <v>2301</v>
      </c>
      <c r="BG347" s="97" t="s">
        <v>308</v>
      </c>
      <c r="BH347" s="127">
        <v>71343.37</v>
      </c>
      <c r="BI347" s="127">
        <v>2301</v>
      </c>
      <c r="BJ347" s="97" t="s">
        <v>308</v>
      </c>
      <c r="BK347" s="127">
        <v>62335.65</v>
      </c>
    </row>
    <row r="348" spans="1:63" x14ac:dyDescent="0.25">
      <c r="B348" s="121">
        <v>25</v>
      </c>
      <c r="C348" s="122" t="s">
        <v>309</v>
      </c>
      <c r="D348" s="116">
        <v>1486598.36</v>
      </c>
      <c r="E348" s="116">
        <v>1680042.92</v>
      </c>
      <c r="F348" s="116">
        <v>1682584.59</v>
      </c>
      <c r="G348" s="116">
        <v>1730877.43</v>
      </c>
      <c r="H348" s="116">
        <v>1739003.14</v>
      </c>
      <c r="I348" s="116">
        <v>1939126.45</v>
      </c>
      <c r="J348" s="116">
        <v>1875463.32</v>
      </c>
      <c r="K348" s="116">
        <v>1843961.7</v>
      </c>
      <c r="L348" s="116">
        <v>1664959.3</v>
      </c>
      <c r="M348" s="116">
        <v>1627405.12</v>
      </c>
      <c r="N348" s="116">
        <v>1839673.11</v>
      </c>
      <c r="O348" s="116">
        <v>1841538.34</v>
      </c>
      <c r="P348" s="116">
        <v>1765268.17</v>
      </c>
      <c r="Q348" s="116">
        <v>1890005.3</v>
      </c>
      <c r="R348" s="116">
        <v>1860501.62</v>
      </c>
      <c r="S348" s="116">
        <v>2062151.57</v>
      </c>
      <c r="T348" s="116">
        <v>2025183.31</v>
      </c>
      <c r="U348" s="116">
        <v>2244625.94</v>
      </c>
      <c r="V348" s="116">
        <v>1880658.27</v>
      </c>
      <c r="W348" s="116">
        <v>1877626.25</v>
      </c>
      <c r="X348" s="116">
        <v>1951411.75</v>
      </c>
      <c r="Y348" s="116">
        <v>2307090.3199999998</v>
      </c>
      <c r="Z348" s="116">
        <v>2067526.37</v>
      </c>
      <c r="AA348" s="116">
        <v>2079151.65</v>
      </c>
      <c r="AB348" s="116">
        <v>2024366.15</v>
      </c>
      <c r="AC348" s="117">
        <v>1854856.19</v>
      </c>
      <c r="AD348" s="117">
        <v>1846781.24</v>
      </c>
      <c r="AE348" s="117">
        <v>2111711.75</v>
      </c>
      <c r="AF348" s="117">
        <v>1977180.62</v>
      </c>
      <c r="AG348" s="117">
        <v>2184996.9700000002</v>
      </c>
      <c r="AH348" s="117">
        <v>2151446.67</v>
      </c>
      <c r="AI348" s="117">
        <v>2262048.23</v>
      </c>
      <c r="AJ348" s="117">
        <v>2558944.0699999998</v>
      </c>
      <c r="AK348" s="117">
        <v>2958863.99</v>
      </c>
      <c r="AL348" s="117">
        <v>3293354.02</v>
      </c>
      <c r="AM348" s="117">
        <v>3796848.06</v>
      </c>
      <c r="AN348" s="117">
        <v>2843389.71</v>
      </c>
      <c r="AO348" s="118">
        <v>3526660.52</v>
      </c>
      <c r="AP348" s="118">
        <v>3648701.87</v>
      </c>
      <c r="AQ348" s="118">
        <v>3757981.04</v>
      </c>
      <c r="AR348" s="118">
        <v>4310320</v>
      </c>
      <c r="AS348" s="118">
        <v>3950383.17</v>
      </c>
      <c r="AT348" s="118">
        <v>4063689.37</v>
      </c>
      <c r="AU348" s="118">
        <v>3674847.02</v>
      </c>
      <c r="AV348" s="118">
        <v>4039191.73</v>
      </c>
      <c r="AW348" s="118">
        <v>3703434.13</v>
      </c>
      <c r="AX348" s="118">
        <v>4366566.1500000004</v>
      </c>
      <c r="AY348" s="119"/>
      <c r="AZ348" s="119"/>
      <c r="BA348" s="119"/>
      <c r="BB348" s="119"/>
      <c r="BC348" s="119"/>
      <c r="BD348" s="119"/>
      <c r="BE348" s="119"/>
      <c r="BF348" s="127">
        <v>25</v>
      </c>
      <c r="BG348" s="97" t="s">
        <v>309</v>
      </c>
      <c r="BH348" s="127">
        <v>2151446.67</v>
      </c>
      <c r="BI348" s="127">
        <v>25</v>
      </c>
      <c r="BJ348" s="97" t="s">
        <v>309</v>
      </c>
      <c r="BK348" s="127">
        <v>2262048.23</v>
      </c>
    </row>
    <row r="349" spans="1:63" x14ac:dyDescent="0.25">
      <c r="B349" s="121">
        <v>2501</v>
      </c>
      <c r="C349" s="122" t="s">
        <v>310</v>
      </c>
      <c r="D349" s="116">
        <v>534983.98</v>
      </c>
      <c r="E349" s="116">
        <v>517623.31</v>
      </c>
      <c r="F349" s="116">
        <v>532076.66</v>
      </c>
      <c r="G349" s="116">
        <v>561314.31999999995</v>
      </c>
      <c r="H349" s="116">
        <v>596308.36</v>
      </c>
      <c r="I349" s="116">
        <v>617026.46</v>
      </c>
      <c r="J349" s="116">
        <v>634704.32999999996</v>
      </c>
      <c r="K349" s="116">
        <v>635214.25</v>
      </c>
      <c r="L349" s="116">
        <v>606187.29</v>
      </c>
      <c r="M349" s="116">
        <v>640936.12</v>
      </c>
      <c r="N349" s="116">
        <v>665790.30000000005</v>
      </c>
      <c r="O349" s="116">
        <v>712768.1</v>
      </c>
      <c r="P349" s="116">
        <v>703245.19</v>
      </c>
      <c r="Q349" s="116">
        <v>685529.29</v>
      </c>
      <c r="R349" s="116">
        <v>654662.44999999995</v>
      </c>
      <c r="S349" s="116">
        <v>700641.57</v>
      </c>
      <c r="T349" s="116">
        <v>689071.51</v>
      </c>
      <c r="U349" s="116">
        <v>735882.71</v>
      </c>
      <c r="V349" s="116">
        <v>730593.44</v>
      </c>
      <c r="W349" s="116">
        <v>701629.47</v>
      </c>
      <c r="X349" s="116">
        <v>714029.07</v>
      </c>
      <c r="Y349" s="116">
        <v>741520.62</v>
      </c>
      <c r="Z349" s="116">
        <v>745497.7</v>
      </c>
      <c r="AA349" s="116">
        <v>755393.52</v>
      </c>
      <c r="AB349" s="116">
        <v>783880.35</v>
      </c>
      <c r="AC349" s="124">
        <v>715298.06</v>
      </c>
      <c r="AD349" s="124">
        <v>660187.05000000005</v>
      </c>
      <c r="AE349" s="124">
        <v>704131.05</v>
      </c>
      <c r="AF349" s="124">
        <v>706307.76</v>
      </c>
      <c r="AG349" s="124">
        <v>762873.32</v>
      </c>
      <c r="AH349" s="124">
        <v>739723.22</v>
      </c>
      <c r="AI349" s="124">
        <v>791129.85</v>
      </c>
      <c r="AJ349" s="124">
        <v>867281.41</v>
      </c>
      <c r="AK349" s="124">
        <v>885652.68</v>
      </c>
      <c r="AL349" s="124">
        <v>882873.08</v>
      </c>
      <c r="AM349" s="124">
        <v>946971.67</v>
      </c>
      <c r="AN349" s="124">
        <v>939999.18</v>
      </c>
      <c r="AO349" s="125">
        <v>937702.01</v>
      </c>
      <c r="AP349" s="125">
        <v>902465.2</v>
      </c>
      <c r="AQ349" s="125">
        <v>962125.97</v>
      </c>
      <c r="AR349" s="125">
        <v>896024.03</v>
      </c>
      <c r="AS349" s="125">
        <v>907660.65</v>
      </c>
      <c r="AT349" s="125">
        <v>865924.79</v>
      </c>
      <c r="AU349" s="125">
        <v>913464.58</v>
      </c>
      <c r="AV349" s="125">
        <v>942345.17</v>
      </c>
      <c r="AW349" s="125">
        <v>963628.19</v>
      </c>
      <c r="AX349" s="125">
        <v>1006891.02</v>
      </c>
      <c r="AY349" s="126"/>
      <c r="AZ349" s="126"/>
      <c r="BA349" s="126"/>
      <c r="BB349" s="126"/>
      <c r="BC349" s="126"/>
      <c r="BD349" s="126"/>
      <c r="BE349" s="126"/>
      <c r="BF349" s="127">
        <v>2501</v>
      </c>
      <c r="BG349" s="97" t="s">
        <v>310</v>
      </c>
      <c r="BH349" s="127">
        <v>739723.22</v>
      </c>
      <c r="BI349" s="127">
        <v>2501</v>
      </c>
      <c r="BJ349" s="97" t="s">
        <v>310</v>
      </c>
      <c r="BK349" s="127">
        <v>791129.85</v>
      </c>
    </row>
    <row r="350" spans="1:63" x14ac:dyDescent="0.25">
      <c r="A350" s="113"/>
      <c r="B350" s="121">
        <v>250115</v>
      </c>
      <c r="C350" s="122" t="s">
        <v>302</v>
      </c>
      <c r="D350" s="123">
        <v>534983.98</v>
      </c>
      <c r="E350" s="123">
        <v>517623.31</v>
      </c>
      <c r="F350" s="123">
        <v>532076.66</v>
      </c>
      <c r="G350" s="123">
        <v>561314.31999999995</v>
      </c>
      <c r="H350" s="123">
        <v>596308.36</v>
      </c>
      <c r="I350" s="123">
        <v>617026.46</v>
      </c>
      <c r="J350" s="123">
        <v>631575.29</v>
      </c>
      <c r="K350" s="123">
        <v>622385.18000000005</v>
      </c>
      <c r="L350" s="123">
        <v>583345.29</v>
      </c>
      <c r="M350" s="123">
        <v>608576.62</v>
      </c>
      <c r="N350" s="123">
        <v>662878.31000000006</v>
      </c>
      <c r="O350" s="123">
        <v>709856.11</v>
      </c>
      <c r="P350" s="123">
        <v>703245.19</v>
      </c>
      <c r="Q350" s="123">
        <v>685529.29</v>
      </c>
      <c r="R350" s="123">
        <v>654662.44999999995</v>
      </c>
      <c r="S350" s="123">
        <v>700641.57</v>
      </c>
      <c r="T350" s="123">
        <v>689071.51</v>
      </c>
      <c r="U350" s="123">
        <v>721600.57</v>
      </c>
      <c r="V350" s="123">
        <v>704069.47</v>
      </c>
      <c r="W350" s="123">
        <v>701629.47</v>
      </c>
      <c r="X350" s="123">
        <v>703730.32</v>
      </c>
      <c r="Y350" s="123">
        <v>722871.53</v>
      </c>
      <c r="Z350" s="123">
        <v>718219.93</v>
      </c>
      <c r="AA350" s="123">
        <v>755393.51</v>
      </c>
      <c r="AB350" s="123">
        <v>783880.35</v>
      </c>
      <c r="AC350" s="124">
        <v>715298.06</v>
      </c>
      <c r="AD350" s="124">
        <v>660187.05000000005</v>
      </c>
      <c r="AE350" s="124">
        <v>704131.05</v>
      </c>
      <c r="AF350" s="124">
        <v>706307.76</v>
      </c>
      <c r="AG350" s="124">
        <v>762873.32</v>
      </c>
      <c r="AH350" s="124">
        <v>739723.22</v>
      </c>
      <c r="AI350" s="124">
        <v>791129.85</v>
      </c>
      <c r="AJ350" s="124">
        <v>867281.41</v>
      </c>
      <c r="AK350" s="124">
        <v>885652.68</v>
      </c>
      <c r="AL350" s="124">
        <v>882873.08</v>
      </c>
      <c r="AM350" s="124">
        <v>946971.67</v>
      </c>
      <c r="AN350" s="124">
        <v>939999.18</v>
      </c>
      <c r="AO350" s="125">
        <v>937702.01</v>
      </c>
      <c r="AP350" s="125">
        <v>902465.2</v>
      </c>
      <c r="AQ350" s="125">
        <v>962125.97</v>
      </c>
      <c r="AR350" s="125">
        <v>896024.03</v>
      </c>
      <c r="AS350" s="125">
        <v>907660.65</v>
      </c>
      <c r="AT350" s="125">
        <v>865924.79</v>
      </c>
      <c r="AU350" s="125">
        <v>913464.58</v>
      </c>
      <c r="AV350" s="125">
        <v>942345.17</v>
      </c>
      <c r="AW350" s="125">
        <v>963628.19</v>
      </c>
      <c r="AX350" s="125">
        <v>1006891.02</v>
      </c>
      <c r="AY350" s="126"/>
      <c r="AZ350" s="126"/>
      <c r="BA350" s="126"/>
      <c r="BB350" s="126"/>
      <c r="BC350" s="126"/>
      <c r="BD350" s="126"/>
      <c r="BE350" s="126"/>
      <c r="BF350" s="127">
        <v>250115</v>
      </c>
      <c r="BG350" s="97" t="s">
        <v>302</v>
      </c>
      <c r="BH350" s="127">
        <v>739723.22</v>
      </c>
      <c r="BI350" s="127">
        <v>250115</v>
      </c>
      <c r="BJ350" s="97" t="s">
        <v>302</v>
      </c>
      <c r="BK350" s="127">
        <v>791129.85</v>
      </c>
    </row>
    <row r="351" spans="1:63" x14ac:dyDescent="0.25">
      <c r="B351" s="121">
        <v>25011510</v>
      </c>
      <c r="C351" s="122" t="s">
        <v>311</v>
      </c>
      <c r="D351" s="123">
        <v>534983.98</v>
      </c>
      <c r="E351" s="123">
        <v>517623.31</v>
      </c>
      <c r="F351" s="123">
        <v>532076.66</v>
      </c>
      <c r="G351" s="123">
        <v>561314.31999999995</v>
      </c>
      <c r="H351" s="123">
        <v>596308.36</v>
      </c>
      <c r="I351" s="123">
        <v>617026.46</v>
      </c>
      <c r="J351" s="123">
        <v>631575.29</v>
      </c>
      <c r="K351" s="123">
        <v>622385.18000000005</v>
      </c>
      <c r="L351" s="123">
        <v>583345.29</v>
      </c>
      <c r="M351" s="123">
        <v>608576.62</v>
      </c>
      <c r="N351" s="123">
        <v>662878.31000000006</v>
      </c>
      <c r="O351" s="123">
        <v>709856.11</v>
      </c>
      <c r="P351" s="123">
        <v>703245.19</v>
      </c>
      <c r="Q351" s="123">
        <v>685529.29</v>
      </c>
      <c r="R351" s="123">
        <v>654662.44999999995</v>
      </c>
      <c r="S351" s="123">
        <v>700641.57</v>
      </c>
      <c r="T351" s="123">
        <v>689071.51</v>
      </c>
      <c r="U351" s="123">
        <v>721600.57</v>
      </c>
      <c r="V351" s="123">
        <v>704069.47</v>
      </c>
      <c r="W351" s="123">
        <v>701629.47</v>
      </c>
      <c r="X351" s="123">
        <v>703730.32</v>
      </c>
      <c r="Y351" s="123">
        <v>722871.53</v>
      </c>
      <c r="Z351" s="123">
        <v>718219.93</v>
      </c>
      <c r="AA351" s="123">
        <v>755393.51</v>
      </c>
      <c r="AB351" s="123">
        <v>783880.35</v>
      </c>
      <c r="AC351" s="124">
        <v>715298.06</v>
      </c>
      <c r="AD351" s="124">
        <v>660187.05000000005</v>
      </c>
      <c r="AE351" s="124">
        <v>704131.05</v>
      </c>
      <c r="AF351" s="124">
        <v>706307.76</v>
      </c>
      <c r="AG351" s="124">
        <v>762873.32</v>
      </c>
      <c r="AH351" s="124">
        <v>739723.22</v>
      </c>
      <c r="AI351" s="124">
        <v>791129.85</v>
      </c>
      <c r="AJ351" s="124">
        <v>867281.41</v>
      </c>
      <c r="AK351" s="124">
        <v>885652.68</v>
      </c>
      <c r="AL351" s="124">
        <v>882873.08</v>
      </c>
      <c r="AM351" s="124">
        <v>946971.67</v>
      </c>
      <c r="AN351" s="124">
        <v>939999.18</v>
      </c>
      <c r="AO351" s="125">
        <v>937702.01</v>
      </c>
      <c r="AP351" s="125">
        <v>902465.2</v>
      </c>
      <c r="AQ351" s="125">
        <v>962125.97</v>
      </c>
      <c r="AR351" s="125">
        <v>896024.03</v>
      </c>
      <c r="AS351" s="125">
        <v>907660.65</v>
      </c>
      <c r="AT351" s="125">
        <v>865924.79</v>
      </c>
      <c r="AU351" s="125">
        <v>913464.58</v>
      </c>
      <c r="AV351" s="125">
        <v>942345.17</v>
      </c>
      <c r="AW351" s="125">
        <v>963628.19</v>
      </c>
      <c r="AX351" s="125">
        <v>1006891.02</v>
      </c>
      <c r="AY351" s="126"/>
      <c r="AZ351" s="126"/>
      <c r="BA351" s="126"/>
      <c r="BB351" s="126"/>
      <c r="BC351" s="126"/>
      <c r="BD351" s="126"/>
      <c r="BE351" s="126"/>
      <c r="BF351" s="127">
        <v>25011510</v>
      </c>
      <c r="BG351" s="97" t="s">
        <v>311</v>
      </c>
      <c r="BH351" s="127">
        <v>739723.22</v>
      </c>
      <c r="BI351" s="127">
        <v>25011510</v>
      </c>
      <c r="BJ351" s="97" t="s">
        <v>311</v>
      </c>
      <c r="BK351" s="127">
        <v>791129.85</v>
      </c>
    </row>
    <row r="352" spans="1:63" x14ac:dyDescent="0.25">
      <c r="B352" s="121">
        <v>250135</v>
      </c>
      <c r="C352" s="122" t="s">
        <v>312</v>
      </c>
      <c r="D352" s="128"/>
      <c r="E352" s="128"/>
      <c r="F352" s="128"/>
      <c r="G352" s="128"/>
      <c r="H352" s="128"/>
      <c r="I352" s="128"/>
      <c r="J352" s="123">
        <v>3129.04</v>
      </c>
      <c r="K352" s="123">
        <v>12829.07</v>
      </c>
      <c r="L352" s="123">
        <v>22842</v>
      </c>
      <c r="M352" s="123">
        <v>32359.5</v>
      </c>
      <c r="N352" s="123">
        <v>2911.99</v>
      </c>
      <c r="O352" s="123">
        <v>2911.99</v>
      </c>
      <c r="P352" s="128"/>
      <c r="Q352" s="128"/>
      <c r="R352" s="128"/>
      <c r="S352" s="128"/>
      <c r="T352" s="128"/>
      <c r="U352" s="123">
        <v>14282.14</v>
      </c>
      <c r="V352" s="123">
        <v>26523.97</v>
      </c>
      <c r="W352" s="128"/>
      <c r="X352" s="123">
        <v>10298.75</v>
      </c>
      <c r="Y352" s="123">
        <v>18649.09</v>
      </c>
      <c r="Z352" s="123">
        <v>27277.77</v>
      </c>
      <c r="AA352" s="123">
        <v>0.01</v>
      </c>
      <c r="AB352" s="128"/>
      <c r="AC352" s="129"/>
      <c r="AD352" s="129"/>
      <c r="AE352" s="129"/>
      <c r="AF352" s="129"/>
      <c r="AG352" s="129"/>
      <c r="AH352" s="129"/>
      <c r="AI352" s="129"/>
      <c r="AJ352" s="124">
        <v>0</v>
      </c>
      <c r="AK352" s="124">
        <v>0</v>
      </c>
      <c r="AL352" s="124">
        <v>0</v>
      </c>
      <c r="AM352" s="124">
        <v>0</v>
      </c>
      <c r="AN352" s="124">
        <v>0</v>
      </c>
      <c r="AO352" s="125">
        <v>0</v>
      </c>
      <c r="AP352" s="125">
        <v>0</v>
      </c>
      <c r="AQ352" s="125">
        <v>0</v>
      </c>
      <c r="AR352" s="125">
        <v>0</v>
      </c>
      <c r="AS352" s="125">
        <v>0</v>
      </c>
      <c r="AT352" s="125">
        <v>0</v>
      </c>
      <c r="AU352" s="125">
        <v>0</v>
      </c>
      <c r="AV352" s="125">
        <v>0</v>
      </c>
      <c r="AW352" s="125">
        <v>0</v>
      </c>
      <c r="AX352" s="125">
        <v>0</v>
      </c>
      <c r="AY352" s="126"/>
      <c r="AZ352" s="126"/>
      <c r="BA352" s="126"/>
      <c r="BB352" s="126"/>
      <c r="BC352" s="126"/>
      <c r="BD352" s="126"/>
      <c r="BE352" s="126"/>
    </row>
    <row r="353" spans="2:63" x14ac:dyDescent="0.25">
      <c r="B353" s="121">
        <v>25013515</v>
      </c>
      <c r="C353" s="122" t="s">
        <v>313</v>
      </c>
      <c r="D353" s="128"/>
      <c r="E353" s="128"/>
      <c r="F353" s="128"/>
      <c r="G353" s="128"/>
      <c r="H353" s="128"/>
      <c r="I353" s="128"/>
      <c r="J353" s="123">
        <v>3129.04</v>
      </c>
      <c r="K353" s="123">
        <v>12829.07</v>
      </c>
      <c r="L353" s="123">
        <v>22842</v>
      </c>
      <c r="M353" s="123">
        <v>32359.5</v>
      </c>
      <c r="N353" s="123">
        <v>2911.99</v>
      </c>
      <c r="O353" s="123">
        <v>2911.99</v>
      </c>
      <c r="P353" s="128"/>
      <c r="Q353" s="128"/>
      <c r="R353" s="128"/>
      <c r="S353" s="128"/>
      <c r="T353" s="128"/>
      <c r="U353" s="123">
        <v>14282.14</v>
      </c>
      <c r="V353" s="123">
        <v>26523.97</v>
      </c>
      <c r="W353" s="128"/>
      <c r="X353" s="123">
        <v>10298.75</v>
      </c>
      <c r="Y353" s="123">
        <v>18649.09</v>
      </c>
      <c r="Z353" s="123">
        <v>27277.77</v>
      </c>
      <c r="AA353" s="123">
        <v>0.01</v>
      </c>
      <c r="AB353" s="128"/>
      <c r="AC353" s="129"/>
      <c r="AD353" s="129"/>
      <c r="AE353" s="129"/>
      <c r="AF353" s="129"/>
      <c r="AG353" s="129"/>
      <c r="AH353" s="129"/>
      <c r="AI353" s="129"/>
      <c r="AJ353" s="124">
        <v>0</v>
      </c>
      <c r="AK353" s="124">
        <v>0</v>
      </c>
      <c r="AL353" s="124">
        <v>0</v>
      </c>
      <c r="AM353" s="124">
        <v>0</v>
      </c>
      <c r="AN353" s="124">
        <v>0</v>
      </c>
      <c r="AO353" s="125">
        <v>0</v>
      </c>
      <c r="AP353" s="125">
        <v>0</v>
      </c>
      <c r="AQ353" s="125">
        <v>0</v>
      </c>
      <c r="AR353" s="125">
        <v>0</v>
      </c>
      <c r="AS353" s="125">
        <v>0</v>
      </c>
      <c r="AT353" s="125">
        <v>0</v>
      </c>
      <c r="AU353" s="125">
        <v>0</v>
      </c>
      <c r="AV353" s="125">
        <v>0</v>
      </c>
      <c r="AW353" s="125">
        <v>0</v>
      </c>
      <c r="AX353" s="125">
        <v>0</v>
      </c>
      <c r="AY353" s="126"/>
      <c r="AZ353" s="126"/>
      <c r="BA353" s="126"/>
      <c r="BB353" s="126"/>
      <c r="BC353" s="126"/>
      <c r="BD353" s="126"/>
      <c r="BE353" s="126"/>
    </row>
    <row r="354" spans="2:63" x14ac:dyDescent="0.25">
      <c r="B354" s="121">
        <v>2503</v>
      </c>
      <c r="C354" s="122" t="s">
        <v>314</v>
      </c>
      <c r="D354" s="116">
        <v>497074.1</v>
      </c>
      <c r="E354" s="116">
        <v>507799.91</v>
      </c>
      <c r="F354" s="116">
        <v>511720.11</v>
      </c>
      <c r="G354" s="116">
        <v>521596.57</v>
      </c>
      <c r="H354" s="116">
        <v>534580.56999999995</v>
      </c>
      <c r="I354" s="116">
        <v>541121.04</v>
      </c>
      <c r="J354" s="116">
        <v>542996.42000000004</v>
      </c>
      <c r="K354" s="116">
        <v>530783.69999999995</v>
      </c>
      <c r="L354" s="116">
        <v>507361.41</v>
      </c>
      <c r="M354" s="116">
        <v>510337.13</v>
      </c>
      <c r="N354" s="116">
        <v>522775.34</v>
      </c>
      <c r="O354" s="116">
        <v>531227.09</v>
      </c>
      <c r="P354" s="116">
        <v>448173.12</v>
      </c>
      <c r="Q354" s="116">
        <v>456378.86</v>
      </c>
      <c r="R354" s="116">
        <v>466257.2</v>
      </c>
      <c r="S354" s="116">
        <v>464992.65</v>
      </c>
      <c r="T354" s="116">
        <v>497744.81</v>
      </c>
      <c r="U354" s="116">
        <v>481879.91</v>
      </c>
      <c r="V354" s="116">
        <v>481049.39</v>
      </c>
      <c r="W354" s="116">
        <v>481784.99</v>
      </c>
      <c r="X354" s="116">
        <v>473856.03</v>
      </c>
      <c r="Y354" s="116">
        <v>473592.18</v>
      </c>
      <c r="Z354" s="116">
        <v>480977.26</v>
      </c>
      <c r="AA354" s="116">
        <v>488551.57</v>
      </c>
      <c r="AB354" s="116">
        <v>455695.79</v>
      </c>
      <c r="AC354" s="124">
        <v>462892.26</v>
      </c>
      <c r="AD354" s="124">
        <v>465846.37</v>
      </c>
      <c r="AE354" s="124">
        <v>466852.47</v>
      </c>
      <c r="AF354" s="124">
        <v>462272.08</v>
      </c>
      <c r="AG354" s="124">
        <v>463729.9</v>
      </c>
      <c r="AH354" s="124">
        <v>466593.93</v>
      </c>
      <c r="AI354" s="124">
        <v>475004.14</v>
      </c>
      <c r="AJ354" s="124">
        <v>456411.26</v>
      </c>
      <c r="AK354" s="124">
        <v>468038.68</v>
      </c>
      <c r="AL354" s="124">
        <v>483806.46</v>
      </c>
      <c r="AM354" s="124">
        <v>487202.99</v>
      </c>
      <c r="AN354" s="124">
        <v>462723.56</v>
      </c>
      <c r="AO354" s="125">
        <v>475338.35</v>
      </c>
      <c r="AP354" s="125">
        <v>457231.61</v>
      </c>
      <c r="AQ354" s="125">
        <v>470216.07</v>
      </c>
      <c r="AR354" s="125">
        <v>487409.55</v>
      </c>
      <c r="AS354" s="125">
        <v>502235.64</v>
      </c>
      <c r="AT354" s="125">
        <v>515793.84</v>
      </c>
      <c r="AU354" s="125">
        <v>526877.36</v>
      </c>
      <c r="AV354" s="125">
        <v>509074.52</v>
      </c>
      <c r="AW354" s="125">
        <v>514344.41</v>
      </c>
      <c r="AX354" s="125">
        <v>528926.47</v>
      </c>
      <c r="AY354" s="126"/>
      <c r="AZ354" s="126"/>
      <c r="BA354" s="126"/>
      <c r="BB354" s="126"/>
      <c r="BC354" s="126"/>
      <c r="BD354" s="126"/>
      <c r="BE354" s="126"/>
      <c r="BF354" s="127">
        <v>2503</v>
      </c>
      <c r="BG354" s="97" t="s">
        <v>314</v>
      </c>
      <c r="BH354" s="127">
        <v>466593.93</v>
      </c>
      <c r="BI354" s="127">
        <v>2503</v>
      </c>
      <c r="BJ354" s="97" t="s">
        <v>314</v>
      </c>
      <c r="BK354" s="127">
        <v>475004.14</v>
      </c>
    </row>
    <row r="355" spans="2:63" x14ac:dyDescent="0.25">
      <c r="B355" s="121">
        <v>250310</v>
      </c>
      <c r="C355" s="122" t="s">
        <v>315</v>
      </c>
      <c r="D355" s="123">
        <v>92418.57</v>
      </c>
      <c r="E355" s="123">
        <v>103986.9</v>
      </c>
      <c r="F355" s="123">
        <v>108734.55</v>
      </c>
      <c r="G355" s="123">
        <v>117363.12</v>
      </c>
      <c r="H355" s="123">
        <v>130790.97</v>
      </c>
      <c r="I355" s="123">
        <v>137332.1</v>
      </c>
      <c r="J355" s="123">
        <v>142028.07</v>
      </c>
      <c r="K355" s="123">
        <v>134216.79999999999</v>
      </c>
      <c r="L355" s="123">
        <v>111031.18</v>
      </c>
      <c r="M355" s="123">
        <v>114521.33</v>
      </c>
      <c r="N355" s="123">
        <v>126334.2</v>
      </c>
      <c r="O355" s="123">
        <v>135197.35999999999</v>
      </c>
      <c r="P355" s="123">
        <v>69667.02</v>
      </c>
      <c r="Q355" s="123">
        <v>80832.83</v>
      </c>
      <c r="R355" s="123">
        <v>90909.47</v>
      </c>
      <c r="S355" s="123">
        <v>89691.82</v>
      </c>
      <c r="T355" s="123">
        <v>95690</v>
      </c>
      <c r="U355" s="123">
        <v>100505.78</v>
      </c>
      <c r="V355" s="123">
        <v>106915.76</v>
      </c>
      <c r="W355" s="123">
        <v>107835.65</v>
      </c>
      <c r="X355" s="123">
        <v>99727.33</v>
      </c>
      <c r="Y355" s="123">
        <v>99218.84</v>
      </c>
      <c r="Z355" s="123">
        <v>107926.15</v>
      </c>
      <c r="AA355" s="123">
        <v>116415.48</v>
      </c>
      <c r="AB355" s="123">
        <v>67066.45</v>
      </c>
      <c r="AC355" s="124">
        <v>73732.289999999994</v>
      </c>
      <c r="AD355" s="124">
        <v>78650.48</v>
      </c>
      <c r="AE355" s="124">
        <v>80285.19</v>
      </c>
      <c r="AF355" s="124">
        <v>85916.02</v>
      </c>
      <c r="AG355" s="124">
        <v>87832.18</v>
      </c>
      <c r="AH355" s="124">
        <v>95091.25</v>
      </c>
      <c r="AI355" s="124">
        <v>103770.66</v>
      </c>
      <c r="AJ355" s="124">
        <v>84308.94</v>
      </c>
      <c r="AK355" s="124">
        <v>95804.77</v>
      </c>
      <c r="AL355" s="124">
        <v>108985.94</v>
      </c>
      <c r="AM355" s="124">
        <v>117694.19</v>
      </c>
      <c r="AN355" s="124">
        <v>77046.11</v>
      </c>
      <c r="AO355" s="125">
        <v>90128.52</v>
      </c>
      <c r="AP355" s="125">
        <v>94626.76</v>
      </c>
      <c r="AQ355" s="125">
        <v>107818.73</v>
      </c>
      <c r="AR355" s="125">
        <v>124735.1</v>
      </c>
      <c r="AS355" s="125">
        <v>140755.78</v>
      </c>
      <c r="AT355" s="125">
        <v>154394.29999999999</v>
      </c>
      <c r="AU355" s="125">
        <v>167242.34</v>
      </c>
      <c r="AV355" s="125">
        <v>149024.71</v>
      </c>
      <c r="AW355" s="125">
        <v>154800.65</v>
      </c>
      <c r="AX355" s="125">
        <v>170638.36</v>
      </c>
      <c r="AY355" s="126"/>
      <c r="AZ355" s="126"/>
      <c r="BA355" s="126"/>
      <c r="BB355" s="126"/>
      <c r="BC355" s="126"/>
      <c r="BD355" s="126"/>
      <c r="BE355" s="126"/>
      <c r="BF355" s="127">
        <v>250310</v>
      </c>
      <c r="BG355" s="97" t="s">
        <v>315</v>
      </c>
      <c r="BH355" s="127">
        <v>95091.25</v>
      </c>
      <c r="BI355" s="127">
        <v>250310</v>
      </c>
      <c r="BJ355" s="97" t="s">
        <v>315</v>
      </c>
      <c r="BK355" s="127">
        <v>103770.66</v>
      </c>
    </row>
    <row r="356" spans="2:63" x14ac:dyDescent="0.25">
      <c r="B356" s="121">
        <v>25031005</v>
      </c>
      <c r="C356" s="122" t="s">
        <v>316</v>
      </c>
      <c r="D356" s="123">
        <v>6527.56</v>
      </c>
      <c r="E356" s="123">
        <v>12547.38</v>
      </c>
      <c r="F356" s="123">
        <v>18652.04</v>
      </c>
      <c r="G356" s="123">
        <v>25244.65</v>
      </c>
      <c r="H356" s="123">
        <v>31875.82</v>
      </c>
      <c r="I356" s="123">
        <v>37592.76</v>
      </c>
      <c r="J356" s="123">
        <v>42492.75</v>
      </c>
      <c r="K356" s="123">
        <v>41038.03</v>
      </c>
      <c r="L356" s="123">
        <v>45828.93</v>
      </c>
      <c r="M356" s="123">
        <v>48892.29</v>
      </c>
      <c r="N356" s="123">
        <v>54712.99</v>
      </c>
      <c r="O356" s="123">
        <v>60398.16</v>
      </c>
      <c r="P356" s="123">
        <v>5492.31</v>
      </c>
      <c r="Q356" s="123">
        <v>10335.02</v>
      </c>
      <c r="R356" s="123">
        <v>15231.89</v>
      </c>
      <c r="S356" s="123">
        <v>19911.04</v>
      </c>
      <c r="T356" s="123">
        <v>24650.71</v>
      </c>
      <c r="U356" s="123">
        <v>28270.34</v>
      </c>
      <c r="V356" s="123">
        <v>32779.1</v>
      </c>
      <c r="W356" s="123">
        <v>37685.29</v>
      </c>
      <c r="X356" s="123">
        <v>42635.55</v>
      </c>
      <c r="Y356" s="123">
        <v>47772.37</v>
      </c>
      <c r="Z356" s="123">
        <v>52033.93</v>
      </c>
      <c r="AA356" s="123">
        <v>56383.66</v>
      </c>
      <c r="AB356" s="123">
        <v>5031.18</v>
      </c>
      <c r="AC356" s="124">
        <v>9754.3799999999992</v>
      </c>
      <c r="AD356" s="124">
        <v>14017.18</v>
      </c>
      <c r="AE356" s="124">
        <v>18262.14</v>
      </c>
      <c r="AF356" s="124">
        <v>22041.82</v>
      </c>
      <c r="AG356" s="124">
        <v>25590.7</v>
      </c>
      <c r="AH356" s="124">
        <v>28435.55</v>
      </c>
      <c r="AI356" s="124">
        <v>33130.379999999997</v>
      </c>
      <c r="AJ356" s="124">
        <v>38269.879999999997</v>
      </c>
      <c r="AK356" s="124">
        <v>43765.22</v>
      </c>
      <c r="AL356" s="124">
        <v>50624.99</v>
      </c>
      <c r="AM356" s="124">
        <v>54350.67</v>
      </c>
      <c r="AN356" s="124">
        <v>7611.99</v>
      </c>
      <c r="AO356" s="125">
        <v>15150.33</v>
      </c>
      <c r="AP356" s="125">
        <v>22425.55</v>
      </c>
      <c r="AQ356" s="125">
        <v>30432.84</v>
      </c>
      <c r="AR356" s="125">
        <v>39627.14</v>
      </c>
      <c r="AS356" s="125">
        <v>48400.39</v>
      </c>
      <c r="AT356" s="125">
        <v>57441.23</v>
      </c>
      <c r="AU356" s="125">
        <v>65705</v>
      </c>
      <c r="AV356" s="125">
        <v>73741.820000000007</v>
      </c>
      <c r="AW356" s="125">
        <v>77821.119999999995</v>
      </c>
      <c r="AX356" s="125">
        <v>86628.44</v>
      </c>
      <c r="AY356" s="126"/>
      <c r="AZ356" s="126"/>
      <c r="BA356" s="126"/>
      <c r="BB356" s="126"/>
      <c r="BC356" s="126"/>
      <c r="BD356" s="126"/>
      <c r="BE356" s="126"/>
      <c r="BF356" s="127">
        <v>25031005</v>
      </c>
      <c r="BG356" s="97" t="s">
        <v>316</v>
      </c>
      <c r="BH356" s="127">
        <v>28435.55</v>
      </c>
      <c r="BI356" s="127">
        <v>25031005</v>
      </c>
      <c r="BJ356" s="97" t="s">
        <v>316</v>
      </c>
      <c r="BK356" s="127">
        <v>33130.379999999997</v>
      </c>
    </row>
    <row r="357" spans="2:63" x14ac:dyDescent="0.25">
      <c r="B357" s="121">
        <v>25031010</v>
      </c>
      <c r="C357" s="122" t="s">
        <v>317</v>
      </c>
      <c r="D357" s="123">
        <v>10521.05</v>
      </c>
      <c r="E357" s="123">
        <v>13177.89</v>
      </c>
      <c r="F357" s="123">
        <v>14800.18</v>
      </c>
      <c r="G357" s="123">
        <v>14504.83</v>
      </c>
      <c r="H357" s="123">
        <v>16446.86</v>
      </c>
      <c r="I357" s="123">
        <v>18090.79</v>
      </c>
      <c r="J357" s="123">
        <v>19679.830000000002</v>
      </c>
      <c r="K357" s="123">
        <v>19826.23</v>
      </c>
      <c r="L357" s="123">
        <v>2886.52</v>
      </c>
      <c r="M357" s="123">
        <v>4706.95</v>
      </c>
      <c r="N357" s="123">
        <v>6702.1</v>
      </c>
      <c r="O357" s="123">
        <v>8703.16</v>
      </c>
      <c r="P357" s="123">
        <v>10176.51</v>
      </c>
      <c r="Q357" s="123">
        <v>12386.41</v>
      </c>
      <c r="R357" s="123">
        <v>14246.41</v>
      </c>
      <c r="S357" s="123">
        <v>13323.49</v>
      </c>
      <c r="T357" s="123">
        <v>14785.99</v>
      </c>
      <c r="U357" s="123">
        <v>15856.56</v>
      </c>
      <c r="V357" s="123">
        <v>17636.560000000001</v>
      </c>
      <c r="W357" s="123">
        <v>19549.060000000001</v>
      </c>
      <c r="X357" s="123">
        <v>3096.25</v>
      </c>
      <c r="Y357" s="123">
        <v>5121.25</v>
      </c>
      <c r="Z357" s="123">
        <v>6733.75</v>
      </c>
      <c r="AA357" s="123">
        <v>8371.25</v>
      </c>
      <c r="AB357" s="123">
        <v>10358.75</v>
      </c>
      <c r="AC357" s="124">
        <v>12395.56</v>
      </c>
      <c r="AD357" s="124">
        <v>13085.54</v>
      </c>
      <c r="AE357" s="124">
        <v>13497.1</v>
      </c>
      <c r="AF357" s="124">
        <v>14584.47</v>
      </c>
      <c r="AG357" s="124">
        <v>16245.58</v>
      </c>
      <c r="AH357" s="124">
        <v>17248.63</v>
      </c>
      <c r="AI357" s="124">
        <v>19088.62</v>
      </c>
      <c r="AJ357" s="124">
        <v>2644.77</v>
      </c>
      <c r="AK357" s="124">
        <v>4857.87</v>
      </c>
      <c r="AL357" s="124">
        <v>7274.12</v>
      </c>
      <c r="AM357" s="124">
        <v>9620.1</v>
      </c>
      <c r="AN357" s="124">
        <v>12257.42</v>
      </c>
      <c r="AO357" s="125">
        <v>15506.83</v>
      </c>
      <c r="AP357" s="125">
        <v>17815.09</v>
      </c>
      <c r="AQ357" s="125">
        <v>19302.14</v>
      </c>
      <c r="AR357" s="125">
        <v>22726.639999999999</v>
      </c>
      <c r="AS357" s="125">
        <v>25860.01</v>
      </c>
      <c r="AT357" s="125">
        <v>29116.11</v>
      </c>
      <c r="AU357" s="125">
        <v>32128.080000000002</v>
      </c>
      <c r="AV357" s="125">
        <v>6145.53</v>
      </c>
      <c r="AW357" s="125">
        <v>8743.64</v>
      </c>
      <c r="AX357" s="125">
        <v>12272.6</v>
      </c>
      <c r="AY357" s="126"/>
      <c r="AZ357" s="126"/>
      <c r="BA357" s="126"/>
      <c r="BB357" s="126"/>
      <c r="BC357" s="126"/>
      <c r="BD357" s="126"/>
      <c r="BE357" s="126"/>
      <c r="BF357" s="127">
        <v>25031010</v>
      </c>
      <c r="BG357" s="97" t="s">
        <v>317</v>
      </c>
      <c r="BH357" s="127">
        <v>17248.63</v>
      </c>
      <c r="BI357" s="127">
        <v>25031010</v>
      </c>
      <c r="BJ357" s="97" t="s">
        <v>317</v>
      </c>
      <c r="BK357" s="127">
        <v>19088.62</v>
      </c>
    </row>
    <row r="358" spans="2:63" x14ac:dyDescent="0.25">
      <c r="B358" s="121">
        <v>25031015</v>
      </c>
      <c r="C358" s="122" t="s">
        <v>318</v>
      </c>
      <c r="D358" s="123">
        <v>75369.960000000006</v>
      </c>
      <c r="E358" s="123">
        <v>78261.63</v>
      </c>
      <c r="F358" s="123">
        <v>75282.33</v>
      </c>
      <c r="G358" s="123">
        <v>77613.64</v>
      </c>
      <c r="H358" s="123">
        <v>82468.289999999994</v>
      </c>
      <c r="I358" s="123">
        <v>81648.55</v>
      </c>
      <c r="J358" s="123">
        <v>79855.490000000005</v>
      </c>
      <c r="K358" s="123">
        <v>73352.539999999994</v>
      </c>
      <c r="L358" s="123">
        <v>62315.73</v>
      </c>
      <c r="M358" s="123">
        <v>60922.09</v>
      </c>
      <c r="N358" s="123">
        <v>64919.11</v>
      </c>
      <c r="O358" s="123">
        <v>66096.039999999994</v>
      </c>
      <c r="P358" s="123">
        <v>53998.2</v>
      </c>
      <c r="Q358" s="123">
        <v>58111.4</v>
      </c>
      <c r="R358" s="123">
        <v>61431.17</v>
      </c>
      <c r="S358" s="123">
        <v>56457.29</v>
      </c>
      <c r="T358" s="123">
        <v>56253.3</v>
      </c>
      <c r="U358" s="123">
        <v>56378.879999999997</v>
      </c>
      <c r="V358" s="123">
        <v>56500.1</v>
      </c>
      <c r="W358" s="123">
        <v>50601.3</v>
      </c>
      <c r="X358" s="123">
        <v>53995.53</v>
      </c>
      <c r="Y358" s="123">
        <v>46325.22</v>
      </c>
      <c r="Z358" s="123">
        <v>49158.47</v>
      </c>
      <c r="AA358" s="123">
        <v>51660.57</v>
      </c>
      <c r="AB358" s="123">
        <v>51676.52</v>
      </c>
      <c r="AC358" s="124">
        <v>51582.35</v>
      </c>
      <c r="AD358" s="124">
        <v>51547.76</v>
      </c>
      <c r="AE358" s="124">
        <v>48525.95</v>
      </c>
      <c r="AF358" s="124">
        <v>49289.73</v>
      </c>
      <c r="AG358" s="124">
        <v>45995.9</v>
      </c>
      <c r="AH358" s="124">
        <v>49407.07</v>
      </c>
      <c r="AI358" s="124">
        <v>51551.66</v>
      </c>
      <c r="AJ358" s="124">
        <v>43394.29</v>
      </c>
      <c r="AK358" s="124">
        <v>47181.68</v>
      </c>
      <c r="AL358" s="124">
        <v>51086.83</v>
      </c>
      <c r="AM358" s="124">
        <v>53723.42</v>
      </c>
      <c r="AN358" s="124">
        <v>57176.7</v>
      </c>
      <c r="AO358" s="125">
        <v>59471.360000000001</v>
      </c>
      <c r="AP358" s="125">
        <v>54386.12</v>
      </c>
      <c r="AQ358" s="125">
        <v>58083.75</v>
      </c>
      <c r="AR358" s="125">
        <v>62381.32</v>
      </c>
      <c r="AS358" s="125">
        <v>66495.38</v>
      </c>
      <c r="AT358" s="125">
        <v>67836.960000000006</v>
      </c>
      <c r="AU358" s="125">
        <v>69409.259999999995</v>
      </c>
      <c r="AV358" s="125">
        <v>69137.36</v>
      </c>
      <c r="AW358" s="125">
        <v>68235.89</v>
      </c>
      <c r="AX358" s="125">
        <v>71737.320000000007</v>
      </c>
      <c r="AY358" s="126"/>
      <c r="AZ358" s="126"/>
      <c r="BA358" s="126"/>
      <c r="BB358" s="126"/>
      <c r="BC358" s="126"/>
      <c r="BD358" s="126"/>
      <c r="BE358" s="126"/>
      <c r="BF358" s="127">
        <v>25031015</v>
      </c>
      <c r="BG358" s="97" t="s">
        <v>318</v>
      </c>
      <c r="BH358" s="127">
        <v>49407.07</v>
      </c>
      <c r="BI358" s="127">
        <v>25031015</v>
      </c>
      <c r="BJ358" s="97" t="s">
        <v>318</v>
      </c>
      <c r="BK358" s="127">
        <v>51551.66</v>
      </c>
    </row>
    <row r="359" spans="2:63" x14ac:dyDescent="0.25">
      <c r="B359" s="121">
        <v>250315</v>
      </c>
      <c r="C359" s="122" t="s">
        <v>319</v>
      </c>
      <c r="D359" s="123">
        <v>10696.11</v>
      </c>
      <c r="E359" s="123">
        <v>10709.4</v>
      </c>
      <c r="F359" s="123">
        <v>10161.15</v>
      </c>
      <c r="G359" s="123">
        <v>11804.95</v>
      </c>
      <c r="H359" s="123">
        <v>11227.46</v>
      </c>
      <c r="I359" s="123">
        <v>11390.69</v>
      </c>
      <c r="J359" s="123">
        <v>10842</v>
      </c>
      <c r="K359" s="123">
        <v>9561.14</v>
      </c>
      <c r="L359" s="123">
        <v>9219.51</v>
      </c>
      <c r="M359" s="123">
        <v>9251.32</v>
      </c>
      <c r="N359" s="123">
        <v>9833.23</v>
      </c>
      <c r="O359" s="123">
        <v>9447.2099999999991</v>
      </c>
      <c r="P359" s="123">
        <v>9534.83</v>
      </c>
      <c r="Q359" s="123">
        <v>8643.2900000000009</v>
      </c>
      <c r="R359" s="123">
        <v>8404.64</v>
      </c>
      <c r="S359" s="123">
        <v>8360.5400000000009</v>
      </c>
      <c r="T359" s="123">
        <v>8359.14</v>
      </c>
      <c r="U359" s="123">
        <v>8145.37</v>
      </c>
      <c r="V359" s="123">
        <v>8047.76</v>
      </c>
      <c r="W359" s="123">
        <v>8276.1200000000008</v>
      </c>
      <c r="X359" s="123">
        <v>8457.43</v>
      </c>
      <c r="Y359" s="123">
        <v>8700.85</v>
      </c>
      <c r="Z359" s="123">
        <v>8663.18</v>
      </c>
      <c r="AA359" s="123">
        <v>8961.2199999999993</v>
      </c>
      <c r="AB359" s="123">
        <v>8791.25</v>
      </c>
      <c r="AC359" s="124">
        <v>8409.7999999999993</v>
      </c>
      <c r="AD359" s="124">
        <v>8632.86</v>
      </c>
      <c r="AE359" s="124">
        <v>8391.36</v>
      </c>
      <c r="AF359" s="124">
        <v>8423.6</v>
      </c>
      <c r="AG359" s="124">
        <v>8245.1</v>
      </c>
      <c r="AH359" s="124">
        <v>8564.36</v>
      </c>
      <c r="AI359" s="124">
        <v>8479.4699999999993</v>
      </c>
      <c r="AJ359" s="124">
        <v>9292.19</v>
      </c>
      <c r="AK359" s="124">
        <v>9562.82</v>
      </c>
      <c r="AL359" s="124">
        <v>12127.03</v>
      </c>
      <c r="AM359" s="124">
        <v>11432.67</v>
      </c>
      <c r="AN359" s="124">
        <v>13051.33</v>
      </c>
      <c r="AO359" s="125">
        <v>12540.19</v>
      </c>
      <c r="AP359" s="125">
        <v>13794.42</v>
      </c>
      <c r="AQ359" s="125">
        <v>13630.68</v>
      </c>
      <c r="AR359" s="125">
        <v>15152.46</v>
      </c>
      <c r="AS359" s="125">
        <v>14821.56</v>
      </c>
      <c r="AT359" s="125">
        <v>15389.87</v>
      </c>
      <c r="AU359" s="125">
        <v>14497.94</v>
      </c>
      <c r="AV359" s="125">
        <v>15786.51</v>
      </c>
      <c r="AW359" s="125">
        <v>16190.19</v>
      </c>
      <c r="AX359" s="125">
        <v>15801.71</v>
      </c>
      <c r="AY359" s="126"/>
      <c r="AZ359" s="126"/>
      <c r="BA359" s="126"/>
      <c r="BB359" s="126"/>
      <c r="BC359" s="126"/>
      <c r="BD359" s="126"/>
      <c r="BE359" s="126"/>
      <c r="BF359" s="127">
        <v>250315</v>
      </c>
      <c r="BG359" s="97" t="s">
        <v>319</v>
      </c>
      <c r="BH359" s="127">
        <v>8564.36</v>
      </c>
      <c r="BI359" s="127">
        <v>250315</v>
      </c>
      <c r="BJ359" s="97" t="s">
        <v>319</v>
      </c>
      <c r="BK359" s="127">
        <v>8479.4699999999993</v>
      </c>
    </row>
    <row r="360" spans="2:63" x14ac:dyDescent="0.25">
      <c r="B360" s="121">
        <v>250320</v>
      </c>
      <c r="C360" s="122" t="s">
        <v>320</v>
      </c>
      <c r="D360" s="123">
        <v>402.82</v>
      </c>
      <c r="E360" s="123">
        <v>391.58</v>
      </c>
      <c r="F360" s="123">
        <v>300.77999999999997</v>
      </c>
      <c r="G360" s="123">
        <v>342.43</v>
      </c>
      <c r="H360" s="123">
        <v>476.07</v>
      </c>
      <c r="I360" s="123">
        <v>483.58</v>
      </c>
      <c r="J360" s="123">
        <v>485.51</v>
      </c>
      <c r="K360" s="123">
        <v>440.35</v>
      </c>
      <c r="L360" s="123">
        <v>545.30999999999995</v>
      </c>
      <c r="M360" s="123">
        <v>553.91</v>
      </c>
      <c r="N360" s="123">
        <v>597.34</v>
      </c>
      <c r="O360" s="123">
        <v>571.95000000000005</v>
      </c>
      <c r="P360" s="123">
        <v>618.54999999999995</v>
      </c>
      <c r="Q360" s="123">
        <v>598.66</v>
      </c>
      <c r="R360" s="123">
        <v>639.01</v>
      </c>
      <c r="S360" s="123">
        <v>636.21</v>
      </c>
      <c r="T360" s="123">
        <v>589.54</v>
      </c>
      <c r="U360" s="123">
        <v>589.52</v>
      </c>
      <c r="V360" s="123">
        <v>537.03</v>
      </c>
      <c r="W360" s="123">
        <v>536.24</v>
      </c>
      <c r="X360" s="123">
        <v>534.29</v>
      </c>
      <c r="Y360" s="123">
        <v>535.51</v>
      </c>
      <c r="Z360" s="123">
        <v>573.84</v>
      </c>
      <c r="AA360" s="123">
        <v>593.34</v>
      </c>
      <c r="AB360" s="123">
        <v>581.12</v>
      </c>
      <c r="AC360" s="124">
        <v>632.26</v>
      </c>
      <c r="AD360" s="124">
        <v>641.72</v>
      </c>
      <c r="AE360" s="124">
        <v>652.54999999999995</v>
      </c>
      <c r="AF360" s="124">
        <v>769.13</v>
      </c>
      <c r="AG360" s="124">
        <v>787.1</v>
      </c>
      <c r="AH360" s="124">
        <v>831.45</v>
      </c>
      <c r="AI360" s="124">
        <v>823.14</v>
      </c>
      <c r="AJ360" s="124">
        <v>879.26</v>
      </c>
      <c r="AK360" s="124">
        <v>740.22</v>
      </c>
      <c r="AL360" s="124">
        <v>762.62</v>
      </c>
      <c r="AM360" s="124">
        <v>779.7</v>
      </c>
      <c r="AN360" s="124">
        <v>712.21</v>
      </c>
      <c r="AO360" s="125">
        <v>755.73</v>
      </c>
      <c r="AP360" s="125">
        <v>681.02</v>
      </c>
      <c r="AQ360" s="125">
        <v>637.25</v>
      </c>
      <c r="AR360" s="125">
        <v>572.14</v>
      </c>
      <c r="AS360" s="125">
        <v>477.73</v>
      </c>
      <c r="AT360" s="125">
        <v>598.38</v>
      </c>
      <c r="AU360" s="125">
        <v>545.66999999999996</v>
      </c>
      <c r="AV360" s="125">
        <v>441.17</v>
      </c>
      <c r="AW360" s="125">
        <v>680.23</v>
      </c>
      <c r="AX360" s="125">
        <v>582.34</v>
      </c>
      <c r="AY360" s="126"/>
      <c r="AZ360" s="126"/>
      <c r="BA360" s="126"/>
      <c r="BB360" s="126"/>
      <c r="BC360" s="126"/>
      <c r="BD360" s="126"/>
      <c r="BE360" s="126"/>
      <c r="BF360" s="127">
        <v>250320</v>
      </c>
      <c r="BG360" s="97" t="s">
        <v>320</v>
      </c>
      <c r="BH360" s="127">
        <v>831.45</v>
      </c>
      <c r="BI360" s="127">
        <v>250320</v>
      </c>
      <c r="BJ360" s="97" t="s">
        <v>320</v>
      </c>
      <c r="BK360" s="127">
        <v>823.14</v>
      </c>
    </row>
    <row r="361" spans="2:63" x14ac:dyDescent="0.25">
      <c r="B361" s="121">
        <v>250325</v>
      </c>
      <c r="C361" s="122" t="s">
        <v>321</v>
      </c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3">
        <v>26936.45</v>
      </c>
      <c r="U361" s="123">
        <v>7010.7099999999991</v>
      </c>
      <c r="V361" s="128"/>
      <c r="W361" s="128"/>
      <c r="X361" s="128"/>
      <c r="Y361" s="128"/>
      <c r="Z361" s="128"/>
      <c r="AA361" s="128"/>
      <c r="AB361" s="123">
        <v>9368.11</v>
      </c>
      <c r="AC361" s="124">
        <v>10229.049999999999</v>
      </c>
      <c r="AD361" s="124">
        <v>9368.11</v>
      </c>
      <c r="AE361" s="124">
        <v>9368.11</v>
      </c>
      <c r="AF361" s="129"/>
      <c r="AG361" s="129"/>
      <c r="AH361" s="129"/>
      <c r="AI361" s="129"/>
      <c r="AJ361" s="124">
        <v>0</v>
      </c>
      <c r="AK361" s="124">
        <v>0</v>
      </c>
      <c r="AL361" s="124">
        <v>0</v>
      </c>
      <c r="AM361" s="124">
        <v>0</v>
      </c>
      <c r="AN361" s="124">
        <v>0</v>
      </c>
      <c r="AO361" s="125">
        <v>0</v>
      </c>
      <c r="AP361" s="125">
        <v>0</v>
      </c>
      <c r="AQ361" s="125">
        <v>0</v>
      </c>
      <c r="AR361" s="125">
        <v>0</v>
      </c>
      <c r="AS361" s="125">
        <v>0</v>
      </c>
      <c r="AT361" s="125">
        <v>0</v>
      </c>
      <c r="AU361" s="125">
        <v>0</v>
      </c>
      <c r="AV361" s="125">
        <v>0</v>
      </c>
      <c r="AW361" s="125">
        <v>0</v>
      </c>
      <c r="AX361" s="125">
        <v>0</v>
      </c>
      <c r="AY361" s="126"/>
      <c r="AZ361" s="126"/>
      <c r="BA361" s="126"/>
      <c r="BB361" s="126"/>
      <c r="BC361" s="126"/>
      <c r="BD361" s="126"/>
      <c r="BE361" s="126"/>
    </row>
    <row r="362" spans="2:63" x14ac:dyDescent="0.25">
      <c r="B362" s="121">
        <v>250390</v>
      </c>
      <c r="C362" s="122" t="s">
        <v>219</v>
      </c>
      <c r="D362" s="123">
        <v>393556.6</v>
      </c>
      <c r="E362" s="123">
        <v>392712.03</v>
      </c>
      <c r="F362" s="123">
        <v>392523.63</v>
      </c>
      <c r="G362" s="123">
        <v>392086.07</v>
      </c>
      <c r="H362" s="123">
        <v>392086.07</v>
      </c>
      <c r="I362" s="123">
        <v>391914.67</v>
      </c>
      <c r="J362" s="123">
        <v>389640.84</v>
      </c>
      <c r="K362" s="123">
        <v>386565.41</v>
      </c>
      <c r="L362" s="123">
        <v>386565.41</v>
      </c>
      <c r="M362" s="123">
        <v>386010.57</v>
      </c>
      <c r="N362" s="123">
        <v>386010.57</v>
      </c>
      <c r="O362" s="123">
        <v>386010.57</v>
      </c>
      <c r="P362" s="123">
        <v>368352.72</v>
      </c>
      <c r="Q362" s="123">
        <v>366304.08</v>
      </c>
      <c r="R362" s="123">
        <v>366304.08</v>
      </c>
      <c r="S362" s="123">
        <v>366304.08</v>
      </c>
      <c r="T362" s="123">
        <v>366169.68</v>
      </c>
      <c r="U362" s="123">
        <v>365628.53</v>
      </c>
      <c r="V362" s="123">
        <v>365548.84</v>
      </c>
      <c r="W362" s="123">
        <v>365136.98</v>
      </c>
      <c r="X362" s="123">
        <v>365136.98</v>
      </c>
      <c r="Y362" s="123">
        <v>365136.98</v>
      </c>
      <c r="Z362" s="123">
        <v>363814.09</v>
      </c>
      <c r="AA362" s="123">
        <v>362581.53</v>
      </c>
      <c r="AB362" s="123">
        <v>369888.86</v>
      </c>
      <c r="AC362" s="124">
        <v>369888.86</v>
      </c>
      <c r="AD362" s="124">
        <v>368553.2</v>
      </c>
      <c r="AE362" s="124">
        <v>368155.26</v>
      </c>
      <c r="AF362" s="124">
        <v>367163.33</v>
      </c>
      <c r="AG362" s="124">
        <v>366865.52</v>
      </c>
      <c r="AH362" s="124">
        <v>362106.87</v>
      </c>
      <c r="AI362" s="124">
        <v>361930.87</v>
      </c>
      <c r="AJ362" s="124">
        <v>361930.87</v>
      </c>
      <c r="AK362" s="124">
        <v>361930.87</v>
      </c>
      <c r="AL362" s="124">
        <v>361930.87</v>
      </c>
      <c r="AM362" s="124">
        <v>357296.43</v>
      </c>
      <c r="AN362" s="124">
        <v>371913.91</v>
      </c>
      <c r="AO362" s="125">
        <v>371913.91</v>
      </c>
      <c r="AP362" s="125">
        <v>348129.41</v>
      </c>
      <c r="AQ362" s="125">
        <v>348129.41</v>
      </c>
      <c r="AR362" s="125">
        <v>346949.85</v>
      </c>
      <c r="AS362" s="125">
        <v>346180.57</v>
      </c>
      <c r="AT362" s="125">
        <v>345411.29</v>
      </c>
      <c r="AU362" s="125">
        <v>344591.41</v>
      </c>
      <c r="AV362" s="125">
        <v>343822.13</v>
      </c>
      <c r="AW362" s="125">
        <v>342673.34</v>
      </c>
      <c r="AX362" s="125">
        <v>341904.06</v>
      </c>
      <c r="AY362" s="126"/>
      <c r="AZ362" s="126"/>
      <c r="BA362" s="126"/>
      <c r="BB362" s="126"/>
      <c r="BC362" s="126"/>
      <c r="BD362" s="126"/>
      <c r="BE362" s="126"/>
      <c r="BF362" s="127">
        <v>250390</v>
      </c>
      <c r="BG362" s="97" t="s">
        <v>219</v>
      </c>
      <c r="BH362" s="127">
        <v>362106.87</v>
      </c>
      <c r="BI362" s="127">
        <v>250390</v>
      </c>
      <c r="BJ362" s="97" t="s">
        <v>219</v>
      </c>
      <c r="BK362" s="127">
        <v>361930.87</v>
      </c>
    </row>
    <row r="363" spans="2:63" x14ac:dyDescent="0.25">
      <c r="B363" s="121">
        <v>2504</v>
      </c>
      <c r="C363" s="122" t="s">
        <v>322</v>
      </c>
      <c r="D363" s="116">
        <v>96398.45</v>
      </c>
      <c r="E363" s="116">
        <v>95573.23</v>
      </c>
      <c r="F363" s="116">
        <v>99482.52</v>
      </c>
      <c r="G363" s="116">
        <v>104506.77</v>
      </c>
      <c r="H363" s="116">
        <v>97330.14</v>
      </c>
      <c r="I363" s="116">
        <v>94744.45</v>
      </c>
      <c r="J363" s="116">
        <v>87823.77</v>
      </c>
      <c r="K363" s="116">
        <v>92031.93</v>
      </c>
      <c r="L363" s="116">
        <v>101239.24</v>
      </c>
      <c r="M363" s="116">
        <v>90764.45</v>
      </c>
      <c r="N363" s="116">
        <v>88257.55</v>
      </c>
      <c r="O363" s="116">
        <v>93562.77</v>
      </c>
      <c r="P363" s="116">
        <v>97882.78</v>
      </c>
      <c r="Q363" s="116">
        <v>87296.69</v>
      </c>
      <c r="R363" s="116">
        <v>89236.46</v>
      </c>
      <c r="S363" s="116">
        <v>79501.070000000007</v>
      </c>
      <c r="T363" s="116">
        <v>92571.48</v>
      </c>
      <c r="U363" s="116">
        <v>90353.86</v>
      </c>
      <c r="V363" s="116">
        <v>87254.84</v>
      </c>
      <c r="W363" s="116">
        <v>84455.97</v>
      </c>
      <c r="X363" s="116">
        <v>92795.26</v>
      </c>
      <c r="Y363" s="116">
        <v>94546.78</v>
      </c>
      <c r="Z363" s="116">
        <v>92648.12</v>
      </c>
      <c r="AA363" s="116">
        <v>94327.13</v>
      </c>
      <c r="AB363" s="116">
        <v>97272.23</v>
      </c>
      <c r="AC363" s="124">
        <v>95186.16</v>
      </c>
      <c r="AD363" s="124">
        <v>95924.800000000003</v>
      </c>
      <c r="AE363" s="124">
        <v>100513.41</v>
      </c>
      <c r="AF363" s="124">
        <v>95920.36</v>
      </c>
      <c r="AG363" s="124">
        <v>102013.33</v>
      </c>
      <c r="AH363" s="124">
        <v>105210.58</v>
      </c>
      <c r="AI363" s="124">
        <v>115174.56</v>
      </c>
      <c r="AJ363" s="124">
        <v>115313.31</v>
      </c>
      <c r="AK363" s="124">
        <v>128779.53</v>
      </c>
      <c r="AL363" s="124">
        <v>138655.32999999999</v>
      </c>
      <c r="AM363" s="124">
        <v>168178.78</v>
      </c>
      <c r="AN363" s="124">
        <v>149667.97</v>
      </c>
      <c r="AO363" s="125">
        <v>152683.19</v>
      </c>
      <c r="AP363" s="125">
        <v>246516.84</v>
      </c>
      <c r="AQ363" s="125">
        <v>175234.67</v>
      </c>
      <c r="AR363" s="125">
        <v>207739.87</v>
      </c>
      <c r="AS363" s="125">
        <v>181717.56</v>
      </c>
      <c r="AT363" s="125">
        <v>182799.92</v>
      </c>
      <c r="AU363" s="125">
        <v>203033.92</v>
      </c>
      <c r="AV363" s="125">
        <v>225459.45</v>
      </c>
      <c r="AW363" s="125">
        <v>181651.96</v>
      </c>
      <c r="AX363" s="125">
        <v>199047.88</v>
      </c>
      <c r="AY363" s="126"/>
      <c r="AZ363" s="126"/>
      <c r="BA363" s="126"/>
      <c r="BB363" s="126"/>
      <c r="BC363" s="126"/>
      <c r="BD363" s="126"/>
      <c r="BE363" s="126"/>
      <c r="BF363" s="120">
        <v>2504</v>
      </c>
      <c r="BG363" s="113" t="s">
        <v>322</v>
      </c>
      <c r="BH363" s="120">
        <v>105210.58</v>
      </c>
      <c r="BI363" s="127">
        <v>2504</v>
      </c>
      <c r="BJ363" s="97" t="s">
        <v>322</v>
      </c>
      <c r="BK363" s="127">
        <v>115174.56</v>
      </c>
    </row>
    <row r="364" spans="2:63" x14ac:dyDescent="0.25">
      <c r="B364" s="121">
        <v>250405</v>
      </c>
      <c r="C364" s="122" t="s">
        <v>323</v>
      </c>
      <c r="D364" s="123">
        <v>18122.29</v>
      </c>
      <c r="E364" s="123">
        <v>15325.48</v>
      </c>
      <c r="F364" s="123">
        <v>19806.43</v>
      </c>
      <c r="G364" s="123">
        <v>18938.55</v>
      </c>
      <c r="H364" s="123">
        <v>14956.91</v>
      </c>
      <c r="I364" s="123">
        <v>12812.83</v>
      </c>
      <c r="J364" s="123">
        <v>8027.21</v>
      </c>
      <c r="K364" s="123">
        <v>12212.57</v>
      </c>
      <c r="L364" s="123">
        <v>22402.63</v>
      </c>
      <c r="M364" s="123">
        <v>12341.18</v>
      </c>
      <c r="N364" s="123">
        <v>9800.64</v>
      </c>
      <c r="O364" s="123">
        <v>11220.27</v>
      </c>
      <c r="P364" s="123">
        <v>17497.599999999999</v>
      </c>
      <c r="Q364" s="123">
        <v>9334.84</v>
      </c>
      <c r="R364" s="123">
        <v>9296.08</v>
      </c>
      <c r="S364" s="123">
        <v>3862.54</v>
      </c>
      <c r="T364" s="123">
        <v>16846.38</v>
      </c>
      <c r="U364" s="123">
        <v>11148.23</v>
      </c>
      <c r="V364" s="123">
        <v>8110.62</v>
      </c>
      <c r="W364" s="123">
        <v>8404.1299999999992</v>
      </c>
      <c r="X364" s="123">
        <v>13024.54</v>
      </c>
      <c r="Y364" s="123">
        <v>8968.2999999999993</v>
      </c>
      <c r="Z364" s="123">
        <v>11796.01</v>
      </c>
      <c r="AA364" s="123">
        <v>13543.62</v>
      </c>
      <c r="AB364" s="123">
        <v>18984.47</v>
      </c>
      <c r="AC364" s="124">
        <v>18444.25</v>
      </c>
      <c r="AD364" s="124">
        <v>13495.67</v>
      </c>
      <c r="AE364" s="124">
        <v>14851.28</v>
      </c>
      <c r="AF364" s="124">
        <v>15567.67</v>
      </c>
      <c r="AG364" s="124">
        <v>19830.009999999998</v>
      </c>
      <c r="AH364" s="124">
        <v>17421.3</v>
      </c>
      <c r="AI364" s="124">
        <v>31896.720000000001</v>
      </c>
      <c r="AJ364" s="124">
        <v>22512.94</v>
      </c>
      <c r="AK364" s="124">
        <v>22407.39</v>
      </c>
      <c r="AL364" s="124">
        <v>25338.71</v>
      </c>
      <c r="AM364" s="124">
        <v>28802.87</v>
      </c>
      <c r="AN364" s="124">
        <v>42299.67</v>
      </c>
      <c r="AO364" s="125">
        <v>26177.59</v>
      </c>
      <c r="AP364" s="125">
        <v>36882</v>
      </c>
      <c r="AQ364" s="125">
        <v>29577.96</v>
      </c>
      <c r="AR364" s="125">
        <v>30179.85</v>
      </c>
      <c r="AS364" s="125">
        <v>37125.89</v>
      </c>
      <c r="AT364" s="125">
        <v>34156.870000000003</v>
      </c>
      <c r="AU364" s="125">
        <v>35471.910000000003</v>
      </c>
      <c r="AV364" s="125">
        <v>35217.69</v>
      </c>
      <c r="AW364" s="125">
        <v>35013.5</v>
      </c>
      <c r="AX364" s="125">
        <v>60862.65</v>
      </c>
      <c r="AY364" s="126"/>
      <c r="AZ364" s="126"/>
      <c r="BA364" s="126"/>
      <c r="BB364" s="126"/>
      <c r="BC364" s="126"/>
      <c r="BD364" s="126"/>
      <c r="BE364" s="126"/>
      <c r="BF364" s="127">
        <v>250405</v>
      </c>
      <c r="BG364" s="97" t="s">
        <v>323</v>
      </c>
      <c r="BH364" s="127">
        <v>17421.3</v>
      </c>
      <c r="BI364" s="120">
        <v>250405</v>
      </c>
      <c r="BJ364" s="113" t="s">
        <v>323</v>
      </c>
      <c r="BK364" s="120">
        <v>31896.720000000001</v>
      </c>
    </row>
    <row r="365" spans="2:63" x14ac:dyDescent="0.25">
      <c r="B365" s="121">
        <v>25040510</v>
      </c>
      <c r="C365" s="122" t="s">
        <v>324</v>
      </c>
      <c r="D365" s="123">
        <v>2766.21</v>
      </c>
      <c r="E365" s="123">
        <v>2604.4699999999998</v>
      </c>
      <c r="F365" s="123">
        <v>3832.6</v>
      </c>
      <c r="G365" s="123">
        <v>4810.47</v>
      </c>
      <c r="H365" s="123">
        <v>2317.86</v>
      </c>
      <c r="I365" s="123">
        <v>3513.48</v>
      </c>
      <c r="J365" s="123">
        <v>2124.6999999999998</v>
      </c>
      <c r="K365" s="123">
        <v>3541.91</v>
      </c>
      <c r="L365" s="123">
        <v>2431.16</v>
      </c>
      <c r="M365" s="123">
        <v>2369.4899999999998</v>
      </c>
      <c r="N365" s="123">
        <v>2946.26</v>
      </c>
      <c r="O365" s="123">
        <v>2952.83</v>
      </c>
      <c r="P365" s="123">
        <v>2127.64</v>
      </c>
      <c r="Q365" s="123">
        <v>1918.43</v>
      </c>
      <c r="R365" s="123">
        <v>2437.56</v>
      </c>
      <c r="S365" s="123">
        <v>2640.72</v>
      </c>
      <c r="T365" s="123">
        <v>2328.81</v>
      </c>
      <c r="U365" s="123">
        <v>2077.29</v>
      </c>
      <c r="V365" s="123">
        <v>1627.04</v>
      </c>
      <c r="W365" s="123">
        <v>1167.1199999999999</v>
      </c>
      <c r="X365" s="123">
        <v>2412.02</v>
      </c>
      <c r="Y365" s="123">
        <v>2657.9</v>
      </c>
      <c r="Z365" s="123">
        <v>1792.93</v>
      </c>
      <c r="AA365" s="123">
        <v>906.55</v>
      </c>
      <c r="AB365" s="123">
        <v>1241.0899999999999</v>
      </c>
      <c r="AC365" s="124">
        <v>1196.8800000000001</v>
      </c>
      <c r="AD365" s="124">
        <v>581.9</v>
      </c>
      <c r="AE365" s="124">
        <v>1823.85</v>
      </c>
      <c r="AF365" s="124">
        <v>1503.59</v>
      </c>
      <c r="AG365" s="124">
        <v>1301</v>
      </c>
      <c r="AH365" s="124">
        <v>2066.38</v>
      </c>
      <c r="AI365" s="124">
        <v>15295.8</v>
      </c>
      <c r="AJ365" s="124">
        <v>2541.9299999999998</v>
      </c>
      <c r="AK365" s="124">
        <v>3865.59</v>
      </c>
      <c r="AL365" s="124">
        <v>5582.5</v>
      </c>
      <c r="AM365" s="124">
        <v>5452.98</v>
      </c>
      <c r="AN365" s="124">
        <v>3055.77</v>
      </c>
      <c r="AO365" s="125">
        <v>5215.8100000000004</v>
      </c>
      <c r="AP365" s="125">
        <v>5129.47</v>
      </c>
      <c r="AQ365" s="125">
        <v>5904.38</v>
      </c>
      <c r="AR365" s="125">
        <v>6340</v>
      </c>
      <c r="AS365" s="125">
        <v>6183.83</v>
      </c>
      <c r="AT365" s="125">
        <v>5713.22</v>
      </c>
      <c r="AU365" s="125">
        <v>4885.29</v>
      </c>
      <c r="AV365" s="125">
        <v>6903.87</v>
      </c>
      <c r="AW365" s="125">
        <v>3622.68</v>
      </c>
      <c r="AX365" s="125">
        <v>5610.99</v>
      </c>
      <c r="AY365" s="126"/>
      <c r="AZ365" s="126"/>
      <c r="BA365" s="126"/>
      <c r="BB365" s="126"/>
      <c r="BC365" s="126"/>
      <c r="BD365" s="126"/>
      <c r="BE365" s="126"/>
      <c r="BF365" s="127">
        <v>25040510</v>
      </c>
      <c r="BG365" s="97" t="s">
        <v>324</v>
      </c>
      <c r="BH365" s="127">
        <v>2066.38</v>
      </c>
      <c r="BI365" s="127">
        <v>25040510</v>
      </c>
      <c r="BJ365" s="97" t="s">
        <v>324</v>
      </c>
      <c r="BK365" s="127">
        <v>15295.8</v>
      </c>
    </row>
    <row r="366" spans="2:63" x14ac:dyDescent="0.25">
      <c r="B366" s="121">
        <v>25040515</v>
      </c>
      <c r="C366" s="122" t="s">
        <v>325</v>
      </c>
      <c r="D366" s="123">
        <v>10442.86</v>
      </c>
      <c r="E366" s="123">
        <v>6677.61</v>
      </c>
      <c r="F366" s="123">
        <v>10780.56</v>
      </c>
      <c r="G366" s="123">
        <v>8895.85</v>
      </c>
      <c r="H366" s="123">
        <v>8753.44</v>
      </c>
      <c r="I366" s="123">
        <v>5250.33</v>
      </c>
      <c r="J366" s="123">
        <v>3609.95</v>
      </c>
      <c r="K366" s="123">
        <v>5822.57</v>
      </c>
      <c r="L366" s="123">
        <v>13146.35</v>
      </c>
      <c r="M366" s="123">
        <v>6119.76</v>
      </c>
      <c r="N366" s="123">
        <v>6948.64</v>
      </c>
      <c r="O366" s="123">
        <v>5446.4</v>
      </c>
      <c r="P366" s="123">
        <v>12769.61</v>
      </c>
      <c r="Q366" s="123">
        <v>4874.45</v>
      </c>
      <c r="R366" s="123">
        <v>10637.21</v>
      </c>
      <c r="S366" s="123">
        <v>6159.69</v>
      </c>
      <c r="T366" s="123">
        <v>12574.04</v>
      </c>
      <c r="U366" s="123">
        <v>6632.3</v>
      </c>
      <c r="V366" s="123">
        <v>4791.16</v>
      </c>
      <c r="W366" s="123">
        <v>5135.8500000000004</v>
      </c>
      <c r="X366" s="123">
        <v>8131.64</v>
      </c>
      <c r="Y366" s="123">
        <v>4257.67</v>
      </c>
      <c r="Z366" s="123">
        <v>7518.53</v>
      </c>
      <c r="AA366" s="123">
        <v>9558.08</v>
      </c>
      <c r="AB366" s="123">
        <v>13956.69</v>
      </c>
      <c r="AC366" s="124">
        <v>14664.22</v>
      </c>
      <c r="AD366" s="124">
        <v>10404.08</v>
      </c>
      <c r="AE366" s="124">
        <v>10492.97</v>
      </c>
      <c r="AF366" s="124">
        <v>12456.02</v>
      </c>
      <c r="AG366" s="124">
        <v>15285.7</v>
      </c>
      <c r="AH366" s="124">
        <v>11968.42</v>
      </c>
      <c r="AI366" s="124">
        <v>14435.69</v>
      </c>
      <c r="AJ366" s="124">
        <v>16851.97</v>
      </c>
      <c r="AK366" s="124">
        <v>15600.22</v>
      </c>
      <c r="AL366" s="124">
        <v>16290.65</v>
      </c>
      <c r="AM366" s="124">
        <v>19344.04</v>
      </c>
      <c r="AN366" s="124">
        <v>32688.82</v>
      </c>
      <c r="AO366" s="125">
        <v>17063.36</v>
      </c>
      <c r="AP366" s="125">
        <v>26070.79</v>
      </c>
      <c r="AQ366" s="125">
        <v>19873.88</v>
      </c>
      <c r="AR366" s="125">
        <v>20096.72</v>
      </c>
      <c r="AS366" s="125">
        <v>24893.16</v>
      </c>
      <c r="AT366" s="125">
        <v>23849.24</v>
      </c>
      <c r="AU366" s="125">
        <v>26111.52</v>
      </c>
      <c r="AV366" s="125">
        <v>22965.39</v>
      </c>
      <c r="AW366" s="125">
        <v>26287.88</v>
      </c>
      <c r="AX366" s="125">
        <v>48916.73</v>
      </c>
      <c r="AY366" s="126"/>
      <c r="AZ366" s="126"/>
      <c r="BA366" s="126"/>
      <c r="BB366" s="126"/>
      <c r="BC366" s="126"/>
      <c r="BD366" s="126"/>
      <c r="BE366" s="126"/>
      <c r="BF366" s="127">
        <v>25040515</v>
      </c>
      <c r="BG366" s="97" t="s">
        <v>325</v>
      </c>
      <c r="BH366" s="127">
        <v>11968.42</v>
      </c>
      <c r="BI366" s="127">
        <v>25040515</v>
      </c>
      <c r="BJ366" s="97" t="s">
        <v>325</v>
      </c>
      <c r="BK366" s="127">
        <v>14435.69</v>
      </c>
    </row>
    <row r="367" spans="2:63" x14ac:dyDescent="0.25">
      <c r="B367" s="121">
        <v>2504051505</v>
      </c>
      <c r="C367" s="122" t="s">
        <v>326</v>
      </c>
      <c r="D367" s="123">
        <v>5062.74</v>
      </c>
      <c r="E367" s="123">
        <v>1115.78</v>
      </c>
      <c r="F367" s="123">
        <v>6609.16</v>
      </c>
      <c r="G367" s="123">
        <v>3717.34</v>
      </c>
      <c r="H367" s="123">
        <v>5721.18</v>
      </c>
      <c r="I367" s="123">
        <v>1098.25</v>
      </c>
      <c r="J367" s="123">
        <v>1091.3499999999999</v>
      </c>
      <c r="K367" s="123">
        <v>2319.0300000000002</v>
      </c>
      <c r="L367" s="123">
        <v>8434.34</v>
      </c>
      <c r="M367" s="123">
        <v>2667</v>
      </c>
      <c r="N367" s="123">
        <v>2639.44</v>
      </c>
      <c r="O367" s="123">
        <v>2137.96</v>
      </c>
      <c r="P367" s="123">
        <v>9825.2000000000007</v>
      </c>
      <c r="Q367" s="123">
        <v>1628.19</v>
      </c>
      <c r="R367" s="123">
        <v>8452.73</v>
      </c>
      <c r="S367" s="123">
        <v>3975.75</v>
      </c>
      <c r="T367" s="123">
        <v>9567.2800000000007</v>
      </c>
      <c r="U367" s="123">
        <v>2503.41</v>
      </c>
      <c r="V367" s="123">
        <v>2672.17</v>
      </c>
      <c r="W367" s="123">
        <v>1625.78</v>
      </c>
      <c r="X367" s="123">
        <v>4931.42</v>
      </c>
      <c r="Y367" s="123">
        <v>1779.53</v>
      </c>
      <c r="Z367" s="123">
        <v>4128.96</v>
      </c>
      <c r="AA367" s="123">
        <v>6711.38</v>
      </c>
      <c r="AB367" s="123">
        <v>9554.4500000000007</v>
      </c>
      <c r="AC367" s="124">
        <v>10925.47</v>
      </c>
      <c r="AD367" s="124">
        <v>6291.8</v>
      </c>
      <c r="AE367" s="124">
        <v>6752.61</v>
      </c>
      <c r="AF367" s="124">
        <v>8992.2999999999993</v>
      </c>
      <c r="AG367" s="124">
        <v>9072.4500000000007</v>
      </c>
      <c r="AH367" s="124">
        <v>6281.38</v>
      </c>
      <c r="AI367" s="124">
        <v>9737.42</v>
      </c>
      <c r="AJ367" s="124">
        <v>10385.81</v>
      </c>
      <c r="AK367" s="124">
        <v>9753.9500000000007</v>
      </c>
      <c r="AL367" s="124">
        <v>9286.2199999999993</v>
      </c>
      <c r="AM367" s="124">
        <v>11685.29</v>
      </c>
      <c r="AN367" s="124">
        <v>22399.37</v>
      </c>
      <c r="AO367" s="125">
        <v>10168.48</v>
      </c>
      <c r="AP367" s="125">
        <v>16713.68</v>
      </c>
      <c r="AQ367" s="125">
        <v>13333.8</v>
      </c>
      <c r="AR367" s="125">
        <v>14852.31</v>
      </c>
      <c r="AS367" s="125">
        <v>15460.08</v>
      </c>
      <c r="AT367" s="125">
        <v>15730.78</v>
      </c>
      <c r="AU367" s="125">
        <v>18067.599999999999</v>
      </c>
      <c r="AV367" s="125">
        <v>15800.62</v>
      </c>
      <c r="AW367" s="125">
        <v>19321.29</v>
      </c>
      <c r="AX367" s="125">
        <v>40417.22</v>
      </c>
      <c r="AY367" s="126"/>
      <c r="AZ367" s="126"/>
      <c r="BA367" s="126"/>
      <c r="BB367" s="126"/>
      <c r="BC367" s="126"/>
      <c r="BD367" s="126"/>
      <c r="BE367" s="126"/>
      <c r="BF367" s="127">
        <v>2504051505</v>
      </c>
      <c r="BG367" s="97" t="s">
        <v>326</v>
      </c>
      <c r="BH367" s="127">
        <v>6281.38</v>
      </c>
      <c r="BI367" s="127">
        <v>2504051505</v>
      </c>
      <c r="BJ367" s="97" t="s">
        <v>326</v>
      </c>
      <c r="BK367" s="127">
        <v>9737.42</v>
      </c>
    </row>
    <row r="368" spans="2:63" x14ac:dyDescent="0.25">
      <c r="B368" s="121">
        <v>2504051510</v>
      </c>
      <c r="C368" s="122" t="s">
        <v>327</v>
      </c>
      <c r="D368" s="123">
        <v>111.16</v>
      </c>
      <c r="E368" s="123">
        <v>76.66</v>
      </c>
      <c r="F368" s="123">
        <v>261</v>
      </c>
      <c r="G368" s="123">
        <v>40.07</v>
      </c>
      <c r="H368" s="123">
        <v>64.77</v>
      </c>
      <c r="I368" s="123">
        <v>28.89</v>
      </c>
      <c r="J368" s="123">
        <v>123.37</v>
      </c>
      <c r="K368" s="123">
        <v>33.090000000000003</v>
      </c>
      <c r="L368" s="123">
        <v>56.53</v>
      </c>
      <c r="M368" s="123">
        <v>49.67</v>
      </c>
      <c r="N368" s="123">
        <v>51.8</v>
      </c>
      <c r="O368" s="123">
        <v>11.1</v>
      </c>
      <c r="P368" s="123">
        <v>85.18</v>
      </c>
      <c r="Q368" s="123">
        <v>14.64</v>
      </c>
      <c r="R368" s="123">
        <v>31.19</v>
      </c>
      <c r="S368" s="123">
        <v>2.34</v>
      </c>
      <c r="T368" s="123">
        <v>4.8600000000000003</v>
      </c>
      <c r="U368" s="123">
        <v>144.37</v>
      </c>
      <c r="V368" s="123">
        <v>37.92</v>
      </c>
      <c r="W368" s="123">
        <v>98.89</v>
      </c>
      <c r="X368" s="123">
        <v>22.73</v>
      </c>
      <c r="Y368" s="123">
        <v>22.05</v>
      </c>
      <c r="Z368" s="123">
        <v>25.99</v>
      </c>
      <c r="AA368" s="123">
        <v>116.72</v>
      </c>
      <c r="AB368" s="123">
        <v>466.48</v>
      </c>
      <c r="AC368" s="124">
        <v>45.25</v>
      </c>
      <c r="AD368" s="124">
        <v>4.3600000000000003</v>
      </c>
      <c r="AE368" s="124">
        <v>112.84</v>
      </c>
      <c r="AF368" s="124">
        <v>39.020000000000003</v>
      </c>
      <c r="AG368" s="124">
        <v>230.88</v>
      </c>
      <c r="AH368" s="124">
        <v>132.5</v>
      </c>
      <c r="AI368" s="124">
        <v>75.72</v>
      </c>
      <c r="AJ368" s="124">
        <v>240.39</v>
      </c>
      <c r="AK368" s="124">
        <v>597.58000000000004</v>
      </c>
      <c r="AL368" s="124">
        <v>295.35000000000002</v>
      </c>
      <c r="AM368" s="124">
        <v>498.45</v>
      </c>
      <c r="AN368" s="124">
        <v>603.41</v>
      </c>
      <c r="AO368" s="125">
        <v>104.75</v>
      </c>
      <c r="AP368" s="125">
        <v>629.74</v>
      </c>
      <c r="AQ368" s="125">
        <v>175.62</v>
      </c>
      <c r="AR368" s="125">
        <v>821.06</v>
      </c>
      <c r="AS368" s="125">
        <v>257.26</v>
      </c>
      <c r="AT368" s="125">
        <v>112.33</v>
      </c>
      <c r="AU368" s="125">
        <v>147.63999999999999</v>
      </c>
      <c r="AV368" s="125">
        <v>195.45</v>
      </c>
      <c r="AW368" s="125">
        <v>277.67</v>
      </c>
      <c r="AX368" s="125">
        <v>321.99</v>
      </c>
      <c r="AY368" s="126"/>
      <c r="AZ368" s="126"/>
      <c r="BA368" s="126"/>
      <c r="BB368" s="126"/>
      <c r="BC368" s="126"/>
      <c r="BD368" s="126"/>
      <c r="BE368" s="126"/>
      <c r="BF368" s="127">
        <v>2504051510</v>
      </c>
      <c r="BG368" s="97" t="s">
        <v>327</v>
      </c>
      <c r="BH368" s="127">
        <v>132.5</v>
      </c>
      <c r="BI368" s="127">
        <v>2504051510</v>
      </c>
      <c r="BJ368" s="97" t="s">
        <v>327</v>
      </c>
      <c r="BK368" s="127">
        <v>75.72</v>
      </c>
    </row>
    <row r="369" spans="1:63" x14ac:dyDescent="0.25">
      <c r="B369" s="121">
        <v>2504051515</v>
      </c>
      <c r="C369" s="122" t="s">
        <v>328</v>
      </c>
      <c r="D369" s="123">
        <v>1801.44</v>
      </c>
      <c r="E369" s="123">
        <v>1754.16</v>
      </c>
      <c r="F369" s="123">
        <v>1200.45</v>
      </c>
      <c r="G369" s="123">
        <v>2631.12</v>
      </c>
      <c r="H369" s="123">
        <v>933.53</v>
      </c>
      <c r="I369" s="123">
        <v>2228.64</v>
      </c>
      <c r="J369" s="123">
        <v>966.03</v>
      </c>
      <c r="K369" s="123">
        <v>1348.57</v>
      </c>
      <c r="L369" s="123">
        <v>621.98</v>
      </c>
      <c r="M369" s="123">
        <v>768.18</v>
      </c>
      <c r="N369" s="123">
        <v>1057.19</v>
      </c>
      <c r="O369" s="123">
        <v>1314.1299999999999</v>
      </c>
      <c r="P369" s="123">
        <v>1042.8499999999999</v>
      </c>
      <c r="Q369" s="123">
        <v>1649.24</v>
      </c>
      <c r="R369" s="123">
        <v>808.8</v>
      </c>
      <c r="S369" s="123">
        <v>1204.6099999999999</v>
      </c>
      <c r="T369" s="123">
        <v>1730.66</v>
      </c>
      <c r="U369" s="123">
        <v>2073.9699999999998</v>
      </c>
      <c r="V369" s="123">
        <v>758.06</v>
      </c>
      <c r="W369" s="123">
        <v>2075.5100000000002</v>
      </c>
      <c r="X369" s="123">
        <v>1666.03</v>
      </c>
      <c r="Y369" s="123">
        <v>773.98</v>
      </c>
      <c r="Z369" s="123">
        <v>1329.54</v>
      </c>
      <c r="AA369" s="123">
        <v>656.78</v>
      </c>
      <c r="AB369" s="123">
        <v>1320.28</v>
      </c>
      <c r="AC369" s="124">
        <v>1568.42</v>
      </c>
      <c r="AD369" s="124">
        <v>2969.65</v>
      </c>
      <c r="AE369" s="124">
        <v>2540.14</v>
      </c>
      <c r="AF369" s="124">
        <v>2249.23</v>
      </c>
      <c r="AG369" s="124">
        <v>3944.7</v>
      </c>
      <c r="AH369" s="124">
        <v>3235.28</v>
      </c>
      <c r="AI369" s="124">
        <v>2820.13</v>
      </c>
      <c r="AJ369" s="124">
        <v>4496.99</v>
      </c>
      <c r="AK369" s="124">
        <v>3073.1</v>
      </c>
      <c r="AL369" s="124">
        <v>3514.23</v>
      </c>
      <c r="AM369" s="124">
        <v>4999.24</v>
      </c>
      <c r="AN369" s="124">
        <v>5708.02</v>
      </c>
      <c r="AO369" s="125">
        <v>5105.8599999999997</v>
      </c>
      <c r="AP369" s="125">
        <v>5247.62</v>
      </c>
      <c r="AQ369" s="125">
        <v>4169.17</v>
      </c>
      <c r="AR369" s="125">
        <v>2561.04</v>
      </c>
      <c r="AS369" s="125">
        <v>5594.81</v>
      </c>
      <c r="AT369" s="125">
        <v>4870.88</v>
      </c>
      <c r="AU369" s="125">
        <v>5532.79</v>
      </c>
      <c r="AV369" s="125">
        <v>3604.14</v>
      </c>
      <c r="AW369" s="125">
        <v>2448.61</v>
      </c>
      <c r="AX369" s="125">
        <v>3538.19</v>
      </c>
      <c r="AY369" s="126"/>
      <c r="AZ369" s="126"/>
      <c r="BA369" s="126"/>
      <c r="BB369" s="126"/>
      <c r="BC369" s="126"/>
      <c r="BD369" s="126"/>
      <c r="BE369" s="126"/>
      <c r="BF369" s="127">
        <v>2504051515</v>
      </c>
      <c r="BG369" s="97" t="s">
        <v>328</v>
      </c>
      <c r="BH369" s="127">
        <v>3235.28</v>
      </c>
      <c r="BI369" s="127">
        <v>2504051515</v>
      </c>
      <c r="BJ369" s="97" t="s">
        <v>328</v>
      </c>
      <c r="BK369" s="127">
        <v>2820.13</v>
      </c>
    </row>
    <row r="370" spans="1:63" x14ac:dyDescent="0.25">
      <c r="B370" s="121">
        <v>2504051520</v>
      </c>
      <c r="C370" s="122" t="s">
        <v>329</v>
      </c>
      <c r="D370" s="123">
        <v>2935.31</v>
      </c>
      <c r="E370" s="123">
        <v>3061.61</v>
      </c>
      <c r="F370" s="123">
        <v>2092.9299999999998</v>
      </c>
      <c r="G370" s="123">
        <v>2114.9299999999998</v>
      </c>
      <c r="H370" s="123">
        <v>1807.23</v>
      </c>
      <c r="I370" s="123">
        <v>1608.28</v>
      </c>
      <c r="J370" s="123">
        <v>1141.7</v>
      </c>
      <c r="K370" s="123">
        <v>1868.79</v>
      </c>
      <c r="L370" s="123">
        <v>3797.14</v>
      </c>
      <c r="M370" s="123">
        <v>2293.11</v>
      </c>
      <c r="N370" s="123">
        <v>2464.64</v>
      </c>
      <c r="O370" s="123">
        <v>1755.08</v>
      </c>
      <c r="P370" s="123">
        <v>1597.4</v>
      </c>
      <c r="Q370" s="123">
        <v>1345.62</v>
      </c>
      <c r="R370" s="123">
        <v>1081.1199999999999</v>
      </c>
      <c r="S370" s="123">
        <v>764.31</v>
      </c>
      <c r="T370" s="123">
        <v>1085.3599999999999</v>
      </c>
      <c r="U370" s="123">
        <v>1609.3</v>
      </c>
      <c r="V370" s="123">
        <v>1074.0899999999999</v>
      </c>
      <c r="W370" s="123">
        <v>1026.26</v>
      </c>
      <c r="X370" s="123">
        <v>1248.97</v>
      </c>
      <c r="Y370" s="123">
        <v>1339.47</v>
      </c>
      <c r="Z370" s="123">
        <v>1364.33</v>
      </c>
      <c r="AA370" s="123">
        <v>1773.72</v>
      </c>
      <c r="AB370" s="123">
        <v>2243.37</v>
      </c>
      <c r="AC370" s="124">
        <v>1825.16</v>
      </c>
      <c r="AD370" s="124">
        <v>852.03</v>
      </c>
      <c r="AE370" s="124">
        <v>837.72</v>
      </c>
      <c r="AF370" s="124">
        <v>851.47</v>
      </c>
      <c r="AG370" s="124">
        <v>1606.92</v>
      </c>
      <c r="AH370" s="124">
        <v>1909.43</v>
      </c>
      <c r="AI370" s="124">
        <v>1389.92</v>
      </c>
      <c r="AJ370" s="124">
        <v>1355.92</v>
      </c>
      <c r="AK370" s="124">
        <v>1803.29</v>
      </c>
      <c r="AL370" s="124">
        <v>2240.2199999999998</v>
      </c>
      <c r="AM370" s="124">
        <v>1718.97</v>
      </c>
      <c r="AN370" s="124">
        <v>3138.48</v>
      </c>
      <c r="AO370" s="125">
        <v>1220.8900000000001</v>
      </c>
      <c r="AP370" s="125">
        <v>1863.56</v>
      </c>
      <c r="AQ370" s="125">
        <v>1645.08</v>
      </c>
      <c r="AR370" s="125">
        <v>1349.54</v>
      </c>
      <c r="AS370" s="125">
        <v>2674.33</v>
      </c>
      <c r="AT370" s="125">
        <v>2301.2399999999998</v>
      </c>
      <c r="AU370" s="125">
        <v>1480.35</v>
      </c>
      <c r="AV370" s="125">
        <v>2610.9499999999998</v>
      </c>
      <c r="AW370" s="125">
        <v>3586.85</v>
      </c>
      <c r="AX370" s="125">
        <v>3315.57</v>
      </c>
      <c r="AY370" s="126"/>
      <c r="AZ370" s="126"/>
      <c r="BA370" s="126"/>
      <c r="BB370" s="126"/>
      <c r="BC370" s="126"/>
      <c r="BD370" s="126"/>
      <c r="BE370" s="126"/>
      <c r="BF370" s="127">
        <v>2504051520</v>
      </c>
      <c r="BG370" s="97" t="s">
        <v>329</v>
      </c>
      <c r="BH370" s="127">
        <v>1909.43</v>
      </c>
      <c r="BI370" s="127">
        <v>2504051520</v>
      </c>
      <c r="BJ370" s="97" t="s">
        <v>329</v>
      </c>
      <c r="BK370" s="127">
        <v>1389.92</v>
      </c>
    </row>
    <row r="371" spans="1:63" x14ac:dyDescent="0.25">
      <c r="A371" s="113"/>
      <c r="B371" s="121">
        <v>2504051525</v>
      </c>
      <c r="C371" s="122" t="s">
        <v>330</v>
      </c>
      <c r="D371" s="123">
        <v>2.2200000000000002</v>
      </c>
      <c r="E371" s="128"/>
      <c r="F371" s="123">
        <v>24.63</v>
      </c>
      <c r="G371" s="123">
        <v>22</v>
      </c>
      <c r="H371" s="123">
        <v>18.440000000000001</v>
      </c>
      <c r="I371" s="123">
        <v>12.61</v>
      </c>
      <c r="J371" s="123">
        <v>30.57</v>
      </c>
      <c r="K371" s="123">
        <v>7.54</v>
      </c>
      <c r="L371" s="123">
        <v>4.7</v>
      </c>
      <c r="M371" s="123">
        <v>7.97</v>
      </c>
      <c r="N371" s="123">
        <v>8.61</v>
      </c>
      <c r="O371" s="123">
        <v>15.69</v>
      </c>
      <c r="P371" s="123">
        <v>14.63</v>
      </c>
      <c r="Q371" s="123">
        <v>1.43</v>
      </c>
      <c r="R371" s="123">
        <v>0.65</v>
      </c>
      <c r="S371" s="123">
        <v>5.58</v>
      </c>
      <c r="T371" s="123">
        <v>4.33</v>
      </c>
      <c r="U371" s="123">
        <v>2.57</v>
      </c>
      <c r="V371" s="123">
        <v>3.79</v>
      </c>
      <c r="W371" s="123">
        <v>-0.02</v>
      </c>
      <c r="X371" s="123">
        <v>0.17</v>
      </c>
      <c r="Y371" s="123">
        <v>-0.02</v>
      </c>
      <c r="Z371" s="123">
        <v>11.13</v>
      </c>
      <c r="AA371" s="123">
        <v>1.04</v>
      </c>
      <c r="AB371" s="123">
        <v>16.18</v>
      </c>
      <c r="AC371" s="124">
        <v>0.97</v>
      </c>
      <c r="AD371" s="124">
        <v>2.29</v>
      </c>
      <c r="AE371" s="124">
        <v>5.44</v>
      </c>
      <c r="AF371" s="124">
        <v>2.31</v>
      </c>
      <c r="AG371" s="124">
        <v>3.61</v>
      </c>
      <c r="AH371" s="124">
        <v>5.56</v>
      </c>
      <c r="AI371" s="124">
        <v>5.0599999999999996</v>
      </c>
      <c r="AJ371" s="124">
        <v>16.25</v>
      </c>
      <c r="AK371" s="124">
        <v>0.05</v>
      </c>
      <c r="AL371" s="124">
        <v>39.31</v>
      </c>
      <c r="AM371" s="124">
        <v>0.71</v>
      </c>
      <c r="AN371" s="124">
        <v>50.37</v>
      </c>
      <c r="AO371" s="125">
        <v>-0.75</v>
      </c>
      <c r="AP371" s="125">
        <v>1031.56</v>
      </c>
      <c r="AQ371" s="125">
        <v>5.98</v>
      </c>
      <c r="AR371" s="125">
        <v>1.51</v>
      </c>
      <c r="AS371" s="125">
        <v>7.15</v>
      </c>
      <c r="AT371" s="125">
        <v>17.100000000000001</v>
      </c>
      <c r="AU371" s="125">
        <v>10.54</v>
      </c>
      <c r="AV371" s="125">
        <v>5.42</v>
      </c>
      <c r="AW371" s="125">
        <v>5.42</v>
      </c>
      <c r="AX371" s="125">
        <v>-2.25</v>
      </c>
      <c r="AY371" s="126"/>
      <c r="AZ371" s="126"/>
      <c r="BA371" s="126"/>
      <c r="BB371" s="126"/>
      <c r="BC371" s="126"/>
      <c r="BD371" s="126"/>
      <c r="BE371" s="126"/>
      <c r="BF371" s="127">
        <v>2504051525</v>
      </c>
      <c r="BG371" s="97" t="s">
        <v>330</v>
      </c>
      <c r="BH371" s="127">
        <v>5.56</v>
      </c>
      <c r="BI371" s="127">
        <v>2504051525</v>
      </c>
      <c r="BJ371" s="97" t="s">
        <v>330</v>
      </c>
      <c r="BK371" s="127">
        <v>5.0599999999999996</v>
      </c>
    </row>
    <row r="372" spans="1:63" x14ac:dyDescent="0.25">
      <c r="B372" s="121">
        <v>2504051530</v>
      </c>
      <c r="C372" s="122" t="s">
        <v>331</v>
      </c>
      <c r="D372" s="123">
        <v>529.99</v>
      </c>
      <c r="E372" s="123">
        <v>669.4</v>
      </c>
      <c r="F372" s="123">
        <v>592.39</v>
      </c>
      <c r="G372" s="123">
        <v>370.39</v>
      </c>
      <c r="H372" s="123">
        <v>208.29</v>
      </c>
      <c r="I372" s="123">
        <v>273.66000000000003</v>
      </c>
      <c r="J372" s="123">
        <v>256.93</v>
      </c>
      <c r="K372" s="123">
        <v>245.55</v>
      </c>
      <c r="L372" s="123">
        <v>231.66</v>
      </c>
      <c r="M372" s="123">
        <v>333.83</v>
      </c>
      <c r="N372" s="123">
        <v>726.96</v>
      </c>
      <c r="O372" s="123">
        <v>212.44</v>
      </c>
      <c r="P372" s="123">
        <v>204.35</v>
      </c>
      <c r="Q372" s="123">
        <v>235.33</v>
      </c>
      <c r="R372" s="123">
        <v>262.72000000000003</v>
      </c>
      <c r="S372" s="123">
        <v>207.1</v>
      </c>
      <c r="T372" s="123">
        <v>181.55</v>
      </c>
      <c r="U372" s="123">
        <v>298.68</v>
      </c>
      <c r="V372" s="123">
        <v>245.13</v>
      </c>
      <c r="W372" s="123">
        <v>309.43</v>
      </c>
      <c r="X372" s="123">
        <v>262.32</v>
      </c>
      <c r="Y372" s="123">
        <v>342.66</v>
      </c>
      <c r="Z372" s="123">
        <v>658.58</v>
      </c>
      <c r="AA372" s="123">
        <v>298.44</v>
      </c>
      <c r="AB372" s="123">
        <v>355.93</v>
      </c>
      <c r="AC372" s="124">
        <v>298.95</v>
      </c>
      <c r="AD372" s="124">
        <v>283.95</v>
      </c>
      <c r="AE372" s="124">
        <v>244.22</v>
      </c>
      <c r="AF372" s="124">
        <v>321.69</v>
      </c>
      <c r="AG372" s="124">
        <v>427.14</v>
      </c>
      <c r="AH372" s="124">
        <v>404.27</v>
      </c>
      <c r="AI372" s="124">
        <v>407.44</v>
      </c>
      <c r="AJ372" s="124">
        <v>356.61</v>
      </c>
      <c r="AK372" s="124">
        <v>372.25</v>
      </c>
      <c r="AL372" s="124">
        <v>915.32</v>
      </c>
      <c r="AM372" s="124">
        <v>441.38</v>
      </c>
      <c r="AN372" s="124">
        <v>789.17</v>
      </c>
      <c r="AO372" s="125">
        <v>464.13</v>
      </c>
      <c r="AP372" s="125">
        <v>584.63</v>
      </c>
      <c r="AQ372" s="125">
        <v>544.23</v>
      </c>
      <c r="AR372" s="125">
        <v>511.26</v>
      </c>
      <c r="AS372" s="125">
        <v>899.53</v>
      </c>
      <c r="AT372" s="125">
        <v>816.91</v>
      </c>
      <c r="AU372" s="125">
        <v>872.6</v>
      </c>
      <c r="AV372" s="125">
        <v>748.81</v>
      </c>
      <c r="AW372" s="125">
        <v>648.04</v>
      </c>
      <c r="AX372" s="125">
        <v>1326.01</v>
      </c>
      <c r="AY372" s="126"/>
      <c r="AZ372" s="126"/>
      <c r="BA372" s="126"/>
      <c r="BB372" s="126"/>
      <c r="BC372" s="126"/>
      <c r="BD372" s="126"/>
      <c r="BE372" s="126"/>
      <c r="BF372" s="127">
        <v>2504051530</v>
      </c>
      <c r="BG372" s="97" t="s">
        <v>331</v>
      </c>
      <c r="BH372" s="127">
        <v>404.27</v>
      </c>
      <c r="BI372" s="127">
        <v>2504051530</v>
      </c>
      <c r="BJ372" s="97" t="s">
        <v>331</v>
      </c>
      <c r="BK372" s="127">
        <v>407.44</v>
      </c>
    </row>
    <row r="373" spans="1:63" x14ac:dyDescent="0.25">
      <c r="B373" s="121">
        <v>25040520</v>
      </c>
      <c r="C373" s="122" t="s">
        <v>332</v>
      </c>
      <c r="D373" s="123">
        <v>4312.6499999999996</v>
      </c>
      <c r="E373" s="123">
        <v>5732.04</v>
      </c>
      <c r="F373" s="123">
        <v>3926.54</v>
      </c>
      <c r="G373" s="123">
        <v>4166.41</v>
      </c>
      <c r="H373" s="123">
        <v>3545.98</v>
      </c>
      <c r="I373" s="123">
        <v>4048.92</v>
      </c>
      <c r="J373" s="123">
        <v>2229.58</v>
      </c>
      <c r="K373" s="123">
        <v>2642.51</v>
      </c>
      <c r="L373" s="123">
        <v>6651.68</v>
      </c>
      <c r="M373" s="123">
        <v>3771.32</v>
      </c>
      <c r="N373" s="123">
        <v>-3356.76</v>
      </c>
      <c r="O373" s="123">
        <v>2627.98</v>
      </c>
      <c r="P373" s="123">
        <v>2315.36</v>
      </c>
      <c r="Q373" s="123">
        <v>2405.23</v>
      </c>
      <c r="R373" s="123">
        <v>-3849</v>
      </c>
      <c r="S373" s="123">
        <v>-5240.6400000000003</v>
      </c>
      <c r="T373" s="123">
        <v>1938.59</v>
      </c>
      <c r="U373" s="123">
        <v>2414.4499999999998</v>
      </c>
      <c r="V373" s="123">
        <v>1678.86</v>
      </c>
      <c r="W373" s="123">
        <v>1856.47</v>
      </c>
      <c r="X373" s="123">
        <v>2329.2199999999998</v>
      </c>
      <c r="Y373" s="123">
        <v>1929.1</v>
      </c>
      <c r="Z373" s="123">
        <v>2253.17</v>
      </c>
      <c r="AA373" s="123">
        <v>2476.98</v>
      </c>
      <c r="AB373" s="123">
        <v>3325.02</v>
      </c>
      <c r="AC373" s="124">
        <v>2491.79</v>
      </c>
      <c r="AD373" s="124">
        <v>2404.25</v>
      </c>
      <c r="AE373" s="124">
        <v>1885.53</v>
      </c>
      <c r="AF373" s="124">
        <v>1479.82</v>
      </c>
      <c r="AG373" s="124">
        <v>3130.57</v>
      </c>
      <c r="AH373" s="124">
        <v>3158.92</v>
      </c>
      <c r="AI373" s="124">
        <v>2009.4</v>
      </c>
      <c r="AJ373" s="124">
        <v>2864.79</v>
      </c>
      <c r="AK373" s="124">
        <v>2749.55</v>
      </c>
      <c r="AL373" s="124">
        <v>3220.7</v>
      </c>
      <c r="AM373" s="124">
        <v>3352.55</v>
      </c>
      <c r="AN373" s="124">
        <v>5910.06</v>
      </c>
      <c r="AO373" s="125">
        <v>3175.16</v>
      </c>
      <c r="AP373" s="125">
        <v>4933.09</v>
      </c>
      <c r="AQ373" s="125">
        <v>2984.01</v>
      </c>
      <c r="AR373" s="125">
        <v>2950.59</v>
      </c>
      <c r="AS373" s="125">
        <v>5183.74</v>
      </c>
      <c r="AT373" s="125">
        <v>3590.36</v>
      </c>
      <c r="AU373" s="125">
        <v>3392.38</v>
      </c>
      <c r="AV373" s="125">
        <v>4182.5200000000004</v>
      </c>
      <c r="AW373" s="125">
        <v>3924.72</v>
      </c>
      <c r="AX373" s="125">
        <v>4778.3900000000003</v>
      </c>
      <c r="AY373" s="126"/>
      <c r="AZ373" s="126"/>
      <c r="BA373" s="126"/>
      <c r="BB373" s="126"/>
      <c r="BC373" s="126"/>
      <c r="BD373" s="126"/>
      <c r="BE373" s="126"/>
      <c r="BF373" s="127">
        <v>25040520</v>
      </c>
      <c r="BG373" s="97" t="s">
        <v>332</v>
      </c>
      <c r="BH373" s="127">
        <v>3158.92</v>
      </c>
      <c r="BI373" s="127">
        <v>25040520</v>
      </c>
      <c r="BJ373" s="97" t="s">
        <v>332</v>
      </c>
      <c r="BK373" s="127">
        <v>2009.4</v>
      </c>
    </row>
    <row r="374" spans="1:63" x14ac:dyDescent="0.25">
      <c r="B374" s="121">
        <v>2504052005</v>
      </c>
      <c r="C374" s="122" t="s">
        <v>333</v>
      </c>
      <c r="D374" s="123">
        <v>596.47</v>
      </c>
      <c r="E374" s="123">
        <v>1577.74</v>
      </c>
      <c r="F374" s="123">
        <v>1068.04</v>
      </c>
      <c r="G374" s="123">
        <v>1140.1099999999999</v>
      </c>
      <c r="H374" s="123">
        <v>1504.24</v>
      </c>
      <c r="I374" s="123">
        <v>1684.45</v>
      </c>
      <c r="J374" s="123">
        <v>622.92999999999995</v>
      </c>
      <c r="K374" s="123">
        <v>433.18</v>
      </c>
      <c r="L374" s="123">
        <v>522.80999999999995</v>
      </c>
      <c r="M374" s="123">
        <v>455.66</v>
      </c>
      <c r="N374" s="123">
        <v>467.2</v>
      </c>
      <c r="O374" s="123">
        <v>546.47</v>
      </c>
      <c r="P374" s="123">
        <v>474.42</v>
      </c>
      <c r="Q374" s="123">
        <v>557.75</v>
      </c>
      <c r="R374" s="123">
        <v>652.73</v>
      </c>
      <c r="S374" s="123">
        <v>410.59</v>
      </c>
      <c r="T374" s="123">
        <v>504.19</v>
      </c>
      <c r="U374" s="123">
        <v>269.16000000000003</v>
      </c>
      <c r="V374" s="123">
        <v>316.05</v>
      </c>
      <c r="W374" s="123">
        <v>393.09</v>
      </c>
      <c r="X374" s="123">
        <v>568.76</v>
      </c>
      <c r="Y374" s="123">
        <v>224.91</v>
      </c>
      <c r="Z374" s="123">
        <v>167.78</v>
      </c>
      <c r="AA374" s="123">
        <v>396.53</v>
      </c>
      <c r="AB374" s="123">
        <v>343.26</v>
      </c>
      <c r="AC374" s="124">
        <v>257.02</v>
      </c>
      <c r="AD374" s="124">
        <v>498.82</v>
      </c>
      <c r="AE374" s="124">
        <v>202.46000000000004</v>
      </c>
      <c r="AF374" s="124">
        <v>189.01</v>
      </c>
      <c r="AG374" s="124">
        <v>738.14</v>
      </c>
      <c r="AH374" s="124">
        <v>941.93</v>
      </c>
      <c r="AI374" s="124">
        <v>298.95999999999998</v>
      </c>
      <c r="AJ374" s="124">
        <v>749.6</v>
      </c>
      <c r="AK374" s="124">
        <v>313.39999999999998</v>
      </c>
      <c r="AL374" s="124">
        <v>499.43</v>
      </c>
      <c r="AM374" s="124">
        <v>408.02000000000004</v>
      </c>
      <c r="AN374" s="124">
        <v>1527.45</v>
      </c>
      <c r="AO374" s="125">
        <v>601.04</v>
      </c>
      <c r="AP374" s="125">
        <v>455.41</v>
      </c>
      <c r="AQ374" s="125">
        <v>351.86</v>
      </c>
      <c r="AR374" s="125">
        <v>510.75</v>
      </c>
      <c r="AS374" s="125">
        <v>1343.89</v>
      </c>
      <c r="AT374" s="125">
        <v>523.05999999999995</v>
      </c>
      <c r="AU374" s="125">
        <v>476.6</v>
      </c>
      <c r="AV374" s="125">
        <v>465.6</v>
      </c>
      <c r="AW374" s="125">
        <v>372.78</v>
      </c>
      <c r="AX374" s="125">
        <v>484.4</v>
      </c>
      <c r="AY374" s="126"/>
      <c r="AZ374" s="126"/>
      <c r="BA374" s="126"/>
      <c r="BB374" s="126"/>
      <c r="BC374" s="126"/>
      <c r="BD374" s="126"/>
      <c r="BE374" s="126"/>
      <c r="BF374" s="127">
        <v>2504052005</v>
      </c>
      <c r="BG374" s="97" t="s">
        <v>333</v>
      </c>
      <c r="BH374" s="127">
        <v>941.93</v>
      </c>
      <c r="BI374" s="127">
        <v>2504052005</v>
      </c>
      <c r="BJ374" s="97" t="s">
        <v>333</v>
      </c>
      <c r="BK374" s="127">
        <v>298.95999999999998</v>
      </c>
    </row>
    <row r="375" spans="1:63" x14ac:dyDescent="0.25">
      <c r="B375" s="148">
        <v>2504052010</v>
      </c>
      <c r="C375" s="149" t="s">
        <v>334</v>
      </c>
      <c r="D375" s="128"/>
      <c r="E375" s="123">
        <v>2.68</v>
      </c>
      <c r="F375" s="123">
        <v>111.97</v>
      </c>
      <c r="G375" s="123">
        <v>34.619999999999997</v>
      </c>
      <c r="H375" s="123">
        <v>47.51</v>
      </c>
      <c r="I375" s="123">
        <v>31.66</v>
      </c>
      <c r="J375" s="123">
        <v>25.61</v>
      </c>
      <c r="K375" s="123">
        <v>16.09</v>
      </c>
      <c r="L375" s="123">
        <v>36.97</v>
      </c>
      <c r="M375" s="123">
        <v>36.18</v>
      </c>
      <c r="N375" s="123">
        <v>31.97</v>
      </c>
      <c r="O375" s="123">
        <v>64.739999999999995</v>
      </c>
      <c r="P375" s="123">
        <v>84.57</v>
      </c>
      <c r="Q375" s="123">
        <v>81.37</v>
      </c>
      <c r="R375" s="123">
        <v>72</v>
      </c>
      <c r="S375" s="123">
        <v>100.06</v>
      </c>
      <c r="T375" s="123">
        <v>88.04</v>
      </c>
      <c r="U375" s="123">
        <v>91.47</v>
      </c>
      <c r="V375" s="123">
        <v>62.66</v>
      </c>
      <c r="W375" s="123">
        <v>58.35</v>
      </c>
      <c r="X375" s="123">
        <v>98.46</v>
      </c>
      <c r="Y375" s="123">
        <v>59.14</v>
      </c>
      <c r="Z375" s="123">
        <v>53.71</v>
      </c>
      <c r="AA375" s="123">
        <v>49.15</v>
      </c>
      <c r="AB375" s="123">
        <v>59.95</v>
      </c>
      <c r="AC375" s="124">
        <v>44.04</v>
      </c>
      <c r="AD375" s="124">
        <v>23.46</v>
      </c>
      <c r="AE375" s="124">
        <v>73.88</v>
      </c>
      <c r="AF375" s="124">
        <v>67.42</v>
      </c>
      <c r="AG375" s="124">
        <v>99.65</v>
      </c>
      <c r="AH375" s="124">
        <v>212.24</v>
      </c>
      <c r="AI375" s="124">
        <v>148.93</v>
      </c>
      <c r="AJ375" s="124">
        <v>98.26</v>
      </c>
      <c r="AK375" s="124">
        <v>50.42</v>
      </c>
      <c r="AL375" s="124">
        <v>85.88</v>
      </c>
      <c r="AM375" s="124">
        <v>186.48</v>
      </c>
      <c r="AN375" s="124">
        <v>126.12</v>
      </c>
      <c r="AO375" s="125">
        <v>49.4</v>
      </c>
      <c r="AP375" s="125">
        <v>56.38</v>
      </c>
      <c r="AQ375" s="125">
        <v>33.799999999999997</v>
      </c>
      <c r="AR375" s="125">
        <v>4.7</v>
      </c>
      <c r="AS375" s="125">
        <v>3.8</v>
      </c>
      <c r="AT375" s="125">
        <v>142.5</v>
      </c>
      <c r="AU375" s="125">
        <v>44.5</v>
      </c>
      <c r="AV375" s="125">
        <v>13.08</v>
      </c>
      <c r="AW375" s="125">
        <v>68.08</v>
      </c>
      <c r="AX375" s="125">
        <v>5.23</v>
      </c>
      <c r="AY375" s="126"/>
      <c r="AZ375" s="126"/>
      <c r="BA375" s="126"/>
      <c r="BB375" s="126"/>
      <c r="BC375" s="126"/>
      <c r="BD375" s="126"/>
      <c r="BE375" s="126"/>
      <c r="BF375" s="127">
        <v>2504052010</v>
      </c>
      <c r="BG375" s="97" t="s">
        <v>334</v>
      </c>
      <c r="BH375" s="127">
        <v>212.24</v>
      </c>
      <c r="BI375" s="127">
        <v>2504052010</v>
      </c>
      <c r="BJ375" s="97" t="s">
        <v>334</v>
      </c>
      <c r="BK375" s="127">
        <v>148.93</v>
      </c>
    </row>
    <row r="376" spans="1:63" x14ac:dyDescent="0.25">
      <c r="B376" s="146">
        <v>2504052015</v>
      </c>
      <c r="C376" s="98" t="s">
        <v>335</v>
      </c>
      <c r="D376" s="123">
        <v>46.72</v>
      </c>
      <c r="E376" s="123">
        <v>-0.9</v>
      </c>
      <c r="F376" s="128"/>
      <c r="G376" s="123">
        <v>2.4300000000000002</v>
      </c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  <c r="AA376" s="123">
        <v>1.63</v>
      </c>
      <c r="AB376" s="128"/>
      <c r="AC376" s="129"/>
      <c r="AD376" s="129"/>
      <c r="AE376" s="129"/>
      <c r="AF376" s="124">
        <v>1.65</v>
      </c>
      <c r="AG376" s="129"/>
      <c r="AH376" s="129"/>
      <c r="AI376" s="124">
        <v>0.41</v>
      </c>
      <c r="AJ376" s="124">
        <v>399.21</v>
      </c>
      <c r="AK376" s="124">
        <v>1.5</v>
      </c>
      <c r="AL376" s="124">
        <v>279.79000000000002</v>
      </c>
      <c r="AM376" s="124">
        <v>0</v>
      </c>
      <c r="AN376" s="124">
        <v>158.92000000000002</v>
      </c>
      <c r="AO376" s="125">
        <v>289.56</v>
      </c>
      <c r="AP376" s="125">
        <v>4.82</v>
      </c>
      <c r="AQ376" s="125">
        <v>7.67</v>
      </c>
      <c r="AR376" s="125">
        <v>26.8</v>
      </c>
      <c r="AS376" s="125">
        <v>0</v>
      </c>
      <c r="AT376" s="125">
        <v>3.14</v>
      </c>
      <c r="AU376" s="125">
        <v>1.25</v>
      </c>
      <c r="AV376" s="125">
        <v>1.0199999999999818</v>
      </c>
      <c r="AW376" s="125">
        <v>7.2999999999999936</v>
      </c>
      <c r="AX376" s="125">
        <v>100.12</v>
      </c>
      <c r="AY376" s="126"/>
      <c r="AZ376" s="126"/>
      <c r="BA376" s="126"/>
      <c r="BB376" s="126"/>
      <c r="BC376" s="126"/>
      <c r="BD376" s="126"/>
      <c r="BE376" s="126"/>
      <c r="BI376" s="127">
        <v>2504052015</v>
      </c>
      <c r="BJ376" s="97" t="s">
        <v>335</v>
      </c>
      <c r="BK376" s="127">
        <v>0.41</v>
      </c>
    </row>
    <row r="377" spans="1:63" x14ac:dyDescent="0.25">
      <c r="B377" s="121">
        <v>2504052020</v>
      </c>
      <c r="C377" s="122" t="s">
        <v>336</v>
      </c>
      <c r="D377" s="123">
        <v>343</v>
      </c>
      <c r="E377" s="123">
        <v>124.25</v>
      </c>
      <c r="F377" s="123">
        <v>227.38</v>
      </c>
      <c r="G377" s="123">
        <v>82.06</v>
      </c>
      <c r="H377" s="123">
        <v>82.43</v>
      </c>
      <c r="I377" s="123">
        <v>76.22</v>
      </c>
      <c r="J377" s="123">
        <v>88.48</v>
      </c>
      <c r="K377" s="123">
        <v>302.39999999999998</v>
      </c>
      <c r="L377" s="123">
        <v>278.51</v>
      </c>
      <c r="M377" s="123">
        <v>437.86</v>
      </c>
      <c r="N377" s="123">
        <v>544.70000000000005</v>
      </c>
      <c r="O377" s="123">
        <v>222.88</v>
      </c>
      <c r="P377" s="123">
        <v>63.78</v>
      </c>
      <c r="Q377" s="123">
        <v>71.709999999999994</v>
      </c>
      <c r="R377" s="123">
        <v>52.51</v>
      </c>
      <c r="S377" s="123">
        <v>19.149999999999999</v>
      </c>
      <c r="T377" s="123">
        <v>2.0299999999999998</v>
      </c>
      <c r="U377" s="123">
        <v>9.92</v>
      </c>
      <c r="V377" s="123">
        <v>75.510000000000005</v>
      </c>
      <c r="W377" s="123">
        <v>45.32</v>
      </c>
      <c r="X377" s="123">
        <v>8.5299999999999994</v>
      </c>
      <c r="Y377" s="123">
        <v>6.81</v>
      </c>
      <c r="Z377" s="123">
        <v>125.15</v>
      </c>
      <c r="AA377" s="123">
        <v>5.88</v>
      </c>
      <c r="AB377" s="123">
        <v>9.42</v>
      </c>
      <c r="AC377" s="124">
        <v>164.02</v>
      </c>
      <c r="AD377" s="124">
        <v>67.22</v>
      </c>
      <c r="AE377" s="124">
        <v>0.01</v>
      </c>
      <c r="AF377" s="124">
        <v>-49.11</v>
      </c>
      <c r="AG377" s="129"/>
      <c r="AH377" s="124">
        <v>0.01</v>
      </c>
      <c r="AI377" s="124">
        <v>0.01</v>
      </c>
      <c r="AJ377" s="124">
        <v>0.01</v>
      </c>
      <c r="AK377" s="124">
        <v>0.01</v>
      </c>
      <c r="AL377" s="124">
        <v>0.01</v>
      </c>
      <c r="AM377" s="124">
        <v>0.01</v>
      </c>
      <c r="AN377" s="124">
        <v>0.01</v>
      </c>
      <c r="AO377" s="125">
        <v>0.01</v>
      </c>
      <c r="AP377" s="125">
        <v>0.01</v>
      </c>
      <c r="AQ377" s="125">
        <v>0.01</v>
      </c>
      <c r="AR377" s="125">
        <v>0.01</v>
      </c>
      <c r="AS377" s="125">
        <v>0.01</v>
      </c>
      <c r="AT377" s="125">
        <v>0.01</v>
      </c>
      <c r="AU377" s="125">
        <v>0.01</v>
      </c>
      <c r="AV377" s="125">
        <v>0.01</v>
      </c>
      <c r="AW377" s="125">
        <v>0.01</v>
      </c>
      <c r="AX377" s="125">
        <v>0.01</v>
      </c>
      <c r="AY377" s="126"/>
      <c r="AZ377" s="126"/>
      <c r="BA377" s="126"/>
      <c r="BB377" s="126"/>
      <c r="BC377" s="126"/>
      <c r="BD377" s="126"/>
      <c r="BE377" s="126"/>
      <c r="BF377" s="127">
        <v>2504052020</v>
      </c>
      <c r="BG377" s="97" t="s">
        <v>336</v>
      </c>
      <c r="BH377" s="127">
        <v>0.01</v>
      </c>
      <c r="BI377" s="127">
        <v>2504052020</v>
      </c>
      <c r="BJ377" s="97" t="s">
        <v>336</v>
      </c>
      <c r="BK377" s="127">
        <v>0.01</v>
      </c>
    </row>
    <row r="378" spans="1:63" x14ac:dyDescent="0.25">
      <c r="B378" s="121">
        <v>2504052025</v>
      </c>
      <c r="C378" s="122" t="s">
        <v>337</v>
      </c>
      <c r="D378" s="123">
        <v>2017.36</v>
      </c>
      <c r="E378" s="123">
        <v>2196.04</v>
      </c>
      <c r="F378" s="123">
        <v>1459.9</v>
      </c>
      <c r="G378" s="123">
        <v>1659.89</v>
      </c>
      <c r="H378" s="123">
        <v>1377.3</v>
      </c>
      <c r="I378" s="123">
        <v>1231.27</v>
      </c>
      <c r="J378" s="123">
        <v>840.83</v>
      </c>
      <c r="K378" s="123">
        <v>1179.3399999999999</v>
      </c>
      <c r="L378" s="123">
        <v>1116.18</v>
      </c>
      <c r="M378" s="123">
        <v>723.63</v>
      </c>
      <c r="N378" s="123">
        <v>833</v>
      </c>
      <c r="O378" s="123">
        <v>1183.96</v>
      </c>
      <c r="P378" s="123">
        <v>1238.5999999999999</v>
      </c>
      <c r="Q378" s="123">
        <v>1031.73</v>
      </c>
      <c r="R378" s="123">
        <v>835.31</v>
      </c>
      <c r="S378" s="123">
        <v>579.61</v>
      </c>
      <c r="T378" s="123">
        <v>788.23</v>
      </c>
      <c r="U378" s="123">
        <v>1173.8599999999999</v>
      </c>
      <c r="V378" s="123">
        <v>822.45</v>
      </c>
      <c r="W378" s="123">
        <v>798.63</v>
      </c>
      <c r="X378" s="123">
        <v>1030.17</v>
      </c>
      <c r="Y378" s="123">
        <v>1103.6300000000001</v>
      </c>
      <c r="Z378" s="123">
        <v>980.63</v>
      </c>
      <c r="AA378" s="123">
        <v>1460.13</v>
      </c>
      <c r="AB378" s="123">
        <v>1806.03</v>
      </c>
      <c r="AC378" s="124">
        <v>1318.63</v>
      </c>
      <c r="AD378" s="124">
        <v>628.63</v>
      </c>
      <c r="AE378" s="124">
        <v>697.75</v>
      </c>
      <c r="AF378" s="124">
        <v>618.94000000000005</v>
      </c>
      <c r="AG378" s="124">
        <v>1087.19</v>
      </c>
      <c r="AH378" s="124">
        <v>1355</v>
      </c>
      <c r="AI378" s="124">
        <v>926.7</v>
      </c>
      <c r="AJ378" s="124">
        <v>903</v>
      </c>
      <c r="AK378" s="124">
        <v>1204.3499999999999</v>
      </c>
      <c r="AL378" s="124">
        <v>1481.64</v>
      </c>
      <c r="AM378" s="124">
        <v>1127.54</v>
      </c>
      <c r="AN378" s="124">
        <v>2094.61</v>
      </c>
      <c r="AO378" s="125">
        <v>815.95</v>
      </c>
      <c r="AP378" s="125">
        <v>1233.31</v>
      </c>
      <c r="AQ378" s="125">
        <v>1073.6300000000001</v>
      </c>
      <c r="AR378" s="125">
        <v>901.75</v>
      </c>
      <c r="AS378" s="125">
        <v>1785.05</v>
      </c>
      <c r="AT378" s="125">
        <v>1528.3</v>
      </c>
      <c r="AU378" s="125">
        <v>982.76</v>
      </c>
      <c r="AV378" s="125">
        <v>1737.81</v>
      </c>
      <c r="AW378" s="125">
        <v>2393.41</v>
      </c>
      <c r="AX378" s="125">
        <v>2207.6</v>
      </c>
      <c r="AY378" s="126"/>
      <c r="AZ378" s="126"/>
      <c r="BA378" s="126"/>
      <c r="BB378" s="126"/>
      <c r="BC378" s="126"/>
      <c r="BD378" s="126"/>
      <c r="BE378" s="126"/>
      <c r="BF378" s="127">
        <v>2504052025</v>
      </c>
      <c r="BG378" s="97" t="s">
        <v>337</v>
      </c>
      <c r="BH378" s="127">
        <v>1355</v>
      </c>
      <c r="BI378" s="127">
        <v>2504052025</v>
      </c>
      <c r="BJ378" s="97" t="s">
        <v>337</v>
      </c>
      <c r="BK378" s="127">
        <v>926.7</v>
      </c>
    </row>
    <row r="379" spans="1:63" x14ac:dyDescent="0.25">
      <c r="B379" s="121">
        <v>2504052030</v>
      </c>
      <c r="C379" s="122" t="s">
        <v>338</v>
      </c>
      <c r="D379" s="128"/>
      <c r="E379" s="123">
        <v>500</v>
      </c>
      <c r="F379" s="128"/>
      <c r="G379" s="128"/>
      <c r="H379" s="128"/>
      <c r="I379" s="128"/>
      <c r="J379" s="128"/>
      <c r="K379" s="128"/>
      <c r="L379" s="123">
        <v>4250</v>
      </c>
      <c r="M379" s="123">
        <v>1600</v>
      </c>
      <c r="N379" s="123">
        <v>1350</v>
      </c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  <c r="AA379" s="128"/>
      <c r="AB379" s="128"/>
      <c r="AC379" s="129"/>
      <c r="AD379" s="129"/>
      <c r="AE379" s="129"/>
      <c r="AF379" s="129"/>
      <c r="AG379" s="129"/>
      <c r="AH379" s="129"/>
      <c r="AI379" s="129"/>
      <c r="AJ379" s="124">
        <v>0</v>
      </c>
      <c r="AK379" s="124">
        <v>0</v>
      </c>
      <c r="AL379" s="124">
        <v>0</v>
      </c>
      <c r="AM379" s="124">
        <v>0</v>
      </c>
      <c r="AN379" s="124">
        <v>0</v>
      </c>
      <c r="AO379" s="125">
        <v>0</v>
      </c>
      <c r="AP379" s="125">
        <v>0</v>
      </c>
      <c r="AQ379" s="125">
        <v>0</v>
      </c>
      <c r="AR379" s="125">
        <v>0</v>
      </c>
      <c r="AS379" s="125">
        <v>0</v>
      </c>
      <c r="AT379" s="125">
        <v>0</v>
      </c>
      <c r="AU379" s="125">
        <v>0</v>
      </c>
      <c r="AV379" s="125">
        <v>0</v>
      </c>
      <c r="AW379" s="125">
        <v>0</v>
      </c>
      <c r="AX379" s="125">
        <v>0</v>
      </c>
      <c r="AY379" s="126"/>
      <c r="AZ379" s="126"/>
      <c r="BA379" s="126"/>
      <c r="BB379" s="126"/>
      <c r="BC379" s="126"/>
      <c r="BD379" s="126"/>
      <c r="BE379" s="126"/>
    </row>
    <row r="380" spans="1:63" x14ac:dyDescent="0.25">
      <c r="B380" s="121">
        <v>2504052035</v>
      </c>
      <c r="C380" s="122" t="s">
        <v>339</v>
      </c>
      <c r="D380" s="123">
        <v>50.22</v>
      </c>
      <c r="E380" s="123">
        <v>51.51</v>
      </c>
      <c r="F380" s="123">
        <v>73.209999999999994</v>
      </c>
      <c r="G380" s="123">
        <v>47.51</v>
      </c>
      <c r="H380" s="123">
        <v>45.28</v>
      </c>
      <c r="I380" s="123">
        <v>61.13</v>
      </c>
      <c r="J380" s="123">
        <v>116.04</v>
      </c>
      <c r="K380" s="123">
        <v>24.59</v>
      </c>
      <c r="L380" s="123">
        <v>27.34</v>
      </c>
      <c r="M380" s="123">
        <v>27.37</v>
      </c>
      <c r="N380" s="123">
        <v>73.12</v>
      </c>
      <c r="O380" s="123">
        <v>24.48</v>
      </c>
      <c r="P380" s="123">
        <v>58.69</v>
      </c>
      <c r="Q380" s="123">
        <v>3.18</v>
      </c>
      <c r="R380" s="123">
        <v>16.14</v>
      </c>
      <c r="S380" s="123">
        <v>15.39</v>
      </c>
      <c r="T380" s="123">
        <v>9.39</v>
      </c>
      <c r="U380" s="123">
        <v>70.209999999999994</v>
      </c>
      <c r="V380" s="123">
        <v>5.55</v>
      </c>
      <c r="W380" s="123">
        <v>44.86</v>
      </c>
      <c r="X380" s="123">
        <v>12.64</v>
      </c>
      <c r="Y380" s="128"/>
      <c r="Z380" s="123">
        <v>346.35</v>
      </c>
      <c r="AA380" s="123">
        <v>45.23</v>
      </c>
      <c r="AB380" s="123">
        <v>18.010000000000002</v>
      </c>
      <c r="AC380" s="124">
        <v>11.15</v>
      </c>
      <c r="AD380" s="124">
        <v>9.17</v>
      </c>
      <c r="AE380" s="124">
        <v>59.03</v>
      </c>
      <c r="AF380" s="124">
        <v>10.35</v>
      </c>
      <c r="AG380" s="124">
        <v>88.88</v>
      </c>
      <c r="AH380" s="124">
        <v>30.82</v>
      </c>
      <c r="AI380" s="124">
        <v>25.81</v>
      </c>
      <c r="AJ380" s="124">
        <v>112.18</v>
      </c>
      <c r="AK380" s="124">
        <v>214.71</v>
      </c>
      <c r="AL380" s="124">
        <v>120.29</v>
      </c>
      <c r="AM380" s="124">
        <v>65.33</v>
      </c>
      <c r="AN380" s="124">
        <v>150.43</v>
      </c>
      <c r="AO380" s="125">
        <v>51.75</v>
      </c>
      <c r="AP380" s="125">
        <v>1435.21</v>
      </c>
      <c r="AQ380" s="125">
        <v>93.76</v>
      </c>
      <c r="AR380" s="125">
        <v>312.98</v>
      </c>
      <c r="AS380" s="125">
        <v>127.16</v>
      </c>
      <c r="AT380" s="125">
        <v>78.92</v>
      </c>
      <c r="AU380" s="125">
        <v>84.85</v>
      </c>
      <c r="AV380" s="125">
        <v>95.52</v>
      </c>
      <c r="AW380" s="125">
        <v>106.31</v>
      </c>
      <c r="AX380" s="125">
        <v>117.17</v>
      </c>
      <c r="AY380" s="126"/>
      <c r="AZ380" s="126"/>
      <c r="BA380" s="126"/>
      <c r="BB380" s="126"/>
      <c r="BC380" s="126"/>
      <c r="BD380" s="126"/>
      <c r="BE380" s="126"/>
      <c r="BF380" s="127">
        <v>2504052035</v>
      </c>
      <c r="BG380" s="97" t="s">
        <v>339</v>
      </c>
      <c r="BH380" s="127">
        <v>30.82</v>
      </c>
      <c r="BI380" s="127">
        <v>2504052035</v>
      </c>
      <c r="BJ380" s="97" t="s">
        <v>339</v>
      </c>
      <c r="BK380" s="127">
        <v>25.81</v>
      </c>
    </row>
    <row r="381" spans="1:63" x14ac:dyDescent="0.25">
      <c r="B381" s="121">
        <v>2504052040</v>
      </c>
      <c r="C381" s="122" t="s">
        <v>340</v>
      </c>
      <c r="D381" s="123">
        <v>1167.23</v>
      </c>
      <c r="E381" s="123">
        <v>1180.83</v>
      </c>
      <c r="F381" s="123">
        <v>986.04</v>
      </c>
      <c r="G381" s="123">
        <v>1199.79</v>
      </c>
      <c r="H381" s="123">
        <v>489.22</v>
      </c>
      <c r="I381" s="123">
        <v>964.19</v>
      </c>
      <c r="J381" s="123">
        <v>535.69000000000005</v>
      </c>
      <c r="K381" s="123">
        <v>686.91</v>
      </c>
      <c r="L381" s="123">
        <v>419.87</v>
      </c>
      <c r="M381" s="123">
        <v>490.62</v>
      </c>
      <c r="N381" s="123">
        <v>592.14</v>
      </c>
      <c r="O381" s="123">
        <v>585.45000000000005</v>
      </c>
      <c r="P381" s="123">
        <v>395.3</v>
      </c>
      <c r="Q381" s="123">
        <v>659.49</v>
      </c>
      <c r="R381" s="123">
        <v>367.87</v>
      </c>
      <c r="S381" s="123">
        <v>379.46</v>
      </c>
      <c r="T381" s="123">
        <v>546.71</v>
      </c>
      <c r="U381" s="123">
        <v>799.82</v>
      </c>
      <c r="V381" s="123">
        <v>396.63</v>
      </c>
      <c r="W381" s="123">
        <v>516.21</v>
      </c>
      <c r="X381" s="123">
        <v>610.64</v>
      </c>
      <c r="Y381" s="123">
        <v>534.61</v>
      </c>
      <c r="Z381" s="123">
        <v>579.54999999999995</v>
      </c>
      <c r="AA381" s="123">
        <v>518.42999999999995</v>
      </c>
      <c r="AB381" s="123">
        <v>1088.3499999999999</v>
      </c>
      <c r="AC381" s="124">
        <v>696.93</v>
      </c>
      <c r="AD381" s="124">
        <v>1176.95</v>
      </c>
      <c r="AE381" s="124">
        <v>850.76</v>
      </c>
      <c r="AF381" s="124">
        <v>635.97</v>
      </c>
      <c r="AG381" s="124">
        <v>1113</v>
      </c>
      <c r="AH381" s="124">
        <v>610.24</v>
      </c>
      <c r="AI381" s="124">
        <v>596.48</v>
      </c>
      <c r="AJ381" s="124">
        <v>588.70000000000005</v>
      </c>
      <c r="AK381" s="124">
        <v>948.83</v>
      </c>
      <c r="AL381" s="124">
        <v>741.72</v>
      </c>
      <c r="AM381" s="124">
        <v>1548.99</v>
      </c>
      <c r="AN381" s="124">
        <v>1833.09</v>
      </c>
      <c r="AO381" s="125">
        <v>1313.67</v>
      </c>
      <c r="AP381" s="125">
        <v>1729.66</v>
      </c>
      <c r="AQ381" s="125">
        <v>1404.05</v>
      </c>
      <c r="AR381" s="125">
        <v>1151.79</v>
      </c>
      <c r="AS381" s="125">
        <v>1904.51</v>
      </c>
      <c r="AT381" s="125">
        <v>1271.25</v>
      </c>
      <c r="AU381" s="125">
        <v>1646.63</v>
      </c>
      <c r="AV381" s="125">
        <v>1386.42</v>
      </c>
      <c r="AW381" s="125">
        <v>998.03</v>
      </c>
      <c r="AX381" s="125">
        <v>1434.16</v>
      </c>
      <c r="AY381" s="126"/>
      <c r="AZ381" s="126"/>
      <c r="BA381" s="126"/>
      <c r="BB381" s="126"/>
      <c r="BC381" s="126"/>
      <c r="BD381" s="126"/>
      <c r="BE381" s="126"/>
      <c r="BF381" s="127">
        <v>2504052040</v>
      </c>
      <c r="BG381" s="97" t="s">
        <v>340</v>
      </c>
      <c r="BH381" s="127">
        <v>610.24</v>
      </c>
      <c r="BI381" s="127">
        <v>2504052040</v>
      </c>
      <c r="BJ381" s="97" t="s">
        <v>340</v>
      </c>
      <c r="BK381" s="127">
        <v>596.48</v>
      </c>
    </row>
    <row r="382" spans="1:63" x14ac:dyDescent="0.25">
      <c r="B382" s="121">
        <v>2504052045</v>
      </c>
      <c r="C382" s="122" t="s">
        <v>341</v>
      </c>
      <c r="D382" s="123">
        <v>91.65</v>
      </c>
      <c r="E382" s="123">
        <v>99.89</v>
      </c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  <c r="AA382" s="128"/>
      <c r="AB382" s="128"/>
      <c r="AC382" s="129"/>
      <c r="AD382" s="129"/>
      <c r="AE382" s="129"/>
      <c r="AF382" s="124">
        <v>3.82</v>
      </c>
      <c r="AG382" s="129"/>
      <c r="AH382" s="129"/>
      <c r="AI382" s="129"/>
      <c r="AJ382" s="124">
        <v>0</v>
      </c>
      <c r="AK382" s="124">
        <v>0</v>
      </c>
      <c r="AL382" s="124">
        <v>0</v>
      </c>
      <c r="AM382" s="124">
        <v>0</v>
      </c>
      <c r="AN382" s="124">
        <v>0</v>
      </c>
      <c r="AO382" s="125">
        <v>0</v>
      </c>
      <c r="AP382" s="125">
        <v>0</v>
      </c>
      <c r="AQ382" s="125">
        <v>0</v>
      </c>
      <c r="AR382" s="125">
        <v>0</v>
      </c>
      <c r="AS382" s="125">
        <v>0</v>
      </c>
      <c r="AT382" s="125">
        <v>0</v>
      </c>
      <c r="AU382" s="125">
        <v>0</v>
      </c>
      <c r="AV382" s="125">
        <v>0</v>
      </c>
      <c r="AW382" s="125">
        <v>0</v>
      </c>
      <c r="AX382" s="125">
        <v>0</v>
      </c>
      <c r="AY382" s="126"/>
      <c r="AZ382" s="126"/>
      <c r="BA382" s="126"/>
      <c r="BB382" s="126"/>
      <c r="BC382" s="126"/>
      <c r="BD382" s="126"/>
      <c r="BE382" s="126"/>
    </row>
    <row r="383" spans="1:63" x14ac:dyDescent="0.25">
      <c r="B383" s="121">
        <v>2504052050</v>
      </c>
      <c r="C383" s="122" t="s">
        <v>342</v>
      </c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3">
        <v>-7248.89</v>
      </c>
      <c r="O383" s="128"/>
      <c r="P383" s="128"/>
      <c r="Q383" s="128"/>
      <c r="R383" s="123">
        <v>-5845.56</v>
      </c>
      <c r="S383" s="123">
        <v>-6744.9</v>
      </c>
      <c r="T383" s="128"/>
      <c r="U383" s="123">
        <v>0.01</v>
      </c>
      <c r="V383" s="123">
        <v>0.01</v>
      </c>
      <c r="W383" s="123">
        <v>0.01</v>
      </c>
      <c r="X383" s="123">
        <v>0.02</v>
      </c>
      <c r="Y383" s="128"/>
      <c r="Z383" s="128"/>
      <c r="AA383" s="128"/>
      <c r="AB383" s="128"/>
      <c r="AC383" s="129"/>
      <c r="AD383" s="129"/>
      <c r="AE383" s="129"/>
      <c r="AF383" s="129"/>
      <c r="AG383" s="124">
        <v>0.01</v>
      </c>
      <c r="AH383" s="124">
        <v>0.01</v>
      </c>
      <c r="AI383" s="124">
        <v>0.01</v>
      </c>
      <c r="AJ383" s="124">
        <v>0.01</v>
      </c>
      <c r="AK383" s="124">
        <v>0.01</v>
      </c>
      <c r="AL383" s="124">
        <v>0.02</v>
      </c>
      <c r="AM383" s="124">
        <v>0.02</v>
      </c>
      <c r="AN383" s="124">
        <v>0.02</v>
      </c>
      <c r="AO383" s="125">
        <v>0.02</v>
      </c>
      <c r="AP383" s="125">
        <v>0.02</v>
      </c>
      <c r="AQ383" s="125">
        <v>0.02</v>
      </c>
      <c r="AR383" s="125">
        <v>0.02</v>
      </c>
      <c r="AS383" s="125">
        <v>0.02</v>
      </c>
      <c r="AT383" s="125">
        <v>0.02</v>
      </c>
      <c r="AU383" s="125">
        <v>0.02</v>
      </c>
      <c r="AV383" s="125">
        <v>0.02</v>
      </c>
      <c r="AW383" s="125">
        <v>0.02</v>
      </c>
      <c r="AX383" s="125">
        <v>0</v>
      </c>
      <c r="AY383" s="126"/>
      <c r="AZ383" s="126"/>
      <c r="BA383" s="126"/>
      <c r="BB383" s="126"/>
      <c r="BC383" s="126"/>
      <c r="BD383" s="126"/>
      <c r="BE383" s="126"/>
      <c r="BF383" s="127">
        <v>2504052050</v>
      </c>
      <c r="BG383" s="97" t="s">
        <v>342</v>
      </c>
      <c r="BH383" s="127">
        <v>0.01</v>
      </c>
      <c r="BI383" s="127">
        <v>2504052050</v>
      </c>
      <c r="BJ383" s="97" t="s">
        <v>342</v>
      </c>
      <c r="BK383" s="127">
        <v>0.01</v>
      </c>
    </row>
    <row r="384" spans="1:63" x14ac:dyDescent="0.25">
      <c r="B384" s="121">
        <v>2504052055</v>
      </c>
      <c r="C384" s="122" t="s">
        <v>343</v>
      </c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  <c r="AA384" s="128"/>
      <c r="AB384" s="128"/>
      <c r="AC384" s="129"/>
      <c r="AD384" s="129"/>
      <c r="AE384" s="124">
        <v>1.64</v>
      </c>
      <c r="AF384" s="124">
        <v>1.77</v>
      </c>
      <c r="AG384" s="124">
        <v>3.7</v>
      </c>
      <c r="AH384" s="124">
        <v>8.67</v>
      </c>
      <c r="AI384" s="124">
        <v>12.09</v>
      </c>
      <c r="AJ384" s="124">
        <v>13.82</v>
      </c>
      <c r="AK384" s="124">
        <v>16.32</v>
      </c>
      <c r="AL384" s="124">
        <v>11.92</v>
      </c>
      <c r="AM384" s="124">
        <v>16.16</v>
      </c>
      <c r="AN384" s="124">
        <v>19.41</v>
      </c>
      <c r="AO384" s="125">
        <v>53.76</v>
      </c>
      <c r="AP384" s="125">
        <v>18.27</v>
      </c>
      <c r="AQ384" s="125">
        <v>19.21</v>
      </c>
      <c r="AR384" s="125">
        <v>41.79</v>
      </c>
      <c r="AS384" s="125">
        <v>19.3</v>
      </c>
      <c r="AT384" s="125">
        <v>43.16</v>
      </c>
      <c r="AU384" s="125">
        <v>155.76</v>
      </c>
      <c r="AV384" s="125">
        <v>483.04</v>
      </c>
      <c r="AW384" s="125">
        <v>-21.22</v>
      </c>
      <c r="AX384" s="125">
        <v>429.7</v>
      </c>
      <c r="AY384" s="126"/>
      <c r="AZ384" s="126"/>
      <c r="BA384" s="126"/>
      <c r="BB384" s="126"/>
      <c r="BC384" s="126"/>
      <c r="BD384" s="126"/>
      <c r="BE384" s="126"/>
      <c r="BF384" s="127">
        <v>2504052055</v>
      </c>
      <c r="BG384" s="97" t="s">
        <v>343</v>
      </c>
      <c r="BH384" s="127">
        <v>8.67</v>
      </c>
      <c r="BI384" s="127">
        <v>2504052055</v>
      </c>
      <c r="BJ384" s="97" t="s">
        <v>343</v>
      </c>
      <c r="BK384" s="127">
        <v>12.09</v>
      </c>
    </row>
    <row r="385" spans="1:63" x14ac:dyDescent="0.25">
      <c r="B385" s="121">
        <v>25040525</v>
      </c>
      <c r="C385" s="122" t="s">
        <v>344</v>
      </c>
      <c r="D385" s="123">
        <v>177.08</v>
      </c>
      <c r="E385" s="123">
        <v>51.06</v>
      </c>
      <c r="F385" s="123">
        <v>800.13</v>
      </c>
      <c r="G385" s="123">
        <v>420.44</v>
      </c>
      <c r="H385" s="123">
        <v>91.64</v>
      </c>
      <c r="I385" s="128"/>
      <c r="J385" s="128"/>
      <c r="K385" s="123">
        <v>134.46</v>
      </c>
      <c r="L385" s="123">
        <v>169.7</v>
      </c>
      <c r="M385" s="123">
        <v>58.15</v>
      </c>
      <c r="N385" s="123">
        <v>3242.57</v>
      </c>
      <c r="O385" s="123">
        <v>180.04</v>
      </c>
      <c r="P385" s="123">
        <v>284.99</v>
      </c>
      <c r="Q385" s="123">
        <v>125.12</v>
      </c>
      <c r="R385" s="123">
        <v>26.11</v>
      </c>
      <c r="S385" s="123">
        <v>284.67</v>
      </c>
      <c r="T385" s="128"/>
      <c r="U385" s="128"/>
      <c r="V385" s="128"/>
      <c r="W385" s="123">
        <v>230.5</v>
      </c>
      <c r="X385" s="123">
        <v>123.38</v>
      </c>
      <c r="Y385" s="123">
        <v>81.7</v>
      </c>
      <c r="Z385" s="123">
        <v>117.4</v>
      </c>
      <c r="AA385" s="123">
        <v>599.77</v>
      </c>
      <c r="AB385" s="123">
        <v>397.57</v>
      </c>
      <c r="AC385" s="124">
        <v>81.7</v>
      </c>
      <c r="AD385" s="124">
        <v>92.8</v>
      </c>
      <c r="AE385" s="124">
        <v>632.58000000000004</v>
      </c>
      <c r="AF385" s="124">
        <v>86.82</v>
      </c>
      <c r="AG385" s="124">
        <v>81.7</v>
      </c>
      <c r="AH385" s="124">
        <v>165.42</v>
      </c>
      <c r="AI385" s="124">
        <v>81.7</v>
      </c>
      <c r="AJ385" s="124">
        <v>162.97999999999999</v>
      </c>
      <c r="AK385" s="124">
        <v>81.7</v>
      </c>
      <c r="AL385" s="124">
        <v>123.7</v>
      </c>
      <c r="AM385" s="124">
        <v>509.37</v>
      </c>
      <c r="AN385" s="124">
        <v>473.53</v>
      </c>
      <c r="AO385" s="125">
        <v>538.49</v>
      </c>
      <c r="AP385" s="125">
        <v>544.08000000000004</v>
      </c>
      <c r="AQ385" s="125">
        <v>583.91</v>
      </c>
      <c r="AR385" s="125">
        <v>518</v>
      </c>
      <c r="AS385" s="125">
        <v>518</v>
      </c>
      <c r="AT385" s="125">
        <v>602.5</v>
      </c>
      <c r="AU385" s="125">
        <v>635.85</v>
      </c>
      <c r="AV385" s="125">
        <v>635.85</v>
      </c>
      <c r="AW385" s="125">
        <v>601.35</v>
      </c>
      <c r="AX385" s="125">
        <v>949.17</v>
      </c>
      <c r="AY385" s="126"/>
      <c r="AZ385" s="126"/>
      <c r="BA385" s="126"/>
      <c r="BB385" s="126"/>
      <c r="BC385" s="126"/>
      <c r="BD385" s="126"/>
      <c r="BE385" s="126"/>
      <c r="BF385" s="127">
        <v>25040525</v>
      </c>
      <c r="BG385" s="97" t="s">
        <v>344</v>
      </c>
      <c r="BH385" s="127">
        <v>165.42</v>
      </c>
      <c r="BI385" s="127">
        <v>25040525</v>
      </c>
      <c r="BJ385" s="97" t="s">
        <v>344</v>
      </c>
      <c r="BK385" s="127">
        <v>81.7</v>
      </c>
    </row>
    <row r="386" spans="1:63" x14ac:dyDescent="0.25">
      <c r="B386" s="121">
        <v>25040530</v>
      </c>
      <c r="C386" s="122" t="s">
        <v>345</v>
      </c>
      <c r="D386" s="123">
        <v>423.49</v>
      </c>
      <c r="E386" s="123">
        <v>260.3</v>
      </c>
      <c r="F386" s="123">
        <v>466.6</v>
      </c>
      <c r="G386" s="123">
        <v>645.38</v>
      </c>
      <c r="H386" s="123">
        <v>247.99</v>
      </c>
      <c r="I386" s="123">
        <v>0.1</v>
      </c>
      <c r="J386" s="123">
        <v>62.98</v>
      </c>
      <c r="K386" s="123">
        <v>71.12</v>
      </c>
      <c r="L386" s="123">
        <v>3.74</v>
      </c>
      <c r="M386" s="123">
        <v>22.46</v>
      </c>
      <c r="N386" s="123">
        <v>19.93</v>
      </c>
      <c r="O386" s="123">
        <v>13.02</v>
      </c>
      <c r="P386" s="128"/>
      <c r="Q386" s="123">
        <v>11.61</v>
      </c>
      <c r="R386" s="123">
        <v>44.2</v>
      </c>
      <c r="S386" s="123">
        <v>18.100000000000001</v>
      </c>
      <c r="T386" s="123">
        <v>4.9400000000000004</v>
      </c>
      <c r="U386" s="123">
        <v>24.19</v>
      </c>
      <c r="V386" s="123">
        <v>13.56</v>
      </c>
      <c r="W386" s="123">
        <v>14.19</v>
      </c>
      <c r="X386" s="123">
        <v>28.28</v>
      </c>
      <c r="Y386" s="123">
        <v>41.93</v>
      </c>
      <c r="Z386" s="123">
        <v>113.98</v>
      </c>
      <c r="AA386" s="123">
        <v>2.2400000000000002</v>
      </c>
      <c r="AB386" s="123">
        <v>64.099999999999994</v>
      </c>
      <c r="AC386" s="124">
        <v>9.66</v>
      </c>
      <c r="AD386" s="124">
        <v>12.64</v>
      </c>
      <c r="AE386" s="124">
        <v>16.350000000000001</v>
      </c>
      <c r="AF386" s="124">
        <v>41.42</v>
      </c>
      <c r="AG386" s="124">
        <v>31.04</v>
      </c>
      <c r="AH386" s="124">
        <v>62.16</v>
      </c>
      <c r="AI386" s="124">
        <v>74.13</v>
      </c>
      <c r="AJ386" s="124">
        <v>91.27</v>
      </c>
      <c r="AK386" s="124">
        <v>110.33</v>
      </c>
      <c r="AL386" s="124">
        <v>121.16</v>
      </c>
      <c r="AM386" s="124">
        <v>143.93</v>
      </c>
      <c r="AN386" s="124">
        <v>171.49</v>
      </c>
      <c r="AO386" s="125">
        <v>184.77</v>
      </c>
      <c r="AP386" s="125">
        <v>204.57</v>
      </c>
      <c r="AQ386" s="125">
        <v>231.78</v>
      </c>
      <c r="AR386" s="125">
        <v>274.54000000000002</v>
      </c>
      <c r="AS386" s="125">
        <v>347.16</v>
      </c>
      <c r="AT386" s="125">
        <v>401.55</v>
      </c>
      <c r="AU386" s="125">
        <v>446.87</v>
      </c>
      <c r="AV386" s="125">
        <v>530.05999999999995</v>
      </c>
      <c r="AW386" s="125">
        <v>576.87</v>
      </c>
      <c r="AX386" s="125">
        <v>607.37</v>
      </c>
      <c r="AY386" s="126"/>
      <c r="AZ386" s="126"/>
      <c r="BA386" s="126"/>
      <c r="BB386" s="126"/>
      <c r="BC386" s="126"/>
      <c r="BD386" s="126"/>
      <c r="BE386" s="126"/>
      <c r="BF386" s="127">
        <v>25040530</v>
      </c>
      <c r="BG386" s="97" t="s">
        <v>345</v>
      </c>
      <c r="BH386" s="127">
        <v>62.16</v>
      </c>
      <c r="BI386" s="127">
        <v>25040530</v>
      </c>
      <c r="BJ386" s="97" t="s">
        <v>345</v>
      </c>
      <c r="BK386" s="127">
        <v>74.13</v>
      </c>
    </row>
    <row r="387" spans="1:63" x14ac:dyDescent="0.25">
      <c r="B387" s="121">
        <v>250490</v>
      </c>
      <c r="C387" s="122" t="s">
        <v>346</v>
      </c>
      <c r="D387" s="123">
        <v>78276.160000000003</v>
      </c>
      <c r="E387" s="123">
        <v>80247.75</v>
      </c>
      <c r="F387" s="123">
        <v>79676.09</v>
      </c>
      <c r="G387" s="123">
        <v>85568.22</v>
      </c>
      <c r="H387" s="123">
        <v>82373.23</v>
      </c>
      <c r="I387" s="123">
        <v>81931.62</v>
      </c>
      <c r="J387" s="123">
        <v>79796.56</v>
      </c>
      <c r="K387" s="123">
        <v>79819.360000000001</v>
      </c>
      <c r="L387" s="123">
        <v>78836.61</v>
      </c>
      <c r="M387" s="123">
        <v>78423.27</v>
      </c>
      <c r="N387" s="123">
        <v>78456.91</v>
      </c>
      <c r="O387" s="123">
        <v>82342.5</v>
      </c>
      <c r="P387" s="123">
        <v>80385.179999999993</v>
      </c>
      <c r="Q387" s="123">
        <v>77961.850000000006</v>
      </c>
      <c r="R387" s="123">
        <v>79940.38</v>
      </c>
      <c r="S387" s="123">
        <v>75638.53</v>
      </c>
      <c r="T387" s="123">
        <v>75725.100000000006</v>
      </c>
      <c r="U387" s="123">
        <v>79205.63</v>
      </c>
      <c r="V387" s="123">
        <v>79144.22</v>
      </c>
      <c r="W387" s="123">
        <v>76051.839999999997</v>
      </c>
      <c r="X387" s="123">
        <v>79770.720000000001</v>
      </c>
      <c r="Y387" s="123">
        <v>85578.48</v>
      </c>
      <c r="Z387" s="123">
        <v>80852.11</v>
      </c>
      <c r="AA387" s="123">
        <v>80783.509999999995</v>
      </c>
      <c r="AB387" s="123">
        <v>78287.759999999995</v>
      </c>
      <c r="AC387" s="124">
        <v>76741.91</v>
      </c>
      <c r="AD387" s="124">
        <v>82429.13</v>
      </c>
      <c r="AE387" s="124">
        <v>85662.13</v>
      </c>
      <c r="AF387" s="124">
        <v>80352.69</v>
      </c>
      <c r="AG387" s="124">
        <v>82183.320000000007</v>
      </c>
      <c r="AH387" s="124">
        <v>87789.28</v>
      </c>
      <c r="AI387" s="124">
        <v>83277.84</v>
      </c>
      <c r="AJ387" s="124">
        <v>92800.37</v>
      </c>
      <c r="AK387" s="124">
        <v>106372.14</v>
      </c>
      <c r="AL387" s="124">
        <v>113316.62</v>
      </c>
      <c r="AM387" s="124">
        <v>139375.91</v>
      </c>
      <c r="AN387" s="124">
        <v>107368.3</v>
      </c>
      <c r="AO387" s="125">
        <v>126505.60000000001</v>
      </c>
      <c r="AP387" s="125">
        <v>209634.84</v>
      </c>
      <c r="AQ387" s="125">
        <v>145656.71</v>
      </c>
      <c r="AR387" s="125">
        <v>177560.02</v>
      </c>
      <c r="AS387" s="125">
        <v>144591.67000000001</v>
      </c>
      <c r="AT387" s="125">
        <v>148643.04999999999</v>
      </c>
      <c r="AU387" s="125">
        <v>167562.01</v>
      </c>
      <c r="AV387" s="125">
        <v>190241.76</v>
      </c>
      <c r="AW387" s="125">
        <v>146638.46</v>
      </c>
      <c r="AX387" s="125">
        <v>138185.23000000001</v>
      </c>
      <c r="AY387" s="126"/>
      <c r="AZ387" s="126"/>
      <c r="BA387" s="126"/>
      <c r="BB387" s="126"/>
      <c r="BC387" s="126"/>
      <c r="BD387" s="126"/>
      <c r="BE387" s="126"/>
      <c r="BF387" s="127">
        <v>250490</v>
      </c>
      <c r="BG387" s="97" t="s">
        <v>346</v>
      </c>
      <c r="BH387" s="127">
        <v>87789.28</v>
      </c>
      <c r="BI387" s="127">
        <v>250490</v>
      </c>
      <c r="BJ387" s="97" t="s">
        <v>346</v>
      </c>
      <c r="BK387" s="127">
        <v>83277.84</v>
      </c>
    </row>
    <row r="388" spans="1:63" x14ac:dyDescent="0.25">
      <c r="B388" s="121">
        <v>25049005</v>
      </c>
      <c r="C388" s="122" t="s">
        <v>347</v>
      </c>
      <c r="D388" s="123">
        <v>9913.2199999999993</v>
      </c>
      <c r="E388" s="123">
        <v>9934.86</v>
      </c>
      <c r="F388" s="123">
        <v>9426.75</v>
      </c>
      <c r="G388" s="123">
        <v>10982.94</v>
      </c>
      <c r="H388" s="123">
        <v>10523.86</v>
      </c>
      <c r="I388" s="123">
        <v>10654.02</v>
      </c>
      <c r="J388" s="123">
        <v>10096.73</v>
      </c>
      <c r="K388" s="123">
        <v>8889.65</v>
      </c>
      <c r="L388" s="123">
        <v>8638.66</v>
      </c>
      <c r="M388" s="123">
        <v>8812.2099999999991</v>
      </c>
      <c r="N388" s="123">
        <v>9195.76</v>
      </c>
      <c r="O388" s="123">
        <v>8886.3700000000008</v>
      </c>
      <c r="P388" s="123">
        <v>8843.6200000000008</v>
      </c>
      <c r="Q388" s="123">
        <v>8003.42</v>
      </c>
      <c r="R388" s="123">
        <v>7769.16</v>
      </c>
      <c r="S388" s="123">
        <v>7727.62</v>
      </c>
      <c r="T388" s="123">
        <v>7710.24</v>
      </c>
      <c r="U388" s="123">
        <v>7527.34</v>
      </c>
      <c r="V388" s="123">
        <v>7542.81</v>
      </c>
      <c r="W388" s="123">
        <v>7723.67</v>
      </c>
      <c r="X388" s="123">
        <v>7894.53</v>
      </c>
      <c r="Y388" s="123">
        <v>8126.47</v>
      </c>
      <c r="Z388" s="123">
        <v>8111.12</v>
      </c>
      <c r="AA388" s="123">
        <v>8293.65</v>
      </c>
      <c r="AB388" s="123">
        <v>8133.49</v>
      </c>
      <c r="AC388" s="124">
        <v>7796.75</v>
      </c>
      <c r="AD388" s="124">
        <v>7929.84</v>
      </c>
      <c r="AE388" s="124">
        <v>7607.12</v>
      </c>
      <c r="AF388" s="124">
        <v>7634.92</v>
      </c>
      <c r="AG388" s="124">
        <v>7581</v>
      </c>
      <c r="AH388" s="124">
        <v>7762.45</v>
      </c>
      <c r="AI388" s="124">
        <v>7682.43</v>
      </c>
      <c r="AJ388" s="124">
        <v>8531.77</v>
      </c>
      <c r="AK388" s="124">
        <v>8857.66</v>
      </c>
      <c r="AL388" s="124">
        <v>11340.97</v>
      </c>
      <c r="AM388" s="124">
        <v>10939.03</v>
      </c>
      <c r="AN388" s="124">
        <v>12194.06</v>
      </c>
      <c r="AO388" s="125">
        <v>11676.32</v>
      </c>
      <c r="AP388" s="125">
        <v>12799.19</v>
      </c>
      <c r="AQ388" s="125">
        <v>12821.28</v>
      </c>
      <c r="AR388" s="125">
        <v>14258.03</v>
      </c>
      <c r="AS388" s="125">
        <v>13993.05</v>
      </c>
      <c r="AT388" s="125">
        <v>14397.91</v>
      </c>
      <c r="AU388" s="125">
        <v>13651.67</v>
      </c>
      <c r="AV388" s="125">
        <v>14715.21</v>
      </c>
      <c r="AW388" s="125">
        <v>14707.14</v>
      </c>
      <c r="AX388" s="125">
        <v>14537.43</v>
      </c>
      <c r="AY388" s="126"/>
      <c r="AZ388" s="126"/>
      <c r="BA388" s="126"/>
      <c r="BB388" s="126"/>
      <c r="BC388" s="126"/>
      <c r="BD388" s="126"/>
      <c r="BE388" s="126"/>
      <c r="BF388" s="120">
        <v>25049005</v>
      </c>
      <c r="BG388" s="113" t="s">
        <v>347</v>
      </c>
      <c r="BH388" s="120">
        <v>7762.45</v>
      </c>
      <c r="BI388" s="120">
        <v>25049005</v>
      </c>
      <c r="BJ388" s="113" t="s">
        <v>347</v>
      </c>
      <c r="BK388" s="120">
        <v>7682.43</v>
      </c>
    </row>
    <row r="389" spans="1:63" x14ac:dyDescent="0.25">
      <c r="B389" s="121">
        <v>25049006</v>
      </c>
      <c r="C389" s="122" t="s">
        <v>348</v>
      </c>
      <c r="D389" s="123">
        <v>9126.08</v>
      </c>
      <c r="E389" s="123">
        <v>9100.93</v>
      </c>
      <c r="F389" s="123">
        <v>9348.23</v>
      </c>
      <c r="G389" s="123">
        <v>9854.52</v>
      </c>
      <c r="H389" s="123">
        <v>9743.2900000000009</v>
      </c>
      <c r="I389" s="123">
        <v>8596.5400000000009</v>
      </c>
      <c r="J389" s="123">
        <v>9724.27</v>
      </c>
      <c r="K389" s="123">
        <v>8391.2000000000007</v>
      </c>
      <c r="L389" s="123">
        <v>9357.76</v>
      </c>
      <c r="M389" s="123">
        <v>9248.0400000000009</v>
      </c>
      <c r="N389" s="123">
        <v>8649.16</v>
      </c>
      <c r="O389" s="123">
        <v>8889.76</v>
      </c>
      <c r="P389" s="123">
        <v>9212.5</v>
      </c>
      <c r="Q389" s="123">
        <v>8334.52</v>
      </c>
      <c r="R389" s="123">
        <v>8444.2800000000007</v>
      </c>
      <c r="S389" s="123">
        <v>7252.83</v>
      </c>
      <c r="T389" s="123">
        <v>8419.02</v>
      </c>
      <c r="U389" s="123">
        <v>8541.82</v>
      </c>
      <c r="V389" s="123">
        <v>9219.01</v>
      </c>
      <c r="W389" s="123">
        <v>8922.86</v>
      </c>
      <c r="X389" s="123">
        <v>9348.8799999999992</v>
      </c>
      <c r="Y389" s="123">
        <v>9953.7199999999993</v>
      </c>
      <c r="Z389" s="123">
        <v>10731.87</v>
      </c>
      <c r="AA389" s="123">
        <v>9208.81</v>
      </c>
      <c r="AB389" s="123">
        <v>9325.11</v>
      </c>
      <c r="AC389" s="124">
        <v>9417.34</v>
      </c>
      <c r="AD389" s="124">
        <v>10083.73</v>
      </c>
      <c r="AE389" s="124">
        <v>9480.09</v>
      </c>
      <c r="AF389" s="124">
        <v>9177.31</v>
      </c>
      <c r="AG389" s="124">
        <v>8483.99</v>
      </c>
      <c r="AH389" s="124">
        <v>8441.51</v>
      </c>
      <c r="AI389" s="124">
        <v>7882.83</v>
      </c>
      <c r="AJ389" s="124">
        <v>8509.91</v>
      </c>
      <c r="AK389" s="124">
        <v>8732.44</v>
      </c>
      <c r="AL389" s="124">
        <v>8304.9500000000007</v>
      </c>
      <c r="AM389" s="124">
        <v>8747.06</v>
      </c>
      <c r="AN389" s="124">
        <v>9465.7999999999993</v>
      </c>
      <c r="AO389" s="125">
        <v>9233.6</v>
      </c>
      <c r="AP389" s="125">
        <v>8750.2000000000007</v>
      </c>
      <c r="AQ389" s="125">
        <v>9314.34</v>
      </c>
      <c r="AR389" s="125">
        <v>9932.61</v>
      </c>
      <c r="AS389" s="125">
        <v>10376.719999999999</v>
      </c>
      <c r="AT389" s="125">
        <v>10162.540000000001</v>
      </c>
      <c r="AU389" s="125">
        <v>10753.9</v>
      </c>
      <c r="AV389" s="125">
        <v>10781.9</v>
      </c>
      <c r="AW389" s="125">
        <v>12006.57</v>
      </c>
      <c r="AX389" s="125">
        <v>12068.28</v>
      </c>
      <c r="AY389" s="126"/>
      <c r="AZ389" s="126"/>
      <c r="BA389" s="126"/>
      <c r="BB389" s="126"/>
      <c r="BC389" s="126"/>
      <c r="BD389" s="126"/>
      <c r="BE389" s="126"/>
      <c r="BF389" s="127">
        <v>25049006</v>
      </c>
      <c r="BG389" s="97" t="s">
        <v>348</v>
      </c>
      <c r="BH389" s="127">
        <v>8441.51</v>
      </c>
      <c r="BI389" s="127">
        <v>25049006</v>
      </c>
      <c r="BJ389" s="97" t="s">
        <v>348</v>
      </c>
      <c r="BK389" s="127">
        <v>7882.83</v>
      </c>
    </row>
    <row r="390" spans="1:63" x14ac:dyDescent="0.25">
      <c r="B390" s="150">
        <v>25049010</v>
      </c>
      <c r="C390" s="131" t="s">
        <v>349</v>
      </c>
      <c r="D390" s="123">
        <v>477.22</v>
      </c>
      <c r="E390" s="123">
        <v>1424.66</v>
      </c>
      <c r="F390" s="123">
        <v>1165.8900000000001</v>
      </c>
      <c r="G390" s="123">
        <v>3041.02</v>
      </c>
      <c r="H390" s="123">
        <v>1528.71</v>
      </c>
      <c r="I390" s="123">
        <v>1618.29</v>
      </c>
      <c r="J390" s="123">
        <v>1827.5</v>
      </c>
      <c r="K390" s="123">
        <v>966.25</v>
      </c>
      <c r="L390" s="123">
        <v>920.38</v>
      </c>
      <c r="M390" s="123">
        <v>956.69</v>
      </c>
      <c r="N390" s="123">
        <v>1083.83</v>
      </c>
      <c r="O390" s="123">
        <v>1060.67</v>
      </c>
      <c r="P390" s="123">
        <v>943.27</v>
      </c>
      <c r="Q390" s="123">
        <v>88.6</v>
      </c>
      <c r="R390" s="123">
        <v>194.38</v>
      </c>
      <c r="S390" s="123">
        <v>141.69</v>
      </c>
      <c r="T390" s="123">
        <v>136.21</v>
      </c>
      <c r="U390" s="123">
        <v>61.96</v>
      </c>
      <c r="V390" s="123">
        <v>120.41</v>
      </c>
      <c r="W390" s="123">
        <v>147.28</v>
      </c>
      <c r="X390" s="123">
        <v>147.27000000000001</v>
      </c>
      <c r="Y390" s="123">
        <v>147.29</v>
      </c>
      <c r="Z390" s="123">
        <v>151.97</v>
      </c>
      <c r="AA390" s="123">
        <v>152</v>
      </c>
      <c r="AB390" s="123">
        <v>172.75</v>
      </c>
      <c r="AC390" s="151"/>
      <c r="AD390" s="117">
        <v>374.19</v>
      </c>
      <c r="AE390" s="117">
        <v>273.66000000000003</v>
      </c>
      <c r="AF390" s="117">
        <v>283.24</v>
      </c>
      <c r="AG390" s="117">
        <v>321.93</v>
      </c>
      <c r="AH390" s="117">
        <v>372.83</v>
      </c>
      <c r="AI390" s="117">
        <v>172.55</v>
      </c>
      <c r="AJ390" s="117">
        <v>211.59</v>
      </c>
      <c r="AK390" s="117">
        <v>172.56</v>
      </c>
      <c r="AL390" s="117">
        <v>547.28</v>
      </c>
      <c r="AM390" s="117">
        <v>1760.62</v>
      </c>
      <c r="AN390" s="117">
        <v>916.11</v>
      </c>
      <c r="AO390" s="118">
        <v>0</v>
      </c>
      <c r="AP390" s="118">
        <v>0</v>
      </c>
      <c r="AQ390" s="118">
        <v>0</v>
      </c>
      <c r="AR390" s="118">
        <v>0</v>
      </c>
      <c r="AS390" s="118">
        <v>0</v>
      </c>
      <c r="AT390" s="118">
        <v>0</v>
      </c>
      <c r="AU390" s="118">
        <v>0</v>
      </c>
      <c r="AV390" s="118">
        <v>0</v>
      </c>
      <c r="AW390" s="118">
        <v>0</v>
      </c>
      <c r="AX390" s="118">
        <v>0</v>
      </c>
      <c r="AY390" s="119"/>
      <c r="AZ390" s="119"/>
      <c r="BA390" s="119"/>
      <c r="BB390" s="119"/>
      <c r="BC390" s="119"/>
      <c r="BD390" s="119"/>
      <c r="BE390" s="119"/>
      <c r="BF390" s="127">
        <v>25049010</v>
      </c>
      <c r="BG390" s="97" t="s">
        <v>349</v>
      </c>
      <c r="BH390" s="127">
        <v>372.83</v>
      </c>
      <c r="BI390" s="127">
        <v>25049010</v>
      </c>
      <c r="BJ390" s="97" t="s">
        <v>349</v>
      </c>
      <c r="BK390" s="127">
        <v>172.55</v>
      </c>
    </row>
    <row r="391" spans="1:63" x14ac:dyDescent="0.25">
      <c r="B391" s="114">
        <v>25049015</v>
      </c>
      <c r="C391" s="115" t="s">
        <v>350</v>
      </c>
      <c r="D391" s="123">
        <v>10703.81</v>
      </c>
      <c r="E391" s="123">
        <v>10779.56</v>
      </c>
      <c r="F391" s="123">
        <v>10723.43</v>
      </c>
      <c r="G391" s="123">
        <v>10915.55</v>
      </c>
      <c r="H391" s="123">
        <v>10763.36</v>
      </c>
      <c r="I391" s="123">
        <v>10859.42</v>
      </c>
      <c r="J391" s="123">
        <v>10523.15</v>
      </c>
      <c r="K391" s="123">
        <v>10955.42</v>
      </c>
      <c r="L391" s="123">
        <v>10715.27</v>
      </c>
      <c r="M391" s="123">
        <v>10667.24</v>
      </c>
      <c r="N391" s="123">
        <v>10715.27</v>
      </c>
      <c r="O391" s="123">
        <v>10901.94</v>
      </c>
      <c r="P391" s="123">
        <v>10517.7</v>
      </c>
      <c r="Q391" s="123">
        <v>10517.7</v>
      </c>
      <c r="R391" s="123">
        <v>10583.5</v>
      </c>
      <c r="S391" s="123">
        <v>10517.7</v>
      </c>
      <c r="T391" s="123">
        <v>10567.95</v>
      </c>
      <c r="U391" s="123">
        <v>10567.95</v>
      </c>
      <c r="V391" s="123">
        <v>10567.95</v>
      </c>
      <c r="W391" s="123">
        <v>10567.95</v>
      </c>
      <c r="X391" s="123">
        <v>10567.95</v>
      </c>
      <c r="Y391" s="123">
        <v>10567.95</v>
      </c>
      <c r="Z391" s="123">
        <v>10567.95</v>
      </c>
      <c r="AA391" s="123">
        <v>10567.95</v>
      </c>
      <c r="AB391" s="123">
        <v>10567.95</v>
      </c>
      <c r="AC391" s="117">
        <v>10567.95</v>
      </c>
      <c r="AD391" s="117">
        <v>10567.95</v>
      </c>
      <c r="AE391" s="117">
        <v>10567.95</v>
      </c>
      <c r="AF391" s="117">
        <v>10567.95</v>
      </c>
      <c r="AG391" s="117">
        <v>10567.95</v>
      </c>
      <c r="AH391" s="117">
        <v>10567.95</v>
      </c>
      <c r="AI391" s="117">
        <v>10567.95</v>
      </c>
      <c r="AJ391" s="117">
        <v>10567.95</v>
      </c>
      <c r="AK391" s="117">
        <v>10567.95</v>
      </c>
      <c r="AL391" s="117">
        <v>10567.95</v>
      </c>
      <c r="AM391" s="117">
        <v>10567.95</v>
      </c>
      <c r="AN391" s="117">
        <v>10567.95</v>
      </c>
      <c r="AO391" s="118">
        <v>10567.95</v>
      </c>
      <c r="AP391" s="118">
        <v>10567.95</v>
      </c>
      <c r="AQ391" s="118">
        <v>10567.95</v>
      </c>
      <c r="AR391" s="118">
        <v>10567.95</v>
      </c>
      <c r="AS391" s="118">
        <v>10567.95</v>
      </c>
      <c r="AT391" s="118">
        <v>10567.95</v>
      </c>
      <c r="AU391" s="118">
        <v>10567.95</v>
      </c>
      <c r="AV391" s="118">
        <v>10567.95</v>
      </c>
      <c r="AW391" s="118">
        <v>10567.95</v>
      </c>
      <c r="AX391" s="118">
        <v>10567.95</v>
      </c>
      <c r="AY391" s="119"/>
      <c r="AZ391" s="119"/>
      <c r="BA391" s="119"/>
      <c r="BB391" s="119"/>
      <c r="BC391" s="119"/>
      <c r="BD391" s="119"/>
      <c r="BE391" s="119"/>
      <c r="BF391" s="127">
        <v>25049015</v>
      </c>
      <c r="BG391" s="97" t="s">
        <v>350</v>
      </c>
      <c r="BH391" s="127">
        <v>10567.95</v>
      </c>
      <c r="BI391" s="127">
        <v>25049015</v>
      </c>
      <c r="BJ391" s="97" t="s">
        <v>350</v>
      </c>
      <c r="BK391" s="127">
        <v>10567.95</v>
      </c>
    </row>
    <row r="392" spans="1:63" x14ac:dyDescent="0.25">
      <c r="B392" s="121">
        <v>25049020</v>
      </c>
      <c r="C392" s="122" t="s">
        <v>351</v>
      </c>
      <c r="D392" s="123">
        <v>10156.450000000001</v>
      </c>
      <c r="E392" s="123">
        <v>10493.05</v>
      </c>
      <c r="F392" s="123">
        <v>10608.85</v>
      </c>
      <c r="G392" s="123">
        <v>11267.37</v>
      </c>
      <c r="H392" s="123">
        <v>10555.5</v>
      </c>
      <c r="I392" s="123">
        <v>10947.3</v>
      </c>
      <c r="J392" s="123">
        <v>9889.0499999999993</v>
      </c>
      <c r="K392" s="123">
        <v>11228.85</v>
      </c>
      <c r="L392" s="123">
        <v>10499.2</v>
      </c>
      <c r="M392" s="123">
        <v>10284.52</v>
      </c>
      <c r="N392" s="123">
        <v>10544.35</v>
      </c>
      <c r="O392" s="123">
        <v>11355.9</v>
      </c>
      <c r="P392" s="123">
        <v>9889.0499999999993</v>
      </c>
      <c r="Q392" s="123">
        <v>9889.0499999999993</v>
      </c>
      <c r="R392" s="123">
        <v>10082.950000000001</v>
      </c>
      <c r="S392" s="123">
        <v>10004.049999999999</v>
      </c>
      <c r="T392" s="123">
        <v>10044</v>
      </c>
      <c r="U392" s="123">
        <v>10044</v>
      </c>
      <c r="V392" s="123">
        <v>10044</v>
      </c>
      <c r="W392" s="123">
        <v>10044</v>
      </c>
      <c r="X392" s="123">
        <v>10044</v>
      </c>
      <c r="Y392" s="123">
        <v>10044</v>
      </c>
      <c r="Z392" s="123">
        <v>10044</v>
      </c>
      <c r="AA392" s="123">
        <v>10044</v>
      </c>
      <c r="AB392" s="123">
        <v>10044</v>
      </c>
      <c r="AC392" s="124">
        <v>10044</v>
      </c>
      <c r="AD392" s="124">
        <v>10044</v>
      </c>
      <c r="AE392" s="124">
        <v>10044</v>
      </c>
      <c r="AF392" s="124">
        <v>10044</v>
      </c>
      <c r="AG392" s="124">
        <v>10044</v>
      </c>
      <c r="AH392" s="124">
        <v>10044</v>
      </c>
      <c r="AI392" s="124">
        <v>10044</v>
      </c>
      <c r="AJ392" s="124">
        <v>10044</v>
      </c>
      <c r="AK392" s="124">
        <v>10044</v>
      </c>
      <c r="AL392" s="124">
        <v>10044</v>
      </c>
      <c r="AM392" s="124">
        <v>10044</v>
      </c>
      <c r="AN392" s="124">
        <v>10044</v>
      </c>
      <c r="AO392" s="125">
        <v>10044</v>
      </c>
      <c r="AP392" s="125">
        <v>10044</v>
      </c>
      <c r="AQ392" s="125">
        <v>10044</v>
      </c>
      <c r="AR392" s="125">
        <v>10044</v>
      </c>
      <c r="AS392" s="125">
        <v>10044</v>
      </c>
      <c r="AT392" s="125">
        <v>10044</v>
      </c>
      <c r="AU392" s="125">
        <v>10044</v>
      </c>
      <c r="AV392" s="125">
        <v>10044</v>
      </c>
      <c r="AW392" s="125">
        <v>10044</v>
      </c>
      <c r="AX392" s="125">
        <v>10044</v>
      </c>
      <c r="AY392" s="126"/>
      <c r="AZ392" s="126"/>
      <c r="BA392" s="126"/>
      <c r="BB392" s="126"/>
      <c r="BC392" s="126"/>
      <c r="BD392" s="126"/>
      <c r="BE392" s="126"/>
      <c r="BF392" s="127">
        <v>25049020</v>
      </c>
      <c r="BG392" s="97" t="s">
        <v>351</v>
      </c>
      <c r="BH392" s="127">
        <v>10044</v>
      </c>
      <c r="BI392" s="127">
        <v>25049020</v>
      </c>
      <c r="BJ392" s="97" t="s">
        <v>351</v>
      </c>
      <c r="BK392" s="127">
        <v>10044</v>
      </c>
    </row>
    <row r="393" spans="1:63" x14ac:dyDescent="0.25">
      <c r="B393" s="121">
        <v>25049030</v>
      </c>
      <c r="C393" s="122" t="s">
        <v>352</v>
      </c>
      <c r="D393" s="123">
        <v>6378.08</v>
      </c>
      <c r="E393" s="123">
        <v>6829.36</v>
      </c>
      <c r="F393" s="123">
        <v>6645.6</v>
      </c>
      <c r="G393" s="123">
        <v>7280.64</v>
      </c>
      <c r="H393" s="123">
        <v>6804.36</v>
      </c>
      <c r="I393" s="123">
        <v>7121.88</v>
      </c>
      <c r="J393" s="123">
        <v>6010.56</v>
      </c>
      <c r="K393" s="123">
        <v>7439.4</v>
      </c>
      <c r="L393" s="123">
        <v>6645.6</v>
      </c>
      <c r="M393" s="123">
        <v>6486.84</v>
      </c>
      <c r="N393" s="123">
        <v>6645.6</v>
      </c>
      <c r="O393" s="123">
        <v>7280.64</v>
      </c>
      <c r="P393" s="123">
        <v>6010.56</v>
      </c>
      <c r="Q393" s="123">
        <v>6010.56</v>
      </c>
      <c r="R393" s="123">
        <v>6169.32</v>
      </c>
      <c r="S393" s="123">
        <v>6010.56</v>
      </c>
      <c r="T393" s="123">
        <v>6169.32</v>
      </c>
      <c r="U393" s="123">
        <v>6169.32</v>
      </c>
      <c r="V393" s="123">
        <v>6169.32</v>
      </c>
      <c r="W393" s="123">
        <v>6169.32</v>
      </c>
      <c r="X393" s="123">
        <v>6169.32</v>
      </c>
      <c r="Y393" s="123">
        <v>6169.32</v>
      </c>
      <c r="Z393" s="123">
        <v>6169.32</v>
      </c>
      <c r="AA393" s="123">
        <v>6169.32</v>
      </c>
      <c r="AB393" s="123">
        <v>6169.32</v>
      </c>
      <c r="AC393" s="124">
        <v>6169.32</v>
      </c>
      <c r="AD393" s="124">
        <v>6169.32</v>
      </c>
      <c r="AE393" s="124">
        <v>6169.32</v>
      </c>
      <c r="AF393" s="124">
        <v>6169.32</v>
      </c>
      <c r="AG393" s="124">
        <v>6169.32</v>
      </c>
      <c r="AH393" s="124">
        <v>6169.32</v>
      </c>
      <c r="AI393" s="124">
        <v>6169.32</v>
      </c>
      <c r="AJ393" s="124">
        <v>6169.32</v>
      </c>
      <c r="AK393" s="124">
        <v>6169.32</v>
      </c>
      <c r="AL393" s="124">
        <v>6169.32</v>
      </c>
      <c r="AM393" s="124">
        <v>6169.32</v>
      </c>
      <c r="AN393" s="124">
        <v>6169.32</v>
      </c>
      <c r="AO393" s="125">
        <v>6169.32</v>
      </c>
      <c r="AP393" s="125">
        <v>6169.32</v>
      </c>
      <c r="AQ393" s="125">
        <v>6169.32</v>
      </c>
      <c r="AR393" s="125">
        <v>6169.32</v>
      </c>
      <c r="AS393" s="125">
        <v>6169.32</v>
      </c>
      <c r="AT393" s="125">
        <v>6169.32</v>
      </c>
      <c r="AU393" s="125">
        <v>6169.32</v>
      </c>
      <c r="AV393" s="125">
        <v>6169.32</v>
      </c>
      <c r="AW393" s="125">
        <v>6169.32</v>
      </c>
      <c r="AX393" s="125">
        <v>6169.32</v>
      </c>
      <c r="AY393" s="126"/>
      <c r="AZ393" s="126"/>
      <c r="BA393" s="126"/>
      <c r="BB393" s="126"/>
      <c r="BC393" s="126"/>
      <c r="BD393" s="126"/>
      <c r="BE393" s="126"/>
      <c r="BF393" s="127">
        <v>25049030</v>
      </c>
      <c r="BG393" s="97" t="s">
        <v>352</v>
      </c>
      <c r="BH393" s="127">
        <v>6169.32</v>
      </c>
      <c r="BI393" s="127">
        <v>25049030</v>
      </c>
      <c r="BJ393" s="97" t="s">
        <v>352</v>
      </c>
      <c r="BK393" s="127">
        <v>6169.32</v>
      </c>
    </row>
    <row r="394" spans="1:63" x14ac:dyDescent="0.25">
      <c r="B394" s="121">
        <v>25049045</v>
      </c>
      <c r="C394" s="122" t="s">
        <v>353</v>
      </c>
      <c r="D394" s="123">
        <v>9096.2900000000009</v>
      </c>
      <c r="E394" s="123">
        <v>9096.2900000000009</v>
      </c>
      <c r="F394" s="123">
        <v>9096.2900000000009</v>
      </c>
      <c r="G394" s="123">
        <v>9096.2900000000009</v>
      </c>
      <c r="H394" s="123">
        <v>9096.2900000000009</v>
      </c>
      <c r="I394" s="123">
        <v>9096.2900000000009</v>
      </c>
      <c r="J394" s="123">
        <v>9096.2900000000009</v>
      </c>
      <c r="K394" s="123">
        <v>9096.2900000000009</v>
      </c>
      <c r="L394" s="123">
        <v>9096.2900000000009</v>
      </c>
      <c r="M394" s="123">
        <v>9096.2900000000009</v>
      </c>
      <c r="N394" s="123">
        <v>9096.2900000000009</v>
      </c>
      <c r="O394" s="123">
        <v>11220.8</v>
      </c>
      <c r="P394" s="123">
        <v>12292</v>
      </c>
      <c r="Q394" s="123">
        <v>12305.5</v>
      </c>
      <c r="R394" s="123">
        <v>12312.56</v>
      </c>
      <c r="S394" s="123">
        <v>11233.06</v>
      </c>
      <c r="T394" s="123">
        <v>10164.85</v>
      </c>
      <c r="U394" s="123">
        <v>13362.42</v>
      </c>
      <c r="V394" s="123">
        <v>12301.97</v>
      </c>
      <c r="W394" s="123">
        <v>10164.85</v>
      </c>
      <c r="X394" s="123">
        <v>12832.37</v>
      </c>
      <c r="Y394" s="123">
        <v>17120.73</v>
      </c>
      <c r="Z394" s="123">
        <v>12305.5</v>
      </c>
      <c r="AA394" s="123">
        <v>13381.12</v>
      </c>
      <c r="AB394" s="123">
        <v>11233.41</v>
      </c>
      <c r="AC394" s="124">
        <v>10165.73</v>
      </c>
      <c r="AD394" s="124">
        <v>12844.18</v>
      </c>
      <c r="AE394" s="124">
        <v>16587.650000000001</v>
      </c>
      <c r="AF394" s="124">
        <v>13376.61</v>
      </c>
      <c r="AG394" s="124">
        <v>15523.81</v>
      </c>
      <c r="AH394" s="124">
        <v>20322.689999999999</v>
      </c>
      <c r="AI394" s="124">
        <v>17129.23</v>
      </c>
      <c r="AJ394" s="124">
        <v>24091.91</v>
      </c>
      <c r="AK394" s="124">
        <v>35422.239999999998</v>
      </c>
      <c r="AL394" s="124">
        <v>39280.449999999997</v>
      </c>
      <c r="AM394" s="124">
        <v>60882.71</v>
      </c>
      <c r="AN394" s="124">
        <v>32190.92</v>
      </c>
      <c r="AO394" s="125">
        <v>47339.99</v>
      </c>
      <c r="AP394" s="125">
        <v>120161.41</v>
      </c>
      <c r="AQ394" s="125">
        <v>63036.17</v>
      </c>
      <c r="AR394" s="125">
        <v>91155.96</v>
      </c>
      <c r="AS394" s="125">
        <v>62510.06</v>
      </c>
      <c r="AT394" s="125">
        <v>65624.039999999994</v>
      </c>
      <c r="AU394" s="125">
        <v>82089.789999999994</v>
      </c>
      <c r="AV394" s="125">
        <v>100776.78</v>
      </c>
      <c r="AW394" s="125">
        <v>61776.55</v>
      </c>
      <c r="AX394" s="125">
        <v>53840.97</v>
      </c>
      <c r="AY394" s="126"/>
      <c r="AZ394" s="126"/>
      <c r="BA394" s="126"/>
      <c r="BB394" s="126"/>
      <c r="BC394" s="126"/>
      <c r="BD394" s="126"/>
      <c r="BE394" s="126"/>
      <c r="BF394" s="127">
        <v>25049045</v>
      </c>
      <c r="BG394" s="97" t="s">
        <v>353</v>
      </c>
      <c r="BH394" s="127">
        <v>20322.689999999999</v>
      </c>
      <c r="BI394" s="127">
        <v>25049045</v>
      </c>
      <c r="BJ394" s="97" t="s">
        <v>353</v>
      </c>
      <c r="BK394" s="127">
        <v>17129.23</v>
      </c>
    </row>
    <row r="395" spans="1:63" x14ac:dyDescent="0.25">
      <c r="B395" s="121">
        <v>25049050</v>
      </c>
      <c r="C395" s="122" t="s">
        <v>354</v>
      </c>
      <c r="D395" s="123">
        <v>7719.51</v>
      </c>
      <c r="E395" s="123">
        <v>7809.51</v>
      </c>
      <c r="F395" s="123">
        <v>7929.51</v>
      </c>
      <c r="G395" s="123">
        <v>8229.51</v>
      </c>
      <c r="H395" s="123">
        <v>8529.51</v>
      </c>
      <c r="I395" s="123">
        <v>8199.51</v>
      </c>
      <c r="J395" s="123">
        <v>7989.51</v>
      </c>
      <c r="K395" s="123">
        <v>7989.51</v>
      </c>
      <c r="L395" s="123">
        <v>8199.51</v>
      </c>
      <c r="M395" s="123">
        <v>8139.51</v>
      </c>
      <c r="N395" s="123">
        <v>7779.51</v>
      </c>
      <c r="O395" s="123">
        <v>7659.51</v>
      </c>
      <c r="P395" s="123">
        <v>7689.51</v>
      </c>
      <c r="Q395" s="123">
        <v>7809.51</v>
      </c>
      <c r="R395" s="123">
        <v>7839.51</v>
      </c>
      <c r="S395" s="123">
        <v>7869.51</v>
      </c>
      <c r="T395" s="123">
        <v>7749.51</v>
      </c>
      <c r="U395" s="123">
        <v>7779.51</v>
      </c>
      <c r="V395" s="123">
        <v>7689.51</v>
      </c>
      <c r="W395" s="123">
        <v>7539.51</v>
      </c>
      <c r="X395" s="123">
        <v>7689.51</v>
      </c>
      <c r="Y395" s="123">
        <v>7839.51</v>
      </c>
      <c r="Z395" s="123">
        <v>7749.51</v>
      </c>
      <c r="AA395" s="123">
        <v>7809.51</v>
      </c>
      <c r="AB395" s="123">
        <v>7749.51</v>
      </c>
      <c r="AC395" s="124">
        <v>7809.51</v>
      </c>
      <c r="AD395" s="124">
        <v>7719.51</v>
      </c>
      <c r="AE395" s="124">
        <v>7779.51</v>
      </c>
      <c r="AF395" s="124">
        <v>7869.51</v>
      </c>
      <c r="AG395" s="124">
        <v>7929.51</v>
      </c>
      <c r="AH395" s="124">
        <v>7839.51</v>
      </c>
      <c r="AI395" s="124">
        <v>7839.51</v>
      </c>
      <c r="AJ395" s="124">
        <v>7839.51</v>
      </c>
      <c r="AK395" s="124">
        <v>7869.51</v>
      </c>
      <c r="AL395" s="124">
        <v>7869.51</v>
      </c>
      <c r="AM395" s="124">
        <v>7836.26</v>
      </c>
      <c r="AN395" s="124">
        <v>7712.02</v>
      </c>
      <c r="AO395" s="125">
        <v>7742.02</v>
      </c>
      <c r="AP395" s="125">
        <v>7832.02</v>
      </c>
      <c r="AQ395" s="125">
        <v>7732.02</v>
      </c>
      <c r="AR395" s="125">
        <v>7802.02</v>
      </c>
      <c r="AS395" s="125">
        <v>7742.02</v>
      </c>
      <c r="AT395" s="125">
        <v>7742.02</v>
      </c>
      <c r="AU395" s="125">
        <v>7742.02</v>
      </c>
      <c r="AV395" s="125">
        <v>7742.02</v>
      </c>
      <c r="AW395" s="125">
        <v>7712.02</v>
      </c>
      <c r="AX395" s="125">
        <v>7712.02</v>
      </c>
      <c r="AY395" s="126"/>
      <c r="AZ395" s="126"/>
      <c r="BA395" s="126"/>
      <c r="BB395" s="126"/>
      <c r="BC395" s="126"/>
      <c r="BD395" s="126"/>
      <c r="BE395" s="126"/>
      <c r="BF395" s="127">
        <v>25049050</v>
      </c>
      <c r="BG395" s="97" t="s">
        <v>354</v>
      </c>
      <c r="BH395" s="127">
        <v>7839.51</v>
      </c>
      <c r="BI395" s="127">
        <v>25049050</v>
      </c>
      <c r="BJ395" s="97" t="s">
        <v>354</v>
      </c>
      <c r="BK395" s="127">
        <v>7839.51</v>
      </c>
    </row>
    <row r="396" spans="1:63" x14ac:dyDescent="0.25">
      <c r="B396" s="121">
        <v>25049055</v>
      </c>
      <c r="C396" s="122" t="s">
        <v>355</v>
      </c>
      <c r="D396" s="123">
        <v>3571.68</v>
      </c>
      <c r="E396" s="123">
        <v>3571.68</v>
      </c>
      <c r="F396" s="123">
        <v>3571.68</v>
      </c>
      <c r="G396" s="123">
        <v>3571.68</v>
      </c>
      <c r="H396" s="123">
        <v>3571.68</v>
      </c>
      <c r="I396" s="123">
        <v>3571.68</v>
      </c>
      <c r="J396" s="123">
        <v>3571.68</v>
      </c>
      <c r="K396" s="123">
        <v>3571.68</v>
      </c>
      <c r="L396" s="123">
        <v>3571.68</v>
      </c>
      <c r="M396" s="123">
        <v>3571.68</v>
      </c>
      <c r="N396" s="123">
        <v>3571.68</v>
      </c>
      <c r="O396" s="123">
        <v>3571.68</v>
      </c>
      <c r="P396" s="123">
        <v>3571.68</v>
      </c>
      <c r="Q396" s="123">
        <v>3571.68</v>
      </c>
      <c r="R396" s="123">
        <v>3571.68</v>
      </c>
      <c r="S396" s="123">
        <v>3571.68</v>
      </c>
      <c r="T396" s="123">
        <v>3571.68</v>
      </c>
      <c r="U396" s="123">
        <v>3571.68</v>
      </c>
      <c r="V396" s="123">
        <v>3571.68</v>
      </c>
      <c r="W396" s="123">
        <v>3571.68</v>
      </c>
      <c r="X396" s="123">
        <v>3571.68</v>
      </c>
      <c r="Y396" s="123">
        <v>3571.68</v>
      </c>
      <c r="Z396" s="123">
        <v>3571.68</v>
      </c>
      <c r="AA396" s="123">
        <v>3571.68</v>
      </c>
      <c r="AB396" s="123">
        <v>3571.68</v>
      </c>
      <c r="AC396" s="124">
        <v>3571.68</v>
      </c>
      <c r="AD396" s="124">
        <v>3571.68</v>
      </c>
      <c r="AE396" s="124">
        <v>3571.68</v>
      </c>
      <c r="AF396" s="124">
        <v>3571.68</v>
      </c>
      <c r="AG396" s="124">
        <v>3571.68</v>
      </c>
      <c r="AH396" s="124">
        <v>3571.68</v>
      </c>
      <c r="AI396" s="124">
        <v>3571.68</v>
      </c>
      <c r="AJ396" s="124">
        <v>3571.68</v>
      </c>
      <c r="AK396" s="124">
        <v>3571.68</v>
      </c>
      <c r="AL396" s="124">
        <v>3571.68</v>
      </c>
      <c r="AM396" s="124">
        <v>3571.68</v>
      </c>
      <c r="AN396" s="124">
        <v>3571.68</v>
      </c>
      <c r="AO396" s="125">
        <v>3571.68</v>
      </c>
      <c r="AP396" s="125">
        <v>3571.68</v>
      </c>
      <c r="AQ396" s="125">
        <v>3571.68</v>
      </c>
      <c r="AR396" s="125">
        <v>3571.68</v>
      </c>
      <c r="AS396" s="125">
        <v>3571.68</v>
      </c>
      <c r="AT396" s="125">
        <v>3571.68</v>
      </c>
      <c r="AU396" s="125">
        <v>3571.68</v>
      </c>
      <c r="AV396" s="125">
        <v>3571.68</v>
      </c>
      <c r="AW396" s="125">
        <v>3571.68</v>
      </c>
      <c r="AX396" s="125">
        <v>3571.68</v>
      </c>
      <c r="AY396" s="126"/>
      <c r="AZ396" s="126"/>
      <c r="BA396" s="126"/>
      <c r="BB396" s="126"/>
      <c r="BC396" s="126"/>
      <c r="BD396" s="126"/>
      <c r="BE396" s="126"/>
      <c r="BF396" s="127">
        <v>25049055</v>
      </c>
      <c r="BG396" s="97" t="s">
        <v>355</v>
      </c>
      <c r="BH396" s="127">
        <v>3571.68</v>
      </c>
      <c r="BI396" s="127">
        <v>25049055</v>
      </c>
      <c r="BJ396" s="97" t="s">
        <v>355</v>
      </c>
      <c r="BK396" s="127">
        <v>3571.68</v>
      </c>
    </row>
    <row r="397" spans="1:63" x14ac:dyDescent="0.25">
      <c r="B397" s="121">
        <v>25049070</v>
      </c>
      <c r="C397" s="122" t="s">
        <v>356</v>
      </c>
      <c r="D397" s="123">
        <v>871.78</v>
      </c>
      <c r="E397" s="123">
        <v>871.78</v>
      </c>
      <c r="F397" s="123">
        <v>871.78</v>
      </c>
      <c r="G397" s="123">
        <v>871.78</v>
      </c>
      <c r="H397" s="123">
        <v>871.78</v>
      </c>
      <c r="I397" s="123">
        <v>871.78</v>
      </c>
      <c r="J397" s="123">
        <v>871.78</v>
      </c>
      <c r="K397" s="123">
        <v>871.78</v>
      </c>
      <c r="L397" s="123">
        <v>871.78</v>
      </c>
      <c r="M397" s="123">
        <v>871.78</v>
      </c>
      <c r="N397" s="123">
        <v>871.78</v>
      </c>
      <c r="O397" s="123">
        <v>871.78</v>
      </c>
      <c r="P397" s="123">
        <v>871.78</v>
      </c>
      <c r="Q397" s="123">
        <v>871.78</v>
      </c>
      <c r="R397" s="123">
        <v>871.78</v>
      </c>
      <c r="S397" s="123">
        <v>871.78</v>
      </c>
      <c r="T397" s="123">
        <v>871.78</v>
      </c>
      <c r="U397" s="123">
        <v>871.78</v>
      </c>
      <c r="V397" s="123">
        <v>1347.78</v>
      </c>
      <c r="W397" s="123">
        <v>871.78</v>
      </c>
      <c r="X397" s="123">
        <v>871.78</v>
      </c>
      <c r="Y397" s="123">
        <v>871.78</v>
      </c>
      <c r="Z397" s="123">
        <v>871.78</v>
      </c>
      <c r="AA397" s="123">
        <v>871.78</v>
      </c>
      <c r="AB397" s="123">
        <v>871.78</v>
      </c>
      <c r="AC397" s="124">
        <v>871.78</v>
      </c>
      <c r="AD397" s="124">
        <v>871.78</v>
      </c>
      <c r="AE397" s="124">
        <v>871.78</v>
      </c>
      <c r="AF397" s="124">
        <v>871.78</v>
      </c>
      <c r="AG397" s="124">
        <v>871.78</v>
      </c>
      <c r="AH397" s="124">
        <v>871.78</v>
      </c>
      <c r="AI397" s="124">
        <v>871.78</v>
      </c>
      <c r="AJ397" s="124">
        <v>871.78</v>
      </c>
      <c r="AK397" s="124">
        <v>871.78</v>
      </c>
      <c r="AL397" s="124">
        <v>871.78</v>
      </c>
      <c r="AM397" s="124">
        <v>871.78</v>
      </c>
      <c r="AN397" s="124">
        <v>871.78</v>
      </c>
      <c r="AO397" s="125">
        <v>871.78</v>
      </c>
      <c r="AP397" s="125">
        <v>871.78</v>
      </c>
      <c r="AQ397" s="125">
        <v>871.78</v>
      </c>
      <c r="AR397" s="125">
        <v>871.78</v>
      </c>
      <c r="AS397" s="125">
        <v>871.78</v>
      </c>
      <c r="AT397" s="125">
        <v>871.78</v>
      </c>
      <c r="AU397" s="125">
        <v>871.78</v>
      </c>
      <c r="AV397" s="125">
        <v>871.78</v>
      </c>
      <c r="AW397" s="125">
        <v>871.78</v>
      </c>
      <c r="AX397" s="125">
        <v>871.78</v>
      </c>
      <c r="AY397" s="126"/>
      <c r="AZ397" s="126"/>
      <c r="BA397" s="126"/>
      <c r="BB397" s="126"/>
      <c r="BC397" s="126"/>
      <c r="BD397" s="126"/>
      <c r="BE397" s="126"/>
      <c r="BF397" s="127">
        <v>25049070</v>
      </c>
      <c r="BG397" s="97" t="s">
        <v>356</v>
      </c>
      <c r="BH397" s="127">
        <v>871.78</v>
      </c>
      <c r="BI397" s="127">
        <v>25049070</v>
      </c>
      <c r="BJ397" s="97" t="s">
        <v>356</v>
      </c>
      <c r="BK397" s="127">
        <v>871.78</v>
      </c>
    </row>
    <row r="398" spans="1:63" s="113" customFormat="1" x14ac:dyDescent="0.25">
      <c r="A398" s="97"/>
      <c r="B398" s="121">
        <v>25049080</v>
      </c>
      <c r="C398" s="122" t="s">
        <v>357</v>
      </c>
      <c r="D398" s="123">
        <v>541.28</v>
      </c>
      <c r="E398" s="123">
        <v>541.28</v>
      </c>
      <c r="F398" s="123">
        <v>541.28</v>
      </c>
      <c r="G398" s="123">
        <v>541.28</v>
      </c>
      <c r="H398" s="123">
        <v>541.28</v>
      </c>
      <c r="I398" s="123">
        <v>541.28</v>
      </c>
      <c r="J398" s="123">
        <v>541.28</v>
      </c>
      <c r="K398" s="123">
        <v>541.28</v>
      </c>
      <c r="L398" s="123">
        <v>541.28</v>
      </c>
      <c r="M398" s="123">
        <v>541.28</v>
      </c>
      <c r="N398" s="123">
        <v>541.28</v>
      </c>
      <c r="O398" s="123">
        <v>541.28</v>
      </c>
      <c r="P398" s="123">
        <v>541.28</v>
      </c>
      <c r="Q398" s="123">
        <v>541.28</v>
      </c>
      <c r="R398" s="123">
        <v>541.28</v>
      </c>
      <c r="S398" s="123">
        <v>541.28</v>
      </c>
      <c r="T398" s="123">
        <v>541.28</v>
      </c>
      <c r="U398" s="123">
        <v>541.28</v>
      </c>
      <c r="V398" s="123">
        <v>541.28</v>
      </c>
      <c r="W398" s="123">
        <v>541.28</v>
      </c>
      <c r="X398" s="123">
        <v>541.28</v>
      </c>
      <c r="Y398" s="123">
        <v>541.28</v>
      </c>
      <c r="Z398" s="123">
        <v>541.28</v>
      </c>
      <c r="AA398" s="123">
        <v>541.28</v>
      </c>
      <c r="AB398" s="123">
        <v>541.28</v>
      </c>
      <c r="AC398" s="124">
        <v>541.28</v>
      </c>
      <c r="AD398" s="124">
        <v>541.28</v>
      </c>
      <c r="AE398" s="124">
        <v>541.28</v>
      </c>
      <c r="AF398" s="124">
        <v>541.28</v>
      </c>
      <c r="AG398" s="124">
        <v>541.28</v>
      </c>
      <c r="AH398" s="124">
        <v>541.28</v>
      </c>
      <c r="AI398" s="124">
        <v>541.28</v>
      </c>
      <c r="AJ398" s="124">
        <v>541.28</v>
      </c>
      <c r="AK398" s="124">
        <v>541.28</v>
      </c>
      <c r="AL398" s="124">
        <v>541.28</v>
      </c>
      <c r="AM398" s="124">
        <v>541.28</v>
      </c>
      <c r="AN398" s="124">
        <v>541.28</v>
      </c>
      <c r="AO398" s="125">
        <v>541.28</v>
      </c>
      <c r="AP398" s="125">
        <v>541.28</v>
      </c>
      <c r="AQ398" s="125">
        <v>541.28</v>
      </c>
      <c r="AR398" s="125">
        <v>541.28</v>
      </c>
      <c r="AS398" s="125">
        <v>541.28</v>
      </c>
      <c r="AT398" s="125">
        <v>541.28</v>
      </c>
      <c r="AU398" s="125">
        <v>541.28</v>
      </c>
      <c r="AV398" s="125">
        <v>541.28</v>
      </c>
      <c r="AW398" s="125">
        <v>541.28</v>
      </c>
      <c r="AX398" s="125">
        <v>541.28</v>
      </c>
      <c r="AY398" s="126"/>
      <c r="AZ398" s="126"/>
      <c r="BA398" s="126"/>
      <c r="BB398" s="126"/>
      <c r="BC398" s="126"/>
      <c r="BD398" s="126"/>
      <c r="BE398" s="126"/>
      <c r="BF398" s="127">
        <v>25049080</v>
      </c>
      <c r="BG398" s="97" t="s">
        <v>357</v>
      </c>
      <c r="BH398" s="127">
        <v>541.28</v>
      </c>
      <c r="BI398" s="127">
        <v>25049080</v>
      </c>
      <c r="BJ398" s="97" t="s">
        <v>357</v>
      </c>
      <c r="BK398" s="127">
        <v>541.28</v>
      </c>
    </row>
    <row r="399" spans="1:63" x14ac:dyDescent="0.25">
      <c r="B399" s="121">
        <v>25049085</v>
      </c>
      <c r="C399" s="122" t="s">
        <v>358</v>
      </c>
      <c r="D399" s="123">
        <v>180.64</v>
      </c>
      <c r="E399" s="123">
        <v>180.64</v>
      </c>
      <c r="F399" s="123">
        <v>180.64</v>
      </c>
      <c r="G399" s="123">
        <v>180.64</v>
      </c>
      <c r="H399" s="123">
        <v>180.64</v>
      </c>
      <c r="I399" s="123">
        <v>180.64</v>
      </c>
      <c r="J399" s="123">
        <v>180.64</v>
      </c>
      <c r="K399" s="123">
        <v>180.64</v>
      </c>
      <c r="L399" s="123">
        <v>180.64</v>
      </c>
      <c r="M399" s="123">
        <v>180.64</v>
      </c>
      <c r="N399" s="123">
        <v>180.64</v>
      </c>
      <c r="O399" s="123">
        <v>180.64</v>
      </c>
      <c r="P399" s="123">
        <v>180.64</v>
      </c>
      <c r="Q399" s="123">
        <v>180.64</v>
      </c>
      <c r="R399" s="123">
        <v>180.64</v>
      </c>
      <c r="S399" s="123">
        <v>180.64</v>
      </c>
      <c r="T399" s="123">
        <v>180.64</v>
      </c>
      <c r="U399" s="123">
        <v>180.64</v>
      </c>
      <c r="V399" s="123">
        <v>180.64</v>
      </c>
      <c r="W399" s="123">
        <v>180.64</v>
      </c>
      <c r="X399" s="123">
        <v>180.64</v>
      </c>
      <c r="Y399" s="123">
        <v>180.64</v>
      </c>
      <c r="Z399" s="123">
        <v>180.64</v>
      </c>
      <c r="AA399" s="123">
        <v>180.64</v>
      </c>
      <c r="AB399" s="123">
        <v>180.64</v>
      </c>
      <c r="AC399" s="124">
        <v>180.64</v>
      </c>
      <c r="AD399" s="124">
        <v>180.64</v>
      </c>
      <c r="AE399" s="124">
        <v>180.64</v>
      </c>
      <c r="AF399" s="124">
        <v>180.64</v>
      </c>
      <c r="AG399" s="124">
        <v>180.64</v>
      </c>
      <c r="AH399" s="124">
        <v>180.64</v>
      </c>
      <c r="AI399" s="124">
        <v>180.64</v>
      </c>
      <c r="AJ399" s="124">
        <v>180.64</v>
      </c>
      <c r="AK399" s="124">
        <v>180.64</v>
      </c>
      <c r="AL399" s="124">
        <v>180.64</v>
      </c>
      <c r="AM399" s="124">
        <v>180.64</v>
      </c>
      <c r="AN399" s="124">
        <v>180.64</v>
      </c>
      <c r="AO399" s="125">
        <v>180.64</v>
      </c>
      <c r="AP399" s="125">
        <v>180.64</v>
      </c>
      <c r="AQ399" s="125">
        <v>180.64</v>
      </c>
      <c r="AR399" s="125">
        <v>180.64</v>
      </c>
      <c r="AS399" s="125">
        <v>180.64</v>
      </c>
      <c r="AT399" s="125">
        <v>180.64</v>
      </c>
      <c r="AU399" s="125">
        <v>180.64</v>
      </c>
      <c r="AV399" s="125">
        <v>180.64</v>
      </c>
      <c r="AW399" s="125">
        <v>180.64</v>
      </c>
      <c r="AX399" s="125">
        <v>180.64</v>
      </c>
      <c r="AY399" s="126"/>
      <c r="AZ399" s="126"/>
      <c r="BA399" s="126"/>
      <c r="BB399" s="126"/>
      <c r="BC399" s="126"/>
      <c r="BD399" s="126"/>
      <c r="BE399" s="126"/>
      <c r="BF399" s="127">
        <v>25049085</v>
      </c>
      <c r="BG399" s="97" t="s">
        <v>358</v>
      </c>
      <c r="BH399" s="127">
        <v>180.64</v>
      </c>
      <c r="BI399" s="127">
        <v>25049085</v>
      </c>
      <c r="BJ399" s="97" t="s">
        <v>358</v>
      </c>
      <c r="BK399" s="127">
        <v>180.64</v>
      </c>
    </row>
    <row r="400" spans="1:63" x14ac:dyDescent="0.25">
      <c r="B400" s="121">
        <v>25049086</v>
      </c>
      <c r="C400" s="122" t="s">
        <v>359</v>
      </c>
      <c r="D400" s="123">
        <v>672</v>
      </c>
      <c r="E400" s="123">
        <v>672</v>
      </c>
      <c r="F400" s="123">
        <v>672</v>
      </c>
      <c r="G400" s="123">
        <v>672</v>
      </c>
      <c r="H400" s="123">
        <v>672</v>
      </c>
      <c r="I400" s="123">
        <v>672</v>
      </c>
      <c r="J400" s="123">
        <v>672</v>
      </c>
      <c r="K400" s="123">
        <v>672</v>
      </c>
      <c r="L400" s="123">
        <v>672</v>
      </c>
      <c r="M400" s="123">
        <v>672</v>
      </c>
      <c r="N400" s="123">
        <v>672</v>
      </c>
      <c r="O400" s="123">
        <v>672</v>
      </c>
      <c r="P400" s="123">
        <v>672</v>
      </c>
      <c r="Q400" s="123">
        <v>672</v>
      </c>
      <c r="R400" s="123">
        <v>672</v>
      </c>
      <c r="S400" s="123">
        <v>672</v>
      </c>
      <c r="T400" s="123">
        <v>672</v>
      </c>
      <c r="U400" s="123">
        <v>672</v>
      </c>
      <c r="V400" s="123">
        <v>672</v>
      </c>
      <c r="W400" s="123">
        <v>672</v>
      </c>
      <c r="X400" s="123">
        <v>672</v>
      </c>
      <c r="Y400" s="123">
        <v>672</v>
      </c>
      <c r="Z400" s="123">
        <v>672</v>
      </c>
      <c r="AA400" s="123">
        <v>672</v>
      </c>
      <c r="AB400" s="123">
        <v>672</v>
      </c>
      <c r="AC400" s="124">
        <v>672</v>
      </c>
      <c r="AD400" s="124">
        <v>672</v>
      </c>
      <c r="AE400" s="124">
        <v>672</v>
      </c>
      <c r="AF400" s="124">
        <v>672</v>
      </c>
      <c r="AG400" s="124">
        <v>672</v>
      </c>
      <c r="AH400" s="124">
        <v>672</v>
      </c>
      <c r="AI400" s="124">
        <v>672</v>
      </c>
      <c r="AJ400" s="124">
        <v>672</v>
      </c>
      <c r="AK400" s="124">
        <v>672</v>
      </c>
      <c r="AL400" s="124">
        <v>672</v>
      </c>
      <c r="AM400" s="124">
        <v>672</v>
      </c>
      <c r="AN400" s="124">
        <v>672</v>
      </c>
      <c r="AO400" s="125">
        <v>672</v>
      </c>
      <c r="AP400" s="125">
        <v>672</v>
      </c>
      <c r="AQ400" s="125">
        <v>672</v>
      </c>
      <c r="AR400" s="125">
        <v>672</v>
      </c>
      <c r="AS400" s="125">
        <v>672</v>
      </c>
      <c r="AT400" s="125">
        <v>672</v>
      </c>
      <c r="AU400" s="125">
        <v>672</v>
      </c>
      <c r="AV400" s="125">
        <v>672</v>
      </c>
      <c r="AW400" s="125">
        <v>672</v>
      </c>
      <c r="AX400" s="125">
        <v>672</v>
      </c>
      <c r="AY400" s="126"/>
      <c r="AZ400" s="126"/>
      <c r="BA400" s="126"/>
      <c r="BB400" s="126"/>
      <c r="BC400" s="126"/>
      <c r="BD400" s="126"/>
      <c r="BE400" s="126"/>
      <c r="BF400" s="127">
        <v>25049086</v>
      </c>
      <c r="BG400" s="97" t="s">
        <v>359</v>
      </c>
      <c r="BH400" s="127">
        <v>672</v>
      </c>
      <c r="BI400" s="127">
        <v>25049086</v>
      </c>
      <c r="BJ400" s="97" t="s">
        <v>359</v>
      </c>
      <c r="BK400" s="127">
        <v>672</v>
      </c>
    </row>
    <row r="401" spans="2:63" x14ac:dyDescent="0.25">
      <c r="B401" s="121">
        <v>25049087</v>
      </c>
      <c r="C401" s="122" t="s">
        <v>360</v>
      </c>
      <c r="D401" s="123">
        <v>1319.72</v>
      </c>
      <c r="E401" s="123">
        <v>1319.72</v>
      </c>
      <c r="F401" s="123">
        <v>1319.72</v>
      </c>
      <c r="G401" s="123">
        <v>1319.72</v>
      </c>
      <c r="H401" s="123">
        <v>1319.72</v>
      </c>
      <c r="I401" s="123">
        <v>1319.72</v>
      </c>
      <c r="J401" s="123">
        <v>1319.72</v>
      </c>
      <c r="K401" s="123">
        <v>1319.72</v>
      </c>
      <c r="L401" s="123">
        <v>1319.72</v>
      </c>
      <c r="M401" s="123">
        <v>1319.72</v>
      </c>
      <c r="N401" s="123">
        <v>1319.72</v>
      </c>
      <c r="O401" s="123">
        <v>1319.72</v>
      </c>
      <c r="P401" s="123">
        <v>1319.72</v>
      </c>
      <c r="Q401" s="123">
        <v>1319.72</v>
      </c>
      <c r="R401" s="123">
        <v>1319.72</v>
      </c>
      <c r="S401" s="123">
        <v>1319.72</v>
      </c>
      <c r="T401" s="123">
        <v>1319.72</v>
      </c>
      <c r="U401" s="123">
        <v>1319.72</v>
      </c>
      <c r="V401" s="123">
        <v>1319.72</v>
      </c>
      <c r="W401" s="123">
        <v>1319.72</v>
      </c>
      <c r="X401" s="123">
        <v>1319.72</v>
      </c>
      <c r="Y401" s="123">
        <v>1319.72</v>
      </c>
      <c r="Z401" s="123">
        <v>1319.72</v>
      </c>
      <c r="AA401" s="123">
        <v>1319.72</v>
      </c>
      <c r="AB401" s="123">
        <v>1319.72</v>
      </c>
      <c r="AC401" s="124">
        <v>1319.72</v>
      </c>
      <c r="AD401" s="124">
        <v>1319.72</v>
      </c>
      <c r="AE401" s="124">
        <v>1319.72</v>
      </c>
      <c r="AF401" s="124">
        <v>1319.72</v>
      </c>
      <c r="AG401" s="124">
        <v>1319.72</v>
      </c>
      <c r="AH401" s="124">
        <v>1319.72</v>
      </c>
      <c r="AI401" s="124">
        <v>1319.72</v>
      </c>
      <c r="AJ401" s="124">
        <v>1319.72</v>
      </c>
      <c r="AK401" s="124">
        <v>1319.72</v>
      </c>
      <c r="AL401" s="124">
        <v>1319.72</v>
      </c>
      <c r="AM401" s="124">
        <v>1319.72</v>
      </c>
      <c r="AN401" s="124">
        <v>1319.72</v>
      </c>
      <c r="AO401" s="125">
        <v>1319.72</v>
      </c>
      <c r="AP401" s="125">
        <v>1319.72</v>
      </c>
      <c r="AQ401" s="125">
        <v>1319.72</v>
      </c>
      <c r="AR401" s="125">
        <v>1319.72</v>
      </c>
      <c r="AS401" s="125">
        <v>1319.72</v>
      </c>
      <c r="AT401" s="125">
        <v>1319.72</v>
      </c>
      <c r="AU401" s="125">
        <v>1319.72</v>
      </c>
      <c r="AV401" s="125">
        <v>1319.72</v>
      </c>
      <c r="AW401" s="125">
        <v>1319.72</v>
      </c>
      <c r="AX401" s="125">
        <v>1319.72</v>
      </c>
      <c r="AY401" s="126"/>
      <c r="AZ401" s="126"/>
      <c r="BA401" s="126"/>
      <c r="BB401" s="126"/>
      <c r="BC401" s="126"/>
      <c r="BD401" s="126"/>
      <c r="BE401" s="126"/>
      <c r="BF401" s="127">
        <v>25049087</v>
      </c>
      <c r="BG401" s="97" t="s">
        <v>360</v>
      </c>
      <c r="BH401" s="127">
        <v>1319.72</v>
      </c>
      <c r="BI401" s="127">
        <v>25049087</v>
      </c>
      <c r="BJ401" s="97" t="s">
        <v>360</v>
      </c>
      <c r="BK401" s="127">
        <v>1319.72</v>
      </c>
    </row>
    <row r="402" spans="2:63" x14ac:dyDescent="0.25">
      <c r="B402" s="121">
        <v>25049090</v>
      </c>
      <c r="C402" s="122" t="s">
        <v>361</v>
      </c>
      <c r="D402" s="123">
        <v>7518.4</v>
      </c>
      <c r="E402" s="123">
        <v>7592.43</v>
      </c>
      <c r="F402" s="123">
        <v>7574.44</v>
      </c>
      <c r="G402" s="123">
        <v>7713.28</v>
      </c>
      <c r="H402" s="123">
        <v>7671.25</v>
      </c>
      <c r="I402" s="123">
        <v>7681.27</v>
      </c>
      <c r="J402" s="123">
        <v>7482.4</v>
      </c>
      <c r="K402" s="123">
        <v>7705.69</v>
      </c>
      <c r="L402" s="123">
        <v>7606.84</v>
      </c>
      <c r="M402" s="123">
        <v>7574.83</v>
      </c>
      <c r="N402" s="123">
        <v>7560.04</v>
      </c>
      <c r="O402" s="123">
        <v>7899.81</v>
      </c>
      <c r="P402" s="123">
        <v>7829.87</v>
      </c>
      <c r="Q402" s="123">
        <v>7845.89</v>
      </c>
      <c r="R402" s="123">
        <v>9387.6200000000008</v>
      </c>
      <c r="S402" s="123">
        <v>7724.41</v>
      </c>
      <c r="T402" s="123">
        <v>7606.9</v>
      </c>
      <c r="U402" s="123">
        <v>7994.21</v>
      </c>
      <c r="V402" s="123">
        <v>7856.14</v>
      </c>
      <c r="W402" s="123">
        <v>7585.3</v>
      </c>
      <c r="X402" s="123">
        <v>7919.79</v>
      </c>
      <c r="Y402" s="123">
        <v>8452.39</v>
      </c>
      <c r="Z402" s="123">
        <v>7863.77</v>
      </c>
      <c r="AA402" s="123">
        <v>8000.05</v>
      </c>
      <c r="AB402" s="123">
        <v>7735.12</v>
      </c>
      <c r="AC402" s="124">
        <v>7614.21</v>
      </c>
      <c r="AD402" s="124">
        <v>9539.31</v>
      </c>
      <c r="AE402" s="124">
        <v>9995.73</v>
      </c>
      <c r="AF402" s="124">
        <v>8072.73</v>
      </c>
      <c r="AG402" s="124">
        <v>8404.7099999999991</v>
      </c>
      <c r="AH402" s="124">
        <v>9111.92</v>
      </c>
      <c r="AI402" s="124">
        <v>8632.92</v>
      </c>
      <c r="AJ402" s="124">
        <v>9677.31</v>
      </c>
      <c r="AK402" s="124">
        <v>11379.36</v>
      </c>
      <c r="AL402" s="124">
        <v>12035.09</v>
      </c>
      <c r="AM402" s="124">
        <v>15271.86</v>
      </c>
      <c r="AN402" s="124">
        <v>10951.02</v>
      </c>
      <c r="AO402" s="125">
        <v>16575.3</v>
      </c>
      <c r="AP402" s="125">
        <v>24313.96</v>
      </c>
      <c r="AQ402" s="125">
        <v>17305.73</v>
      </c>
      <c r="AR402" s="125">
        <v>20035.400000000001</v>
      </c>
      <c r="AS402" s="125">
        <v>15579.91</v>
      </c>
      <c r="AT402" s="125">
        <v>16270.87</v>
      </c>
      <c r="AU402" s="125">
        <v>18740.8</v>
      </c>
      <c r="AV402" s="125">
        <v>21543.79</v>
      </c>
      <c r="AW402" s="125">
        <v>15689.26</v>
      </c>
      <c r="AX402" s="125">
        <v>14956.65</v>
      </c>
      <c r="AY402" s="126"/>
      <c r="AZ402" s="126"/>
      <c r="BA402" s="126"/>
      <c r="BB402" s="126"/>
      <c r="BC402" s="126"/>
      <c r="BD402" s="126"/>
      <c r="BE402" s="126"/>
      <c r="BF402" s="127">
        <v>25049090</v>
      </c>
      <c r="BG402" s="97" t="s">
        <v>361</v>
      </c>
      <c r="BH402" s="127">
        <v>9111.92</v>
      </c>
      <c r="BI402" s="127">
        <v>25049090</v>
      </c>
      <c r="BJ402" s="97" t="s">
        <v>361</v>
      </c>
      <c r="BK402" s="127">
        <v>8632.92</v>
      </c>
    </row>
    <row r="403" spans="2:63" x14ac:dyDescent="0.25">
      <c r="B403" s="121">
        <v>2505</v>
      </c>
      <c r="C403" s="122" t="s">
        <v>362</v>
      </c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16">
        <v>38159.97</v>
      </c>
      <c r="U403" s="116">
        <v>9931.84</v>
      </c>
      <c r="V403" s="116">
        <v>551.86</v>
      </c>
      <c r="W403" s="116">
        <v>551.86</v>
      </c>
      <c r="X403" s="141"/>
      <c r="Y403" s="141"/>
      <c r="Z403" s="141"/>
      <c r="AA403" s="141"/>
      <c r="AB403" s="116">
        <v>37289.839999999997</v>
      </c>
      <c r="AC403" s="124">
        <v>38509.51</v>
      </c>
      <c r="AD403" s="124">
        <v>37289.839999999997</v>
      </c>
      <c r="AE403" s="124">
        <v>37289.839999999997</v>
      </c>
      <c r="AF403" s="129"/>
      <c r="AG403" s="129"/>
      <c r="AH403" s="129"/>
      <c r="AI403" s="129"/>
      <c r="AJ403" s="124">
        <v>0</v>
      </c>
      <c r="AK403" s="124">
        <v>0</v>
      </c>
      <c r="AL403" s="124">
        <v>0</v>
      </c>
      <c r="AM403" s="124">
        <v>0</v>
      </c>
      <c r="AN403" s="124">
        <v>0</v>
      </c>
      <c r="AO403" s="125">
        <v>0</v>
      </c>
      <c r="AP403" s="125">
        <v>0</v>
      </c>
      <c r="AQ403" s="125">
        <v>0</v>
      </c>
      <c r="AR403" s="125">
        <v>0</v>
      </c>
      <c r="AS403" s="125">
        <v>0</v>
      </c>
      <c r="AT403" s="125">
        <v>0</v>
      </c>
      <c r="AU403" s="125">
        <v>0</v>
      </c>
      <c r="AV403" s="125">
        <v>0</v>
      </c>
      <c r="AW403" s="125">
        <v>0</v>
      </c>
      <c r="AX403" s="125">
        <v>0</v>
      </c>
      <c r="AY403" s="126"/>
      <c r="AZ403" s="126"/>
      <c r="BA403" s="126"/>
      <c r="BB403" s="126"/>
      <c r="BC403" s="126"/>
      <c r="BD403" s="126"/>
      <c r="BE403" s="126"/>
    </row>
    <row r="404" spans="2:63" x14ac:dyDescent="0.25">
      <c r="B404" s="121">
        <v>250505</v>
      </c>
      <c r="C404" s="122" t="s">
        <v>363</v>
      </c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3">
        <v>38159.97</v>
      </c>
      <c r="U404" s="123">
        <v>9931.84</v>
      </c>
      <c r="V404" s="123">
        <v>551.86</v>
      </c>
      <c r="W404" s="123">
        <v>551.86</v>
      </c>
      <c r="X404" s="128"/>
      <c r="Y404" s="128"/>
      <c r="Z404" s="128"/>
      <c r="AA404" s="128"/>
      <c r="AB404" s="123">
        <v>37289.839999999997</v>
      </c>
      <c r="AC404" s="124">
        <v>38509.51</v>
      </c>
      <c r="AD404" s="124">
        <v>37289.839999999997</v>
      </c>
      <c r="AE404" s="124">
        <v>37289.839999999997</v>
      </c>
      <c r="AF404" s="129"/>
      <c r="AG404" s="129"/>
      <c r="AH404" s="129"/>
      <c r="AI404" s="129"/>
      <c r="AJ404" s="124">
        <v>0</v>
      </c>
      <c r="AK404" s="124">
        <v>0</v>
      </c>
      <c r="AL404" s="124">
        <v>0</v>
      </c>
      <c r="AM404" s="124">
        <v>0</v>
      </c>
      <c r="AN404" s="124">
        <v>0</v>
      </c>
      <c r="AO404" s="125">
        <v>0</v>
      </c>
      <c r="AP404" s="125">
        <v>0</v>
      </c>
      <c r="AQ404" s="125">
        <v>0</v>
      </c>
      <c r="AR404" s="125">
        <v>0</v>
      </c>
      <c r="AS404" s="125">
        <v>0</v>
      </c>
      <c r="AT404" s="125">
        <v>0</v>
      </c>
      <c r="AU404" s="125">
        <v>0</v>
      </c>
      <c r="AV404" s="125">
        <v>0</v>
      </c>
      <c r="AW404" s="125">
        <v>0</v>
      </c>
      <c r="AX404" s="125">
        <v>0</v>
      </c>
      <c r="AY404" s="126"/>
      <c r="AZ404" s="126"/>
      <c r="BA404" s="126"/>
      <c r="BB404" s="126"/>
      <c r="BC404" s="126"/>
      <c r="BD404" s="126"/>
      <c r="BE404" s="126"/>
    </row>
    <row r="405" spans="2:63" x14ac:dyDescent="0.25">
      <c r="B405" s="121">
        <v>2507</v>
      </c>
      <c r="C405" s="122" t="s">
        <v>364</v>
      </c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  <c r="AA405" s="128"/>
      <c r="AB405" s="128"/>
      <c r="AC405" s="129"/>
      <c r="AD405" s="129"/>
      <c r="AE405" s="129"/>
      <c r="AF405" s="129"/>
      <c r="AG405" s="129"/>
      <c r="AH405" s="129"/>
      <c r="AI405" s="124">
        <v>-95158.78</v>
      </c>
      <c r="AJ405" s="124">
        <v>27867.15</v>
      </c>
      <c r="AK405" s="124">
        <v>0</v>
      </c>
      <c r="AL405" s="124">
        <v>0</v>
      </c>
      <c r="AM405" s="124">
        <v>0</v>
      </c>
      <c r="AN405" s="124">
        <v>0</v>
      </c>
      <c r="AO405" s="125">
        <v>0</v>
      </c>
      <c r="AP405" s="125">
        <v>0</v>
      </c>
      <c r="AQ405" s="125">
        <v>0</v>
      </c>
      <c r="AR405" s="125">
        <v>0</v>
      </c>
      <c r="AS405" s="125">
        <v>0</v>
      </c>
      <c r="AT405" s="125">
        <v>0</v>
      </c>
      <c r="AU405" s="125">
        <v>0</v>
      </c>
      <c r="AV405" s="125">
        <v>0</v>
      </c>
      <c r="AW405" s="125">
        <v>0</v>
      </c>
      <c r="AX405" s="125">
        <v>0</v>
      </c>
      <c r="AY405" s="126"/>
      <c r="AZ405" s="126"/>
      <c r="BA405" s="126"/>
      <c r="BB405" s="126"/>
      <c r="BC405" s="126"/>
      <c r="BD405" s="126"/>
      <c r="BE405" s="126"/>
      <c r="BI405" s="127">
        <v>2507</v>
      </c>
      <c r="BJ405" s="97" t="s">
        <v>364</v>
      </c>
      <c r="BK405" s="127">
        <v>-95158.78</v>
      </c>
    </row>
    <row r="406" spans="2:63" x14ac:dyDescent="0.25">
      <c r="B406" s="121">
        <v>250710</v>
      </c>
      <c r="C406" s="122" t="s">
        <v>365</v>
      </c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  <c r="AA406" s="128"/>
      <c r="AB406" s="128"/>
      <c r="AC406" s="129"/>
      <c r="AD406" s="129"/>
      <c r="AE406" s="129"/>
      <c r="AF406" s="129"/>
      <c r="AG406" s="129"/>
      <c r="AH406" s="129"/>
      <c r="AI406" s="124">
        <v>-95158.78</v>
      </c>
      <c r="AJ406" s="124">
        <v>27867.15</v>
      </c>
      <c r="AK406" s="124">
        <v>0</v>
      </c>
      <c r="AL406" s="124">
        <v>0</v>
      </c>
      <c r="AM406" s="124">
        <v>0</v>
      </c>
      <c r="AN406" s="124">
        <v>0</v>
      </c>
      <c r="AO406" s="125">
        <v>0</v>
      </c>
      <c r="AP406" s="125">
        <v>0</v>
      </c>
      <c r="AQ406" s="125">
        <v>0</v>
      </c>
      <c r="AR406" s="125">
        <v>0</v>
      </c>
      <c r="AS406" s="125">
        <v>0</v>
      </c>
      <c r="AT406" s="125">
        <v>0</v>
      </c>
      <c r="AU406" s="125">
        <v>0</v>
      </c>
      <c r="AV406" s="125">
        <v>0</v>
      </c>
      <c r="AW406" s="125">
        <v>0</v>
      </c>
      <c r="AX406" s="125">
        <v>0</v>
      </c>
      <c r="AY406" s="126"/>
      <c r="AZ406" s="126"/>
      <c r="BA406" s="126"/>
      <c r="BB406" s="126"/>
      <c r="BC406" s="126"/>
      <c r="BD406" s="126"/>
      <c r="BE406" s="126"/>
      <c r="BI406" s="127">
        <v>250710</v>
      </c>
      <c r="BJ406" s="97" t="s">
        <v>365</v>
      </c>
      <c r="BK406" s="127">
        <v>-95158.78</v>
      </c>
    </row>
    <row r="407" spans="2:63" x14ac:dyDescent="0.25">
      <c r="B407" s="121">
        <v>2511</v>
      </c>
      <c r="C407" s="122" t="s">
        <v>366</v>
      </c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3">
        <v>551.86</v>
      </c>
      <c r="Y407" s="123">
        <v>551.86</v>
      </c>
      <c r="Z407" s="123">
        <v>551.86</v>
      </c>
      <c r="AA407" s="123">
        <v>551.86</v>
      </c>
      <c r="AB407" s="123">
        <v>551.86</v>
      </c>
      <c r="AC407" s="124">
        <v>551.86</v>
      </c>
      <c r="AD407" s="124">
        <v>801.86</v>
      </c>
      <c r="AE407" s="124">
        <v>551.86</v>
      </c>
      <c r="AF407" s="124">
        <v>551.86</v>
      </c>
      <c r="AG407" s="124">
        <v>551.86</v>
      </c>
      <c r="AH407" s="124">
        <v>551.86</v>
      </c>
      <c r="AI407" s="124">
        <v>551.86</v>
      </c>
      <c r="AJ407" s="124">
        <v>551.86</v>
      </c>
      <c r="AK407" s="124">
        <v>551.86</v>
      </c>
      <c r="AL407" s="124">
        <v>551.86</v>
      </c>
      <c r="AM407" s="124">
        <v>551.86</v>
      </c>
      <c r="AN407" s="124">
        <v>551.86</v>
      </c>
      <c r="AO407" s="125">
        <v>551.86</v>
      </c>
      <c r="AP407" s="125">
        <v>551.86</v>
      </c>
      <c r="AQ407" s="125">
        <v>551.86</v>
      </c>
      <c r="AR407" s="125">
        <v>551.86</v>
      </c>
      <c r="AS407" s="125">
        <v>551.86</v>
      </c>
      <c r="AT407" s="125">
        <v>551.86</v>
      </c>
      <c r="AU407" s="125">
        <v>551.86</v>
      </c>
      <c r="AV407" s="125">
        <v>551.86</v>
      </c>
      <c r="AW407" s="125">
        <v>551.86</v>
      </c>
      <c r="AX407" s="125">
        <v>551.86</v>
      </c>
      <c r="AY407" s="126"/>
      <c r="AZ407" s="126"/>
      <c r="BA407" s="126"/>
      <c r="BB407" s="126"/>
      <c r="BC407" s="126"/>
      <c r="BD407" s="126"/>
      <c r="BE407" s="126"/>
      <c r="BF407" s="127">
        <v>2511</v>
      </c>
      <c r="BG407" s="97" t="s">
        <v>366</v>
      </c>
      <c r="BH407" s="127">
        <v>551.86</v>
      </c>
      <c r="BI407" s="127">
        <v>2511</v>
      </c>
      <c r="BJ407" s="97" t="s">
        <v>366</v>
      </c>
      <c r="BK407" s="127">
        <v>551.86</v>
      </c>
    </row>
    <row r="408" spans="2:63" x14ac:dyDescent="0.25">
      <c r="B408" s="121">
        <v>251105</v>
      </c>
      <c r="C408" s="122" t="s">
        <v>367</v>
      </c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3">
        <v>551.86</v>
      </c>
      <c r="Y408" s="123">
        <v>551.86</v>
      </c>
      <c r="Z408" s="123">
        <v>551.86</v>
      </c>
      <c r="AA408" s="123">
        <v>551.86</v>
      </c>
      <c r="AB408" s="123">
        <v>551.86</v>
      </c>
      <c r="AC408" s="124">
        <v>551.86</v>
      </c>
      <c r="AD408" s="124">
        <v>801.86</v>
      </c>
      <c r="AE408" s="124">
        <v>551.86</v>
      </c>
      <c r="AF408" s="124">
        <v>551.86</v>
      </c>
      <c r="AG408" s="124">
        <v>551.86</v>
      </c>
      <c r="AH408" s="124">
        <v>551.86</v>
      </c>
      <c r="AI408" s="124">
        <v>551.86</v>
      </c>
      <c r="AJ408" s="124">
        <v>551.86</v>
      </c>
      <c r="AK408" s="124">
        <v>551.86</v>
      </c>
      <c r="AL408" s="124">
        <v>551.86</v>
      </c>
      <c r="AM408" s="124">
        <v>551.86</v>
      </c>
      <c r="AN408" s="124">
        <v>551.86</v>
      </c>
      <c r="AO408" s="125">
        <v>551.86</v>
      </c>
      <c r="AP408" s="125">
        <v>551.86</v>
      </c>
      <c r="AQ408" s="125">
        <v>551.86</v>
      </c>
      <c r="AR408" s="125">
        <v>551.86</v>
      </c>
      <c r="AS408" s="125">
        <v>551.86</v>
      </c>
      <c r="AT408" s="125">
        <v>551.86</v>
      </c>
      <c r="AU408" s="125">
        <v>551.86</v>
      </c>
      <c r="AV408" s="125">
        <v>551.86</v>
      </c>
      <c r="AW408" s="125">
        <v>551.86</v>
      </c>
      <c r="AX408" s="125">
        <v>551.86</v>
      </c>
      <c r="AY408" s="126"/>
      <c r="AZ408" s="126"/>
      <c r="BA408" s="126"/>
      <c r="BB408" s="126"/>
      <c r="BC408" s="126"/>
      <c r="BD408" s="126"/>
      <c r="BE408" s="126"/>
      <c r="BF408" s="127">
        <v>251105</v>
      </c>
      <c r="BG408" s="97" t="s">
        <v>367</v>
      </c>
      <c r="BH408" s="127">
        <v>551.86</v>
      </c>
      <c r="BI408" s="127">
        <v>251105</v>
      </c>
      <c r="BJ408" s="97" t="s">
        <v>367</v>
      </c>
      <c r="BK408" s="127">
        <v>551.86</v>
      </c>
    </row>
    <row r="409" spans="2:63" x14ac:dyDescent="0.25">
      <c r="B409" s="121">
        <v>2590</v>
      </c>
      <c r="C409" s="122" t="s">
        <v>368</v>
      </c>
      <c r="D409" s="116">
        <v>358141.83</v>
      </c>
      <c r="E409" s="116">
        <v>559046.47</v>
      </c>
      <c r="F409" s="116">
        <v>539305.30000000005</v>
      </c>
      <c r="G409" s="116">
        <v>543459.77</v>
      </c>
      <c r="H409" s="116">
        <v>510784.07</v>
      </c>
      <c r="I409" s="116">
        <v>686234.5</v>
      </c>
      <c r="J409" s="116">
        <v>609938.80000000005</v>
      </c>
      <c r="K409" s="116">
        <v>585931.81999999995</v>
      </c>
      <c r="L409" s="116">
        <v>450171.36</v>
      </c>
      <c r="M409" s="116">
        <v>385367.42</v>
      </c>
      <c r="N409" s="116">
        <v>562849.92000000004</v>
      </c>
      <c r="O409" s="116">
        <v>503980.38</v>
      </c>
      <c r="P409" s="116">
        <v>515967.08</v>
      </c>
      <c r="Q409" s="116">
        <v>660800.46</v>
      </c>
      <c r="R409" s="116">
        <v>650345.51</v>
      </c>
      <c r="S409" s="116">
        <v>817016.28</v>
      </c>
      <c r="T409" s="116">
        <v>707635.54</v>
      </c>
      <c r="U409" s="116">
        <v>926577.62</v>
      </c>
      <c r="V409" s="116">
        <v>581208.74</v>
      </c>
      <c r="W409" s="116">
        <v>609203.96</v>
      </c>
      <c r="X409" s="116">
        <v>670179.53</v>
      </c>
      <c r="Y409" s="116">
        <v>996878.88</v>
      </c>
      <c r="Z409" s="116">
        <v>747851.43</v>
      </c>
      <c r="AA409" s="116">
        <v>740327.57</v>
      </c>
      <c r="AB409" s="116">
        <v>649676.07999999996</v>
      </c>
      <c r="AC409" s="124">
        <v>542418.34</v>
      </c>
      <c r="AD409" s="124">
        <v>586731.31999999995</v>
      </c>
      <c r="AE409" s="124">
        <v>802373.12</v>
      </c>
      <c r="AF409" s="124">
        <v>712128.56</v>
      </c>
      <c r="AG409" s="124">
        <v>855828.56</v>
      </c>
      <c r="AH409" s="124">
        <v>839367.08</v>
      </c>
      <c r="AI409" s="124">
        <v>975346.6</v>
      </c>
      <c r="AJ409" s="124">
        <v>1091519.08</v>
      </c>
      <c r="AK409" s="124">
        <v>1475841.24</v>
      </c>
      <c r="AL409" s="124">
        <v>1787467.29</v>
      </c>
      <c r="AM409" s="124">
        <v>2193270.7599999998</v>
      </c>
      <c r="AN409" s="124">
        <v>1289775.1399999999</v>
      </c>
      <c r="AO409" s="125">
        <v>1960385.11</v>
      </c>
      <c r="AP409" s="125">
        <v>2041936.36</v>
      </c>
      <c r="AQ409" s="125">
        <v>2149852.4700000002</v>
      </c>
      <c r="AR409" s="125">
        <v>2718594.69</v>
      </c>
      <c r="AS409" s="125">
        <v>2358217.46</v>
      </c>
      <c r="AT409" s="125">
        <v>2498618.96</v>
      </c>
      <c r="AU409" s="125">
        <v>2030919.3</v>
      </c>
      <c r="AV409" s="125">
        <v>2361760.73</v>
      </c>
      <c r="AW409" s="125">
        <v>2043257.71</v>
      </c>
      <c r="AX409" s="125">
        <v>2631148.92</v>
      </c>
      <c r="AY409" s="126"/>
      <c r="AZ409" s="126"/>
      <c r="BA409" s="126"/>
      <c r="BB409" s="126"/>
      <c r="BC409" s="126"/>
      <c r="BD409" s="126"/>
      <c r="BE409" s="126"/>
      <c r="BF409" s="127">
        <v>2590</v>
      </c>
      <c r="BG409" s="97" t="s">
        <v>368</v>
      </c>
      <c r="BH409" s="127">
        <v>839367.08</v>
      </c>
      <c r="BI409" s="127">
        <v>2590</v>
      </c>
      <c r="BJ409" s="97" t="s">
        <v>368</v>
      </c>
      <c r="BK409" s="127">
        <v>975346.6</v>
      </c>
    </row>
    <row r="410" spans="2:63" x14ac:dyDescent="0.25">
      <c r="B410" s="121">
        <v>259015</v>
      </c>
      <c r="C410" s="122" t="s">
        <v>369</v>
      </c>
      <c r="D410" s="123">
        <v>68968.09</v>
      </c>
      <c r="E410" s="123">
        <v>67807.259999999995</v>
      </c>
      <c r="F410" s="123">
        <v>67390.41</v>
      </c>
      <c r="G410" s="123">
        <v>67390.41</v>
      </c>
      <c r="H410" s="123">
        <v>67390.41</v>
      </c>
      <c r="I410" s="123">
        <v>67390.41</v>
      </c>
      <c r="J410" s="123">
        <v>67390.41</v>
      </c>
      <c r="K410" s="123">
        <v>67390.41</v>
      </c>
      <c r="L410" s="123">
        <v>67390.41</v>
      </c>
      <c r="M410" s="123">
        <v>67390.41</v>
      </c>
      <c r="N410" s="123">
        <v>67390.41</v>
      </c>
      <c r="O410" s="123">
        <v>67390.41</v>
      </c>
      <c r="P410" s="123">
        <v>67390.41</v>
      </c>
      <c r="Q410" s="123">
        <v>67390.41</v>
      </c>
      <c r="R410" s="123">
        <v>67390.41</v>
      </c>
      <c r="S410" s="123">
        <v>67390.41</v>
      </c>
      <c r="T410" s="123">
        <v>67390.41</v>
      </c>
      <c r="U410" s="123">
        <v>67390.41</v>
      </c>
      <c r="V410" s="123">
        <v>67390.41</v>
      </c>
      <c r="W410" s="123">
        <v>67390.41</v>
      </c>
      <c r="X410" s="123">
        <v>67390.41</v>
      </c>
      <c r="Y410" s="123">
        <v>67390.41</v>
      </c>
      <c r="Z410" s="123">
        <v>67390.41</v>
      </c>
      <c r="AA410" s="123">
        <v>38715.85</v>
      </c>
      <c r="AB410" s="123">
        <v>25275.78</v>
      </c>
      <c r="AC410" s="124">
        <v>25275.78</v>
      </c>
      <c r="AD410" s="124">
        <v>25275.78</v>
      </c>
      <c r="AE410" s="124">
        <v>25275.78</v>
      </c>
      <c r="AF410" s="124">
        <v>25275.78</v>
      </c>
      <c r="AG410" s="124">
        <v>25275.78</v>
      </c>
      <c r="AH410" s="124">
        <v>25275.78</v>
      </c>
      <c r="AI410" s="124">
        <v>25275.78</v>
      </c>
      <c r="AJ410" s="124">
        <v>25275.78</v>
      </c>
      <c r="AK410" s="124">
        <v>25275.78</v>
      </c>
      <c r="AL410" s="124">
        <v>25275.78</v>
      </c>
      <c r="AM410" s="124">
        <v>25275.78</v>
      </c>
      <c r="AN410" s="124">
        <v>25275.78</v>
      </c>
      <c r="AO410" s="125">
        <v>25275.78</v>
      </c>
      <c r="AP410" s="125">
        <v>25090.04</v>
      </c>
      <c r="AQ410" s="125">
        <v>25090.04</v>
      </c>
      <c r="AR410" s="125">
        <v>25090.04</v>
      </c>
      <c r="AS410" s="125">
        <v>25090.04</v>
      </c>
      <c r="AT410" s="125">
        <v>25090.04</v>
      </c>
      <c r="AU410" s="125">
        <v>25090.04</v>
      </c>
      <c r="AV410" s="125">
        <v>25090.04</v>
      </c>
      <c r="AW410" s="125">
        <v>25090.04</v>
      </c>
      <c r="AX410" s="125">
        <v>25090.04</v>
      </c>
      <c r="AY410" s="126"/>
      <c r="AZ410" s="126"/>
      <c r="BA410" s="126"/>
      <c r="BB410" s="126"/>
      <c r="BC410" s="126"/>
      <c r="BD410" s="126"/>
      <c r="BE410" s="126"/>
      <c r="BF410" s="127">
        <v>259015</v>
      </c>
      <c r="BG410" s="97" t="s">
        <v>369</v>
      </c>
      <c r="BH410" s="127">
        <v>25275.78</v>
      </c>
      <c r="BI410" s="127">
        <v>259015</v>
      </c>
      <c r="BJ410" s="97" t="s">
        <v>369</v>
      </c>
      <c r="BK410" s="127">
        <v>25275.78</v>
      </c>
    </row>
    <row r="411" spans="2:63" x14ac:dyDescent="0.25">
      <c r="B411" s="121">
        <v>259090</v>
      </c>
      <c r="C411" s="122" t="s">
        <v>370</v>
      </c>
      <c r="D411" s="123">
        <v>289173.74</v>
      </c>
      <c r="E411" s="123">
        <v>491239.21</v>
      </c>
      <c r="F411" s="123">
        <v>471914.89</v>
      </c>
      <c r="G411" s="123">
        <v>476069.36</v>
      </c>
      <c r="H411" s="123">
        <v>443393.66</v>
      </c>
      <c r="I411" s="123">
        <v>618844.09</v>
      </c>
      <c r="J411" s="123">
        <v>542548.39</v>
      </c>
      <c r="K411" s="123">
        <v>518541.41</v>
      </c>
      <c r="L411" s="123">
        <v>382780.95</v>
      </c>
      <c r="M411" s="123">
        <v>317977.01</v>
      </c>
      <c r="N411" s="123">
        <v>495459.51</v>
      </c>
      <c r="O411" s="123">
        <v>436589.97</v>
      </c>
      <c r="P411" s="123">
        <v>448576.67</v>
      </c>
      <c r="Q411" s="123">
        <v>593410.05000000005</v>
      </c>
      <c r="R411" s="123">
        <v>582955.1</v>
      </c>
      <c r="S411" s="123">
        <v>749625.87</v>
      </c>
      <c r="T411" s="123">
        <v>640245.13</v>
      </c>
      <c r="U411" s="123">
        <v>859187.21</v>
      </c>
      <c r="V411" s="123">
        <v>513818.33</v>
      </c>
      <c r="W411" s="123">
        <v>541813.55000000005</v>
      </c>
      <c r="X411" s="123">
        <v>602789.12</v>
      </c>
      <c r="Y411" s="123">
        <v>929488.47</v>
      </c>
      <c r="Z411" s="123">
        <v>680461.02</v>
      </c>
      <c r="AA411" s="123">
        <v>701611.72</v>
      </c>
      <c r="AB411" s="123">
        <v>624400.30000000005</v>
      </c>
      <c r="AC411" s="124">
        <v>517142.56</v>
      </c>
      <c r="AD411" s="124">
        <v>561455.54</v>
      </c>
      <c r="AE411" s="124">
        <v>777097.34</v>
      </c>
      <c r="AF411" s="124">
        <v>686852.78</v>
      </c>
      <c r="AG411" s="124">
        <v>830552.78</v>
      </c>
      <c r="AH411" s="124">
        <v>814091.3</v>
      </c>
      <c r="AI411" s="124">
        <v>950070.82</v>
      </c>
      <c r="AJ411" s="124">
        <v>1066243.3</v>
      </c>
      <c r="AK411" s="124">
        <v>1450565.46</v>
      </c>
      <c r="AL411" s="124">
        <v>1762191.51</v>
      </c>
      <c r="AM411" s="124">
        <v>2167994.98</v>
      </c>
      <c r="AN411" s="124">
        <v>1264499.3600000001</v>
      </c>
      <c r="AO411" s="125">
        <v>1935109.33</v>
      </c>
      <c r="AP411" s="125">
        <v>2016846.32</v>
      </c>
      <c r="AQ411" s="125">
        <v>2124762.4300000002</v>
      </c>
      <c r="AR411" s="125">
        <v>2693504.65</v>
      </c>
      <c r="AS411" s="125">
        <v>2333127.42</v>
      </c>
      <c r="AT411" s="125">
        <v>2473528.92</v>
      </c>
      <c r="AU411" s="125">
        <v>2005829.26</v>
      </c>
      <c r="AV411" s="125">
        <v>2336670.69</v>
      </c>
      <c r="AW411" s="125">
        <v>2018167.67</v>
      </c>
      <c r="AX411" s="125">
        <v>2606058.88</v>
      </c>
      <c r="AY411" s="126"/>
      <c r="AZ411" s="126"/>
      <c r="BA411" s="126"/>
      <c r="BB411" s="126"/>
      <c r="BC411" s="126"/>
      <c r="BD411" s="126"/>
      <c r="BE411" s="126"/>
      <c r="BF411" s="127">
        <v>259090</v>
      </c>
      <c r="BG411" s="97" t="s">
        <v>370</v>
      </c>
      <c r="BH411" s="127">
        <v>814091.3</v>
      </c>
      <c r="BI411" s="127">
        <v>259090</v>
      </c>
      <c r="BJ411" s="97" t="s">
        <v>370</v>
      </c>
      <c r="BK411" s="127">
        <v>950070.82</v>
      </c>
    </row>
    <row r="412" spans="2:63" x14ac:dyDescent="0.25">
      <c r="B412" s="121">
        <v>25909005</v>
      </c>
      <c r="C412" s="122" t="s">
        <v>371</v>
      </c>
      <c r="D412" s="123">
        <v>60786</v>
      </c>
      <c r="E412" s="123">
        <v>214407.6</v>
      </c>
      <c r="F412" s="123">
        <v>236697.35</v>
      </c>
      <c r="G412" s="123">
        <v>180721.16</v>
      </c>
      <c r="H412" s="123">
        <v>134598.95000000001</v>
      </c>
      <c r="I412" s="123">
        <v>270894.78999999998</v>
      </c>
      <c r="J412" s="123">
        <v>264260.55</v>
      </c>
      <c r="K412" s="123">
        <v>190379.6</v>
      </c>
      <c r="L412" s="123">
        <v>48567</v>
      </c>
      <c r="M412" s="123">
        <v>91385.37</v>
      </c>
      <c r="N412" s="123">
        <v>198092.35</v>
      </c>
      <c r="O412" s="123">
        <v>189743.62</v>
      </c>
      <c r="P412" s="123">
        <v>162290.38</v>
      </c>
      <c r="Q412" s="123">
        <v>222763.78</v>
      </c>
      <c r="R412" s="123">
        <v>280562.36</v>
      </c>
      <c r="S412" s="123">
        <v>379805.97</v>
      </c>
      <c r="T412" s="123">
        <v>262324.17</v>
      </c>
      <c r="U412" s="123">
        <v>408194.98</v>
      </c>
      <c r="V412" s="123">
        <v>87301.92</v>
      </c>
      <c r="W412" s="123">
        <v>41034.46</v>
      </c>
      <c r="X412" s="123">
        <v>163443.92000000001</v>
      </c>
      <c r="Y412" s="123">
        <v>452582.85</v>
      </c>
      <c r="Z412" s="123">
        <v>215299.68</v>
      </c>
      <c r="AA412" s="123">
        <v>208800.39</v>
      </c>
      <c r="AB412" s="123">
        <v>138471.29999999999</v>
      </c>
      <c r="AC412" s="124">
        <v>56760.15</v>
      </c>
      <c r="AD412" s="124">
        <v>80616.06</v>
      </c>
      <c r="AE412" s="124">
        <v>303170.59999999998</v>
      </c>
      <c r="AF412" s="124">
        <v>150659.59</v>
      </c>
      <c r="AG412" s="124">
        <v>248655.94</v>
      </c>
      <c r="AH412" s="124">
        <v>329973.06</v>
      </c>
      <c r="AI412" s="124">
        <v>439232.32</v>
      </c>
      <c r="AJ412" s="124">
        <v>491619.03</v>
      </c>
      <c r="AK412" s="124">
        <v>817326.13</v>
      </c>
      <c r="AL412" s="124">
        <v>1116474.26</v>
      </c>
      <c r="AM412" s="124">
        <v>1549795.51</v>
      </c>
      <c r="AN412" s="124">
        <v>803933.31</v>
      </c>
      <c r="AO412" s="125">
        <v>1511688.49</v>
      </c>
      <c r="AP412" s="125">
        <v>1539324.82</v>
      </c>
      <c r="AQ412" s="125">
        <v>1625495.68</v>
      </c>
      <c r="AR412" s="125">
        <v>2120583.81</v>
      </c>
      <c r="AS412" s="125">
        <v>1877100.58</v>
      </c>
      <c r="AT412" s="125">
        <v>1970084.42</v>
      </c>
      <c r="AU412" s="125">
        <v>1561543.92</v>
      </c>
      <c r="AV412" s="125">
        <v>1906967.68</v>
      </c>
      <c r="AW412" s="125">
        <v>1491480.08</v>
      </c>
      <c r="AX412" s="125">
        <v>2038819.83</v>
      </c>
      <c r="AY412" s="126"/>
      <c r="AZ412" s="126"/>
      <c r="BA412" s="126"/>
      <c r="BB412" s="126"/>
      <c r="BC412" s="126"/>
      <c r="BD412" s="126"/>
      <c r="BE412" s="126"/>
      <c r="BF412" s="127">
        <v>25909005</v>
      </c>
      <c r="BG412" s="97" t="s">
        <v>371</v>
      </c>
      <c r="BH412" s="127">
        <v>329973.06</v>
      </c>
      <c r="BI412" s="127">
        <v>25909005</v>
      </c>
      <c r="BJ412" s="97" t="s">
        <v>371</v>
      </c>
      <c r="BK412" s="127">
        <v>439232.32</v>
      </c>
    </row>
    <row r="413" spans="2:63" x14ac:dyDescent="0.25">
      <c r="B413" s="121">
        <v>25909015</v>
      </c>
      <c r="C413" s="122" t="s">
        <v>372</v>
      </c>
      <c r="D413" s="123">
        <v>83932.19</v>
      </c>
      <c r="E413" s="123">
        <v>117265.99</v>
      </c>
      <c r="F413" s="123">
        <v>105008.51</v>
      </c>
      <c r="G413" s="123">
        <v>103532.09</v>
      </c>
      <c r="H413" s="123">
        <v>112492.82</v>
      </c>
      <c r="I413" s="123">
        <v>140694.35</v>
      </c>
      <c r="J413" s="123">
        <v>68808.78</v>
      </c>
      <c r="K413" s="123">
        <v>105221.27</v>
      </c>
      <c r="L413" s="123">
        <v>126985.92</v>
      </c>
      <c r="M413" s="123">
        <v>61152.38</v>
      </c>
      <c r="N413" s="123">
        <v>108251.49</v>
      </c>
      <c r="O413" s="123">
        <v>85190.88</v>
      </c>
      <c r="P413" s="123">
        <v>106041.51</v>
      </c>
      <c r="Q413" s="123">
        <v>176755.14</v>
      </c>
      <c r="R413" s="123">
        <v>117551.54</v>
      </c>
      <c r="S413" s="123">
        <v>180390.95</v>
      </c>
      <c r="T413" s="123">
        <v>246311.02</v>
      </c>
      <c r="U413" s="123">
        <v>307302.21000000002</v>
      </c>
      <c r="V413" s="123">
        <v>296813.24</v>
      </c>
      <c r="W413" s="123">
        <v>365698.03</v>
      </c>
      <c r="X413" s="123">
        <v>286594.81</v>
      </c>
      <c r="Y413" s="123">
        <v>313094.33</v>
      </c>
      <c r="Z413" s="123">
        <v>303846.37</v>
      </c>
      <c r="AA413" s="123">
        <v>325684.24</v>
      </c>
      <c r="AB413" s="123">
        <v>321472</v>
      </c>
      <c r="AC413" s="124">
        <v>331366.46000000002</v>
      </c>
      <c r="AD413" s="124">
        <v>336989.01</v>
      </c>
      <c r="AE413" s="124">
        <v>344439.21</v>
      </c>
      <c r="AF413" s="124">
        <v>350739.02</v>
      </c>
      <c r="AG413" s="124">
        <v>264702.53999999998</v>
      </c>
      <c r="AH413" s="124">
        <v>268894.40000000002</v>
      </c>
      <c r="AI413" s="124">
        <v>274183.37</v>
      </c>
      <c r="AJ413" s="124">
        <v>261993.11</v>
      </c>
      <c r="AK413" s="124">
        <v>272158</v>
      </c>
      <c r="AL413" s="124">
        <v>288578.31</v>
      </c>
      <c r="AM413" s="124">
        <v>310787.55</v>
      </c>
      <c r="AN413" s="124">
        <v>305240.7</v>
      </c>
      <c r="AO413" s="125">
        <v>288987.74</v>
      </c>
      <c r="AP413" s="125">
        <v>327108.33</v>
      </c>
      <c r="AQ413" s="125">
        <v>367277.64</v>
      </c>
      <c r="AR413" s="125">
        <v>389355.56</v>
      </c>
      <c r="AS413" s="125">
        <v>311200.48</v>
      </c>
      <c r="AT413" s="125">
        <v>340653.4</v>
      </c>
      <c r="AU413" s="125">
        <v>296136.83</v>
      </c>
      <c r="AV413" s="125">
        <v>225892.9</v>
      </c>
      <c r="AW413" s="125">
        <v>322464.71999999997</v>
      </c>
      <c r="AX413" s="125">
        <v>333491.26</v>
      </c>
      <c r="AY413" s="126"/>
      <c r="AZ413" s="126"/>
      <c r="BA413" s="126"/>
      <c r="BB413" s="126"/>
      <c r="BC413" s="126"/>
      <c r="BD413" s="126"/>
      <c r="BE413" s="126"/>
      <c r="BF413" s="127">
        <v>25909015</v>
      </c>
      <c r="BG413" s="97" t="s">
        <v>372</v>
      </c>
      <c r="BH413" s="127">
        <v>268894.40000000002</v>
      </c>
      <c r="BI413" s="127">
        <v>25909015</v>
      </c>
      <c r="BJ413" s="97" t="s">
        <v>372</v>
      </c>
      <c r="BK413" s="127">
        <v>274183.37</v>
      </c>
    </row>
    <row r="414" spans="2:63" x14ac:dyDescent="0.25">
      <c r="B414" s="121">
        <v>2590901515</v>
      </c>
      <c r="C414" s="122" t="s">
        <v>373</v>
      </c>
      <c r="D414" s="123">
        <v>4.92</v>
      </c>
      <c r="E414" s="123">
        <v>4.92</v>
      </c>
      <c r="F414" s="123">
        <v>4.92</v>
      </c>
      <c r="G414" s="123">
        <v>4.92</v>
      </c>
      <c r="H414" s="123">
        <v>4.92</v>
      </c>
      <c r="I414" s="123">
        <v>4.92</v>
      </c>
      <c r="J414" s="123">
        <v>4.92</v>
      </c>
      <c r="K414" s="123">
        <v>4.92</v>
      </c>
      <c r="L414" s="123">
        <v>4.92</v>
      </c>
      <c r="M414" s="123">
        <v>4.92</v>
      </c>
      <c r="N414" s="123">
        <v>4.92</v>
      </c>
      <c r="O414" s="123">
        <v>4.92</v>
      </c>
      <c r="P414" s="123">
        <v>552.33000000000004</v>
      </c>
      <c r="Q414" s="123">
        <v>1793.65</v>
      </c>
      <c r="R414" s="123">
        <v>3363.32</v>
      </c>
      <c r="S414" s="123">
        <v>5498.27</v>
      </c>
      <c r="T414" s="123">
        <v>8242.83</v>
      </c>
      <c r="U414" s="123">
        <v>11262.57</v>
      </c>
      <c r="V414" s="123">
        <v>14589.48</v>
      </c>
      <c r="W414" s="123">
        <v>18088.16</v>
      </c>
      <c r="X414" s="123">
        <v>21882.6</v>
      </c>
      <c r="Y414" s="123">
        <v>25809.31</v>
      </c>
      <c r="Z414" s="123">
        <v>30123.06</v>
      </c>
      <c r="AA414" s="123">
        <v>35057.519999999997</v>
      </c>
      <c r="AB414" s="123">
        <v>40345.19</v>
      </c>
      <c r="AC414" s="124">
        <v>46186.97</v>
      </c>
      <c r="AD414" s="124">
        <v>52608.44</v>
      </c>
      <c r="AE414" s="124">
        <v>59281.26</v>
      </c>
      <c r="AF414" s="124">
        <v>59514.41</v>
      </c>
      <c r="AG414" s="124">
        <v>15860.4</v>
      </c>
      <c r="AH414" s="124">
        <v>16454.3</v>
      </c>
      <c r="AI414" s="124">
        <v>16974.28</v>
      </c>
      <c r="AJ414" s="124">
        <v>17550.759999999998</v>
      </c>
      <c r="AK414" s="124">
        <v>18448.47</v>
      </c>
      <c r="AL414" s="124">
        <v>21961.67</v>
      </c>
      <c r="AM414" s="124">
        <v>23480.04</v>
      </c>
      <c r="AN414" s="124">
        <v>25017.16</v>
      </c>
      <c r="AO414" s="125">
        <v>26261.25</v>
      </c>
      <c r="AP414" s="125">
        <v>40471.54</v>
      </c>
      <c r="AQ414" s="125">
        <v>41962.03</v>
      </c>
      <c r="AR414" s="125">
        <v>43883.42</v>
      </c>
      <c r="AS414" s="125">
        <v>45549.56</v>
      </c>
      <c r="AT414" s="125">
        <v>47688.72</v>
      </c>
      <c r="AU414" s="125">
        <v>49724.59</v>
      </c>
      <c r="AV414" s="125">
        <v>39317.480000000003</v>
      </c>
      <c r="AW414" s="125">
        <v>15104.34</v>
      </c>
      <c r="AX414" s="125">
        <v>24973.78</v>
      </c>
      <c r="AY414" s="126"/>
      <c r="AZ414" s="126"/>
      <c r="BA414" s="126"/>
      <c r="BB414" s="126"/>
      <c r="BC414" s="126"/>
      <c r="BD414" s="126"/>
      <c r="BE414" s="126"/>
      <c r="BF414" s="127">
        <v>2590901515</v>
      </c>
      <c r="BG414" s="97" t="s">
        <v>373</v>
      </c>
      <c r="BH414" s="127">
        <v>16454.3</v>
      </c>
      <c r="BI414" s="127">
        <v>2590901515</v>
      </c>
      <c r="BJ414" s="97" t="s">
        <v>373</v>
      </c>
      <c r="BK414" s="127">
        <v>16974.28</v>
      </c>
    </row>
    <row r="415" spans="2:63" x14ac:dyDescent="0.25">
      <c r="B415" s="121">
        <v>2590901520</v>
      </c>
      <c r="C415" s="122" t="s">
        <v>206</v>
      </c>
      <c r="D415" s="123">
        <v>1329.75</v>
      </c>
      <c r="E415" s="123">
        <v>1393.94</v>
      </c>
      <c r="F415" s="123">
        <v>1458.13</v>
      </c>
      <c r="G415" s="123">
        <v>1522.32</v>
      </c>
      <c r="H415" s="123">
        <v>1586.51</v>
      </c>
      <c r="I415" s="123">
        <v>1650.7</v>
      </c>
      <c r="J415" s="123">
        <v>1709.47</v>
      </c>
      <c r="K415" s="123">
        <v>1754.23</v>
      </c>
      <c r="L415" s="123">
        <v>1782.02</v>
      </c>
      <c r="M415" s="123">
        <v>1809.81</v>
      </c>
      <c r="N415" s="123">
        <v>1837.6</v>
      </c>
      <c r="O415" s="123">
        <v>1865.39</v>
      </c>
      <c r="P415" s="123">
        <v>1893.18</v>
      </c>
      <c r="Q415" s="123">
        <v>1920.97</v>
      </c>
      <c r="R415" s="123">
        <v>1948.76</v>
      </c>
      <c r="S415" s="123">
        <v>1976.55</v>
      </c>
      <c r="T415" s="123">
        <v>2004.34</v>
      </c>
      <c r="U415" s="123">
        <v>2032.13</v>
      </c>
      <c r="V415" s="123">
        <v>2059.92</v>
      </c>
      <c r="W415" s="123">
        <v>2087.71</v>
      </c>
      <c r="X415" s="123">
        <v>2115.5</v>
      </c>
      <c r="Y415" s="123">
        <v>2143.29</v>
      </c>
      <c r="Z415" s="123">
        <v>2171.08</v>
      </c>
      <c r="AA415" s="123">
        <v>2198.87</v>
      </c>
      <c r="AB415" s="123">
        <v>2226.66</v>
      </c>
      <c r="AC415" s="124">
        <v>2254.4499999999998</v>
      </c>
      <c r="AD415" s="124">
        <v>2282.2399999999998</v>
      </c>
      <c r="AE415" s="124">
        <v>2310.0300000000002</v>
      </c>
      <c r="AF415" s="124">
        <v>2337.8200000000002</v>
      </c>
      <c r="AG415" s="124">
        <v>2365.61</v>
      </c>
      <c r="AH415" s="124">
        <v>2393.4</v>
      </c>
      <c r="AI415" s="124">
        <v>2421.19</v>
      </c>
      <c r="AJ415" s="124">
        <v>2448.98</v>
      </c>
      <c r="AK415" s="124">
        <v>2476.77</v>
      </c>
      <c r="AL415" s="124">
        <v>2504.56</v>
      </c>
      <c r="AM415" s="124">
        <v>2528.56</v>
      </c>
      <c r="AN415" s="124">
        <v>2552.56</v>
      </c>
      <c r="AO415" s="125">
        <v>2576.56</v>
      </c>
      <c r="AP415" s="125">
        <v>2600.56</v>
      </c>
      <c r="AQ415" s="125">
        <v>2624.56</v>
      </c>
      <c r="AR415" s="125">
        <v>2648.56</v>
      </c>
      <c r="AS415" s="125">
        <v>172.56</v>
      </c>
      <c r="AT415" s="125">
        <v>196.56</v>
      </c>
      <c r="AU415" s="125">
        <v>220.56</v>
      </c>
      <c r="AV415" s="125">
        <v>244.56</v>
      </c>
      <c r="AW415" s="125">
        <v>268.56</v>
      </c>
      <c r="AX415" s="125">
        <v>292.56</v>
      </c>
      <c r="AY415" s="126"/>
      <c r="AZ415" s="126"/>
      <c r="BA415" s="126"/>
      <c r="BB415" s="126"/>
      <c r="BC415" s="126"/>
      <c r="BD415" s="126"/>
      <c r="BE415" s="126"/>
      <c r="BF415" s="127">
        <v>2590901520</v>
      </c>
      <c r="BG415" s="97" t="s">
        <v>206</v>
      </c>
      <c r="BH415" s="127">
        <v>2393.4</v>
      </c>
      <c r="BI415" s="127">
        <v>2590901520</v>
      </c>
      <c r="BJ415" s="97" t="s">
        <v>206</v>
      </c>
      <c r="BK415" s="127">
        <v>2421.19</v>
      </c>
    </row>
    <row r="416" spans="2:63" x14ac:dyDescent="0.25">
      <c r="B416" s="121">
        <v>2590901525</v>
      </c>
      <c r="C416" s="122" t="s">
        <v>374</v>
      </c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3">
        <v>29.33</v>
      </c>
      <c r="Q416" s="123">
        <v>94.73</v>
      </c>
      <c r="R416" s="123">
        <v>198.19</v>
      </c>
      <c r="S416" s="123">
        <v>318.52</v>
      </c>
      <c r="T416" s="123">
        <v>507.29</v>
      </c>
      <c r="U416" s="123">
        <v>727.95</v>
      </c>
      <c r="V416" s="123">
        <v>963.15</v>
      </c>
      <c r="W416" s="123">
        <v>1218.8599999999999</v>
      </c>
      <c r="X416" s="123">
        <v>1512.11</v>
      </c>
      <c r="Y416" s="123">
        <v>1829.47</v>
      </c>
      <c r="Z416" s="123">
        <v>2164.3000000000002</v>
      </c>
      <c r="AA416" s="123">
        <v>2571.8000000000002</v>
      </c>
      <c r="AB416" s="123">
        <v>2994.96</v>
      </c>
      <c r="AC416" s="124">
        <v>3440.99</v>
      </c>
      <c r="AD416" s="124">
        <v>3880.28</v>
      </c>
      <c r="AE416" s="124">
        <v>4410.7700000000004</v>
      </c>
      <c r="AF416" s="124">
        <v>4336.12</v>
      </c>
      <c r="AG416" s="124">
        <v>880.63</v>
      </c>
      <c r="AH416" s="124">
        <v>944.34</v>
      </c>
      <c r="AI416" s="124">
        <v>1009.38</v>
      </c>
      <c r="AJ416" s="124">
        <v>1368.53</v>
      </c>
      <c r="AK416" s="124">
        <v>1741.31</v>
      </c>
      <c r="AL416" s="124">
        <v>2089.23</v>
      </c>
      <c r="AM416" s="124">
        <v>2425.75</v>
      </c>
      <c r="AN416" s="124">
        <v>2755.53</v>
      </c>
      <c r="AO416" s="125">
        <v>3055.94</v>
      </c>
      <c r="AP416" s="125">
        <v>3545.52</v>
      </c>
      <c r="AQ416" s="125">
        <v>3767.47</v>
      </c>
      <c r="AR416" s="125">
        <v>3731.34</v>
      </c>
      <c r="AS416" s="125">
        <v>3627.13</v>
      </c>
      <c r="AT416" s="125">
        <v>3621.29</v>
      </c>
      <c r="AU416" s="125">
        <v>3702.51</v>
      </c>
      <c r="AV416" s="125">
        <v>4405.63</v>
      </c>
      <c r="AW416" s="125">
        <v>5136.37</v>
      </c>
      <c r="AX416" s="125">
        <v>782.3</v>
      </c>
      <c r="AY416" s="126"/>
      <c r="AZ416" s="126"/>
      <c r="BA416" s="126"/>
      <c r="BB416" s="126"/>
      <c r="BC416" s="126"/>
      <c r="BD416" s="126"/>
      <c r="BE416" s="126"/>
      <c r="BF416" s="127">
        <v>2590901525</v>
      </c>
      <c r="BG416" s="97" t="s">
        <v>374</v>
      </c>
      <c r="BH416" s="127">
        <v>944.34</v>
      </c>
      <c r="BI416" s="127">
        <v>2590901525</v>
      </c>
      <c r="BJ416" s="97" t="s">
        <v>374</v>
      </c>
      <c r="BK416" s="127">
        <v>1009.38</v>
      </c>
    </row>
    <row r="417" spans="1:63" s="113" customFormat="1" x14ac:dyDescent="0.25">
      <c r="A417" s="97"/>
      <c r="B417" s="121">
        <v>2590901530</v>
      </c>
      <c r="C417" s="122" t="s">
        <v>375</v>
      </c>
      <c r="D417" s="123">
        <v>6375.3</v>
      </c>
      <c r="E417" s="123">
        <v>6375.3</v>
      </c>
      <c r="F417" s="123">
        <v>6375.3</v>
      </c>
      <c r="G417" s="123">
        <v>6375.3</v>
      </c>
      <c r="H417" s="123">
        <v>6375.3</v>
      </c>
      <c r="I417" s="123">
        <v>5302.48</v>
      </c>
      <c r="J417" s="123">
        <v>5302.48</v>
      </c>
      <c r="K417" s="123">
        <v>5302.48</v>
      </c>
      <c r="L417" s="123">
        <v>5302.48</v>
      </c>
      <c r="M417" s="123">
        <v>5302.48</v>
      </c>
      <c r="N417" s="123">
        <v>5302.48</v>
      </c>
      <c r="O417" s="123">
        <v>5302.48</v>
      </c>
      <c r="P417" s="123">
        <v>5302.48</v>
      </c>
      <c r="Q417" s="123">
        <v>5302.48</v>
      </c>
      <c r="R417" s="123">
        <v>5302.48</v>
      </c>
      <c r="S417" s="123">
        <v>5302.48</v>
      </c>
      <c r="T417" s="123">
        <v>5302.48</v>
      </c>
      <c r="U417" s="123">
        <v>5302.48</v>
      </c>
      <c r="V417" s="123">
        <v>5302.48</v>
      </c>
      <c r="W417" s="123">
        <v>5302.48</v>
      </c>
      <c r="X417" s="123">
        <v>5302.48</v>
      </c>
      <c r="Y417" s="123">
        <v>5302.48</v>
      </c>
      <c r="Z417" s="123">
        <v>5302.48</v>
      </c>
      <c r="AA417" s="123">
        <v>5509.65</v>
      </c>
      <c r="AB417" s="123">
        <v>5509.65</v>
      </c>
      <c r="AC417" s="124">
        <v>5509.65</v>
      </c>
      <c r="AD417" s="124">
        <v>5509.65</v>
      </c>
      <c r="AE417" s="124">
        <v>5509.65</v>
      </c>
      <c r="AF417" s="124">
        <v>5718.68</v>
      </c>
      <c r="AG417" s="124">
        <v>5718.68</v>
      </c>
      <c r="AH417" s="124">
        <v>5907.04</v>
      </c>
      <c r="AI417" s="124">
        <v>5907.04</v>
      </c>
      <c r="AJ417" s="124">
        <v>5907.04</v>
      </c>
      <c r="AK417" s="124">
        <v>5907.04</v>
      </c>
      <c r="AL417" s="124">
        <v>6098.99</v>
      </c>
      <c r="AM417" s="124">
        <v>6889.97</v>
      </c>
      <c r="AN417" s="124">
        <v>7818.76</v>
      </c>
      <c r="AO417" s="125">
        <v>8388.11</v>
      </c>
      <c r="AP417" s="125">
        <v>5302.48</v>
      </c>
      <c r="AQ417" s="125">
        <v>5302.48</v>
      </c>
      <c r="AR417" s="125">
        <v>5302.48</v>
      </c>
      <c r="AS417" s="125">
        <v>301.42</v>
      </c>
      <c r="AT417" s="125">
        <v>301.42</v>
      </c>
      <c r="AU417" s="125">
        <v>301.42</v>
      </c>
      <c r="AV417" s="125">
        <v>301.42</v>
      </c>
      <c r="AW417" s="125">
        <v>301.42</v>
      </c>
      <c r="AX417" s="125">
        <v>301.42</v>
      </c>
      <c r="AY417" s="126"/>
      <c r="AZ417" s="126"/>
      <c r="BA417" s="126"/>
      <c r="BB417" s="126"/>
      <c r="BC417" s="126"/>
      <c r="BD417" s="126"/>
      <c r="BE417" s="126"/>
      <c r="BF417" s="127">
        <v>2590901530</v>
      </c>
      <c r="BG417" s="97" t="s">
        <v>375</v>
      </c>
      <c r="BH417" s="127">
        <v>5907.04</v>
      </c>
      <c r="BI417" s="127">
        <v>2590901530</v>
      </c>
      <c r="BJ417" s="97" t="s">
        <v>375</v>
      </c>
      <c r="BK417" s="127">
        <v>5907.04</v>
      </c>
    </row>
    <row r="418" spans="1:63" x14ac:dyDescent="0.25">
      <c r="B418" s="121">
        <v>2590901535</v>
      </c>
      <c r="C418" s="122" t="s">
        <v>376</v>
      </c>
      <c r="D418" s="123">
        <v>5596.82</v>
      </c>
      <c r="E418" s="123">
        <v>5886.81</v>
      </c>
      <c r="F418" s="123">
        <v>6164.76</v>
      </c>
      <c r="G418" s="123">
        <v>6440.44</v>
      </c>
      <c r="H418" s="123">
        <v>6704.59</v>
      </c>
      <c r="I418" s="123">
        <v>6955.26</v>
      </c>
      <c r="J418" s="123">
        <v>7165.75</v>
      </c>
      <c r="K418" s="123">
        <v>7370.73</v>
      </c>
      <c r="L418" s="123">
        <v>7575.71</v>
      </c>
      <c r="M418" s="123">
        <v>7879.15</v>
      </c>
      <c r="N418" s="123">
        <v>8060.9</v>
      </c>
      <c r="O418" s="123">
        <v>8242.65</v>
      </c>
      <c r="P418" s="123">
        <v>8421.75</v>
      </c>
      <c r="Q418" s="123">
        <v>8600.85</v>
      </c>
      <c r="R418" s="123">
        <v>8774.7999999999993</v>
      </c>
      <c r="S418" s="123">
        <v>8948.75</v>
      </c>
      <c r="T418" s="123">
        <v>9122.7000000000007</v>
      </c>
      <c r="U418" s="123">
        <v>9295.49</v>
      </c>
      <c r="V418" s="123">
        <v>9465.18</v>
      </c>
      <c r="W418" s="123">
        <v>9631.0400000000009</v>
      </c>
      <c r="X418" s="123">
        <v>9785.3799999999992</v>
      </c>
      <c r="Y418" s="123">
        <v>9939.7199999999993</v>
      </c>
      <c r="Z418" s="123">
        <v>10094.06</v>
      </c>
      <c r="AA418" s="123">
        <v>10254.64</v>
      </c>
      <c r="AB418" s="123">
        <v>10415.219999999999</v>
      </c>
      <c r="AC418" s="124">
        <v>10575.8</v>
      </c>
      <c r="AD418" s="124">
        <v>10736.38</v>
      </c>
      <c r="AE418" s="124">
        <v>10896.96</v>
      </c>
      <c r="AF418" s="124">
        <v>11057.54</v>
      </c>
      <c r="AG418" s="124">
        <v>11223.39</v>
      </c>
      <c r="AH418" s="124">
        <v>11382.93</v>
      </c>
      <c r="AI418" s="124">
        <v>11542.47</v>
      </c>
      <c r="AJ418" s="124">
        <v>11701.99</v>
      </c>
      <c r="AK418" s="124">
        <v>11856.78</v>
      </c>
      <c r="AL418" s="124">
        <v>12011.57</v>
      </c>
      <c r="AM418" s="124">
        <v>12147.9</v>
      </c>
      <c r="AN418" s="124">
        <v>12278.96</v>
      </c>
      <c r="AO418" s="125">
        <v>12410.02</v>
      </c>
      <c r="AP418" s="125">
        <v>12534.54</v>
      </c>
      <c r="AQ418" s="125">
        <v>12659.06</v>
      </c>
      <c r="AR418" s="125">
        <v>12783.58</v>
      </c>
      <c r="AS418" s="125">
        <v>1100.3399999999999</v>
      </c>
      <c r="AT418" s="125">
        <v>1406.65</v>
      </c>
      <c r="AU418" s="125">
        <v>1712.96</v>
      </c>
      <c r="AV418" s="125">
        <v>2019.32</v>
      </c>
      <c r="AW418" s="125">
        <v>2320.25</v>
      </c>
      <c r="AX418" s="125">
        <v>0</v>
      </c>
      <c r="AY418" s="126"/>
      <c r="AZ418" s="126"/>
      <c r="BA418" s="126"/>
      <c r="BB418" s="126"/>
      <c r="BC418" s="126"/>
      <c r="BD418" s="126"/>
      <c r="BE418" s="126"/>
      <c r="BF418" s="127">
        <v>2590901535</v>
      </c>
      <c r="BG418" s="97" t="s">
        <v>376</v>
      </c>
      <c r="BH418" s="127">
        <v>11382.93</v>
      </c>
      <c r="BI418" s="127">
        <v>2590901535</v>
      </c>
      <c r="BJ418" s="97" t="s">
        <v>376</v>
      </c>
      <c r="BK418" s="127">
        <v>11542.47</v>
      </c>
    </row>
    <row r="419" spans="1:63" x14ac:dyDescent="0.25">
      <c r="B419" s="121">
        <v>2590901540</v>
      </c>
      <c r="C419" s="122" t="s">
        <v>377</v>
      </c>
      <c r="D419" s="123">
        <v>37924.6</v>
      </c>
      <c r="E419" s="123">
        <v>77745.02</v>
      </c>
      <c r="F419" s="123">
        <v>60805.760000000002</v>
      </c>
      <c r="G419" s="123">
        <v>58571.74</v>
      </c>
      <c r="H419" s="123">
        <v>62064.15</v>
      </c>
      <c r="I419" s="123">
        <v>86775.27</v>
      </c>
      <c r="J419" s="123">
        <v>17978.52</v>
      </c>
      <c r="K419" s="123">
        <v>59409.46</v>
      </c>
      <c r="L419" s="123">
        <v>81750.17</v>
      </c>
      <c r="M419" s="123">
        <v>11189.31</v>
      </c>
      <c r="N419" s="123">
        <v>56975.23</v>
      </c>
      <c r="O419" s="123">
        <v>33689.949999999997</v>
      </c>
      <c r="P419" s="123">
        <v>45516.98</v>
      </c>
      <c r="Q419" s="123">
        <v>99359.35</v>
      </c>
      <c r="R419" s="123">
        <v>52172.71</v>
      </c>
      <c r="S419" s="123">
        <v>112089.71</v>
      </c>
      <c r="T419" s="123">
        <v>173020.04</v>
      </c>
      <c r="U419" s="123">
        <v>234769.28</v>
      </c>
      <c r="V419" s="123">
        <v>225030.51</v>
      </c>
      <c r="W419" s="123">
        <v>288537.67</v>
      </c>
      <c r="X419" s="123">
        <v>198499.28</v>
      </c>
      <c r="Y419" s="123">
        <v>212572.83</v>
      </c>
      <c r="Z419" s="123">
        <v>208006.16</v>
      </c>
      <c r="AA419" s="123">
        <v>211064.1</v>
      </c>
      <c r="AB419" s="123">
        <v>204109.09</v>
      </c>
      <c r="AC419" s="124">
        <v>224334.16</v>
      </c>
      <c r="AD419" s="124">
        <v>222143.29</v>
      </c>
      <c r="AE419" s="124">
        <v>222754.02</v>
      </c>
      <c r="AF419" s="124">
        <v>225480.8</v>
      </c>
      <c r="AG419" s="124">
        <v>189030.56</v>
      </c>
      <c r="AH419" s="124">
        <v>189515.69</v>
      </c>
      <c r="AI419" s="124">
        <v>192908.12</v>
      </c>
      <c r="AJ419" s="124">
        <v>184049.13</v>
      </c>
      <c r="AK419" s="124">
        <v>192175.7</v>
      </c>
      <c r="AL419" s="124">
        <v>205426.11</v>
      </c>
      <c r="AM419" s="124">
        <v>217816.46</v>
      </c>
      <c r="AN419" s="124">
        <v>201385.97</v>
      </c>
      <c r="AO419" s="125">
        <v>213626.62</v>
      </c>
      <c r="AP419" s="125">
        <v>226517.53</v>
      </c>
      <c r="AQ419" s="125">
        <v>240703.48</v>
      </c>
      <c r="AR419" s="125">
        <v>251744.38</v>
      </c>
      <c r="AS419" s="125">
        <v>163406.28</v>
      </c>
      <c r="AT419" s="125">
        <v>175808.73</v>
      </c>
      <c r="AU419" s="125">
        <v>155296.92000000001</v>
      </c>
      <c r="AV419" s="125">
        <v>114302</v>
      </c>
      <c r="AW419" s="125">
        <v>212738.59</v>
      </c>
      <c r="AX419" s="125">
        <v>206386.19</v>
      </c>
      <c r="AY419" s="126"/>
      <c r="AZ419" s="126"/>
      <c r="BA419" s="126"/>
      <c r="BB419" s="126"/>
      <c r="BC419" s="126"/>
      <c r="BD419" s="126"/>
      <c r="BE419" s="126"/>
      <c r="BF419" s="127">
        <v>2590901540</v>
      </c>
      <c r="BG419" s="97" t="s">
        <v>377</v>
      </c>
      <c r="BH419" s="127">
        <v>189515.69</v>
      </c>
      <c r="BI419" s="127">
        <v>2590901540</v>
      </c>
      <c r="BJ419" s="97" t="s">
        <v>377</v>
      </c>
      <c r="BK419" s="127">
        <v>192908.12</v>
      </c>
    </row>
    <row r="420" spans="1:63" x14ac:dyDescent="0.25">
      <c r="B420" s="121">
        <v>2590901545</v>
      </c>
      <c r="C420" s="122" t="s">
        <v>378</v>
      </c>
      <c r="D420" s="128"/>
      <c r="E420" s="128"/>
      <c r="F420" s="123">
        <v>286.44</v>
      </c>
      <c r="G420" s="123">
        <v>859.32</v>
      </c>
      <c r="H420" s="123">
        <v>1541.32</v>
      </c>
      <c r="I420" s="123">
        <v>2591.6</v>
      </c>
      <c r="J420" s="123">
        <v>3160.44</v>
      </c>
      <c r="K420" s="123">
        <v>4333.4799999999996</v>
      </c>
      <c r="L420" s="123">
        <v>2423.88</v>
      </c>
      <c r="M420" s="123">
        <v>3624.2</v>
      </c>
      <c r="N420" s="123">
        <v>4851.8</v>
      </c>
      <c r="O420" s="123">
        <v>3737.36</v>
      </c>
      <c r="P420" s="123">
        <v>4992.24</v>
      </c>
      <c r="Q420" s="123">
        <v>6274.4</v>
      </c>
      <c r="R420" s="123">
        <v>3028.08</v>
      </c>
      <c r="S420" s="123">
        <v>4310.24</v>
      </c>
      <c r="T420" s="123">
        <v>5619.68</v>
      </c>
      <c r="U420" s="123">
        <v>6956.4</v>
      </c>
      <c r="V420" s="123">
        <v>8170.36</v>
      </c>
      <c r="W420" s="123">
        <v>9370.68</v>
      </c>
      <c r="X420" s="123">
        <v>10571</v>
      </c>
      <c r="Y420" s="123">
        <v>11716.76</v>
      </c>
      <c r="Z420" s="123">
        <v>5346.75</v>
      </c>
      <c r="AA420" s="123">
        <v>6437.95</v>
      </c>
      <c r="AB420" s="123">
        <v>7515.51</v>
      </c>
      <c r="AC420" s="124">
        <v>8606.7099999999991</v>
      </c>
      <c r="AD420" s="124">
        <v>9656.99</v>
      </c>
      <c r="AE420" s="124">
        <v>10679.99</v>
      </c>
      <c r="AF420" s="124">
        <v>11689.35</v>
      </c>
      <c r="AG420" s="124">
        <v>8835.94</v>
      </c>
      <c r="AH420" s="124">
        <v>9790.74</v>
      </c>
      <c r="AI420" s="124">
        <v>10731.9</v>
      </c>
      <c r="AJ420" s="124">
        <v>10854.66</v>
      </c>
      <c r="AK420" s="124">
        <v>11263.86</v>
      </c>
      <c r="AL420" s="124">
        <v>11673.06</v>
      </c>
      <c r="AM420" s="124">
        <v>12014.06</v>
      </c>
      <c r="AN420" s="124">
        <v>12014.06</v>
      </c>
      <c r="AO420" s="125">
        <v>12014.06</v>
      </c>
      <c r="AP420" s="125">
        <v>12014.06</v>
      </c>
      <c r="AQ420" s="125">
        <v>12014.06</v>
      </c>
      <c r="AR420" s="125">
        <v>12014.06</v>
      </c>
      <c r="AS420" s="125">
        <v>12014.06</v>
      </c>
      <c r="AT420" s="125">
        <v>12014.06</v>
      </c>
      <c r="AU420" s="125">
        <v>12014.06</v>
      </c>
      <c r="AV420" s="125">
        <v>12014.06</v>
      </c>
      <c r="AW420" s="125">
        <v>12014.06</v>
      </c>
      <c r="AX420" s="125">
        <v>0</v>
      </c>
      <c r="AY420" s="126"/>
      <c r="AZ420" s="126"/>
      <c r="BA420" s="126"/>
      <c r="BB420" s="126"/>
      <c r="BC420" s="126"/>
      <c r="BD420" s="126"/>
      <c r="BE420" s="126"/>
      <c r="BF420" s="127">
        <v>2590901545</v>
      </c>
      <c r="BG420" s="97" t="s">
        <v>378</v>
      </c>
      <c r="BH420" s="127">
        <v>9790.74</v>
      </c>
      <c r="BI420" s="127">
        <v>2590901545</v>
      </c>
      <c r="BJ420" s="97" t="s">
        <v>378</v>
      </c>
      <c r="BK420" s="127">
        <v>10731.9</v>
      </c>
    </row>
    <row r="421" spans="1:63" x14ac:dyDescent="0.25">
      <c r="B421" s="121">
        <v>2590901550</v>
      </c>
      <c r="C421" s="122" t="s">
        <v>379</v>
      </c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3">
        <v>64.56</v>
      </c>
      <c r="P421" s="123">
        <v>96.84</v>
      </c>
      <c r="Q421" s="123">
        <v>129.12</v>
      </c>
      <c r="R421" s="123">
        <v>161.4</v>
      </c>
      <c r="S421" s="123">
        <v>193.68</v>
      </c>
      <c r="T421" s="123">
        <v>225.96</v>
      </c>
      <c r="U421" s="123">
        <v>258.24</v>
      </c>
      <c r="V421" s="123">
        <v>290.52</v>
      </c>
      <c r="W421" s="123">
        <v>322.8</v>
      </c>
      <c r="X421" s="123">
        <v>354.84</v>
      </c>
      <c r="Y421" s="123">
        <v>354.84</v>
      </c>
      <c r="Z421" s="123">
        <v>354.84</v>
      </c>
      <c r="AA421" s="123">
        <v>354.84</v>
      </c>
      <c r="AB421" s="123">
        <v>354.84</v>
      </c>
      <c r="AC421" s="124">
        <v>354.84</v>
      </c>
      <c r="AD421" s="124">
        <v>354.84</v>
      </c>
      <c r="AE421" s="124">
        <v>354.84</v>
      </c>
      <c r="AF421" s="124">
        <v>354.84</v>
      </c>
      <c r="AG421" s="124">
        <v>354.84</v>
      </c>
      <c r="AH421" s="124">
        <v>354.84</v>
      </c>
      <c r="AI421" s="124">
        <v>354.84</v>
      </c>
      <c r="AJ421" s="124">
        <v>354.84</v>
      </c>
      <c r="AK421" s="124">
        <v>354.84</v>
      </c>
      <c r="AL421" s="124">
        <v>354.84</v>
      </c>
      <c r="AM421" s="124">
        <v>354.84</v>
      </c>
      <c r="AN421" s="124">
        <v>354.84</v>
      </c>
      <c r="AO421" s="125">
        <v>354.84</v>
      </c>
      <c r="AP421" s="125">
        <v>354.84</v>
      </c>
      <c r="AQ421" s="125">
        <v>354.84</v>
      </c>
      <c r="AR421" s="125">
        <v>354.84</v>
      </c>
      <c r="AS421" s="125">
        <v>354.84</v>
      </c>
      <c r="AT421" s="125">
        <v>354.84</v>
      </c>
      <c r="AU421" s="125">
        <v>354.84</v>
      </c>
      <c r="AV421" s="125">
        <v>354.84</v>
      </c>
      <c r="AW421" s="125">
        <v>354.84</v>
      </c>
      <c r="AX421" s="125">
        <v>354.84</v>
      </c>
      <c r="AY421" s="126"/>
      <c r="AZ421" s="126"/>
      <c r="BA421" s="126"/>
      <c r="BB421" s="126"/>
      <c r="BC421" s="126"/>
      <c r="BD421" s="126"/>
      <c r="BE421" s="126"/>
      <c r="BF421" s="127">
        <v>2590901550</v>
      </c>
      <c r="BG421" s="97" t="s">
        <v>379</v>
      </c>
      <c r="BH421" s="127">
        <v>354.84</v>
      </c>
      <c r="BI421" s="127">
        <v>2590901550</v>
      </c>
      <c r="BJ421" s="97" t="s">
        <v>379</v>
      </c>
      <c r="BK421" s="127">
        <v>354.84</v>
      </c>
    </row>
    <row r="422" spans="1:63" x14ac:dyDescent="0.25">
      <c r="B422" s="121">
        <v>2590901555</v>
      </c>
      <c r="C422" s="122" t="s">
        <v>380</v>
      </c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  <c r="AA422" s="123">
        <v>1765.22</v>
      </c>
      <c r="AB422" s="123">
        <v>1765.22</v>
      </c>
      <c r="AC422" s="124">
        <v>1765.22</v>
      </c>
      <c r="AD422" s="124">
        <v>1765.22</v>
      </c>
      <c r="AE422" s="129"/>
      <c r="AF422" s="124">
        <v>1824.74</v>
      </c>
      <c r="AG422" s="124">
        <v>1824.74</v>
      </c>
      <c r="AH422" s="124">
        <v>3360.34</v>
      </c>
      <c r="AI422" s="124">
        <v>3360.34</v>
      </c>
      <c r="AJ422" s="124">
        <v>3360.34</v>
      </c>
      <c r="AK422" s="124">
        <v>3360.34</v>
      </c>
      <c r="AL422" s="124">
        <v>1716.32</v>
      </c>
      <c r="AM422" s="124">
        <v>8225.58</v>
      </c>
      <c r="AN422" s="124">
        <v>16030.6</v>
      </c>
      <c r="AO422" s="125">
        <v>5069.57</v>
      </c>
      <c r="AP422" s="125">
        <v>14404.87</v>
      </c>
      <c r="AQ422" s="125">
        <v>30919.78</v>
      </c>
      <c r="AR422" s="125">
        <v>47327.93</v>
      </c>
      <c r="AS422" s="125">
        <v>53463.25</v>
      </c>
      <c r="AT422" s="125">
        <v>66508.55</v>
      </c>
      <c r="AU422" s="125">
        <v>45218.75</v>
      </c>
      <c r="AV422" s="125">
        <v>17042.98</v>
      </c>
      <c r="AW422" s="125">
        <v>36476.120000000003</v>
      </c>
      <c r="AX422" s="125">
        <v>56971.33</v>
      </c>
      <c r="AY422" s="126"/>
      <c r="AZ422" s="126"/>
      <c r="BA422" s="126"/>
      <c r="BB422" s="126"/>
      <c r="BC422" s="126"/>
      <c r="BD422" s="126"/>
      <c r="BE422" s="126"/>
      <c r="BF422" s="127">
        <v>2590901555</v>
      </c>
      <c r="BG422" s="97" t="s">
        <v>380</v>
      </c>
      <c r="BH422" s="127">
        <v>3360.34</v>
      </c>
      <c r="BI422" s="127">
        <v>2590901555</v>
      </c>
      <c r="BJ422" s="97" t="s">
        <v>380</v>
      </c>
      <c r="BK422" s="127">
        <v>3360.34</v>
      </c>
    </row>
    <row r="423" spans="1:63" x14ac:dyDescent="0.25">
      <c r="B423" s="121">
        <v>2590901590</v>
      </c>
      <c r="C423" s="122" t="s">
        <v>225</v>
      </c>
      <c r="D423" s="123">
        <v>32700.799999999999</v>
      </c>
      <c r="E423" s="123">
        <v>25860</v>
      </c>
      <c r="F423" s="123">
        <v>29913.200000000001</v>
      </c>
      <c r="G423" s="123">
        <v>29758.05</v>
      </c>
      <c r="H423" s="123">
        <v>34216.03</v>
      </c>
      <c r="I423" s="123">
        <v>37414.120000000003</v>
      </c>
      <c r="J423" s="123">
        <v>33487.199999999997</v>
      </c>
      <c r="K423" s="123">
        <v>27045.97</v>
      </c>
      <c r="L423" s="123">
        <v>28146.74</v>
      </c>
      <c r="M423" s="123">
        <v>31342.51</v>
      </c>
      <c r="N423" s="123">
        <v>32.28</v>
      </c>
      <c r="O423" s="123">
        <v>32283.57</v>
      </c>
      <c r="P423" s="123">
        <v>39236.379999999997</v>
      </c>
      <c r="Q423" s="123">
        <v>53279.59</v>
      </c>
      <c r="R423" s="123">
        <v>42601.8</v>
      </c>
      <c r="S423" s="123">
        <v>41752.75</v>
      </c>
      <c r="T423" s="123">
        <v>42265.7</v>
      </c>
      <c r="U423" s="123">
        <v>36697.67</v>
      </c>
      <c r="V423" s="123">
        <v>30941.64</v>
      </c>
      <c r="W423" s="123">
        <v>31138.63</v>
      </c>
      <c r="X423" s="123">
        <v>36571.620000000003</v>
      </c>
      <c r="Y423" s="123">
        <v>43425.63</v>
      </c>
      <c r="Z423" s="123">
        <v>40283.64</v>
      </c>
      <c r="AA423" s="123">
        <v>50469.65</v>
      </c>
      <c r="AB423" s="123">
        <v>46235.66</v>
      </c>
      <c r="AC423" s="124">
        <v>28337.67</v>
      </c>
      <c r="AD423" s="124">
        <v>28051.68</v>
      </c>
      <c r="AE423" s="124">
        <v>28241.69</v>
      </c>
      <c r="AF423" s="124">
        <v>28424.720000000001</v>
      </c>
      <c r="AG423" s="124">
        <v>28607.75</v>
      </c>
      <c r="AH423" s="124">
        <v>28790.78</v>
      </c>
      <c r="AI423" s="124">
        <v>28973.81</v>
      </c>
      <c r="AJ423" s="124">
        <v>24396.84</v>
      </c>
      <c r="AK423" s="124">
        <v>24572.89</v>
      </c>
      <c r="AL423" s="124">
        <v>24741.96</v>
      </c>
      <c r="AM423" s="124">
        <v>24904.39</v>
      </c>
      <c r="AN423" s="124">
        <v>25032.26</v>
      </c>
      <c r="AO423" s="125">
        <v>25103.599999999999</v>
      </c>
      <c r="AP423" s="125">
        <v>25142.799999999999</v>
      </c>
      <c r="AQ423" s="125">
        <v>25175.71</v>
      </c>
      <c r="AR423" s="125">
        <v>25208.62</v>
      </c>
      <c r="AS423" s="125">
        <v>25241.43</v>
      </c>
      <c r="AT423" s="125">
        <v>25268.09</v>
      </c>
      <c r="AU423" s="125">
        <v>25294.75</v>
      </c>
      <c r="AV423" s="125">
        <v>25321.54</v>
      </c>
      <c r="AW423" s="125">
        <v>25342.720000000001</v>
      </c>
      <c r="AX423" s="125">
        <v>25363.9</v>
      </c>
      <c r="AY423" s="126"/>
      <c r="AZ423" s="126"/>
      <c r="BA423" s="126"/>
      <c r="BB423" s="126"/>
      <c r="BC423" s="126"/>
      <c r="BD423" s="126"/>
      <c r="BE423" s="126"/>
      <c r="BF423" s="127">
        <v>2590901590</v>
      </c>
      <c r="BG423" s="97" t="s">
        <v>225</v>
      </c>
      <c r="BH423" s="127">
        <v>28790.78</v>
      </c>
      <c r="BI423" s="127">
        <v>2590901590</v>
      </c>
      <c r="BJ423" s="97" t="s">
        <v>225</v>
      </c>
      <c r="BK423" s="127">
        <v>28973.81</v>
      </c>
    </row>
    <row r="424" spans="1:63" x14ac:dyDescent="0.25">
      <c r="B424" s="121">
        <v>25909045</v>
      </c>
      <c r="C424" s="122" t="s">
        <v>381</v>
      </c>
      <c r="D424" s="123">
        <v>411</v>
      </c>
      <c r="E424" s="123">
        <v>411</v>
      </c>
      <c r="F424" s="123">
        <v>411</v>
      </c>
      <c r="G424" s="123">
        <v>411</v>
      </c>
      <c r="H424" s="123">
        <v>411</v>
      </c>
      <c r="I424" s="123">
        <v>411</v>
      </c>
      <c r="J424" s="123">
        <v>411</v>
      </c>
      <c r="K424" s="123">
        <v>411</v>
      </c>
      <c r="L424" s="123">
        <v>411</v>
      </c>
      <c r="M424" s="123">
        <v>411</v>
      </c>
      <c r="N424" s="123">
        <v>31186.28</v>
      </c>
      <c r="O424" s="123">
        <v>411</v>
      </c>
      <c r="P424" s="123">
        <v>411</v>
      </c>
      <c r="Q424" s="123">
        <v>411</v>
      </c>
      <c r="R424" s="123">
        <v>411</v>
      </c>
      <c r="S424" s="123">
        <v>411</v>
      </c>
      <c r="T424" s="123">
        <v>411</v>
      </c>
      <c r="U424" s="123">
        <v>411</v>
      </c>
      <c r="V424" s="123">
        <v>411</v>
      </c>
      <c r="W424" s="123">
        <v>411</v>
      </c>
      <c r="X424" s="123">
        <v>411</v>
      </c>
      <c r="Y424" s="123">
        <v>411</v>
      </c>
      <c r="Z424" s="123">
        <v>411</v>
      </c>
      <c r="AA424" s="123">
        <v>411</v>
      </c>
      <c r="AB424" s="123">
        <v>411</v>
      </c>
      <c r="AC424" s="124">
        <v>411</v>
      </c>
      <c r="AD424" s="124">
        <v>411</v>
      </c>
      <c r="AE424" s="124">
        <v>411</v>
      </c>
      <c r="AF424" s="124">
        <v>411</v>
      </c>
      <c r="AG424" s="124">
        <v>411</v>
      </c>
      <c r="AH424" s="124">
        <v>411</v>
      </c>
      <c r="AI424" s="124">
        <v>411</v>
      </c>
      <c r="AJ424" s="124">
        <v>411</v>
      </c>
      <c r="AK424" s="124">
        <v>411</v>
      </c>
      <c r="AL424" s="124">
        <v>411</v>
      </c>
      <c r="AM424" s="124">
        <v>411</v>
      </c>
      <c r="AN424" s="124">
        <v>411</v>
      </c>
      <c r="AO424" s="125">
        <v>411</v>
      </c>
      <c r="AP424" s="125">
        <v>0</v>
      </c>
      <c r="AQ424" s="125">
        <v>0</v>
      </c>
      <c r="AR424" s="125">
        <v>0</v>
      </c>
      <c r="AS424" s="125">
        <v>0</v>
      </c>
      <c r="AT424" s="125">
        <v>0</v>
      </c>
      <c r="AU424" s="125">
        <v>0</v>
      </c>
      <c r="AV424" s="125">
        <v>0</v>
      </c>
      <c r="AW424" s="125">
        <v>0</v>
      </c>
      <c r="AX424" s="125">
        <v>0</v>
      </c>
      <c r="AY424" s="126"/>
      <c r="AZ424" s="126"/>
      <c r="BA424" s="126"/>
      <c r="BB424" s="126"/>
      <c r="BC424" s="126"/>
      <c r="BD424" s="126"/>
      <c r="BE424" s="126"/>
      <c r="BF424" s="127">
        <v>25909045</v>
      </c>
      <c r="BG424" s="97" t="s">
        <v>381</v>
      </c>
      <c r="BH424" s="127">
        <v>411</v>
      </c>
      <c r="BI424" s="127">
        <v>25909045</v>
      </c>
      <c r="BJ424" s="97" t="s">
        <v>381</v>
      </c>
      <c r="BK424" s="127">
        <v>411</v>
      </c>
    </row>
    <row r="425" spans="1:63" x14ac:dyDescent="0.25">
      <c r="B425" s="121">
        <v>25909050</v>
      </c>
      <c r="C425" s="152" t="s">
        <v>382</v>
      </c>
      <c r="D425" s="123">
        <v>8975.94</v>
      </c>
      <c r="E425" s="123">
        <v>7806.78</v>
      </c>
      <c r="F425" s="123">
        <v>7672.38</v>
      </c>
      <c r="G425" s="123">
        <v>7672.38</v>
      </c>
      <c r="H425" s="123">
        <v>8090.73</v>
      </c>
      <c r="I425" s="123">
        <v>8090.73</v>
      </c>
      <c r="J425" s="123">
        <v>7672.38</v>
      </c>
      <c r="K425" s="123">
        <v>7672.38</v>
      </c>
      <c r="L425" s="123">
        <v>9728.86</v>
      </c>
      <c r="M425" s="123">
        <v>7672.38</v>
      </c>
      <c r="N425" s="123">
        <v>411</v>
      </c>
      <c r="O425" s="123">
        <v>7672.38</v>
      </c>
      <c r="P425" s="123">
        <v>7672.38</v>
      </c>
      <c r="Q425" s="123">
        <v>9010.58</v>
      </c>
      <c r="R425" s="123">
        <v>8332.2000000000007</v>
      </c>
      <c r="S425" s="123">
        <v>7790.2</v>
      </c>
      <c r="T425" s="123">
        <v>8054.2</v>
      </c>
      <c r="U425" s="123">
        <v>7790.2</v>
      </c>
      <c r="V425" s="123">
        <v>7944.76</v>
      </c>
      <c r="W425" s="123">
        <v>8112.76</v>
      </c>
      <c r="X425" s="123">
        <v>7862.2</v>
      </c>
      <c r="Y425" s="123">
        <v>7790.2</v>
      </c>
      <c r="Z425" s="123">
        <v>8204.6</v>
      </c>
      <c r="AA425" s="123">
        <v>7790.2</v>
      </c>
      <c r="AB425" s="123">
        <v>7790.2</v>
      </c>
      <c r="AC425" s="124">
        <v>7734.2</v>
      </c>
      <c r="AD425" s="124">
        <v>7761.46</v>
      </c>
      <c r="AE425" s="124">
        <v>7801</v>
      </c>
      <c r="AF425" s="124">
        <v>7734.2</v>
      </c>
      <c r="AG425" s="124">
        <v>7755.82</v>
      </c>
      <c r="AH425" s="124">
        <v>7758.12</v>
      </c>
      <c r="AI425" s="124">
        <v>7755.82</v>
      </c>
      <c r="AJ425" s="124">
        <v>7928.32</v>
      </c>
      <c r="AK425" s="124">
        <v>9854.57</v>
      </c>
      <c r="AL425" s="124">
        <v>9193.32</v>
      </c>
      <c r="AM425" s="124">
        <v>9569.7900000000009</v>
      </c>
      <c r="AN425" s="124">
        <v>9095.59</v>
      </c>
      <c r="AO425" s="125">
        <v>10836.84</v>
      </c>
      <c r="AP425" s="125">
        <v>11526.91</v>
      </c>
      <c r="AQ425" s="125">
        <v>13458.51</v>
      </c>
      <c r="AR425" s="125">
        <v>9823.06</v>
      </c>
      <c r="AS425" s="125">
        <v>13986.21</v>
      </c>
      <c r="AT425" s="125">
        <v>10062.67</v>
      </c>
      <c r="AU425" s="125">
        <v>9706.07</v>
      </c>
      <c r="AV425" s="125">
        <v>9914.76</v>
      </c>
      <c r="AW425" s="125">
        <v>10076.91</v>
      </c>
      <c r="AX425" s="125">
        <v>11441.61</v>
      </c>
      <c r="AY425" s="126"/>
      <c r="AZ425" s="126"/>
      <c r="BA425" s="126"/>
      <c r="BB425" s="126"/>
      <c r="BC425" s="126"/>
      <c r="BD425" s="126"/>
      <c r="BE425" s="126"/>
      <c r="BF425" s="127">
        <v>25909050</v>
      </c>
      <c r="BG425" s="97" t="s">
        <v>382</v>
      </c>
      <c r="BH425" s="127">
        <v>7758.12</v>
      </c>
      <c r="BI425" s="127">
        <v>25909050</v>
      </c>
      <c r="BJ425" s="97" t="s">
        <v>382</v>
      </c>
      <c r="BK425" s="127">
        <v>7755.82</v>
      </c>
    </row>
    <row r="426" spans="1:63" x14ac:dyDescent="0.25">
      <c r="B426" s="121">
        <v>25909070</v>
      </c>
      <c r="C426" s="122" t="s">
        <v>383</v>
      </c>
      <c r="D426" s="123">
        <v>1122.53</v>
      </c>
      <c r="E426" s="123">
        <v>1122.53</v>
      </c>
      <c r="F426" s="123">
        <v>1122.53</v>
      </c>
      <c r="G426" s="123">
        <v>1122.53</v>
      </c>
      <c r="H426" s="123">
        <v>1122.53</v>
      </c>
      <c r="I426" s="123">
        <v>1122.53</v>
      </c>
      <c r="J426" s="123">
        <v>1122.53</v>
      </c>
      <c r="K426" s="123">
        <v>1122.53</v>
      </c>
      <c r="L426" s="123">
        <v>1122.53</v>
      </c>
      <c r="M426" s="123">
        <v>1122.53</v>
      </c>
      <c r="N426" s="123">
        <v>7672.38</v>
      </c>
      <c r="O426" s="123">
        <v>1122.53</v>
      </c>
      <c r="P426" s="123">
        <v>1122.53</v>
      </c>
      <c r="Q426" s="123">
        <v>1122.53</v>
      </c>
      <c r="R426" s="123">
        <v>1122.53</v>
      </c>
      <c r="S426" s="123">
        <v>1122.53</v>
      </c>
      <c r="T426" s="123">
        <v>1122.53</v>
      </c>
      <c r="U426" s="123">
        <v>1122.53</v>
      </c>
      <c r="V426" s="123">
        <v>1122.53</v>
      </c>
      <c r="W426" s="123">
        <v>1122.53</v>
      </c>
      <c r="X426" s="123">
        <v>1122.53</v>
      </c>
      <c r="Y426" s="123">
        <v>1122.53</v>
      </c>
      <c r="Z426" s="123">
        <v>1122.53</v>
      </c>
      <c r="AA426" s="123">
        <v>1122.53</v>
      </c>
      <c r="AB426" s="123">
        <v>1122.53</v>
      </c>
      <c r="AC426" s="124">
        <v>1122.53</v>
      </c>
      <c r="AD426" s="124">
        <v>1122.53</v>
      </c>
      <c r="AE426" s="124">
        <v>1122.53</v>
      </c>
      <c r="AF426" s="124">
        <v>1122.53</v>
      </c>
      <c r="AG426" s="124">
        <v>1122.53</v>
      </c>
      <c r="AH426" s="124">
        <v>1122.53</v>
      </c>
      <c r="AI426" s="124">
        <v>1122.53</v>
      </c>
      <c r="AJ426" s="124">
        <v>1122.53</v>
      </c>
      <c r="AK426" s="124">
        <v>1122.53</v>
      </c>
      <c r="AL426" s="124">
        <v>1122.53</v>
      </c>
      <c r="AM426" s="124">
        <v>1122.53</v>
      </c>
      <c r="AN426" s="124">
        <v>1122.53</v>
      </c>
      <c r="AO426" s="125">
        <v>1122.53</v>
      </c>
      <c r="AP426" s="125">
        <v>1122.53</v>
      </c>
      <c r="AQ426" s="125">
        <v>1122.53</v>
      </c>
      <c r="AR426" s="125">
        <v>1122.53</v>
      </c>
      <c r="AS426" s="125">
        <v>1122.53</v>
      </c>
      <c r="AT426" s="125">
        <v>1122.53</v>
      </c>
      <c r="AU426" s="125">
        <v>1122.53</v>
      </c>
      <c r="AV426" s="125">
        <v>1122.53</v>
      </c>
      <c r="AW426" s="125">
        <v>1122.53</v>
      </c>
      <c r="AX426" s="125">
        <v>1122.53</v>
      </c>
      <c r="AY426" s="126"/>
      <c r="AZ426" s="126"/>
      <c r="BA426" s="126"/>
      <c r="BB426" s="126"/>
      <c r="BC426" s="126"/>
      <c r="BD426" s="126"/>
      <c r="BE426" s="126"/>
      <c r="BF426" s="127">
        <v>25909070</v>
      </c>
      <c r="BG426" s="97" t="s">
        <v>383</v>
      </c>
      <c r="BH426" s="127">
        <v>1122.53</v>
      </c>
      <c r="BI426" s="127">
        <v>25909070</v>
      </c>
      <c r="BJ426" s="97" t="s">
        <v>383</v>
      </c>
      <c r="BK426" s="127">
        <v>1122.53</v>
      </c>
    </row>
    <row r="427" spans="1:63" s="113" customFormat="1" x14ac:dyDescent="0.25">
      <c r="A427" s="97"/>
      <c r="B427" s="121">
        <v>25909075</v>
      </c>
      <c r="C427" s="152" t="s">
        <v>384</v>
      </c>
      <c r="D427" s="123">
        <v>101838.38</v>
      </c>
      <c r="E427" s="123">
        <v>110338.38</v>
      </c>
      <c r="F427" s="123">
        <v>90138.38</v>
      </c>
      <c r="G427" s="123">
        <v>90138.38</v>
      </c>
      <c r="H427" s="123">
        <v>90138.38</v>
      </c>
      <c r="I427" s="123">
        <v>95675.91</v>
      </c>
      <c r="J427" s="123">
        <v>100088.73</v>
      </c>
      <c r="K427" s="123">
        <v>100088.73</v>
      </c>
      <c r="L427" s="123">
        <v>100088.73</v>
      </c>
      <c r="M427" s="123">
        <v>68030</v>
      </c>
      <c r="N427" s="123">
        <v>1122.53</v>
      </c>
      <c r="O427" s="123">
        <v>57530</v>
      </c>
      <c r="P427" s="123">
        <v>57530</v>
      </c>
      <c r="Q427" s="123">
        <v>57530</v>
      </c>
      <c r="R427" s="123">
        <v>54430</v>
      </c>
      <c r="S427" s="123">
        <v>57607.89</v>
      </c>
      <c r="T427" s="123">
        <v>57607.89</v>
      </c>
      <c r="U427" s="123">
        <v>57607.89</v>
      </c>
      <c r="V427" s="123">
        <v>57607.89</v>
      </c>
      <c r="W427" s="123">
        <v>57607.89</v>
      </c>
      <c r="X427" s="123">
        <v>57607.89</v>
      </c>
      <c r="Y427" s="123">
        <v>91807.89</v>
      </c>
      <c r="Z427" s="123">
        <v>77607.89</v>
      </c>
      <c r="AA427" s="123">
        <v>86607.89</v>
      </c>
      <c r="AB427" s="123">
        <v>86607.89</v>
      </c>
      <c r="AC427" s="124">
        <v>66607.89</v>
      </c>
      <c r="AD427" s="124">
        <v>66607.89</v>
      </c>
      <c r="AE427" s="124">
        <v>66607.89</v>
      </c>
      <c r="AF427" s="124">
        <v>56607.89</v>
      </c>
      <c r="AG427" s="124">
        <v>56607.89</v>
      </c>
      <c r="AH427" s="124">
        <v>56607.89</v>
      </c>
      <c r="AI427" s="124">
        <v>52607.89</v>
      </c>
      <c r="AJ427" s="124">
        <v>43607.89</v>
      </c>
      <c r="AK427" s="124">
        <v>45807.89</v>
      </c>
      <c r="AL427" s="124">
        <v>43607.89</v>
      </c>
      <c r="AM427" s="124">
        <v>43607.89</v>
      </c>
      <c r="AN427" s="124">
        <v>43607.89</v>
      </c>
      <c r="AO427" s="125">
        <v>43607.89</v>
      </c>
      <c r="AP427" s="125">
        <v>43607.89</v>
      </c>
      <c r="AQ427" s="125">
        <v>43607.89</v>
      </c>
      <c r="AR427" s="125">
        <v>43607.89</v>
      </c>
      <c r="AS427" s="125">
        <v>37677.89</v>
      </c>
      <c r="AT427" s="125">
        <v>37677.89</v>
      </c>
      <c r="AU427" s="125">
        <v>37677.89</v>
      </c>
      <c r="AV427" s="125">
        <v>37677.89</v>
      </c>
      <c r="AW427" s="125">
        <v>37677.89</v>
      </c>
      <c r="AX427" s="125">
        <v>37677.89</v>
      </c>
      <c r="AY427" s="126"/>
      <c r="AZ427" s="126"/>
      <c r="BA427" s="126"/>
      <c r="BB427" s="126"/>
      <c r="BC427" s="126"/>
      <c r="BD427" s="126"/>
      <c r="BE427" s="126"/>
      <c r="BF427" s="127">
        <v>25909075</v>
      </c>
      <c r="BG427" s="97" t="s">
        <v>384</v>
      </c>
      <c r="BH427" s="127">
        <v>56607.89</v>
      </c>
      <c r="BI427" s="127">
        <v>25909075</v>
      </c>
      <c r="BJ427" s="97" t="s">
        <v>384</v>
      </c>
      <c r="BK427" s="127">
        <v>52607.89</v>
      </c>
    </row>
    <row r="428" spans="1:63" x14ac:dyDescent="0.25">
      <c r="B428" s="121">
        <v>25909080</v>
      </c>
      <c r="C428" s="152" t="s">
        <v>385</v>
      </c>
      <c r="D428" s="128"/>
      <c r="E428" s="128"/>
      <c r="F428" s="128"/>
      <c r="G428" s="128"/>
      <c r="H428" s="128"/>
      <c r="I428" s="128"/>
      <c r="J428" s="128"/>
      <c r="K428" s="128"/>
      <c r="L428" s="123">
        <v>265.16000000000003</v>
      </c>
      <c r="M428" s="123">
        <v>134.79</v>
      </c>
      <c r="N428" s="123">
        <v>68030</v>
      </c>
      <c r="O428" s="128"/>
      <c r="P428" s="123">
        <v>79.28</v>
      </c>
      <c r="Q428" s="123">
        <v>47.94</v>
      </c>
      <c r="R428" s="123">
        <v>-15.42</v>
      </c>
      <c r="S428" s="123">
        <v>43.13</v>
      </c>
      <c r="T428" s="123">
        <v>749.97</v>
      </c>
      <c r="U428" s="123">
        <v>0.03</v>
      </c>
      <c r="V428" s="123">
        <v>84.82</v>
      </c>
      <c r="W428" s="123">
        <v>280.49</v>
      </c>
      <c r="X428" s="123">
        <v>421.07</v>
      </c>
      <c r="Y428" s="123">
        <v>256.55</v>
      </c>
      <c r="Z428" s="123">
        <v>269.55</v>
      </c>
      <c r="AA428" s="123">
        <v>8686.35</v>
      </c>
      <c r="AB428" s="123">
        <v>19720.77</v>
      </c>
      <c r="AC428" s="124">
        <v>17.5</v>
      </c>
      <c r="AD428" s="124">
        <v>269.52</v>
      </c>
      <c r="AE428" s="124">
        <v>885.54</v>
      </c>
      <c r="AF428" s="124">
        <v>46701.49</v>
      </c>
      <c r="AG428" s="124">
        <v>44879.74</v>
      </c>
      <c r="AH428" s="124">
        <v>17171.43</v>
      </c>
      <c r="AI428" s="124">
        <v>26731.81</v>
      </c>
      <c r="AJ428" s="124">
        <v>43560.2</v>
      </c>
      <c r="AK428" s="124">
        <v>59718.93</v>
      </c>
      <c r="AL428" s="124">
        <v>39187.620000000003</v>
      </c>
      <c r="AM428" s="124">
        <v>2010</v>
      </c>
      <c r="AN428" s="124">
        <v>4831.09</v>
      </c>
      <c r="AO428" s="125">
        <v>4853.5</v>
      </c>
      <c r="AP428" s="125">
        <v>2072.2800000000002</v>
      </c>
      <c r="AQ428" s="125">
        <v>882.98</v>
      </c>
      <c r="AR428" s="125">
        <v>882.98</v>
      </c>
      <c r="AS428" s="125">
        <v>882.98</v>
      </c>
      <c r="AT428" s="125">
        <v>882.98</v>
      </c>
      <c r="AU428" s="125">
        <v>882.98</v>
      </c>
      <c r="AV428" s="125">
        <v>882.98</v>
      </c>
      <c r="AW428" s="125">
        <v>882.98</v>
      </c>
      <c r="AX428" s="125">
        <v>882.98</v>
      </c>
      <c r="AY428" s="126"/>
      <c r="AZ428" s="126"/>
      <c r="BA428" s="126"/>
      <c r="BB428" s="126"/>
      <c r="BC428" s="126"/>
      <c r="BD428" s="126"/>
      <c r="BE428" s="126"/>
      <c r="BF428" s="127">
        <v>25909080</v>
      </c>
      <c r="BG428" s="97" t="s">
        <v>385</v>
      </c>
      <c r="BH428" s="127">
        <v>17171.43</v>
      </c>
      <c r="BI428" s="127">
        <v>25909080</v>
      </c>
      <c r="BJ428" s="97" t="s">
        <v>385</v>
      </c>
      <c r="BK428" s="127">
        <v>26731.81</v>
      </c>
    </row>
    <row r="429" spans="1:63" x14ac:dyDescent="0.25">
      <c r="B429" s="121">
        <v>25909081</v>
      </c>
      <c r="C429" s="152" t="s">
        <v>386</v>
      </c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  <c r="AA429" s="128"/>
      <c r="AB429" s="128"/>
      <c r="AC429" s="129"/>
      <c r="AD429" s="129"/>
      <c r="AE429" s="129"/>
      <c r="AF429" s="124">
        <v>18146.509999999998</v>
      </c>
      <c r="AG429" s="124">
        <v>75185.02</v>
      </c>
      <c r="AH429" s="124">
        <v>88079.92</v>
      </c>
      <c r="AI429" s="124">
        <v>111195.98</v>
      </c>
      <c r="AJ429" s="124">
        <v>114644.43</v>
      </c>
      <c r="AK429" s="124">
        <v>114700.38</v>
      </c>
      <c r="AL429" s="124">
        <v>100248.56</v>
      </c>
      <c r="AM429" s="124">
        <v>80760.789999999994</v>
      </c>
      <c r="AN429" s="124">
        <v>23956.560000000001</v>
      </c>
      <c r="AO429" s="125">
        <v>6696.98</v>
      </c>
      <c r="AP429" s="125">
        <v>0</v>
      </c>
      <c r="AQ429" s="125">
        <v>0</v>
      </c>
      <c r="AR429" s="125">
        <v>9974.8700000000008</v>
      </c>
      <c r="AS429" s="125">
        <v>9974.8700000000008</v>
      </c>
      <c r="AT429" s="125">
        <v>9974.8700000000008</v>
      </c>
      <c r="AU429" s="125">
        <v>9974.8700000000008</v>
      </c>
      <c r="AV429" s="125">
        <v>9974.8700000000008</v>
      </c>
      <c r="AW429" s="125">
        <v>9974.8700000000008</v>
      </c>
      <c r="AX429" s="125">
        <v>9974.8700000000008</v>
      </c>
      <c r="AY429" s="126"/>
      <c r="AZ429" s="126"/>
      <c r="BA429" s="126"/>
      <c r="BB429" s="126"/>
      <c r="BC429" s="126"/>
      <c r="BD429" s="126"/>
      <c r="BE429" s="126"/>
      <c r="BF429" s="127">
        <v>25909081</v>
      </c>
      <c r="BG429" s="97" t="s">
        <v>386</v>
      </c>
      <c r="BH429" s="127">
        <v>88079.92</v>
      </c>
      <c r="BI429" s="127">
        <v>25909081</v>
      </c>
      <c r="BJ429" s="97" t="s">
        <v>386</v>
      </c>
      <c r="BK429" s="127">
        <v>111195.98</v>
      </c>
    </row>
    <row r="430" spans="1:63" x14ac:dyDescent="0.25">
      <c r="B430" s="121">
        <v>25909090</v>
      </c>
      <c r="C430" s="122" t="s">
        <v>387</v>
      </c>
      <c r="D430" s="123">
        <v>32107.7</v>
      </c>
      <c r="E430" s="123">
        <v>39886.93</v>
      </c>
      <c r="F430" s="123">
        <v>30864.74</v>
      </c>
      <c r="G430" s="123">
        <v>92471.82</v>
      </c>
      <c r="H430" s="123">
        <v>96539.25</v>
      </c>
      <c r="I430" s="123">
        <v>101954.78</v>
      </c>
      <c r="J430" s="123">
        <v>100184.42</v>
      </c>
      <c r="K430" s="123">
        <v>113645.9</v>
      </c>
      <c r="L430" s="123">
        <v>95611.75</v>
      </c>
      <c r="M430" s="123">
        <v>88068.56</v>
      </c>
      <c r="N430" s="123">
        <v>111879.76</v>
      </c>
      <c r="O430" s="123">
        <v>94919.56</v>
      </c>
      <c r="P430" s="123">
        <v>113429.59</v>
      </c>
      <c r="Q430" s="123">
        <v>125769.08</v>
      </c>
      <c r="R430" s="123">
        <v>120560.89</v>
      </c>
      <c r="S430" s="123">
        <v>122454.2</v>
      </c>
      <c r="T430" s="123">
        <v>63664.35</v>
      </c>
      <c r="U430" s="123">
        <v>76758.37</v>
      </c>
      <c r="V430" s="123">
        <v>62532.17</v>
      </c>
      <c r="W430" s="123">
        <v>67546.39</v>
      </c>
      <c r="X430" s="123">
        <v>85325.7</v>
      </c>
      <c r="Y430" s="123">
        <v>62423.12</v>
      </c>
      <c r="Z430" s="123">
        <v>73699.399999999994</v>
      </c>
      <c r="AA430" s="123">
        <v>62509.120000000003</v>
      </c>
      <c r="AB430" s="123">
        <v>48804.61</v>
      </c>
      <c r="AC430" s="124">
        <v>53122.83</v>
      </c>
      <c r="AD430" s="124">
        <v>67678.070000000007</v>
      </c>
      <c r="AE430" s="124">
        <v>52659.57</v>
      </c>
      <c r="AF430" s="124">
        <v>54730.55</v>
      </c>
      <c r="AG430" s="124">
        <v>131232.29999999999</v>
      </c>
      <c r="AH430" s="124">
        <v>44072.95</v>
      </c>
      <c r="AI430" s="124">
        <v>36830.1</v>
      </c>
      <c r="AJ430" s="124">
        <v>101356.79</v>
      </c>
      <c r="AK430" s="124">
        <v>129466.03</v>
      </c>
      <c r="AL430" s="124">
        <v>163368.01999999999</v>
      </c>
      <c r="AM430" s="124">
        <v>169929.92</v>
      </c>
      <c r="AN430" s="124">
        <v>72300.69</v>
      </c>
      <c r="AO430" s="125">
        <v>66904.36</v>
      </c>
      <c r="AP430" s="125">
        <v>92083.56</v>
      </c>
      <c r="AQ430" s="125">
        <v>67360.759999999995</v>
      </c>
      <c r="AR430" s="125">
        <v>112597.51</v>
      </c>
      <c r="AS430" s="125">
        <v>81181.88</v>
      </c>
      <c r="AT430" s="125">
        <v>103070.16</v>
      </c>
      <c r="AU430" s="125">
        <v>88784.17</v>
      </c>
      <c r="AV430" s="125">
        <v>144237.07999999999</v>
      </c>
      <c r="AW430" s="125">
        <v>144487.69</v>
      </c>
      <c r="AX430" s="125">
        <v>172647.91</v>
      </c>
      <c r="AY430" s="126"/>
      <c r="AZ430" s="126"/>
      <c r="BA430" s="126"/>
      <c r="BB430" s="126"/>
      <c r="BC430" s="126"/>
      <c r="BD430" s="126"/>
      <c r="BE430" s="126"/>
      <c r="BF430" s="127">
        <v>25909090</v>
      </c>
      <c r="BG430" s="97" t="s">
        <v>387</v>
      </c>
      <c r="BH430" s="127">
        <v>44072.95</v>
      </c>
      <c r="BI430" s="127">
        <v>25909090</v>
      </c>
      <c r="BJ430" s="97" t="s">
        <v>387</v>
      </c>
      <c r="BK430" s="127">
        <v>36830.1</v>
      </c>
    </row>
    <row r="431" spans="1:63" x14ac:dyDescent="0.25">
      <c r="B431" s="121">
        <v>26</v>
      </c>
      <c r="C431" s="122" t="s">
        <v>388</v>
      </c>
      <c r="D431" s="141"/>
      <c r="E431" s="141"/>
      <c r="F431" s="141"/>
      <c r="G431" s="141"/>
      <c r="H431" s="141"/>
      <c r="I431" s="141"/>
      <c r="J431" s="116">
        <v>1350000</v>
      </c>
      <c r="K431" s="116">
        <v>1350000</v>
      </c>
      <c r="L431" s="116">
        <v>1350000</v>
      </c>
      <c r="M431" s="116">
        <v>1350000</v>
      </c>
      <c r="N431" s="116">
        <v>945000</v>
      </c>
      <c r="O431" s="116">
        <v>945000</v>
      </c>
      <c r="P431" s="141"/>
      <c r="Q431" s="141"/>
      <c r="R431" s="141"/>
      <c r="S431" s="141"/>
      <c r="T431" s="116">
        <v>1400000</v>
      </c>
      <c r="U431" s="116">
        <v>1400000</v>
      </c>
      <c r="V431" s="116">
        <v>1400000</v>
      </c>
      <c r="W431" s="116">
        <v>980000</v>
      </c>
      <c r="X431" s="116">
        <v>980000</v>
      </c>
      <c r="Y431" s="116">
        <v>980000</v>
      </c>
      <c r="Z431" s="116">
        <v>980000</v>
      </c>
      <c r="AA431" s="141"/>
      <c r="AB431" s="141"/>
      <c r="AC431" s="129"/>
      <c r="AD431" s="129"/>
      <c r="AE431" s="129"/>
      <c r="AF431" s="129"/>
      <c r="AG431" s="129"/>
      <c r="AH431" s="129"/>
      <c r="AI431" s="129"/>
      <c r="AJ431" s="124">
        <v>0</v>
      </c>
      <c r="AK431" s="124">
        <v>0</v>
      </c>
      <c r="AL431" s="124">
        <v>0</v>
      </c>
      <c r="AM431" s="124">
        <v>0</v>
      </c>
      <c r="AN431" s="124">
        <v>0</v>
      </c>
      <c r="AO431" s="125">
        <v>0</v>
      </c>
      <c r="AP431" s="125">
        <v>0</v>
      </c>
      <c r="AQ431" s="125">
        <v>0</v>
      </c>
      <c r="AR431" s="125">
        <v>0</v>
      </c>
      <c r="AS431" s="125">
        <v>0</v>
      </c>
      <c r="AT431" s="125">
        <v>0</v>
      </c>
      <c r="AU431" s="125">
        <v>0</v>
      </c>
      <c r="AV431" s="125">
        <v>0</v>
      </c>
      <c r="AW431" s="125">
        <v>0</v>
      </c>
      <c r="AX431" s="125">
        <v>0</v>
      </c>
      <c r="AY431" s="126"/>
      <c r="AZ431" s="126"/>
      <c r="BA431" s="126"/>
      <c r="BB431" s="126"/>
      <c r="BC431" s="126"/>
      <c r="BD431" s="126"/>
      <c r="BE431" s="126"/>
    </row>
    <row r="432" spans="1:63" x14ac:dyDescent="0.25">
      <c r="B432" s="121">
        <v>2610</v>
      </c>
      <c r="C432" s="122" t="s">
        <v>389</v>
      </c>
      <c r="D432" s="141"/>
      <c r="E432" s="141"/>
      <c r="F432" s="141"/>
      <c r="G432" s="141"/>
      <c r="H432" s="141"/>
      <c r="I432" s="141"/>
      <c r="J432" s="116">
        <v>1350000</v>
      </c>
      <c r="K432" s="116">
        <v>1350000</v>
      </c>
      <c r="L432" s="116">
        <v>1350000</v>
      </c>
      <c r="M432" s="116">
        <v>1350000</v>
      </c>
      <c r="N432" s="116">
        <v>945000</v>
      </c>
      <c r="O432" s="116">
        <v>945000</v>
      </c>
      <c r="P432" s="141"/>
      <c r="Q432" s="141"/>
      <c r="R432" s="141"/>
      <c r="S432" s="141"/>
      <c r="T432" s="116">
        <v>1400000</v>
      </c>
      <c r="U432" s="116">
        <v>1400000</v>
      </c>
      <c r="V432" s="116">
        <v>1400000</v>
      </c>
      <c r="W432" s="116">
        <v>980000</v>
      </c>
      <c r="X432" s="116">
        <v>980000</v>
      </c>
      <c r="Y432" s="116">
        <v>980000</v>
      </c>
      <c r="Z432" s="116">
        <v>980000</v>
      </c>
      <c r="AA432" s="141"/>
      <c r="AB432" s="141"/>
      <c r="AC432" s="129"/>
      <c r="AD432" s="129"/>
      <c r="AE432" s="129"/>
      <c r="AF432" s="129"/>
      <c r="AG432" s="129"/>
      <c r="AH432" s="129"/>
      <c r="AI432" s="129"/>
      <c r="AJ432" s="124">
        <v>0</v>
      </c>
      <c r="AK432" s="124">
        <v>0</v>
      </c>
      <c r="AL432" s="124">
        <v>0</v>
      </c>
      <c r="AM432" s="124">
        <v>0</v>
      </c>
      <c r="AN432" s="124">
        <v>0</v>
      </c>
      <c r="AO432" s="125">
        <v>0</v>
      </c>
      <c r="AP432" s="125">
        <v>0</v>
      </c>
      <c r="AQ432" s="125">
        <v>0</v>
      </c>
      <c r="AR432" s="125">
        <v>0</v>
      </c>
      <c r="AS432" s="125">
        <v>0</v>
      </c>
      <c r="AT432" s="125">
        <v>0</v>
      </c>
      <c r="AU432" s="125">
        <v>0</v>
      </c>
      <c r="AV432" s="125">
        <v>0</v>
      </c>
      <c r="AW432" s="125">
        <v>0</v>
      </c>
      <c r="AX432" s="125">
        <v>0</v>
      </c>
      <c r="AY432" s="126"/>
      <c r="AZ432" s="126"/>
      <c r="BA432" s="126"/>
      <c r="BB432" s="126"/>
      <c r="BC432" s="126"/>
      <c r="BD432" s="126"/>
      <c r="BE432" s="126"/>
    </row>
    <row r="433" spans="2:63" x14ac:dyDescent="0.25">
      <c r="B433" s="121">
        <v>261005</v>
      </c>
      <c r="C433" s="122" t="s">
        <v>390</v>
      </c>
      <c r="D433" s="128"/>
      <c r="E433" s="128"/>
      <c r="F433" s="128"/>
      <c r="G433" s="128"/>
      <c r="H433" s="128"/>
      <c r="I433" s="128"/>
      <c r="J433" s="123">
        <v>1350000</v>
      </c>
      <c r="K433" s="123">
        <v>1350000</v>
      </c>
      <c r="L433" s="123">
        <v>1350000</v>
      </c>
      <c r="M433" s="123">
        <v>1350000</v>
      </c>
      <c r="N433" s="123">
        <v>945000</v>
      </c>
      <c r="O433" s="123">
        <v>945000</v>
      </c>
      <c r="P433" s="128"/>
      <c r="Q433" s="128"/>
      <c r="R433" s="128"/>
      <c r="S433" s="128"/>
      <c r="T433" s="123">
        <v>1400000</v>
      </c>
      <c r="U433" s="123">
        <v>1400000</v>
      </c>
      <c r="V433" s="123">
        <v>1400000</v>
      </c>
      <c r="W433" s="123">
        <v>980000</v>
      </c>
      <c r="X433" s="123">
        <v>980000</v>
      </c>
      <c r="Y433" s="123">
        <v>980000</v>
      </c>
      <c r="Z433" s="123">
        <v>980000</v>
      </c>
      <c r="AA433" s="128"/>
      <c r="AB433" s="128"/>
      <c r="AC433" s="129"/>
      <c r="AD433" s="129"/>
      <c r="AE433" s="129"/>
      <c r="AF433" s="129"/>
      <c r="AG433" s="129"/>
      <c r="AH433" s="129"/>
      <c r="AI433" s="129"/>
      <c r="AJ433" s="124">
        <v>0</v>
      </c>
      <c r="AK433" s="124">
        <v>0</v>
      </c>
      <c r="AL433" s="124">
        <v>0</v>
      </c>
      <c r="AM433" s="124">
        <v>0</v>
      </c>
      <c r="AN433" s="124">
        <v>0</v>
      </c>
      <c r="AO433" s="125">
        <v>0</v>
      </c>
      <c r="AP433" s="125">
        <v>0</v>
      </c>
      <c r="AQ433" s="125">
        <v>0</v>
      </c>
      <c r="AR433" s="125">
        <v>0</v>
      </c>
      <c r="AS433" s="125">
        <v>0</v>
      </c>
      <c r="AT433" s="125">
        <v>0</v>
      </c>
      <c r="AU433" s="125">
        <v>0</v>
      </c>
      <c r="AV433" s="125">
        <v>0</v>
      </c>
      <c r="AW433" s="125">
        <v>0</v>
      </c>
      <c r="AX433" s="125">
        <v>0</v>
      </c>
      <c r="AY433" s="126"/>
      <c r="AZ433" s="126"/>
      <c r="BA433" s="126"/>
      <c r="BB433" s="126"/>
      <c r="BC433" s="126"/>
      <c r="BD433" s="126"/>
      <c r="BE433" s="126"/>
    </row>
    <row r="434" spans="2:63" x14ac:dyDescent="0.25">
      <c r="B434" s="121">
        <v>28</v>
      </c>
      <c r="C434" s="122" t="s">
        <v>391</v>
      </c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  <c r="AA434" s="128"/>
      <c r="AB434" s="128"/>
      <c r="AC434" s="129"/>
      <c r="AD434" s="129"/>
      <c r="AE434" s="129"/>
      <c r="AF434" s="129"/>
      <c r="AG434" s="129"/>
      <c r="AH434" s="124">
        <v>5487083</v>
      </c>
      <c r="AI434" s="124">
        <v>6000000</v>
      </c>
      <c r="AJ434" s="124">
        <v>0</v>
      </c>
      <c r="AK434" s="124">
        <v>0</v>
      </c>
      <c r="AL434" s="124">
        <v>0</v>
      </c>
      <c r="AM434" s="124">
        <v>0</v>
      </c>
      <c r="AN434" s="124">
        <v>0</v>
      </c>
      <c r="AO434" s="125">
        <v>0</v>
      </c>
      <c r="AP434" s="125">
        <v>0</v>
      </c>
      <c r="AQ434" s="125">
        <v>0</v>
      </c>
      <c r="AR434" s="125">
        <v>0</v>
      </c>
      <c r="AS434" s="125">
        <v>0</v>
      </c>
      <c r="AT434" s="125">
        <v>0</v>
      </c>
      <c r="AU434" s="125">
        <v>0</v>
      </c>
      <c r="AV434" s="125">
        <v>0</v>
      </c>
      <c r="AW434" s="125">
        <v>0</v>
      </c>
      <c r="AX434" s="125">
        <v>0</v>
      </c>
      <c r="AY434" s="126"/>
      <c r="AZ434" s="126"/>
      <c r="BA434" s="126"/>
      <c r="BB434" s="126"/>
      <c r="BC434" s="126"/>
      <c r="BD434" s="126"/>
      <c r="BE434" s="126"/>
      <c r="BF434" s="127">
        <v>28</v>
      </c>
      <c r="BG434" s="97" t="s">
        <v>391</v>
      </c>
      <c r="BH434" s="127">
        <v>5487083</v>
      </c>
      <c r="BI434" s="127">
        <v>28</v>
      </c>
      <c r="BJ434" s="97" t="s">
        <v>391</v>
      </c>
      <c r="BK434" s="127">
        <v>6000000</v>
      </c>
    </row>
    <row r="435" spans="2:63" x14ac:dyDescent="0.25">
      <c r="B435" s="121">
        <v>2802</v>
      </c>
      <c r="C435" s="122" t="s">
        <v>392</v>
      </c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  <c r="AA435" s="128"/>
      <c r="AB435" s="128"/>
      <c r="AC435" s="129"/>
      <c r="AD435" s="129"/>
      <c r="AE435" s="129"/>
      <c r="AF435" s="129"/>
      <c r="AG435" s="129"/>
      <c r="AH435" s="124">
        <v>5487083</v>
      </c>
      <c r="AI435" s="124">
        <v>6000000</v>
      </c>
      <c r="AJ435" s="124">
        <v>0</v>
      </c>
      <c r="AK435" s="124">
        <v>0</v>
      </c>
      <c r="AL435" s="124">
        <v>0</v>
      </c>
      <c r="AM435" s="124">
        <v>0</v>
      </c>
      <c r="AN435" s="124">
        <v>0</v>
      </c>
      <c r="AO435" s="125">
        <v>0</v>
      </c>
      <c r="AP435" s="125">
        <v>0</v>
      </c>
      <c r="AQ435" s="125">
        <v>0</v>
      </c>
      <c r="AR435" s="125">
        <v>0</v>
      </c>
      <c r="AS435" s="125">
        <v>0</v>
      </c>
      <c r="AT435" s="125">
        <v>0</v>
      </c>
      <c r="AU435" s="125">
        <v>0</v>
      </c>
      <c r="AV435" s="125">
        <v>0</v>
      </c>
      <c r="AW435" s="125">
        <v>0</v>
      </c>
      <c r="AX435" s="125">
        <v>0</v>
      </c>
      <c r="AY435" s="126"/>
      <c r="AZ435" s="126"/>
      <c r="BA435" s="126"/>
      <c r="BB435" s="126"/>
      <c r="BC435" s="126"/>
      <c r="BD435" s="126"/>
      <c r="BE435" s="126"/>
      <c r="BF435" s="127">
        <v>2802</v>
      </c>
      <c r="BG435" s="97" t="s">
        <v>392</v>
      </c>
      <c r="BH435" s="127">
        <v>5487083</v>
      </c>
      <c r="BI435" s="127">
        <v>2802</v>
      </c>
      <c r="BJ435" s="97" t="s">
        <v>392</v>
      </c>
      <c r="BK435" s="127">
        <v>6000000</v>
      </c>
    </row>
    <row r="436" spans="2:63" x14ac:dyDescent="0.25">
      <c r="B436" s="121">
        <v>280205</v>
      </c>
      <c r="C436" s="122" t="s">
        <v>393</v>
      </c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  <c r="AA436" s="128"/>
      <c r="AB436" s="128"/>
      <c r="AC436" s="129"/>
      <c r="AD436" s="129"/>
      <c r="AE436" s="129"/>
      <c r="AF436" s="129"/>
      <c r="AG436" s="129"/>
      <c r="AH436" s="129"/>
      <c r="AI436" s="124">
        <v>6000000</v>
      </c>
      <c r="AJ436" s="124">
        <v>0</v>
      </c>
      <c r="AK436" s="124">
        <v>0</v>
      </c>
      <c r="AL436" s="124">
        <v>0</v>
      </c>
      <c r="AM436" s="124">
        <v>0</v>
      </c>
      <c r="AN436" s="124">
        <v>0</v>
      </c>
      <c r="AO436" s="125">
        <v>0</v>
      </c>
      <c r="AP436" s="125">
        <v>0</v>
      </c>
      <c r="AQ436" s="125">
        <v>0</v>
      </c>
      <c r="AR436" s="125">
        <v>0</v>
      </c>
      <c r="AS436" s="125">
        <v>0</v>
      </c>
      <c r="AT436" s="125">
        <v>0</v>
      </c>
      <c r="AU436" s="125">
        <v>0</v>
      </c>
      <c r="AV436" s="125">
        <v>0</v>
      </c>
      <c r="AW436" s="125">
        <v>0</v>
      </c>
      <c r="AX436" s="125">
        <v>0</v>
      </c>
      <c r="AY436" s="126"/>
      <c r="AZ436" s="126"/>
      <c r="BA436" s="126"/>
      <c r="BB436" s="126"/>
      <c r="BC436" s="126"/>
      <c r="BD436" s="126"/>
      <c r="BE436" s="126"/>
      <c r="BI436" s="127">
        <v>280205</v>
      </c>
      <c r="BJ436" s="97" t="s">
        <v>393</v>
      </c>
      <c r="BK436" s="127">
        <v>6000000</v>
      </c>
    </row>
    <row r="437" spans="2:63" x14ac:dyDescent="0.25">
      <c r="B437" s="121">
        <v>280210</v>
      </c>
      <c r="C437" s="122" t="s">
        <v>394</v>
      </c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  <c r="AA437" s="128"/>
      <c r="AB437" s="128"/>
      <c r="AC437" s="129"/>
      <c r="AD437" s="129"/>
      <c r="AE437" s="129"/>
      <c r="AF437" s="129"/>
      <c r="AG437" s="129"/>
      <c r="AH437" s="124">
        <v>5487083</v>
      </c>
      <c r="AI437" s="129"/>
      <c r="AJ437" s="124">
        <v>0</v>
      </c>
      <c r="AK437" s="124">
        <v>0</v>
      </c>
      <c r="AL437" s="124">
        <v>0</v>
      </c>
      <c r="AM437" s="124">
        <v>0</v>
      </c>
      <c r="AN437" s="124">
        <v>0</v>
      </c>
      <c r="AO437" s="125">
        <v>0</v>
      </c>
      <c r="AP437" s="125">
        <v>0</v>
      </c>
      <c r="AQ437" s="125">
        <v>0</v>
      </c>
      <c r="AR437" s="125">
        <v>0</v>
      </c>
      <c r="AS437" s="125">
        <v>0</v>
      </c>
      <c r="AT437" s="125">
        <v>0</v>
      </c>
      <c r="AU437" s="125">
        <v>0</v>
      </c>
      <c r="AV437" s="125">
        <v>0</v>
      </c>
      <c r="AW437" s="125">
        <v>0</v>
      </c>
      <c r="AX437" s="125">
        <v>0</v>
      </c>
      <c r="AY437" s="126"/>
      <c r="AZ437" s="126"/>
      <c r="BA437" s="126"/>
      <c r="BB437" s="126"/>
      <c r="BC437" s="126"/>
      <c r="BD437" s="126"/>
      <c r="BE437" s="126"/>
      <c r="BF437" s="127">
        <v>280210</v>
      </c>
      <c r="BG437" s="97" t="s">
        <v>394</v>
      </c>
      <c r="BH437" s="127">
        <v>5487083</v>
      </c>
    </row>
    <row r="438" spans="2:63" x14ac:dyDescent="0.25">
      <c r="B438" s="121">
        <v>29</v>
      </c>
      <c r="C438" s="122" t="s">
        <v>395</v>
      </c>
      <c r="D438" s="116">
        <v>679260.18</v>
      </c>
      <c r="E438" s="116">
        <v>707369.41</v>
      </c>
      <c r="F438" s="116">
        <v>704515.06</v>
      </c>
      <c r="G438" s="116">
        <v>677339.59000000008</v>
      </c>
      <c r="H438" s="116">
        <v>659833.12</v>
      </c>
      <c r="I438" s="116">
        <v>736902.84</v>
      </c>
      <c r="J438" s="116">
        <v>661795.18999999994</v>
      </c>
      <c r="K438" s="116">
        <v>634518.44999999995</v>
      </c>
      <c r="L438" s="116">
        <v>586896.62</v>
      </c>
      <c r="M438" s="116">
        <v>638025.07999999996</v>
      </c>
      <c r="N438" s="116">
        <v>677892.57</v>
      </c>
      <c r="O438" s="116">
        <v>754645.6</v>
      </c>
      <c r="P438" s="116">
        <v>801393.66</v>
      </c>
      <c r="Q438" s="116">
        <v>742806.48</v>
      </c>
      <c r="R438" s="116">
        <v>1212930.08</v>
      </c>
      <c r="S438" s="116">
        <v>1185794.23</v>
      </c>
      <c r="T438" s="116">
        <v>705786.3</v>
      </c>
      <c r="U438" s="116">
        <v>673248.43</v>
      </c>
      <c r="V438" s="116">
        <v>635154.99</v>
      </c>
      <c r="W438" s="116">
        <v>608093.42000000004</v>
      </c>
      <c r="X438" s="116">
        <v>627379.48</v>
      </c>
      <c r="Y438" s="116">
        <v>767287.91</v>
      </c>
      <c r="Z438" s="116">
        <v>723623.04</v>
      </c>
      <c r="AA438" s="116">
        <v>884730.04</v>
      </c>
      <c r="AB438" s="116">
        <v>656325.63</v>
      </c>
      <c r="AC438" s="124">
        <v>895295.21</v>
      </c>
      <c r="AD438" s="124">
        <v>737873.42</v>
      </c>
      <c r="AE438" s="124">
        <v>681439.57</v>
      </c>
      <c r="AF438" s="124">
        <v>675841.76</v>
      </c>
      <c r="AG438" s="124">
        <v>619602.05000000005</v>
      </c>
      <c r="AH438" s="124">
        <v>584442.19999999995</v>
      </c>
      <c r="AI438" s="124">
        <v>635318.51</v>
      </c>
      <c r="AJ438" s="124">
        <v>603374.18999999994</v>
      </c>
      <c r="AK438" s="124">
        <v>1224013.76</v>
      </c>
      <c r="AL438" s="124">
        <v>1207141.47</v>
      </c>
      <c r="AM438" s="124">
        <v>1330421.3899999999</v>
      </c>
      <c r="AN438" s="124">
        <v>1322624.83</v>
      </c>
      <c r="AO438" s="125">
        <v>1283988.6100000001</v>
      </c>
      <c r="AP438" s="125">
        <v>1116851.1200000001</v>
      </c>
      <c r="AQ438" s="125">
        <v>1106275.18</v>
      </c>
      <c r="AR438" s="125">
        <v>1053732.78</v>
      </c>
      <c r="AS438" s="125">
        <v>1112135.02</v>
      </c>
      <c r="AT438" s="125">
        <v>728321.1</v>
      </c>
      <c r="AU438" s="125">
        <v>825038.08</v>
      </c>
      <c r="AV438" s="125">
        <v>654001.05000000005</v>
      </c>
      <c r="AW438" s="125">
        <v>504685.84</v>
      </c>
      <c r="AX438" s="125">
        <v>539320.31000000006</v>
      </c>
      <c r="AY438" s="126"/>
      <c r="AZ438" s="126"/>
      <c r="BA438" s="126"/>
      <c r="BB438" s="126"/>
      <c r="BC438" s="126"/>
      <c r="BD438" s="126"/>
      <c r="BE438" s="126"/>
      <c r="BF438" s="127">
        <v>29</v>
      </c>
      <c r="BG438" s="97" t="s">
        <v>395</v>
      </c>
      <c r="BH438" s="127">
        <v>584442.19999999995</v>
      </c>
      <c r="BI438" s="127">
        <v>29</v>
      </c>
      <c r="BJ438" s="97" t="s">
        <v>395</v>
      </c>
      <c r="BK438" s="127">
        <v>635318.51</v>
      </c>
    </row>
    <row r="439" spans="2:63" x14ac:dyDescent="0.25">
      <c r="B439" s="121">
        <v>2901</v>
      </c>
      <c r="C439" s="122" t="s">
        <v>396</v>
      </c>
      <c r="D439" s="116">
        <v>372370.29</v>
      </c>
      <c r="E439" s="116">
        <v>407759.12</v>
      </c>
      <c r="F439" s="116">
        <v>394125.05</v>
      </c>
      <c r="G439" s="116">
        <v>413743.5</v>
      </c>
      <c r="H439" s="116">
        <v>447063.43</v>
      </c>
      <c r="I439" s="116">
        <v>453993.26</v>
      </c>
      <c r="J439" s="116">
        <v>460108.59</v>
      </c>
      <c r="K439" s="116">
        <v>445337.86</v>
      </c>
      <c r="L439" s="116">
        <v>359369.59</v>
      </c>
      <c r="M439" s="116">
        <v>431027.9</v>
      </c>
      <c r="N439" s="116">
        <v>438246.37</v>
      </c>
      <c r="O439" s="116">
        <v>433241.99</v>
      </c>
      <c r="P439" s="116">
        <v>457076.38</v>
      </c>
      <c r="Q439" s="116">
        <v>476934.39</v>
      </c>
      <c r="R439" s="116">
        <v>479276.73</v>
      </c>
      <c r="S439" s="116">
        <v>461410.78</v>
      </c>
      <c r="T439" s="116">
        <v>400381.76</v>
      </c>
      <c r="U439" s="116">
        <v>424222.16</v>
      </c>
      <c r="V439" s="116">
        <v>390947.3</v>
      </c>
      <c r="W439" s="116">
        <v>393649.95</v>
      </c>
      <c r="X439" s="116">
        <v>411648.24</v>
      </c>
      <c r="Y439" s="116">
        <v>470008.47</v>
      </c>
      <c r="Z439" s="116">
        <v>424918.33</v>
      </c>
      <c r="AA439" s="116">
        <v>451017.17</v>
      </c>
      <c r="AB439" s="116">
        <v>438739.4</v>
      </c>
      <c r="AC439" s="124">
        <v>461254.53</v>
      </c>
      <c r="AD439" s="124">
        <v>409693.07</v>
      </c>
      <c r="AE439" s="124">
        <v>402286.37</v>
      </c>
      <c r="AF439" s="124">
        <v>407297.64</v>
      </c>
      <c r="AG439" s="124">
        <v>390264.15</v>
      </c>
      <c r="AH439" s="124">
        <v>362533.14</v>
      </c>
      <c r="AI439" s="124">
        <v>401173.84</v>
      </c>
      <c r="AJ439" s="124">
        <v>395074.36</v>
      </c>
      <c r="AK439" s="124">
        <v>934419.02</v>
      </c>
      <c r="AL439" s="124">
        <v>931933.85</v>
      </c>
      <c r="AM439" s="124">
        <v>970302.83</v>
      </c>
      <c r="AN439" s="124">
        <v>973763.2</v>
      </c>
      <c r="AO439" s="125">
        <v>1027588.66</v>
      </c>
      <c r="AP439" s="125">
        <v>864824.54</v>
      </c>
      <c r="AQ439" s="125">
        <v>794284.73</v>
      </c>
      <c r="AR439" s="125">
        <v>730259.23</v>
      </c>
      <c r="AS439" s="125">
        <v>842820.61</v>
      </c>
      <c r="AT439" s="125">
        <v>366359.54</v>
      </c>
      <c r="AU439" s="125">
        <v>451830.82</v>
      </c>
      <c r="AV439" s="125">
        <v>280391.76</v>
      </c>
      <c r="AW439" s="125">
        <v>187194.59</v>
      </c>
      <c r="AX439" s="125">
        <v>224376.75</v>
      </c>
      <c r="AY439" s="126"/>
      <c r="AZ439" s="126"/>
      <c r="BA439" s="126"/>
      <c r="BB439" s="126"/>
      <c r="BC439" s="126"/>
      <c r="BD439" s="126"/>
      <c r="BE439" s="126"/>
      <c r="BF439" s="127">
        <v>2901</v>
      </c>
      <c r="BG439" s="97" t="s">
        <v>396</v>
      </c>
      <c r="BH439" s="127">
        <v>362533.14</v>
      </c>
      <c r="BI439" s="127">
        <v>2901</v>
      </c>
      <c r="BJ439" s="97" t="s">
        <v>396</v>
      </c>
      <c r="BK439" s="127">
        <v>401173.84</v>
      </c>
    </row>
    <row r="440" spans="2:63" x14ac:dyDescent="0.25">
      <c r="B440" s="121">
        <v>290190</v>
      </c>
      <c r="C440" s="122" t="s">
        <v>249</v>
      </c>
      <c r="D440" s="123">
        <v>372370.29</v>
      </c>
      <c r="E440" s="123">
        <v>407759.12</v>
      </c>
      <c r="F440" s="123">
        <v>394125.05</v>
      </c>
      <c r="G440" s="123">
        <v>413743.5</v>
      </c>
      <c r="H440" s="123">
        <v>447063.43</v>
      </c>
      <c r="I440" s="123">
        <v>453993.26</v>
      </c>
      <c r="J440" s="123">
        <v>460108.59</v>
      </c>
      <c r="K440" s="123">
        <v>445337.86</v>
      </c>
      <c r="L440" s="123">
        <v>359369.59</v>
      </c>
      <c r="M440" s="123">
        <v>431027.9</v>
      </c>
      <c r="N440" s="123">
        <v>438246.37</v>
      </c>
      <c r="O440" s="123">
        <v>433241.99</v>
      </c>
      <c r="P440" s="123">
        <v>457076.38</v>
      </c>
      <c r="Q440" s="123">
        <v>476934.39</v>
      </c>
      <c r="R440" s="123">
        <v>479276.73</v>
      </c>
      <c r="S440" s="123">
        <v>461410.78</v>
      </c>
      <c r="T440" s="123">
        <v>400381.76</v>
      </c>
      <c r="U440" s="123">
        <v>424222.16</v>
      </c>
      <c r="V440" s="123">
        <v>390947.3</v>
      </c>
      <c r="W440" s="123">
        <v>393649.95</v>
      </c>
      <c r="X440" s="123">
        <v>411648.24</v>
      </c>
      <c r="Y440" s="123">
        <v>470008.47</v>
      </c>
      <c r="Z440" s="123">
        <v>424918.33</v>
      </c>
      <c r="AA440" s="123">
        <v>451017.17</v>
      </c>
      <c r="AB440" s="123">
        <v>438739.4</v>
      </c>
      <c r="AC440" s="124">
        <v>461254.53</v>
      </c>
      <c r="AD440" s="124">
        <v>409693.07</v>
      </c>
      <c r="AE440" s="124">
        <v>402286.37</v>
      </c>
      <c r="AF440" s="124">
        <v>407297.64</v>
      </c>
      <c r="AG440" s="124">
        <v>390264.15</v>
      </c>
      <c r="AH440" s="124">
        <v>362533.14</v>
      </c>
      <c r="AI440" s="124">
        <v>401173.84</v>
      </c>
      <c r="AJ440" s="124">
        <v>395074.36</v>
      </c>
      <c r="AK440" s="124">
        <v>402670.64</v>
      </c>
      <c r="AL440" s="124">
        <v>400185.47</v>
      </c>
      <c r="AM440" s="124">
        <v>438554.45</v>
      </c>
      <c r="AN440" s="124">
        <v>442014.82</v>
      </c>
      <c r="AO440" s="125">
        <v>501212.8</v>
      </c>
      <c r="AP440" s="125">
        <v>338448.68</v>
      </c>
      <c r="AQ440" s="125">
        <v>267908.87</v>
      </c>
      <c r="AR440" s="125">
        <v>203883.37</v>
      </c>
      <c r="AS440" s="125">
        <v>316444.75</v>
      </c>
      <c r="AT440" s="125">
        <v>259983.68</v>
      </c>
      <c r="AU440" s="125">
        <v>345454.96</v>
      </c>
      <c r="AV440" s="125">
        <v>174015.9</v>
      </c>
      <c r="AW440" s="125">
        <v>80818.73</v>
      </c>
      <c r="AX440" s="125">
        <v>104151.01</v>
      </c>
      <c r="AY440" s="126"/>
      <c r="AZ440" s="126"/>
      <c r="BA440" s="126"/>
      <c r="BB440" s="126"/>
      <c r="BC440" s="126"/>
      <c r="BD440" s="126"/>
      <c r="BE440" s="126"/>
      <c r="BF440" s="127">
        <v>290190</v>
      </c>
      <c r="BG440" s="97" t="s">
        <v>249</v>
      </c>
      <c r="BH440" s="127">
        <v>362533.14</v>
      </c>
      <c r="BI440" s="127">
        <v>290190</v>
      </c>
      <c r="BJ440" s="97" t="s">
        <v>249</v>
      </c>
      <c r="BK440" s="127">
        <v>401173.84</v>
      </c>
    </row>
    <row r="441" spans="2:63" x14ac:dyDescent="0.25">
      <c r="B441" s="121">
        <v>29019005</v>
      </c>
      <c r="C441" s="122" t="s">
        <v>397</v>
      </c>
      <c r="D441" s="123">
        <v>157813.44</v>
      </c>
      <c r="E441" s="123">
        <v>176565.15</v>
      </c>
      <c r="F441" s="123">
        <v>176480.11</v>
      </c>
      <c r="G441" s="123">
        <v>196757.17</v>
      </c>
      <c r="H441" s="123">
        <v>218689.7</v>
      </c>
      <c r="I441" s="123">
        <v>241390.97</v>
      </c>
      <c r="J441" s="123">
        <v>241693.94</v>
      </c>
      <c r="K441" s="123">
        <v>237138.47</v>
      </c>
      <c r="L441" s="123">
        <v>165501.01</v>
      </c>
      <c r="M441" s="123">
        <v>235731.57</v>
      </c>
      <c r="N441" s="123">
        <v>220494.51</v>
      </c>
      <c r="O441" s="123">
        <v>218015.73</v>
      </c>
      <c r="P441" s="123">
        <v>224331.2</v>
      </c>
      <c r="Q441" s="123">
        <v>238785.9</v>
      </c>
      <c r="R441" s="123">
        <v>237544.68</v>
      </c>
      <c r="S441" s="123">
        <v>208024.64</v>
      </c>
      <c r="T441" s="123">
        <v>130346.63</v>
      </c>
      <c r="U441" s="123">
        <v>141429.89000000001</v>
      </c>
      <c r="V441" s="123">
        <v>118442.97</v>
      </c>
      <c r="W441" s="123">
        <v>137231.97</v>
      </c>
      <c r="X441" s="123">
        <v>156076.44</v>
      </c>
      <c r="Y441" s="123">
        <v>175040.17</v>
      </c>
      <c r="Z441" s="123">
        <v>145561.25</v>
      </c>
      <c r="AA441" s="123">
        <v>146236.54999999999</v>
      </c>
      <c r="AB441" s="123">
        <v>112430.62</v>
      </c>
      <c r="AC441" s="124">
        <v>128674.88</v>
      </c>
      <c r="AD441" s="124">
        <v>127887.7</v>
      </c>
      <c r="AE441" s="124">
        <v>113122.99</v>
      </c>
      <c r="AF441" s="124">
        <v>109768.61</v>
      </c>
      <c r="AG441" s="124">
        <v>109651.39</v>
      </c>
      <c r="AH441" s="124">
        <v>84124.38</v>
      </c>
      <c r="AI441" s="124">
        <v>99276.05</v>
      </c>
      <c r="AJ441" s="124">
        <v>93994.4</v>
      </c>
      <c r="AK441" s="124">
        <v>94758.43</v>
      </c>
      <c r="AL441" s="124">
        <v>77929.88</v>
      </c>
      <c r="AM441" s="124">
        <v>95691.43</v>
      </c>
      <c r="AN441" s="124">
        <v>78685.95</v>
      </c>
      <c r="AO441" s="125">
        <v>101678.49</v>
      </c>
      <c r="AP441" s="125">
        <v>17654.02</v>
      </c>
      <c r="AQ441" s="125">
        <v>17538.310000000001</v>
      </c>
      <c r="AR441" s="125">
        <v>2200.59</v>
      </c>
      <c r="AS441" s="125">
        <v>43626.27</v>
      </c>
      <c r="AT441" s="125">
        <v>23303.200000000001</v>
      </c>
      <c r="AU441" s="125">
        <v>45483.34</v>
      </c>
      <c r="AV441" s="125">
        <v>18886.14</v>
      </c>
      <c r="AW441" s="125">
        <v>0</v>
      </c>
      <c r="AX441" s="125">
        <v>31194.65</v>
      </c>
      <c r="AY441" s="126"/>
      <c r="AZ441" s="126"/>
      <c r="BA441" s="126"/>
      <c r="BB441" s="126"/>
      <c r="BC441" s="126"/>
      <c r="BD441" s="126"/>
      <c r="BE441" s="126"/>
      <c r="BF441" s="127">
        <v>29019005</v>
      </c>
      <c r="BG441" s="97" t="s">
        <v>397</v>
      </c>
      <c r="BH441" s="127">
        <v>84124.38</v>
      </c>
      <c r="BI441" s="127">
        <v>29019005</v>
      </c>
      <c r="BJ441" s="97" t="s">
        <v>397</v>
      </c>
      <c r="BK441" s="127">
        <v>99276.05</v>
      </c>
    </row>
    <row r="442" spans="2:63" x14ac:dyDescent="0.25">
      <c r="B442" s="121">
        <v>29019010</v>
      </c>
      <c r="C442" s="122" t="s">
        <v>398</v>
      </c>
      <c r="D442" s="123">
        <v>179222.06</v>
      </c>
      <c r="E442" s="123">
        <v>188403.82</v>
      </c>
      <c r="F442" s="123">
        <v>167330.29999999999</v>
      </c>
      <c r="G442" s="123">
        <v>159167.81</v>
      </c>
      <c r="H442" s="123">
        <v>179179.64</v>
      </c>
      <c r="I442" s="123">
        <v>155158.81</v>
      </c>
      <c r="J442" s="123">
        <v>152086.92000000001</v>
      </c>
      <c r="K442" s="123">
        <v>133717.44</v>
      </c>
      <c r="L442" s="123">
        <v>152583.26</v>
      </c>
      <c r="M442" s="123">
        <v>146519.42000000001</v>
      </c>
      <c r="N442" s="123">
        <v>160195.01999999999</v>
      </c>
      <c r="O442" s="123">
        <v>148584.95000000001</v>
      </c>
      <c r="P442" s="123">
        <v>156781.63</v>
      </c>
      <c r="Q442" s="123">
        <v>168784.03</v>
      </c>
      <c r="R442" s="123">
        <v>162478.13</v>
      </c>
      <c r="S442" s="123">
        <v>163907.4</v>
      </c>
      <c r="T442" s="123">
        <v>169385.63</v>
      </c>
      <c r="U442" s="123">
        <v>171795.37</v>
      </c>
      <c r="V442" s="123">
        <v>161470.47</v>
      </c>
      <c r="W442" s="123">
        <v>171695.51</v>
      </c>
      <c r="X442" s="123">
        <v>160935.4</v>
      </c>
      <c r="Y442" s="123">
        <v>189666.68</v>
      </c>
      <c r="Z442" s="123">
        <v>162797.38</v>
      </c>
      <c r="AA442" s="123">
        <v>166970.21</v>
      </c>
      <c r="AB442" s="123">
        <v>188310.73</v>
      </c>
      <c r="AC442" s="124">
        <v>215892.73</v>
      </c>
      <c r="AD442" s="124">
        <v>141883.01</v>
      </c>
      <c r="AE442" s="124">
        <v>148136.66</v>
      </c>
      <c r="AF442" s="124">
        <v>149352.48000000001</v>
      </c>
      <c r="AG442" s="124">
        <v>159401.94</v>
      </c>
      <c r="AH442" s="124">
        <v>161968.09</v>
      </c>
      <c r="AI442" s="124">
        <v>164651.81</v>
      </c>
      <c r="AJ442" s="124">
        <v>158942.62</v>
      </c>
      <c r="AK442" s="124">
        <v>156844.43</v>
      </c>
      <c r="AL442" s="124">
        <v>174951.21</v>
      </c>
      <c r="AM442" s="124">
        <v>173249.26</v>
      </c>
      <c r="AN442" s="124">
        <v>197020.72</v>
      </c>
      <c r="AO442" s="125">
        <v>206949.66</v>
      </c>
      <c r="AP442" s="125">
        <v>228343.09</v>
      </c>
      <c r="AQ442" s="125">
        <v>206639.05</v>
      </c>
      <c r="AR442" s="125">
        <v>146561.46</v>
      </c>
      <c r="AS442" s="125">
        <v>161158.96</v>
      </c>
      <c r="AT442" s="125">
        <v>127334.65999999999</v>
      </c>
      <c r="AU442" s="125">
        <v>147366.75</v>
      </c>
      <c r="AV442" s="125">
        <v>56147.4</v>
      </c>
      <c r="AW442" s="125">
        <v>40596.080000000002</v>
      </c>
      <c r="AX442" s="125">
        <v>12797.68</v>
      </c>
      <c r="AY442" s="126"/>
      <c r="AZ442" s="126"/>
      <c r="BA442" s="126"/>
      <c r="BB442" s="126"/>
      <c r="BC442" s="126"/>
      <c r="BD442" s="126"/>
      <c r="BE442" s="126"/>
      <c r="BF442" s="127">
        <v>29019010</v>
      </c>
      <c r="BG442" s="97" t="s">
        <v>398</v>
      </c>
      <c r="BH442" s="127">
        <v>161968.09</v>
      </c>
      <c r="BI442" s="127">
        <v>29019010</v>
      </c>
      <c r="BJ442" s="97" t="s">
        <v>398</v>
      </c>
      <c r="BK442" s="127">
        <v>164651.81</v>
      </c>
    </row>
    <row r="443" spans="2:63" x14ac:dyDescent="0.25">
      <c r="B443" s="121">
        <v>29019015</v>
      </c>
      <c r="C443" s="122" t="s">
        <v>399</v>
      </c>
      <c r="D443" s="123">
        <v>15141.62</v>
      </c>
      <c r="E443" s="123">
        <v>20663.43</v>
      </c>
      <c r="F443" s="123">
        <v>26373.55</v>
      </c>
      <c r="G443" s="123">
        <v>31970.32</v>
      </c>
      <c r="H443" s="123">
        <v>24103.93</v>
      </c>
      <c r="I443" s="123">
        <v>30252.41</v>
      </c>
      <c r="J443" s="123">
        <v>37211.61</v>
      </c>
      <c r="K443" s="123">
        <v>43547.11</v>
      </c>
      <c r="L443" s="123">
        <v>16359.65</v>
      </c>
      <c r="M443" s="123">
        <v>22556.13</v>
      </c>
      <c r="N443" s="123">
        <v>29704.05</v>
      </c>
      <c r="O443" s="123">
        <v>37211.410000000003</v>
      </c>
      <c r="P443" s="123">
        <v>44904.36</v>
      </c>
      <c r="Q443" s="123">
        <v>39008.269999999997</v>
      </c>
      <c r="R443" s="123">
        <v>46219.69</v>
      </c>
      <c r="S443" s="123">
        <v>53688.01</v>
      </c>
      <c r="T443" s="123">
        <v>61203.72</v>
      </c>
      <c r="U443" s="123">
        <v>67673.210000000006</v>
      </c>
      <c r="V443" s="123">
        <v>67678.960000000006</v>
      </c>
      <c r="W443" s="123">
        <v>42268.52</v>
      </c>
      <c r="X443" s="123">
        <v>47560.45</v>
      </c>
      <c r="Y443" s="123">
        <v>53629.04</v>
      </c>
      <c r="Z443" s="123">
        <v>59704.32</v>
      </c>
      <c r="AA443" s="123">
        <v>70760.429999999993</v>
      </c>
      <c r="AB443" s="123">
        <v>70760.429999999993</v>
      </c>
      <c r="AC443" s="124">
        <v>46760.86</v>
      </c>
      <c r="AD443" s="124">
        <v>57039.05</v>
      </c>
      <c r="AE443" s="124">
        <v>51086.19</v>
      </c>
      <c r="AF443" s="124">
        <v>51121.88</v>
      </c>
      <c r="AG443" s="124">
        <v>22046.080000000002</v>
      </c>
      <c r="AH443" s="124">
        <v>17608.13</v>
      </c>
      <c r="AI443" s="124">
        <v>24536.81</v>
      </c>
      <c r="AJ443" s="124">
        <v>23984.07</v>
      </c>
      <c r="AK443" s="124">
        <v>26980.959999999999</v>
      </c>
      <c r="AL443" s="124">
        <v>23766.89</v>
      </c>
      <c r="AM443" s="124">
        <v>34370.269999999997</v>
      </c>
      <c r="AN443" s="124">
        <v>31480.87</v>
      </c>
      <c r="AO443" s="125">
        <v>45973.440000000002</v>
      </c>
      <c r="AP443" s="125">
        <v>45973.440000000002</v>
      </c>
      <c r="AQ443" s="125">
        <v>43417.94</v>
      </c>
      <c r="AR443" s="125">
        <v>40951.17</v>
      </c>
      <c r="AS443" s="125">
        <v>88748.800000000003</v>
      </c>
      <c r="AT443" s="125">
        <v>86525.16</v>
      </c>
      <c r="AU443" s="125">
        <v>118997.24</v>
      </c>
      <c r="AV443" s="125">
        <v>65374.73</v>
      </c>
      <c r="AW443" s="125">
        <v>26658.31</v>
      </c>
      <c r="AX443" s="125">
        <v>7399.3</v>
      </c>
      <c r="AY443" s="126"/>
      <c r="AZ443" s="126"/>
      <c r="BA443" s="126"/>
      <c r="BB443" s="126"/>
      <c r="BC443" s="126"/>
      <c r="BD443" s="126"/>
      <c r="BE443" s="126"/>
      <c r="BF443" s="127">
        <v>29019015</v>
      </c>
      <c r="BG443" s="97" t="s">
        <v>399</v>
      </c>
      <c r="BH443" s="127">
        <v>17608.13</v>
      </c>
      <c r="BI443" s="127">
        <v>29019015</v>
      </c>
      <c r="BJ443" s="97" t="s">
        <v>399</v>
      </c>
      <c r="BK443" s="127">
        <v>24536.81</v>
      </c>
    </row>
    <row r="444" spans="2:63" x14ac:dyDescent="0.25">
      <c r="B444" s="121">
        <v>29019020</v>
      </c>
      <c r="C444" s="122" t="s">
        <v>400</v>
      </c>
      <c r="D444" s="123">
        <v>7837.64</v>
      </c>
      <c r="E444" s="123">
        <v>8130.54</v>
      </c>
      <c r="F444" s="123">
        <v>8402.85</v>
      </c>
      <c r="G444" s="123">
        <v>8628.74</v>
      </c>
      <c r="H444" s="123">
        <v>8887.23</v>
      </c>
      <c r="I444" s="123">
        <v>9151.43</v>
      </c>
      <c r="J444" s="123">
        <v>9379.15</v>
      </c>
      <c r="K444" s="123">
        <v>9622.2000000000007</v>
      </c>
      <c r="L444" s="123">
        <v>9853.23</v>
      </c>
      <c r="M444" s="123">
        <v>9853.23</v>
      </c>
      <c r="N444" s="123">
        <v>10064.969999999999</v>
      </c>
      <c r="O444" s="123">
        <v>10064.969999999999</v>
      </c>
      <c r="P444" s="123">
        <v>10262.77</v>
      </c>
      <c r="Q444" s="123">
        <v>10476.85</v>
      </c>
      <c r="R444" s="123">
        <v>10637.39</v>
      </c>
      <c r="S444" s="123">
        <v>10790.95</v>
      </c>
      <c r="T444" s="123">
        <v>11059.73</v>
      </c>
      <c r="U444" s="123">
        <v>11206.31</v>
      </c>
      <c r="V444" s="123">
        <v>11206.31</v>
      </c>
      <c r="W444" s="123">
        <v>11352.89</v>
      </c>
      <c r="X444" s="123">
        <v>11527.39</v>
      </c>
      <c r="Y444" s="123">
        <v>11701.89</v>
      </c>
      <c r="Z444" s="123">
        <v>11842.33</v>
      </c>
      <c r="AA444" s="123">
        <v>12094.54</v>
      </c>
      <c r="AB444" s="123">
        <v>12094.54</v>
      </c>
      <c r="AC444" s="124">
        <v>12248.1</v>
      </c>
      <c r="AD444" s="124">
        <v>12635.85</v>
      </c>
      <c r="AE444" s="124">
        <v>12823.66</v>
      </c>
      <c r="AF444" s="124">
        <v>12947.74</v>
      </c>
      <c r="AG444" s="124">
        <v>13071.82</v>
      </c>
      <c r="AH444" s="124">
        <v>13071.82</v>
      </c>
      <c r="AI444" s="124">
        <v>13351.02</v>
      </c>
      <c r="AJ444" s="124">
        <v>13476.66</v>
      </c>
      <c r="AK444" s="124">
        <v>13623.24</v>
      </c>
      <c r="AL444" s="124">
        <v>13623.24</v>
      </c>
      <c r="AM444" s="124">
        <v>13853.58</v>
      </c>
      <c r="AN444" s="124">
        <v>13853.58</v>
      </c>
      <c r="AO444" s="125">
        <v>14083.23</v>
      </c>
      <c r="AP444" s="125">
        <v>14083.23</v>
      </c>
      <c r="AQ444" s="125">
        <v>226.65</v>
      </c>
      <c r="AR444" s="125">
        <v>14083.23</v>
      </c>
      <c r="AS444" s="125">
        <v>1181.72</v>
      </c>
      <c r="AT444" s="125">
        <v>1181.72</v>
      </c>
      <c r="AU444" s="125">
        <v>1185.95</v>
      </c>
      <c r="AV444" s="125">
        <v>1185.95</v>
      </c>
      <c r="AW444" s="125">
        <v>1185.95</v>
      </c>
      <c r="AX444" s="125">
        <v>1185.95</v>
      </c>
      <c r="AY444" s="126"/>
      <c r="AZ444" s="126"/>
      <c r="BA444" s="126"/>
      <c r="BB444" s="126"/>
      <c r="BC444" s="126"/>
      <c r="BD444" s="126"/>
      <c r="BE444" s="126"/>
      <c r="BF444" s="127">
        <v>29019020</v>
      </c>
      <c r="BG444" s="97" t="s">
        <v>400</v>
      </c>
      <c r="BH444" s="127">
        <v>13071.82</v>
      </c>
      <c r="BI444" s="127">
        <v>29019020</v>
      </c>
      <c r="BJ444" s="97" t="s">
        <v>400</v>
      </c>
      <c r="BK444" s="127">
        <v>13351.02</v>
      </c>
    </row>
    <row r="445" spans="2:63" x14ac:dyDescent="0.25">
      <c r="B445" s="121">
        <v>29019025</v>
      </c>
      <c r="C445" s="122" t="s">
        <v>401</v>
      </c>
      <c r="D445" s="123">
        <v>12355.53</v>
      </c>
      <c r="E445" s="123">
        <v>13996.18</v>
      </c>
      <c r="F445" s="123">
        <v>15538.24</v>
      </c>
      <c r="G445" s="123">
        <v>17219.46</v>
      </c>
      <c r="H445" s="123">
        <v>16202.93</v>
      </c>
      <c r="I445" s="123">
        <v>18039.64</v>
      </c>
      <c r="J445" s="123">
        <v>19736.97</v>
      </c>
      <c r="K445" s="123">
        <v>21312.639999999999</v>
      </c>
      <c r="L445" s="123">
        <v>15072.44</v>
      </c>
      <c r="M445" s="123">
        <v>16367.55</v>
      </c>
      <c r="N445" s="123">
        <v>17787.82</v>
      </c>
      <c r="O445" s="123">
        <v>19364.93</v>
      </c>
      <c r="P445" s="123">
        <v>20796.419999999998</v>
      </c>
      <c r="Q445" s="123">
        <v>19879.34</v>
      </c>
      <c r="R445" s="123">
        <v>22396.84</v>
      </c>
      <c r="S445" s="123">
        <v>24999.78</v>
      </c>
      <c r="T445" s="123">
        <v>28386.05</v>
      </c>
      <c r="U445" s="123">
        <v>32117.38</v>
      </c>
      <c r="V445" s="123">
        <v>32148.59</v>
      </c>
      <c r="W445" s="123">
        <v>31101.06</v>
      </c>
      <c r="X445" s="123">
        <v>35548.559999999998</v>
      </c>
      <c r="Y445" s="123">
        <v>39970.69</v>
      </c>
      <c r="Z445" s="123">
        <v>45013.05</v>
      </c>
      <c r="AA445" s="123">
        <v>54955.44</v>
      </c>
      <c r="AB445" s="123">
        <v>55143.08</v>
      </c>
      <c r="AC445" s="124">
        <v>57677.96</v>
      </c>
      <c r="AD445" s="124">
        <v>70247.460000000006</v>
      </c>
      <c r="AE445" s="124">
        <v>77116.87</v>
      </c>
      <c r="AF445" s="124">
        <v>84106.93</v>
      </c>
      <c r="AG445" s="124">
        <v>86092.92</v>
      </c>
      <c r="AH445" s="124">
        <v>85760.72</v>
      </c>
      <c r="AI445" s="124">
        <v>99358.15</v>
      </c>
      <c r="AJ445" s="124">
        <v>104676.61</v>
      </c>
      <c r="AK445" s="124">
        <v>110463.58</v>
      </c>
      <c r="AL445" s="124">
        <v>109914.25</v>
      </c>
      <c r="AM445" s="124">
        <v>121389.91</v>
      </c>
      <c r="AN445" s="124">
        <v>120973.7</v>
      </c>
      <c r="AO445" s="125">
        <v>132527.98000000001</v>
      </c>
      <c r="AP445" s="125">
        <v>32394.9</v>
      </c>
      <c r="AQ445" s="125">
        <v>86.92</v>
      </c>
      <c r="AR445" s="125">
        <v>86.92</v>
      </c>
      <c r="AS445" s="125">
        <v>21729</v>
      </c>
      <c r="AT445" s="125">
        <v>21638.94</v>
      </c>
      <c r="AU445" s="125">
        <v>32421.68</v>
      </c>
      <c r="AV445" s="125">
        <v>32421.68</v>
      </c>
      <c r="AW445" s="125">
        <v>12378.39</v>
      </c>
      <c r="AX445" s="125">
        <v>51573.43</v>
      </c>
      <c r="AY445" s="126"/>
      <c r="AZ445" s="126"/>
      <c r="BA445" s="126"/>
      <c r="BB445" s="126"/>
      <c r="BC445" s="126"/>
      <c r="BD445" s="126"/>
      <c r="BE445" s="126"/>
      <c r="BF445" s="127">
        <v>29019025</v>
      </c>
      <c r="BG445" s="97" t="s">
        <v>401</v>
      </c>
      <c r="BH445" s="127">
        <v>85760.72</v>
      </c>
      <c r="BI445" s="127">
        <v>29019025</v>
      </c>
      <c r="BJ445" s="97" t="s">
        <v>401</v>
      </c>
      <c r="BK445" s="127">
        <v>99358.15</v>
      </c>
    </row>
    <row r="446" spans="2:63" x14ac:dyDescent="0.25">
      <c r="B446" s="121">
        <v>2990</v>
      </c>
      <c r="C446" s="122" t="s">
        <v>225</v>
      </c>
      <c r="D446" s="116">
        <v>306889.89</v>
      </c>
      <c r="E446" s="116">
        <v>299610.28999999998</v>
      </c>
      <c r="F446" s="116">
        <v>310390.01</v>
      </c>
      <c r="G446" s="116">
        <v>263596.09000000003</v>
      </c>
      <c r="H446" s="116">
        <v>212769.69</v>
      </c>
      <c r="I446" s="116">
        <v>282909.58</v>
      </c>
      <c r="J446" s="116">
        <v>201686.6</v>
      </c>
      <c r="K446" s="116">
        <v>189180.59</v>
      </c>
      <c r="L446" s="116">
        <v>227527.03</v>
      </c>
      <c r="M446" s="116">
        <v>206997.18</v>
      </c>
      <c r="N446" s="116">
        <v>239646.2</v>
      </c>
      <c r="O446" s="116">
        <v>321403.61</v>
      </c>
      <c r="P446" s="116">
        <v>344317.28</v>
      </c>
      <c r="Q446" s="116">
        <v>265872.09000000003</v>
      </c>
      <c r="R446" s="116">
        <v>733653.35</v>
      </c>
      <c r="S446" s="116">
        <v>724383.45</v>
      </c>
      <c r="T446" s="116">
        <v>305404.53999999998</v>
      </c>
      <c r="U446" s="116">
        <v>249026.27</v>
      </c>
      <c r="V446" s="116">
        <v>244207.69</v>
      </c>
      <c r="W446" s="116">
        <v>214443.47</v>
      </c>
      <c r="X446" s="116">
        <v>215731.24</v>
      </c>
      <c r="Y446" s="116">
        <v>297279.44</v>
      </c>
      <c r="Z446" s="116">
        <v>298704.71000000002</v>
      </c>
      <c r="AA446" s="116">
        <v>433712.87</v>
      </c>
      <c r="AB446" s="116">
        <v>217586.23</v>
      </c>
      <c r="AC446" s="124">
        <v>434040.68</v>
      </c>
      <c r="AD446" s="124">
        <v>328180.34999999998</v>
      </c>
      <c r="AE446" s="124">
        <v>279153.2</v>
      </c>
      <c r="AF446" s="124">
        <v>268544.12</v>
      </c>
      <c r="AG446" s="124">
        <v>229337.9</v>
      </c>
      <c r="AH446" s="124">
        <v>221909.06</v>
      </c>
      <c r="AI446" s="124">
        <v>234144.67</v>
      </c>
      <c r="AJ446" s="124">
        <v>208299.83</v>
      </c>
      <c r="AK446" s="124">
        <v>289594.74</v>
      </c>
      <c r="AL446" s="124">
        <v>275207.62</v>
      </c>
      <c r="AM446" s="124">
        <v>360118.56</v>
      </c>
      <c r="AN446" s="124">
        <v>348861.63</v>
      </c>
      <c r="AO446" s="125">
        <v>256399.95</v>
      </c>
      <c r="AP446" s="125">
        <v>252026.58</v>
      </c>
      <c r="AQ446" s="125">
        <v>311990.45</v>
      </c>
      <c r="AR446" s="125">
        <v>323473.55</v>
      </c>
      <c r="AS446" s="125">
        <v>269314.40999999997</v>
      </c>
      <c r="AT446" s="125">
        <v>361961.56</v>
      </c>
      <c r="AU446" s="125">
        <v>373207.26</v>
      </c>
      <c r="AV446" s="125">
        <v>373609.29</v>
      </c>
      <c r="AW446" s="125">
        <v>317491.25</v>
      </c>
      <c r="AX446" s="125">
        <v>314943.56</v>
      </c>
      <c r="AY446" s="126"/>
      <c r="AZ446" s="126"/>
      <c r="BA446" s="126"/>
      <c r="BB446" s="126"/>
      <c r="BC446" s="126"/>
      <c r="BD446" s="126"/>
      <c r="BE446" s="126"/>
      <c r="BF446" s="127">
        <v>2990</v>
      </c>
      <c r="BG446" s="97" t="s">
        <v>225</v>
      </c>
      <c r="BH446" s="127">
        <v>221909.06</v>
      </c>
      <c r="BI446" s="127">
        <v>2990</v>
      </c>
      <c r="BJ446" s="97" t="s">
        <v>225</v>
      </c>
      <c r="BK446" s="127">
        <v>234144.67</v>
      </c>
    </row>
    <row r="447" spans="2:63" x14ac:dyDescent="0.25">
      <c r="B447" s="121">
        <v>299005</v>
      </c>
      <c r="C447" s="122" t="s">
        <v>402</v>
      </c>
      <c r="D447" s="123">
        <v>2258.27</v>
      </c>
      <c r="E447" s="123">
        <v>1720.75</v>
      </c>
      <c r="F447" s="123">
        <v>1720.85</v>
      </c>
      <c r="G447" s="123">
        <v>1720.85</v>
      </c>
      <c r="H447" s="123">
        <v>1720.85</v>
      </c>
      <c r="I447" s="123">
        <v>1720.85</v>
      </c>
      <c r="J447" s="123">
        <v>1720.91</v>
      </c>
      <c r="K447" s="123">
        <v>1731.14</v>
      </c>
      <c r="L447" s="123">
        <v>1731.19</v>
      </c>
      <c r="M447" s="123">
        <v>1731.19</v>
      </c>
      <c r="N447" s="123">
        <v>1751.31</v>
      </c>
      <c r="O447" s="123">
        <v>1751.32</v>
      </c>
      <c r="P447" s="123">
        <v>1751.34</v>
      </c>
      <c r="Q447" s="123">
        <v>1751.79</v>
      </c>
      <c r="R447" s="123">
        <v>1751.79</v>
      </c>
      <c r="S447" s="123">
        <v>1753.15</v>
      </c>
      <c r="T447" s="123">
        <v>1753.15</v>
      </c>
      <c r="U447" s="123">
        <v>1753.15</v>
      </c>
      <c r="V447" s="123">
        <v>1753.15</v>
      </c>
      <c r="W447" s="123">
        <v>1753.31</v>
      </c>
      <c r="X447" s="123">
        <v>1753.31</v>
      </c>
      <c r="Y447" s="123">
        <v>1753.31</v>
      </c>
      <c r="Z447" s="123">
        <v>1760.34</v>
      </c>
      <c r="AA447" s="123">
        <v>1760.34</v>
      </c>
      <c r="AB447" s="123">
        <v>817.84</v>
      </c>
      <c r="AC447" s="124">
        <v>837.84</v>
      </c>
      <c r="AD447" s="124">
        <v>837.84</v>
      </c>
      <c r="AE447" s="124">
        <v>837.84</v>
      </c>
      <c r="AF447" s="124">
        <v>837.84</v>
      </c>
      <c r="AG447" s="124">
        <v>837.84</v>
      </c>
      <c r="AH447" s="124">
        <v>837.84</v>
      </c>
      <c r="AI447" s="124">
        <v>837.84</v>
      </c>
      <c r="AJ447" s="124">
        <v>837.84</v>
      </c>
      <c r="AK447" s="124">
        <v>837.84</v>
      </c>
      <c r="AL447" s="124">
        <v>914.09</v>
      </c>
      <c r="AM447" s="124">
        <v>846.64</v>
      </c>
      <c r="AN447" s="124">
        <v>846.64</v>
      </c>
      <c r="AO447" s="125">
        <v>846.84</v>
      </c>
      <c r="AP447" s="125">
        <v>102.16</v>
      </c>
      <c r="AQ447" s="125">
        <v>103.16</v>
      </c>
      <c r="AR447" s="125">
        <v>103.16</v>
      </c>
      <c r="AS447" s="125">
        <v>103.16</v>
      </c>
      <c r="AT447" s="125">
        <v>103.16</v>
      </c>
      <c r="AU447" s="125">
        <v>103.16</v>
      </c>
      <c r="AV447" s="125">
        <v>103.66</v>
      </c>
      <c r="AW447" s="125">
        <v>103.66</v>
      </c>
      <c r="AX447" s="125">
        <v>103.96</v>
      </c>
      <c r="AY447" s="126"/>
      <c r="AZ447" s="126"/>
      <c r="BA447" s="126"/>
      <c r="BB447" s="126"/>
      <c r="BC447" s="126"/>
      <c r="BD447" s="126"/>
      <c r="BE447" s="126"/>
      <c r="BF447" s="127">
        <v>299005</v>
      </c>
      <c r="BG447" s="97" t="s">
        <v>402</v>
      </c>
      <c r="BH447" s="127">
        <v>837.84</v>
      </c>
      <c r="BI447" s="127">
        <v>299005</v>
      </c>
      <c r="BJ447" s="97" t="s">
        <v>402</v>
      </c>
      <c r="BK447" s="127">
        <v>837.84</v>
      </c>
    </row>
    <row r="448" spans="2:63" x14ac:dyDescent="0.25">
      <c r="B448" s="121">
        <v>299090</v>
      </c>
      <c r="C448" s="122" t="s">
        <v>403</v>
      </c>
      <c r="D448" s="123">
        <v>304631.62</v>
      </c>
      <c r="E448" s="123">
        <v>297889.53999999998</v>
      </c>
      <c r="F448" s="123">
        <v>308669.15999999997</v>
      </c>
      <c r="G448" s="123">
        <v>261875.24</v>
      </c>
      <c r="H448" s="123">
        <v>211048.84</v>
      </c>
      <c r="I448" s="123">
        <v>281188.73</v>
      </c>
      <c r="J448" s="123">
        <v>199965.69</v>
      </c>
      <c r="K448" s="123">
        <v>187449.45</v>
      </c>
      <c r="L448" s="123">
        <v>225795.84</v>
      </c>
      <c r="M448" s="123">
        <v>205265.99</v>
      </c>
      <c r="N448" s="123">
        <v>237894.89</v>
      </c>
      <c r="O448" s="123">
        <v>319652.28999999998</v>
      </c>
      <c r="P448" s="123">
        <v>342565.94</v>
      </c>
      <c r="Q448" s="123">
        <v>264120.3</v>
      </c>
      <c r="R448" s="123">
        <v>731901.56</v>
      </c>
      <c r="S448" s="123">
        <v>722630.3</v>
      </c>
      <c r="T448" s="123">
        <v>303651.39</v>
      </c>
      <c r="U448" s="123">
        <v>247273.12</v>
      </c>
      <c r="V448" s="123">
        <v>242454.54</v>
      </c>
      <c r="W448" s="123">
        <v>212690.16</v>
      </c>
      <c r="X448" s="123">
        <v>213977.93</v>
      </c>
      <c r="Y448" s="123">
        <v>295526.13</v>
      </c>
      <c r="Z448" s="123">
        <v>296944.37</v>
      </c>
      <c r="AA448" s="123">
        <v>431952.53</v>
      </c>
      <c r="AB448" s="123">
        <v>216768.39</v>
      </c>
      <c r="AC448" s="124">
        <v>433202.84</v>
      </c>
      <c r="AD448" s="124">
        <v>327342.51</v>
      </c>
      <c r="AE448" s="124">
        <v>278315.36</v>
      </c>
      <c r="AF448" s="124">
        <v>267706.28000000003</v>
      </c>
      <c r="AG448" s="124">
        <v>228500.06</v>
      </c>
      <c r="AH448" s="124">
        <v>221071.22</v>
      </c>
      <c r="AI448" s="124">
        <v>233306.83</v>
      </c>
      <c r="AJ448" s="124">
        <v>207461.99</v>
      </c>
      <c r="AK448" s="124">
        <v>288756.90000000002</v>
      </c>
      <c r="AL448" s="124">
        <v>274293.53000000003</v>
      </c>
      <c r="AM448" s="124">
        <v>359271.92</v>
      </c>
      <c r="AN448" s="124">
        <v>348014.99</v>
      </c>
      <c r="AO448" s="125">
        <v>255553.11</v>
      </c>
      <c r="AP448" s="125">
        <v>251924.42</v>
      </c>
      <c r="AQ448" s="125">
        <v>311887.28999999998</v>
      </c>
      <c r="AR448" s="125">
        <v>323370.39</v>
      </c>
      <c r="AS448" s="125">
        <v>269211.25</v>
      </c>
      <c r="AT448" s="125">
        <v>361858.4</v>
      </c>
      <c r="AU448" s="125">
        <v>373104.1</v>
      </c>
      <c r="AV448" s="125">
        <v>373505.63</v>
      </c>
      <c r="AW448" s="125">
        <v>317387.59000000003</v>
      </c>
      <c r="AX448" s="125">
        <v>314839.59999999998</v>
      </c>
      <c r="AY448" s="126"/>
      <c r="AZ448" s="126"/>
      <c r="BA448" s="126"/>
      <c r="BB448" s="126"/>
      <c r="BC448" s="126"/>
      <c r="BD448" s="126"/>
      <c r="BE448" s="126"/>
      <c r="BF448" s="127">
        <v>299090</v>
      </c>
      <c r="BG448" s="97" t="s">
        <v>403</v>
      </c>
      <c r="BH448" s="127">
        <v>221071.22</v>
      </c>
      <c r="BI448" s="127">
        <v>299090</v>
      </c>
      <c r="BJ448" s="97" t="s">
        <v>403</v>
      </c>
      <c r="BK448" s="127">
        <v>233306.83</v>
      </c>
    </row>
    <row r="449" spans="1:63" x14ac:dyDescent="0.25">
      <c r="B449" s="121">
        <v>29909005</v>
      </c>
      <c r="C449" s="122" t="s">
        <v>404</v>
      </c>
      <c r="D449" s="123">
        <v>198995.47</v>
      </c>
      <c r="E449" s="123">
        <v>167145.41</v>
      </c>
      <c r="F449" s="123">
        <v>164845.85999999999</v>
      </c>
      <c r="G449" s="123">
        <v>142499.74</v>
      </c>
      <c r="H449" s="123">
        <v>152144.78</v>
      </c>
      <c r="I449" s="123">
        <v>157588.29</v>
      </c>
      <c r="J449" s="123">
        <v>152963</v>
      </c>
      <c r="K449" s="123">
        <v>137713.29</v>
      </c>
      <c r="L449" s="123">
        <v>154461.06</v>
      </c>
      <c r="M449" s="123">
        <v>158599.21</v>
      </c>
      <c r="N449" s="123">
        <v>154729</v>
      </c>
      <c r="O449" s="123">
        <v>161853.70000000001</v>
      </c>
      <c r="P449" s="123">
        <v>155227.04999999999</v>
      </c>
      <c r="Q449" s="123">
        <v>147744.54999999999</v>
      </c>
      <c r="R449" s="123">
        <v>484584.15</v>
      </c>
      <c r="S449" s="123">
        <v>521538.32</v>
      </c>
      <c r="T449" s="123">
        <v>162612.09</v>
      </c>
      <c r="U449" s="123">
        <v>165696.82999999999</v>
      </c>
      <c r="V449" s="123">
        <v>168093.39</v>
      </c>
      <c r="W449" s="123">
        <v>149856.43</v>
      </c>
      <c r="X449" s="123">
        <v>146178.65</v>
      </c>
      <c r="Y449" s="123">
        <v>197821.61</v>
      </c>
      <c r="Z449" s="123">
        <v>153901.29999999999</v>
      </c>
      <c r="AA449" s="123">
        <v>143717.51999999999</v>
      </c>
      <c r="AB449" s="123">
        <v>139167.72</v>
      </c>
      <c r="AC449" s="124">
        <v>151359.39000000001</v>
      </c>
      <c r="AD449" s="124">
        <v>149603.94</v>
      </c>
      <c r="AE449" s="124">
        <v>182633.05</v>
      </c>
      <c r="AF449" s="124">
        <v>152045.79</v>
      </c>
      <c r="AG449" s="124">
        <v>161603.03</v>
      </c>
      <c r="AH449" s="124">
        <v>152949.96</v>
      </c>
      <c r="AI449" s="124">
        <v>147258.76999999999</v>
      </c>
      <c r="AJ449" s="124">
        <v>144627.28</v>
      </c>
      <c r="AK449" s="124">
        <v>155353.56</v>
      </c>
      <c r="AL449" s="124">
        <v>179200.5</v>
      </c>
      <c r="AM449" s="124">
        <v>177693.42</v>
      </c>
      <c r="AN449" s="124">
        <v>174434.96</v>
      </c>
      <c r="AO449" s="125">
        <v>150891.42000000001</v>
      </c>
      <c r="AP449" s="125">
        <v>164479.04999999999</v>
      </c>
      <c r="AQ449" s="125">
        <v>183906.21</v>
      </c>
      <c r="AR449" s="125">
        <v>200135.86</v>
      </c>
      <c r="AS449" s="125">
        <v>173975.19</v>
      </c>
      <c r="AT449" s="125">
        <v>161367.17000000001</v>
      </c>
      <c r="AU449" s="125">
        <v>169981.23</v>
      </c>
      <c r="AV449" s="125">
        <v>156259.85999999999</v>
      </c>
      <c r="AW449" s="125">
        <v>161319.79</v>
      </c>
      <c r="AX449" s="125">
        <v>149604.94</v>
      </c>
      <c r="AY449" s="126"/>
      <c r="AZ449" s="126"/>
      <c r="BA449" s="126"/>
      <c r="BB449" s="126"/>
      <c r="BC449" s="126"/>
      <c r="BD449" s="126"/>
      <c r="BE449" s="126"/>
      <c r="BF449" s="127">
        <v>29909005</v>
      </c>
      <c r="BG449" s="97" t="s">
        <v>404</v>
      </c>
      <c r="BH449" s="127">
        <v>152949.96</v>
      </c>
      <c r="BI449" s="127">
        <v>29909005</v>
      </c>
      <c r="BJ449" s="97" t="s">
        <v>404</v>
      </c>
      <c r="BK449" s="127">
        <v>147258.76999999999</v>
      </c>
    </row>
    <row r="450" spans="1:63" x14ac:dyDescent="0.25">
      <c r="B450" s="121">
        <v>29909010</v>
      </c>
      <c r="C450" s="122" t="s">
        <v>405</v>
      </c>
      <c r="D450" s="123">
        <v>9588.32</v>
      </c>
      <c r="E450" s="123">
        <v>9501.64</v>
      </c>
      <c r="F450" s="123">
        <v>9501.64</v>
      </c>
      <c r="G450" s="123">
        <v>9501.64</v>
      </c>
      <c r="H450" s="123">
        <v>9501.64</v>
      </c>
      <c r="I450" s="123">
        <v>9501.64</v>
      </c>
      <c r="J450" s="123">
        <v>9501.64</v>
      </c>
      <c r="K450" s="123">
        <v>9501.64</v>
      </c>
      <c r="L450" s="123">
        <v>9501.64</v>
      </c>
      <c r="M450" s="123">
        <v>9501.64</v>
      </c>
      <c r="N450" s="123">
        <v>9501.64</v>
      </c>
      <c r="O450" s="123">
        <v>9501.64</v>
      </c>
      <c r="P450" s="123">
        <v>9501.64</v>
      </c>
      <c r="Q450" s="123">
        <v>9501.64</v>
      </c>
      <c r="R450" s="123">
        <v>9501.64</v>
      </c>
      <c r="S450" s="123">
        <v>9501.64</v>
      </c>
      <c r="T450" s="123">
        <v>9501.64</v>
      </c>
      <c r="U450" s="123">
        <v>9501.64</v>
      </c>
      <c r="V450" s="123">
        <v>9501.64</v>
      </c>
      <c r="W450" s="123">
        <v>9501.64</v>
      </c>
      <c r="X450" s="123">
        <v>9501.64</v>
      </c>
      <c r="Y450" s="123">
        <v>9501.64</v>
      </c>
      <c r="Z450" s="123">
        <v>9501.64</v>
      </c>
      <c r="AA450" s="123">
        <v>9501.64</v>
      </c>
      <c r="AB450" s="123">
        <v>9501.64</v>
      </c>
      <c r="AC450" s="124">
        <v>9501.64</v>
      </c>
      <c r="AD450" s="124">
        <v>9501.64</v>
      </c>
      <c r="AE450" s="124">
        <v>9501.64</v>
      </c>
      <c r="AF450" s="124">
        <v>9501.64</v>
      </c>
      <c r="AG450" s="124">
        <v>9501.64</v>
      </c>
      <c r="AH450" s="124">
        <v>9501.64</v>
      </c>
      <c r="AI450" s="124">
        <v>9501.64</v>
      </c>
      <c r="AJ450" s="124">
        <v>9501.64</v>
      </c>
      <c r="AK450" s="124">
        <v>9501.64</v>
      </c>
      <c r="AL450" s="124">
        <v>9501.64</v>
      </c>
      <c r="AM450" s="124">
        <v>9501.64</v>
      </c>
      <c r="AN450" s="124">
        <v>9501.64</v>
      </c>
      <c r="AO450" s="125">
        <v>9501.64</v>
      </c>
      <c r="AP450" s="125">
        <v>9501.64</v>
      </c>
      <c r="AQ450" s="125">
        <v>9501.64</v>
      </c>
      <c r="AR450" s="125">
        <v>9501.64</v>
      </c>
      <c r="AS450" s="125">
        <v>9501.64</v>
      </c>
      <c r="AT450" s="125">
        <v>9501.64</v>
      </c>
      <c r="AU450" s="125">
        <v>9501.64</v>
      </c>
      <c r="AV450" s="125">
        <v>9501.64</v>
      </c>
      <c r="AW450" s="125">
        <v>9501.64</v>
      </c>
      <c r="AX450" s="125">
        <v>9501.64</v>
      </c>
      <c r="AY450" s="126"/>
      <c r="AZ450" s="126"/>
      <c r="BA450" s="126"/>
      <c r="BB450" s="126"/>
      <c r="BC450" s="126"/>
      <c r="BD450" s="126"/>
      <c r="BE450" s="126"/>
      <c r="BF450" s="127">
        <v>29909010</v>
      </c>
      <c r="BG450" s="97" t="s">
        <v>405</v>
      </c>
      <c r="BH450" s="127">
        <v>9501.64</v>
      </c>
      <c r="BI450" s="127">
        <v>29909010</v>
      </c>
      <c r="BJ450" s="97" t="s">
        <v>405</v>
      </c>
      <c r="BK450" s="127">
        <v>9501.64</v>
      </c>
    </row>
    <row r="451" spans="1:63" x14ac:dyDescent="0.25">
      <c r="B451" s="121">
        <v>29909015</v>
      </c>
      <c r="C451" s="122" t="s">
        <v>406</v>
      </c>
      <c r="D451" s="123">
        <v>10000</v>
      </c>
      <c r="E451" s="123">
        <v>10000</v>
      </c>
      <c r="F451" s="123">
        <v>10000</v>
      </c>
      <c r="G451" s="123">
        <v>10000</v>
      </c>
      <c r="H451" s="123">
        <v>10000</v>
      </c>
      <c r="I451" s="123">
        <v>10000</v>
      </c>
      <c r="J451" s="123">
        <v>10000</v>
      </c>
      <c r="K451" s="123">
        <v>10000</v>
      </c>
      <c r="L451" s="123">
        <v>10000</v>
      </c>
      <c r="M451" s="123">
        <v>10000</v>
      </c>
      <c r="N451" s="123">
        <v>10000</v>
      </c>
      <c r="O451" s="123">
        <v>10000</v>
      </c>
      <c r="P451" s="123">
        <v>11100</v>
      </c>
      <c r="Q451" s="123">
        <v>11100</v>
      </c>
      <c r="R451" s="123">
        <v>11100</v>
      </c>
      <c r="S451" s="123">
        <v>11100</v>
      </c>
      <c r="T451" s="123">
        <v>11100</v>
      </c>
      <c r="U451" s="123">
        <v>11100</v>
      </c>
      <c r="V451" s="123">
        <v>11100</v>
      </c>
      <c r="W451" s="123">
        <v>11100</v>
      </c>
      <c r="X451" s="123">
        <v>11100</v>
      </c>
      <c r="Y451" s="123">
        <v>11100</v>
      </c>
      <c r="Z451" s="123">
        <v>11100</v>
      </c>
      <c r="AA451" s="123">
        <v>11100</v>
      </c>
      <c r="AB451" s="123">
        <v>11100</v>
      </c>
      <c r="AC451" s="124">
        <v>11100</v>
      </c>
      <c r="AD451" s="124">
        <v>10000</v>
      </c>
      <c r="AE451" s="124">
        <v>10000</v>
      </c>
      <c r="AF451" s="124">
        <v>10000</v>
      </c>
      <c r="AG451" s="124">
        <v>10000</v>
      </c>
      <c r="AH451" s="124">
        <v>10000</v>
      </c>
      <c r="AI451" s="124">
        <v>10000</v>
      </c>
      <c r="AJ451" s="124">
        <v>10000</v>
      </c>
      <c r="AK451" s="124">
        <v>10000</v>
      </c>
      <c r="AL451" s="124">
        <v>10000</v>
      </c>
      <c r="AM451" s="124">
        <v>10000</v>
      </c>
      <c r="AN451" s="124">
        <v>10000</v>
      </c>
      <c r="AO451" s="125">
        <v>10000</v>
      </c>
      <c r="AP451" s="125">
        <v>10000</v>
      </c>
      <c r="AQ451" s="125">
        <v>10000</v>
      </c>
      <c r="AR451" s="125">
        <v>10000</v>
      </c>
      <c r="AS451" s="125">
        <v>10000</v>
      </c>
      <c r="AT451" s="125">
        <v>10000</v>
      </c>
      <c r="AU451" s="125">
        <v>10000</v>
      </c>
      <c r="AV451" s="125">
        <v>10000</v>
      </c>
      <c r="AW451" s="125">
        <v>10000</v>
      </c>
      <c r="AX451" s="125">
        <v>10000</v>
      </c>
      <c r="AY451" s="126"/>
      <c r="AZ451" s="126"/>
      <c r="BA451" s="126"/>
      <c r="BB451" s="126"/>
      <c r="BC451" s="126"/>
      <c r="BD451" s="126"/>
      <c r="BE451" s="126"/>
      <c r="BF451" s="127">
        <v>29909015</v>
      </c>
      <c r="BG451" s="97" t="s">
        <v>406</v>
      </c>
      <c r="BH451" s="127">
        <v>10000</v>
      </c>
      <c r="BI451" s="127">
        <v>29909015</v>
      </c>
      <c r="BJ451" s="97" t="s">
        <v>406</v>
      </c>
      <c r="BK451" s="127">
        <v>10000</v>
      </c>
    </row>
    <row r="452" spans="1:63" x14ac:dyDescent="0.25">
      <c r="B452" s="121">
        <v>29909030</v>
      </c>
      <c r="C452" s="122" t="s">
        <v>407</v>
      </c>
      <c r="D452" s="123">
        <v>27112.67</v>
      </c>
      <c r="E452" s="123">
        <v>31067.49</v>
      </c>
      <c r="F452" s="123">
        <v>32254.720000000001</v>
      </c>
      <c r="G452" s="123">
        <v>29346.06</v>
      </c>
      <c r="H452" s="123">
        <v>24797.71</v>
      </c>
      <c r="I452" s="123">
        <v>23188.6</v>
      </c>
      <c r="J452" s="123">
        <v>13984.9</v>
      </c>
      <c r="K452" s="123">
        <v>19096.46</v>
      </c>
      <c r="L452" s="123">
        <v>32811.22</v>
      </c>
      <c r="M452" s="123">
        <v>19455.07</v>
      </c>
      <c r="N452" s="123">
        <v>39934.620000000003</v>
      </c>
      <c r="O452" s="123">
        <v>34600.74</v>
      </c>
      <c r="P452" s="123">
        <v>32667.81</v>
      </c>
      <c r="Q452" s="123">
        <v>27882.93</v>
      </c>
      <c r="R452" s="123">
        <v>27353.3</v>
      </c>
      <c r="S452" s="123">
        <v>33561.040000000001</v>
      </c>
      <c r="T452" s="123">
        <v>26804.87</v>
      </c>
      <c r="U452" s="123">
        <v>26080.55</v>
      </c>
      <c r="V452" s="123">
        <v>19790.169999999998</v>
      </c>
      <c r="W452" s="123">
        <v>21533.46</v>
      </c>
      <c r="X452" s="123">
        <v>17980.23</v>
      </c>
      <c r="Y452" s="123">
        <v>22289.55</v>
      </c>
      <c r="Z452" s="123">
        <v>40512.58</v>
      </c>
      <c r="AA452" s="123">
        <v>96617.600000000006</v>
      </c>
      <c r="AB452" s="123">
        <v>50632.14</v>
      </c>
      <c r="AC452" s="124">
        <v>91779.86</v>
      </c>
      <c r="AD452" s="124">
        <v>90524.71</v>
      </c>
      <c r="AE452" s="124">
        <v>40164.65</v>
      </c>
      <c r="AF452" s="124">
        <v>89215.85</v>
      </c>
      <c r="AG452" s="124">
        <v>41135.589999999997</v>
      </c>
      <c r="AH452" s="124">
        <v>39805.980000000003</v>
      </c>
      <c r="AI452" s="124">
        <v>41604.35</v>
      </c>
      <c r="AJ452" s="124">
        <v>41233.480000000003</v>
      </c>
      <c r="AK452" s="124">
        <v>42901.8</v>
      </c>
      <c r="AL452" s="124">
        <v>67992.2</v>
      </c>
      <c r="AM452" s="124">
        <v>93946.66</v>
      </c>
      <c r="AN452" s="124">
        <v>110760.78</v>
      </c>
      <c r="AO452" s="125">
        <v>58250.25</v>
      </c>
      <c r="AP452" s="125">
        <v>61872.5</v>
      </c>
      <c r="AQ452" s="125">
        <v>68200.2</v>
      </c>
      <c r="AR452" s="125">
        <v>77629.63</v>
      </c>
      <c r="AS452" s="125">
        <v>67804.990000000005</v>
      </c>
      <c r="AT452" s="125">
        <v>62058.68</v>
      </c>
      <c r="AU452" s="125">
        <v>75860.990000000005</v>
      </c>
      <c r="AV452" s="125">
        <v>98406.28</v>
      </c>
      <c r="AW452" s="125">
        <v>121341.68</v>
      </c>
      <c r="AX452" s="125">
        <v>143208.57999999999</v>
      </c>
      <c r="AY452" s="126"/>
      <c r="AZ452" s="126"/>
      <c r="BA452" s="126"/>
      <c r="BB452" s="126"/>
      <c r="BC452" s="126"/>
      <c r="BD452" s="126"/>
      <c r="BE452" s="126"/>
      <c r="BF452" s="127">
        <v>29909030</v>
      </c>
      <c r="BG452" s="97" t="s">
        <v>407</v>
      </c>
      <c r="BH452" s="127">
        <v>39805.980000000003</v>
      </c>
      <c r="BI452" s="127">
        <v>29909030</v>
      </c>
      <c r="BJ452" s="97" t="s">
        <v>407</v>
      </c>
      <c r="BK452" s="127">
        <v>41604.35</v>
      </c>
    </row>
    <row r="453" spans="1:63" x14ac:dyDescent="0.25">
      <c r="B453" s="121">
        <v>2990903005</v>
      </c>
      <c r="C453" s="122" t="s">
        <v>407</v>
      </c>
      <c r="D453" s="128"/>
      <c r="E453" s="128"/>
      <c r="F453" s="123">
        <v>-160</v>
      </c>
      <c r="G453" s="123">
        <v>-160</v>
      </c>
      <c r="H453" s="128"/>
      <c r="I453" s="128"/>
      <c r="J453" s="128"/>
      <c r="K453" s="128"/>
      <c r="L453" s="128"/>
      <c r="M453" s="128"/>
      <c r="N453" s="128"/>
      <c r="O453" s="123">
        <v>-198.26</v>
      </c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  <c r="AA453" s="123">
        <v>55932.09</v>
      </c>
      <c r="AB453" s="128"/>
      <c r="AC453" s="124">
        <v>53896.39</v>
      </c>
      <c r="AD453" s="124">
        <v>53657.05</v>
      </c>
      <c r="AE453" s="129"/>
      <c r="AF453" s="124">
        <v>51017.59</v>
      </c>
      <c r="AG453" s="129"/>
      <c r="AH453" s="129"/>
      <c r="AI453" s="129"/>
      <c r="AJ453" s="124">
        <v>0</v>
      </c>
      <c r="AK453" s="124">
        <v>-189.71</v>
      </c>
      <c r="AL453" s="124">
        <v>0</v>
      </c>
      <c r="AM453" s="124">
        <v>-622.52</v>
      </c>
      <c r="AN453" s="124">
        <v>0</v>
      </c>
      <c r="AO453" s="125">
        <v>0</v>
      </c>
      <c r="AP453" s="125">
        <v>0</v>
      </c>
      <c r="AQ453" s="125">
        <v>0</v>
      </c>
      <c r="AR453" s="125">
        <v>0</v>
      </c>
      <c r="AS453" s="125">
        <v>0</v>
      </c>
      <c r="AT453" s="125">
        <v>0</v>
      </c>
      <c r="AU453" s="125">
        <v>0</v>
      </c>
      <c r="AV453" s="125">
        <v>0</v>
      </c>
      <c r="AW453" s="125">
        <v>0</v>
      </c>
      <c r="AX453" s="125">
        <v>0</v>
      </c>
      <c r="AY453" s="126"/>
      <c r="AZ453" s="126"/>
      <c r="BA453" s="126"/>
      <c r="BB453" s="126"/>
      <c r="BC453" s="126"/>
      <c r="BD453" s="126"/>
      <c r="BE453" s="126"/>
    </row>
    <row r="454" spans="1:63" x14ac:dyDescent="0.25">
      <c r="B454" s="121">
        <v>2990903015</v>
      </c>
      <c r="C454" s="122" t="s">
        <v>408</v>
      </c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  <c r="AA454" s="128"/>
      <c r="AB454" s="128"/>
      <c r="AC454" s="129"/>
      <c r="AD454" s="129"/>
      <c r="AE454" s="129"/>
      <c r="AF454" s="129"/>
      <c r="AG454" s="129"/>
      <c r="AH454" s="129"/>
      <c r="AI454" s="129"/>
      <c r="AJ454" s="124">
        <v>0</v>
      </c>
      <c r="AK454" s="124">
        <v>-36.799999999999997</v>
      </c>
      <c r="AL454" s="124">
        <v>0</v>
      </c>
      <c r="AM454" s="124">
        <v>0</v>
      </c>
      <c r="AN454" s="124">
        <v>0</v>
      </c>
      <c r="AO454" s="125">
        <v>0</v>
      </c>
      <c r="AP454" s="125">
        <v>0</v>
      </c>
      <c r="AQ454" s="125">
        <v>0</v>
      </c>
      <c r="AR454" s="125">
        <v>0</v>
      </c>
      <c r="AS454" s="125">
        <v>0</v>
      </c>
      <c r="AT454" s="125">
        <v>0</v>
      </c>
      <c r="AU454" s="125">
        <v>0</v>
      </c>
      <c r="AV454" s="125">
        <v>0</v>
      </c>
      <c r="AW454" s="125">
        <v>0</v>
      </c>
      <c r="AX454" s="125">
        <v>0</v>
      </c>
      <c r="AY454" s="126"/>
      <c r="AZ454" s="126"/>
      <c r="BA454" s="126"/>
      <c r="BB454" s="126"/>
      <c r="BC454" s="126"/>
      <c r="BD454" s="126"/>
      <c r="BE454" s="126"/>
    </row>
    <row r="455" spans="1:63" x14ac:dyDescent="0.25">
      <c r="A455" s="113"/>
      <c r="B455" s="121">
        <v>2990903030</v>
      </c>
      <c r="C455" s="122" t="s">
        <v>409</v>
      </c>
      <c r="D455" s="123">
        <v>22403.86</v>
      </c>
      <c r="E455" s="123">
        <v>20906.62</v>
      </c>
      <c r="F455" s="123">
        <v>27599.919999999998</v>
      </c>
      <c r="G455" s="123">
        <v>26834.9</v>
      </c>
      <c r="H455" s="123">
        <v>22209.98</v>
      </c>
      <c r="I455" s="123">
        <v>19625.37</v>
      </c>
      <c r="J455" s="123">
        <v>11783.72</v>
      </c>
      <c r="K455" s="123">
        <v>16258.46</v>
      </c>
      <c r="L455" s="123">
        <v>31034.73</v>
      </c>
      <c r="M455" s="123">
        <v>15664.88</v>
      </c>
      <c r="N455" s="123">
        <v>36844.300000000003</v>
      </c>
      <c r="O455" s="123">
        <v>32339.22</v>
      </c>
      <c r="P455" s="123">
        <v>27886.59</v>
      </c>
      <c r="Q455" s="123">
        <v>25808.25</v>
      </c>
      <c r="R455" s="123">
        <v>23554.13</v>
      </c>
      <c r="S455" s="123">
        <v>30460.58</v>
      </c>
      <c r="T455" s="123">
        <v>24148.9</v>
      </c>
      <c r="U455" s="123">
        <v>24100.41</v>
      </c>
      <c r="V455" s="123">
        <v>17594.34</v>
      </c>
      <c r="W455" s="123">
        <v>17846.18</v>
      </c>
      <c r="X455" s="123">
        <v>15506.42</v>
      </c>
      <c r="Y455" s="123">
        <v>17655.439999999999</v>
      </c>
      <c r="Z455" s="123">
        <v>36912.15</v>
      </c>
      <c r="AA455" s="123">
        <v>37027.99</v>
      </c>
      <c r="AB455" s="123">
        <v>46494.32</v>
      </c>
      <c r="AC455" s="124">
        <v>35044.589999999997</v>
      </c>
      <c r="AD455" s="124">
        <v>34297.67</v>
      </c>
      <c r="AE455" s="124">
        <v>36290.699999999997</v>
      </c>
      <c r="AF455" s="124">
        <v>35627.07</v>
      </c>
      <c r="AG455" s="124">
        <v>37566.660000000003</v>
      </c>
      <c r="AH455" s="124">
        <v>36247.440000000002</v>
      </c>
      <c r="AI455" s="124">
        <v>37237.11</v>
      </c>
      <c r="AJ455" s="124">
        <v>36816.26</v>
      </c>
      <c r="AK455" s="124">
        <v>38904.44</v>
      </c>
      <c r="AL455" s="124">
        <v>57237.73</v>
      </c>
      <c r="AM455" s="124">
        <v>61509.02</v>
      </c>
      <c r="AN455" s="124">
        <v>59609.4</v>
      </c>
      <c r="AO455" s="125">
        <v>48339.41</v>
      </c>
      <c r="AP455" s="125">
        <v>52215.79</v>
      </c>
      <c r="AQ455" s="125">
        <v>52233.73</v>
      </c>
      <c r="AR455" s="125">
        <v>51319.16</v>
      </c>
      <c r="AS455" s="125">
        <v>51230.37</v>
      </c>
      <c r="AT455" s="125">
        <v>51825.48</v>
      </c>
      <c r="AU455" s="125">
        <v>48747.39</v>
      </c>
      <c r="AV455" s="125">
        <v>51201.48</v>
      </c>
      <c r="AW455" s="125">
        <v>50809.73</v>
      </c>
      <c r="AX455" s="125">
        <v>70323.56</v>
      </c>
      <c r="AY455" s="126"/>
      <c r="AZ455" s="126"/>
      <c r="BA455" s="126"/>
      <c r="BB455" s="126"/>
      <c r="BC455" s="126"/>
      <c r="BD455" s="126"/>
      <c r="BE455" s="126"/>
      <c r="BF455" s="127">
        <v>2990903030</v>
      </c>
      <c r="BG455" s="97" t="s">
        <v>409</v>
      </c>
      <c r="BH455" s="127">
        <v>36247.440000000002</v>
      </c>
      <c r="BI455" s="127">
        <v>2990903030</v>
      </c>
      <c r="BJ455" s="97" t="s">
        <v>409</v>
      </c>
      <c r="BK455" s="127">
        <v>37237.11</v>
      </c>
    </row>
    <row r="456" spans="1:63" x14ac:dyDescent="0.25">
      <c r="B456" s="121">
        <v>2990903040</v>
      </c>
      <c r="C456" s="122" t="s">
        <v>410</v>
      </c>
      <c r="D456" s="123">
        <v>4708.8100000000004</v>
      </c>
      <c r="E456" s="123">
        <v>10160.870000000001</v>
      </c>
      <c r="F456" s="123">
        <v>4814.8</v>
      </c>
      <c r="G456" s="123">
        <v>2671.16</v>
      </c>
      <c r="H456" s="123">
        <v>2587.73</v>
      </c>
      <c r="I456" s="123">
        <v>3563.23</v>
      </c>
      <c r="J456" s="123">
        <v>2201.1799999999998</v>
      </c>
      <c r="K456" s="123">
        <v>2838</v>
      </c>
      <c r="L456" s="123">
        <v>1776.49</v>
      </c>
      <c r="M456" s="123">
        <v>3790.19</v>
      </c>
      <c r="N456" s="123">
        <v>3090.32</v>
      </c>
      <c r="O456" s="123">
        <v>2459.7800000000002</v>
      </c>
      <c r="P456" s="123">
        <v>4781.22</v>
      </c>
      <c r="Q456" s="123">
        <v>2074.6799999999998</v>
      </c>
      <c r="R456" s="123">
        <v>3799.17</v>
      </c>
      <c r="S456" s="123">
        <v>3100.46</v>
      </c>
      <c r="T456" s="123">
        <v>2655.97</v>
      </c>
      <c r="U456" s="123">
        <v>1980.14</v>
      </c>
      <c r="V456" s="123">
        <v>2195.83</v>
      </c>
      <c r="W456" s="123">
        <v>3687.28</v>
      </c>
      <c r="X456" s="123">
        <v>2473.81</v>
      </c>
      <c r="Y456" s="123">
        <v>4634.1099999999997</v>
      </c>
      <c r="Z456" s="123">
        <v>3600.43</v>
      </c>
      <c r="AA456" s="123">
        <v>3657.52</v>
      </c>
      <c r="AB456" s="123">
        <v>4137.82</v>
      </c>
      <c r="AC456" s="124">
        <v>2838.88</v>
      </c>
      <c r="AD456" s="124">
        <v>2569.9899999999998</v>
      </c>
      <c r="AE456" s="124">
        <v>3873.95</v>
      </c>
      <c r="AF456" s="124">
        <v>2571.19</v>
      </c>
      <c r="AG456" s="124">
        <v>3568.93</v>
      </c>
      <c r="AH456" s="124">
        <v>3558.54</v>
      </c>
      <c r="AI456" s="124">
        <v>4367.24</v>
      </c>
      <c r="AJ456" s="124">
        <v>4417.22</v>
      </c>
      <c r="AK456" s="124">
        <v>4223.87</v>
      </c>
      <c r="AL456" s="124">
        <v>10754.47</v>
      </c>
      <c r="AM456" s="124">
        <v>33060.160000000003</v>
      </c>
      <c r="AN456" s="124">
        <v>51151.38</v>
      </c>
      <c r="AO456" s="125">
        <v>9910.84</v>
      </c>
      <c r="AP456" s="125">
        <v>9656.7099999999991</v>
      </c>
      <c r="AQ456" s="125">
        <v>15966.47</v>
      </c>
      <c r="AR456" s="125">
        <v>26310.47</v>
      </c>
      <c r="AS456" s="125">
        <v>16574.62</v>
      </c>
      <c r="AT456" s="125">
        <v>10233.200000000001</v>
      </c>
      <c r="AU456" s="125">
        <v>27113.599999999999</v>
      </c>
      <c r="AV456" s="125">
        <v>47204.800000000003</v>
      </c>
      <c r="AW456" s="125">
        <v>70531.95</v>
      </c>
      <c r="AX456" s="125">
        <v>72885.02</v>
      </c>
      <c r="AY456" s="126"/>
      <c r="AZ456" s="126"/>
      <c r="BA456" s="126"/>
      <c r="BB456" s="126"/>
      <c r="BC456" s="126"/>
      <c r="BD456" s="126"/>
      <c r="BE456" s="126"/>
      <c r="BF456" s="127">
        <v>2990903040</v>
      </c>
      <c r="BG456" s="97" t="s">
        <v>410</v>
      </c>
      <c r="BH456" s="127">
        <v>3558.54</v>
      </c>
      <c r="BI456" s="127">
        <v>2990903040</v>
      </c>
      <c r="BJ456" s="97" t="s">
        <v>410</v>
      </c>
      <c r="BK456" s="127">
        <v>4367.24</v>
      </c>
    </row>
    <row r="457" spans="1:63" x14ac:dyDescent="0.25">
      <c r="B457" s="121">
        <v>29909035</v>
      </c>
      <c r="C457" s="122" t="s">
        <v>411</v>
      </c>
      <c r="D457" s="123">
        <v>58935.16</v>
      </c>
      <c r="E457" s="123">
        <v>80175</v>
      </c>
      <c r="F457" s="123">
        <v>92066.94</v>
      </c>
      <c r="G457" s="123">
        <v>70527.8</v>
      </c>
      <c r="H457" s="123">
        <v>14604.71</v>
      </c>
      <c r="I457" s="123">
        <v>80811.240000000005</v>
      </c>
      <c r="J457" s="123">
        <v>13516.15</v>
      </c>
      <c r="K457" s="123">
        <v>11138.06</v>
      </c>
      <c r="L457" s="123">
        <v>19021.919999999998</v>
      </c>
      <c r="M457" s="123">
        <v>7710.07</v>
      </c>
      <c r="N457" s="123">
        <v>23729.63</v>
      </c>
      <c r="O457" s="123">
        <v>103696.21</v>
      </c>
      <c r="P457" s="123">
        <v>134069.44</v>
      </c>
      <c r="Q457" s="123">
        <v>67891.179999999993</v>
      </c>
      <c r="R457" s="123">
        <v>199362.47</v>
      </c>
      <c r="S457" s="123">
        <v>146929.29999999999</v>
      </c>
      <c r="T457" s="123">
        <v>93632.79</v>
      </c>
      <c r="U457" s="123">
        <v>34894.1</v>
      </c>
      <c r="V457" s="123">
        <v>33969.339999999997</v>
      </c>
      <c r="W457" s="123">
        <v>20698.63</v>
      </c>
      <c r="X457" s="123">
        <v>29217.41</v>
      </c>
      <c r="Y457" s="123">
        <v>54813.33</v>
      </c>
      <c r="Z457" s="123">
        <v>81928.850000000006</v>
      </c>
      <c r="AA457" s="123">
        <v>171015.77</v>
      </c>
      <c r="AB457" s="123">
        <v>6366.89</v>
      </c>
      <c r="AC457" s="124">
        <v>169461.95</v>
      </c>
      <c r="AD457" s="124">
        <v>67712.22</v>
      </c>
      <c r="AE457" s="124">
        <v>36016.019999999997</v>
      </c>
      <c r="AF457" s="124">
        <v>6943</v>
      </c>
      <c r="AG457" s="124">
        <v>6259.8</v>
      </c>
      <c r="AH457" s="124">
        <v>8813.64</v>
      </c>
      <c r="AI457" s="124">
        <v>24942.07</v>
      </c>
      <c r="AJ457" s="124">
        <v>2099.59</v>
      </c>
      <c r="AK457" s="124">
        <v>70999.899999999994</v>
      </c>
      <c r="AL457" s="124">
        <v>7599.19</v>
      </c>
      <c r="AM457" s="124">
        <v>68130.2</v>
      </c>
      <c r="AN457" s="124">
        <v>43317.61</v>
      </c>
      <c r="AO457" s="125">
        <v>26909.8</v>
      </c>
      <c r="AP457" s="125">
        <v>6071.23</v>
      </c>
      <c r="AQ457" s="125">
        <v>40279.24</v>
      </c>
      <c r="AR457" s="125">
        <v>26103.26</v>
      </c>
      <c r="AS457" s="125">
        <v>7929.43</v>
      </c>
      <c r="AT457" s="125">
        <v>118930.91</v>
      </c>
      <c r="AU457" s="125">
        <v>107760.24</v>
      </c>
      <c r="AV457" s="125">
        <v>99337.85</v>
      </c>
      <c r="AW457" s="125">
        <v>15224.48</v>
      </c>
      <c r="AX457" s="125">
        <v>2524.44</v>
      </c>
      <c r="AY457" s="126"/>
      <c r="AZ457" s="126"/>
      <c r="BA457" s="126"/>
      <c r="BB457" s="126"/>
      <c r="BC457" s="126"/>
      <c r="BD457" s="126"/>
      <c r="BE457" s="126"/>
      <c r="BF457" s="127">
        <v>29909035</v>
      </c>
      <c r="BG457" s="97" t="s">
        <v>411</v>
      </c>
      <c r="BH457" s="127">
        <v>8813.64</v>
      </c>
      <c r="BI457" s="127">
        <v>29909035</v>
      </c>
      <c r="BJ457" s="97" t="s">
        <v>411</v>
      </c>
      <c r="BK457" s="127">
        <v>24942.07</v>
      </c>
    </row>
    <row r="458" spans="1:63" x14ac:dyDescent="0.25">
      <c r="B458" s="121">
        <v>29909090</v>
      </c>
      <c r="C458" s="122" t="s">
        <v>225</v>
      </c>
      <c r="D458" s="128"/>
      <c r="E458" s="128"/>
      <c r="F458" s="128"/>
      <c r="G458" s="128"/>
      <c r="H458" s="128"/>
      <c r="I458" s="123">
        <v>98.96</v>
      </c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  <c r="AA458" s="128"/>
      <c r="AB458" s="128"/>
      <c r="AC458" s="129"/>
      <c r="AD458" s="129"/>
      <c r="AE458" s="129"/>
      <c r="AF458" s="129"/>
      <c r="AG458" s="129"/>
      <c r="AH458" s="129"/>
      <c r="AI458" s="129"/>
      <c r="AJ458" s="124">
        <v>0</v>
      </c>
      <c r="AK458" s="124">
        <v>0</v>
      </c>
      <c r="AL458" s="124">
        <v>0</v>
      </c>
      <c r="AM458" s="124">
        <v>0</v>
      </c>
      <c r="AN458" s="124">
        <v>0</v>
      </c>
      <c r="AO458" s="125">
        <v>0</v>
      </c>
      <c r="AP458" s="125">
        <v>0</v>
      </c>
      <c r="AQ458" s="125">
        <v>0</v>
      </c>
      <c r="AR458" s="125">
        <v>0</v>
      </c>
      <c r="AS458" s="125">
        <v>0</v>
      </c>
      <c r="AT458" s="125">
        <v>0</v>
      </c>
      <c r="AU458" s="125">
        <v>0</v>
      </c>
      <c r="AV458" s="125">
        <v>0</v>
      </c>
      <c r="AW458" s="125">
        <v>0</v>
      </c>
      <c r="AX458" s="125">
        <v>0</v>
      </c>
      <c r="AY458" s="126"/>
      <c r="AZ458" s="126"/>
      <c r="BA458" s="126"/>
      <c r="BB458" s="126"/>
      <c r="BC458" s="126"/>
      <c r="BD458" s="126"/>
      <c r="BE458" s="126"/>
    </row>
    <row r="459" spans="1:63" x14ac:dyDescent="0.25">
      <c r="B459" s="121">
        <v>3</v>
      </c>
      <c r="C459" s="122" t="s">
        <v>412</v>
      </c>
      <c r="D459" s="116">
        <v>6890281.3499999996</v>
      </c>
      <c r="E459" s="116">
        <v>6890686.8300000001</v>
      </c>
      <c r="F459" s="116">
        <v>6891815.0899999999</v>
      </c>
      <c r="G459" s="116">
        <v>6894630.5</v>
      </c>
      <c r="H459" s="116">
        <v>6897717.7300000004</v>
      </c>
      <c r="I459" s="116">
        <v>6894410.9299999997</v>
      </c>
      <c r="J459" s="116">
        <v>6894560.6399999997</v>
      </c>
      <c r="K459" s="116">
        <v>6898993.0800000001</v>
      </c>
      <c r="L459" s="116">
        <v>6891046.4199999999</v>
      </c>
      <c r="M459" s="116">
        <v>6897448.96</v>
      </c>
      <c r="N459" s="116">
        <v>6908293.54</v>
      </c>
      <c r="O459" s="116">
        <v>6912720.2000000002</v>
      </c>
      <c r="P459" s="116">
        <v>5812621.3200000003</v>
      </c>
      <c r="Q459" s="116">
        <v>5794656.3099999996</v>
      </c>
      <c r="R459" s="116">
        <v>5797023.4400000004</v>
      </c>
      <c r="S459" s="116">
        <v>5787976.4000000004</v>
      </c>
      <c r="T459" s="116">
        <v>5785447.0899999999</v>
      </c>
      <c r="U459" s="116">
        <v>5788591.4400000004</v>
      </c>
      <c r="V459" s="116">
        <v>5784759.8499999996</v>
      </c>
      <c r="W459" s="116">
        <v>5774417.4000000004</v>
      </c>
      <c r="X459" s="116">
        <v>5775257.7400000002</v>
      </c>
      <c r="Y459" s="116">
        <v>5776594.5800000001</v>
      </c>
      <c r="Z459" s="116">
        <v>5770557.2699999996</v>
      </c>
      <c r="AA459" s="116">
        <v>5771507.9800000004</v>
      </c>
      <c r="AB459" s="116">
        <v>5800361.5999999996</v>
      </c>
      <c r="AC459" s="124">
        <v>5803058.6500000004</v>
      </c>
      <c r="AD459" s="124">
        <v>5824898.5800000001</v>
      </c>
      <c r="AE459" s="124">
        <v>5831375.7800000003</v>
      </c>
      <c r="AF459" s="124">
        <v>5811344.6100000003</v>
      </c>
      <c r="AG459" s="124">
        <v>5836176.29</v>
      </c>
      <c r="AH459" s="124">
        <v>5839193.5300000003</v>
      </c>
      <c r="AI459" s="124">
        <v>5811237.5599999996</v>
      </c>
      <c r="AJ459" s="124">
        <v>11832896.08</v>
      </c>
      <c r="AK459" s="124">
        <v>11714227.9</v>
      </c>
      <c r="AL459" s="124">
        <v>11694835.800000001</v>
      </c>
      <c r="AM459" s="124">
        <v>11720691.369999999</v>
      </c>
      <c r="AN459" s="124">
        <v>10687889.460000001</v>
      </c>
      <c r="AO459" s="125">
        <v>10658440.65</v>
      </c>
      <c r="AP459" s="125">
        <v>10682576.98</v>
      </c>
      <c r="AQ459" s="125">
        <v>10683844.77</v>
      </c>
      <c r="AR459" s="125">
        <v>10657248.609999999</v>
      </c>
      <c r="AS459" s="125">
        <v>10676110.529999999</v>
      </c>
      <c r="AT459" s="125">
        <v>10674115.49</v>
      </c>
      <c r="AU459" s="125">
        <v>10655107.02</v>
      </c>
      <c r="AV459" s="125">
        <v>10654992.029999999</v>
      </c>
      <c r="AW459" s="125">
        <v>10662054.939999999</v>
      </c>
      <c r="AX459" s="125">
        <v>10639461.890000001</v>
      </c>
      <c r="AY459" s="126"/>
      <c r="AZ459" s="126"/>
      <c r="BA459" s="126"/>
      <c r="BB459" s="126"/>
      <c r="BC459" s="126"/>
      <c r="BD459" s="126"/>
      <c r="BE459" s="126"/>
      <c r="BF459" s="127">
        <v>3</v>
      </c>
      <c r="BG459" s="97" t="s">
        <v>412</v>
      </c>
      <c r="BH459" s="127">
        <v>5839193.5300000003</v>
      </c>
      <c r="BI459" s="127">
        <v>3</v>
      </c>
      <c r="BJ459" s="97" t="s">
        <v>412</v>
      </c>
      <c r="BK459" s="127">
        <v>5811237.5599999996</v>
      </c>
    </row>
    <row r="460" spans="1:63" x14ac:dyDescent="0.25">
      <c r="B460" s="121">
        <v>31</v>
      </c>
      <c r="C460" s="122" t="s">
        <v>413</v>
      </c>
      <c r="D460" s="116">
        <v>11000000</v>
      </c>
      <c r="E460" s="116">
        <v>11000000</v>
      </c>
      <c r="F460" s="116">
        <v>11000000</v>
      </c>
      <c r="G460" s="116">
        <v>11000000</v>
      </c>
      <c r="H460" s="116">
        <v>11000000</v>
      </c>
      <c r="I460" s="116">
        <v>11000000</v>
      </c>
      <c r="J460" s="116">
        <v>11000000</v>
      </c>
      <c r="K460" s="116">
        <v>11000000</v>
      </c>
      <c r="L460" s="116">
        <v>11000000</v>
      </c>
      <c r="M460" s="116">
        <v>11000000</v>
      </c>
      <c r="N460" s="116">
        <v>11000000</v>
      </c>
      <c r="O460" s="116">
        <v>11000000</v>
      </c>
      <c r="P460" s="116">
        <v>11000000</v>
      </c>
      <c r="Q460" s="116">
        <v>11000000</v>
      </c>
      <c r="R460" s="116">
        <v>11000000</v>
      </c>
      <c r="S460" s="116">
        <v>11000000</v>
      </c>
      <c r="T460" s="116">
        <v>11000000</v>
      </c>
      <c r="U460" s="116">
        <v>11000000</v>
      </c>
      <c r="V460" s="116">
        <v>11000000</v>
      </c>
      <c r="W460" s="116">
        <v>11000000</v>
      </c>
      <c r="X460" s="116">
        <v>11000000</v>
      </c>
      <c r="Y460" s="116">
        <v>11000000</v>
      </c>
      <c r="Z460" s="116">
        <v>11000000</v>
      </c>
      <c r="AA460" s="116">
        <v>11000000</v>
      </c>
      <c r="AB460" s="116">
        <v>11000000</v>
      </c>
      <c r="AC460" s="124">
        <v>11000000</v>
      </c>
      <c r="AD460" s="124">
        <v>11000000</v>
      </c>
      <c r="AE460" s="124">
        <v>11000000</v>
      </c>
      <c r="AF460" s="124">
        <v>11000000</v>
      </c>
      <c r="AG460" s="124">
        <v>11000000</v>
      </c>
      <c r="AH460" s="124">
        <v>11000000</v>
      </c>
      <c r="AI460" s="124">
        <v>11000000</v>
      </c>
      <c r="AJ460" s="124">
        <v>17000000</v>
      </c>
      <c r="AK460" s="124">
        <v>17000000</v>
      </c>
      <c r="AL460" s="124">
        <v>17000000</v>
      </c>
      <c r="AM460" s="124">
        <v>17000000</v>
      </c>
      <c r="AN460" s="124">
        <v>17000000</v>
      </c>
      <c r="AO460" s="125">
        <v>17000000</v>
      </c>
      <c r="AP460" s="125">
        <v>17000000</v>
      </c>
      <c r="AQ460" s="125">
        <v>17000000</v>
      </c>
      <c r="AR460" s="125">
        <v>16050000</v>
      </c>
      <c r="AS460" s="125">
        <v>16050000</v>
      </c>
      <c r="AT460" s="125">
        <v>16050000</v>
      </c>
      <c r="AU460" s="125">
        <v>16050000</v>
      </c>
      <c r="AV460" s="125">
        <v>16050000</v>
      </c>
      <c r="AW460" s="125">
        <v>16050000</v>
      </c>
      <c r="AX460" s="125">
        <v>16050000</v>
      </c>
      <c r="AY460" s="126"/>
      <c r="AZ460" s="126"/>
      <c r="BA460" s="126"/>
      <c r="BB460" s="126"/>
      <c r="BC460" s="126"/>
      <c r="BD460" s="126"/>
      <c r="BE460" s="126"/>
      <c r="BF460" s="127">
        <v>31</v>
      </c>
      <c r="BG460" s="97" t="s">
        <v>413</v>
      </c>
      <c r="BH460" s="127">
        <v>11000000</v>
      </c>
      <c r="BI460" s="127">
        <v>31</v>
      </c>
      <c r="BJ460" s="97" t="s">
        <v>413</v>
      </c>
      <c r="BK460" s="127">
        <v>11000000</v>
      </c>
    </row>
    <row r="461" spans="1:63" x14ac:dyDescent="0.25">
      <c r="B461" s="121">
        <v>3101</v>
      </c>
      <c r="C461" s="122" t="s">
        <v>414</v>
      </c>
      <c r="D461" s="116">
        <v>11000000</v>
      </c>
      <c r="E461" s="116">
        <v>11000000</v>
      </c>
      <c r="F461" s="116">
        <v>11000000</v>
      </c>
      <c r="G461" s="116">
        <v>11000000</v>
      </c>
      <c r="H461" s="116">
        <v>11000000</v>
      </c>
      <c r="I461" s="116">
        <v>11000000</v>
      </c>
      <c r="J461" s="116">
        <v>11000000</v>
      </c>
      <c r="K461" s="116">
        <v>11000000</v>
      </c>
      <c r="L461" s="116">
        <v>11000000</v>
      </c>
      <c r="M461" s="116">
        <v>11000000</v>
      </c>
      <c r="N461" s="116">
        <v>11000000</v>
      </c>
      <c r="O461" s="116">
        <v>11000000</v>
      </c>
      <c r="P461" s="116">
        <v>11000000</v>
      </c>
      <c r="Q461" s="116">
        <v>11000000</v>
      </c>
      <c r="R461" s="116">
        <v>11000000</v>
      </c>
      <c r="S461" s="116">
        <v>11000000</v>
      </c>
      <c r="T461" s="116">
        <v>11000000</v>
      </c>
      <c r="U461" s="116">
        <v>11000000</v>
      </c>
      <c r="V461" s="116">
        <v>11000000</v>
      </c>
      <c r="W461" s="116">
        <v>11000000</v>
      </c>
      <c r="X461" s="116">
        <v>11000000</v>
      </c>
      <c r="Y461" s="116">
        <v>11000000</v>
      </c>
      <c r="Z461" s="116">
        <v>11000000</v>
      </c>
      <c r="AA461" s="116">
        <v>11000000</v>
      </c>
      <c r="AB461" s="116">
        <v>11000000</v>
      </c>
      <c r="AC461" s="124">
        <v>11000000</v>
      </c>
      <c r="AD461" s="124">
        <v>11000000</v>
      </c>
      <c r="AE461" s="124">
        <v>11000000</v>
      </c>
      <c r="AF461" s="124">
        <v>11000000</v>
      </c>
      <c r="AG461" s="124">
        <v>11000000</v>
      </c>
      <c r="AH461" s="124">
        <v>11000000</v>
      </c>
      <c r="AI461" s="124">
        <v>11000000</v>
      </c>
      <c r="AJ461" s="124">
        <v>17000000</v>
      </c>
      <c r="AK461" s="124">
        <v>17000000</v>
      </c>
      <c r="AL461" s="124">
        <v>17000000</v>
      </c>
      <c r="AM461" s="124">
        <v>17000000</v>
      </c>
      <c r="AN461" s="124">
        <v>17000000</v>
      </c>
      <c r="AO461" s="125">
        <v>17000000</v>
      </c>
      <c r="AP461" s="125">
        <v>17000000</v>
      </c>
      <c r="AQ461" s="125">
        <v>17000000</v>
      </c>
      <c r="AR461" s="125">
        <v>16050000</v>
      </c>
      <c r="AS461" s="125">
        <v>16050000</v>
      </c>
      <c r="AT461" s="125">
        <v>16050000</v>
      </c>
      <c r="AU461" s="125">
        <v>16050000</v>
      </c>
      <c r="AV461" s="125">
        <v>16050000</v>
      </c>
      <c r="AW461" s="125">
        <v>16050000</v>
      </c>
      <c r="AX461" s="125">
        <v>16050000</v>
      </c>
      <c r="AY461" s="126"/>
      <c r="AZ461" s="126"/>
      <c r="BA461" s="126"/>
      <c r="BB461" s="126"/>
      <c r="BC461" s="126"/>
      <c r="BD461" s="126"/>
      <c r="BE461" s="126"/>
      <c r="BF461" s="127">
        <v>3101</v>
      </c>
      <c r="BG461" s="97" t="s">
        <v>414</v>
      </c>
      <c r="BH461" s="127">
        <v>11000000</v>
      </c>
      <c r="BI461" s="127">
        <v>3101</v>
      </c>
      <c r="BJ461" s="97" t="s">
        <v>414</v>
      </c>
      <c r="BK461" s="127">
        <v>11000000</v>
      </c>
    </row>
    <row r="462" spans="1:63" x14ac:dyDescent="0.25">
      <c r="B462" s="121">
        <v>310105</v>
      </c>
      <c r="C462" s="122" t="s">
        <v>415</v>
      </c>
      <c r="D462" s="123">
        <v>2441316.42</v>
      </c>
      <c r="E462" s="123">
        <v>2441316.42</v>
      </c>
      <c r="F462" s="123">
        <v>2441316.42</v>
      </c>
      <c r="G462" s="123">
        <v>2441316.42</v>
      </c>
      <c r="H462" s="123">
        <v>2441316.42</v>
      </c>
      <c r="I462" s="123">
        <v>2441316.42</v>
      </c>
      <c r="J462" s="123">
        <v>2441316.42</v>
      </c>
      <c r="K462" s="123">
        <v>2441316.42</v>
      </c>
      <c r="L462" s="123">
        <v>2441316.42</v>
      </c>
      <c r="M462" s="123">
        <v>2441316.42</v>
      </c>
      <c r="N462" s="123">
        <v>2441316.42</v>
      </c>
      <c r="O462" s="123">
        <v>2441316.42</v>
      </c>
      <c r="P462" s="123">
        <v>2441316.42</v>
      </c>
      <c r="Q462" s="123">
        <v>2441316.42</v>
      </c>
      <c r="R462" s="123">
        <v>2441316.42</v>
      </c>
      <c r="S462" s="123">
        <v>2441316.42</v>
      </c>
      <c r="T462" s="123">
        <v>2441316.42</v>
      </c>
      <c r="U462" s="123">
        <v>2441316.42</v>
      </c>
      <c r="V462" s="123">
        <v>2441316.42</v>
      </c>
      <c r="W462" s="123">
        <v>2441316.42</v>
      </c>
      <c r="X462" s="123">
        <v>2441316.42</v>
      </c>
      <c r="Y462" s="123">
        <v>2441316.42</v>
      </c>
      <c r="Z462" s="123">
        <v>2441316.42</v>
      </c>
      <c r="AA462" s="123">
        <v>2441316.42</v>
      </c>
      <c r="AB462" s="123">
        <v>2441316.42</v>
      </c>
      <c r="AC462" s="124">
        <v>2441316.42</v>
      </c>
      <c r="AD462" s="124">
        <v>2441316.42</v>
      </c>
      <c r="AE462" s="124">
        <v>2441316.42</v>
      </c>
      <c r="AF462" s="124">
        <v>2441316.42</v>
      </c>
      <c r="AG462" s="124">
        <v>2441316.42</v>
      </c>
      <c r="AH462" s="124">
        <v>2441316.42</v>
      </c>
      <c r="AI462" s="124">
        <v>2441316.42</v>
      </c>
      <c r="AJ462" s="124">
        <v>8441316.4199999999</v>
      </c>
      <c r="AK462" s="124">
        <v>8441316.4199999999</v>
      </c>
      <c r="AL462" s="124">
        <v>8441316.4199999999</v>
      </c>
      <c r="AM462" s="124">
        <v>8441316.4199999999</v>
      </c>
      <c r="AN462" s="124">
        <v>8441316.4199999999</v>
      </c>
      <c r="AO462" s="125">
        <v>8441316.4199999999</v>
      </c>
      <c r="AP462" s="125">
        <v>8441316.4199999999</v>
      </c>
      <c r="AQ462" s="125">
        <v>8441316.4199999999</v>
      </c>
      <c r="AR462" s="125">
        <v>7491316.4199999999</v>
      </c>
      <c r="AS462" s="125">
        <v>7491316.4199999999</v>
      </c>
      <c r="AT462" s="125">
        <v>7491316.4199999999</v>
      </c>
      <c r="AU462" s="125">
        <v>7491316.4199999999</v>
      </c>
      <c r="AV462" s="125">
        <v>7491316.4199999999</v>
      </c>
      <c r="AW462" s="125">
        <v>7491316.4199999999</v>
      </c>
      <c r="AX462" s="125">
        <v>7491316.4199999999</v>
      </c>
      <c r="AY462" s="126"/>
      <c r="AZ462" s="126"/>
      <c r="BA462" s="126"/>
      <c r="BB462" s="126"/>
      <c r="BC462" s="126"/>
      <c r="BD462" s="126"/>
      <c r="BE462" s="126"/>
      <c r="BF462" s="127">
        <v>310105</v>
      </c>
      <c r="BG462" s="97" t="s">
        <v>415</v>
      </c>
      <c r="BH462" s="127">
        <v>2441316.42</v>
      </c>
      <c r="BI462" s="127">
        <v>310105</v>
      </c>
      <c r="BJ462" s="97" t="s">
        <v>415</v>
      </c>
      <c r="BK462" s="127">
        <v>2441316.42</v>
      </c>
    </row>
    <row r="463" spans="1:63" x14ac:dyDescent="0.25">
      <c r="B463" s="121">
        <v>310110</v>
      </c>
      <c r="C463" s="122" t="s">
        <v>416</v>
      </c>
      <c r="D463" s="123">
        <v>8518642.0199999996</v>
      </c>
      <c r="E463" s="123">
        <v>8518642.0199999996</v>
      </c>
      <c r="F463" s="123">
        <v>8518642.0199999996</v>
      </c>
      <c r="G463" s="123">
        <v>8518642.0199999996</v>
      </c>
      <c r="H463" s="123">
        <v>8518642.0199999996</v>
      </c>
      <c r="I463" s="123">
        <v>8518642.0199999996</v>
      </c>
      <c r="J463" s="123">
        <v>8518642.0199999996</v>
      </c>
      <c r="K463" s="123">
        <v>8518642.0199999996</v>
      </c>
      <c r="L463" s="123">
        <v>8518642.0199999996</v>
      </c>
      <c r="M463" s="123">
        <v>8518642.0199999996</v>
      </c>
      <c r="N463" s="123">
        <v>8518642.0199999996</v>
      </c>
      <c r="O463" s="123">
        <v>8518642.0199999996</v>
      </c>
      <c r="P463" s="123">
        <v>8518642.0199999996</v>
      </c>
      <c r="Q463" s="123">
        <v>8518642.0199999996</v>
      </c>
      <c r="R463" s="123">
        <v>8518642.0199999996</v>
      </c>
      <c r="S463" s="123">
        <v>8518642.0199999996</v>
      </c>
      <c r="T463" s="123">
        <v>8518642.0199999996</v>
      </c>
      <c r="U463" s="123">
        <v>8518642.0199999996</v>
      </c>
      <c r="V463" s="123">
        <v>8518642.0199999996</v>
      </c>
      <c r="W463" s="123">
        <v>8518642.0199999996</v>
      </c>
      <c r="X463" s="123">
        <v>8518642.0199999996</v>
      </c>
      <c r="Y463" s="123">
        <v>8518642.0199999996</v>
      </c>
      <c r="Z463" s="123">
        <v>8518642.0199999996</v>
      </c>
      <c r="AA463" s="123">
        <v>8518642.0199999996</v>
      </c>
      <c r="AB463" s="123">
        <v>8518642.0199999996</v>
      </c>
      <c r="AC463" s="124">
        <v>8518642.0199999996</v>
      </c>
      <c r="AD463" s="124">
        <v>8518642.0199999996</v>
      </c>
      <c r="AE463" s="124">
        <v>8518642.0199999996</v>
      </c>
      <c r="AF463" s="124">
        <v>8518642.0199999996</v>
      </c>
      <c r="AG463" s="124">
        <v>8518642.0199999996</v>
      </c>
      <c r="AH463" s="124">
        <v>8518642.0199999996</v>
      </c>
      <c r="AI463" s="124">
        <v>8518642.0199999996</v>
      </c>
      <c r="AJ463" s="124">
        <v>8518642.0199999996</v>
      </c>
      <c r="AK463" s="124">
        <v>8518642.0199999996</v>
      </c>
      <c r="AL463" s="124">
        <v>8518642.0199999996</v>
      </c>
      <c r="AM463" s="124">
        <v>8518642.0199999996</v>
      </c>
      <c r="AN463" s="124">
        <v>8518642.0199999996</v>
      </c>
      <c r="AO463" s="125">
        <v>8518642.0199999996</v>
      </c>
      <c r="AP463" s="125">
        <v>8518642.0199999996</v>
      </c>
      <c r="AQ463" s="125">
        <v>8518642.0199999996</v>
      </c>
      <c r="AR463" s="125">
        <v>8518642.0199999996</v>
      </c>
      <c r="AS463" s="125">
        <v>8518642.0199999996</v>
      </c>
      <c r="AT463" s="125">
        <v>8518642.0199999996</v>
      </c>
      <c r="AU463" s="125">
        <v>8518642.0199999996</v>
      </c>
      <c r="AV463" s="125">
        <v>8518642.0199999996</v>
      </c>
      <c r="AW463" s="125">
        <v>8518642.0199999996</v>
      </c>
      <c r="AX463" s="125">
        <v>8518642.0199999996</v>
      </c>
      <c r="AY463" s="126"/>
      <c r="AZ463" s="126"/>
      <c r="BA463" s="126"/>
      <c r="BB463" s="126"/>
      <c r="BC463" s="126"/>
      <c r="BD463" s="126"/>
      <c r="BE463" s="126"/>
      <c r="BF463" s="127">
        <v>310110</v>
      </c>
      <c r="BG463" s="97" t="s">
        <v>416</v>
      </c>
      <c r="BH463" s="127">
        <v>8518642.0199999996</v>
      </c>
      <c r="BI463" s="127">
        <v>310110</v>
      </c>
      <c r="BJ463" s="97" t="s">
        <v>416</v>
      </c>
      <c r="BK463" s="127">
        <v>8518642.0199999996</v>
      </c>
    </row>
    <row r="464" spans="1:63" x14ac:dyDescent="0.25">
      <c r="B464" s="121">
        <v>310115</v>
      </c>
      <c r="C464" s="122" t="s">
        <v>417</v>
      </c>
      <c r="D464" s="123">
        <v>40041.56</v>
      </c>
      <c r="E464" s="123">
        <v>40041.56</v>
      </c>
      <c r="F464" s="123">
        <v>40041.56</v>
      </c>
      <c r="G464" s="123">
        <v>40041.56</v>
      </c>
      <c r="H464" s="123">
        <v>40041.56</v>
      </c>
      <c r="I464" s="123">
        <v>40041.56</v>
      </c>
      <c r="J464" s="123">
        <v>40041.56</v>
      </c>
      <c r="K464" s="123">
        <v>40041.56</v>
      </c>
      <c r="L464" s="123">
        <v>40041.56</v>
      </c>
      <c r="M464" s="123">
        <v>40041.56</v>
      </c>
      <c r="N464" s="123">
        <v>40041.56</v>
      </c>
      <c r="O464" s="123">
        <v>40041.56</v>
      </c>
      <c r="P464" s="123">
        <v>40041.56</v>
      </c>
      <c r="Q464" s="123">
        <v>40041.56</v>
      </c>
      <c r="R464" s="123">
        <v>40041.56</v>
      </c>
      <c r="S464" s="123">
        <v>40041.56</v>
      </c>
      <c r="T464" s="123">
        <v>40041.56</v>
      </c>
      <c r="U464" s="123">
        <v>40041.56</v>
      </c>
      <c r="V464" s="123">
        <v>40041.56</v>
      </c>
      <c r="W464" s="123">
        <v>40041.56</v>
      </c>
      <c r="X464" s="123">
        <v>40041.56</v>
      </c>
      <c r="Y464" s="123">
        <v>40041.56</v>
      </c>
      <c r="Z464" s="123">
        <v>40041.56</v>
      </c>
      <c r="AA464" s="123">
        <v>40041.56</v>
      </c>
      <c r="AB464" s="123">
        <v>40041.56</v>
      </c>
      <c r="AC464" s="124">
        <v>40041.56</v>
      </c>
      <c r="AD464" s="124">
        <v>40041.56</v>
      </c>
      <c r="AE464" s="124">
        <v>40041.56</v>
      </c>
      <c r="AF464" s="124">
        <v>40041.56</v>
      </c>
      <c r="AG464" s="124">
        <v>40041.56</v>
      </c>
      <c r="AH464" s="124">
        <v>40041.56</v>
      </c>
      <c r="AI464" s="124">
        <v>40041.56</v>
      </c>
      <c r="AJ464" s="124">
        <v>40041.56</v>
      </c>
      <c r="AK464" s="124">
        <v>40041.56</v>
      </c>
      <c r="AL464" s="124">
        <v>40041.56</v>
      </c>
      <c r="AM464" s="124">
        <v>40041.56</v>
      </c>
      <c r="AN464" s="124">
        <v>40041.56</v>
      </c>
      <c r="AO464" s="125">
        <v>40041.56</v>
      </c>
      <c r="AP464" s="125">
        <v>40041.56</v>
      </c>
      <c r="AQ464" s="125">
        <v>40041.56</v>
      </c>
      <c r="AR464" s="125">
        <v>40041.56</v>
      </c>
      <c r="AS464" s="125">
        <v>40041.56</v>
      </c>
      <c r="AT464" s="125">
        <v>40041.56</v>
      </c>
      <c r="AU464" s="125">
        <v>40041.56</v>
      </c>
      <c r="AV464" s="125">
        <v>40041.56</v>
      </c>
      <c r="AW464" s="125">
        <v>40041.56</v>
      </c>
      <c r="AX464" s="125">
        <v>40041.56</v>
      </c>
      <c r="AY464" s="126"/>
      <c r="AZ464" s="126"/>
      <c r="BA464" s="126"/>
      <c r="BB464" s="126"/>
      <c r="BC464" s="126"/>
      <c r="BD464" s="126"/>
      <c r="BE464" s="126"/>
      <c r="BF464" s="127">
        <v>310115</v>
      </c>
      <c r="BG464" s="97" t="s">
        <v>417</v>
      </c>
      <c r="BH464" s="127">
        <v>40041.56</v>
      </c>
      <c r="BI464" s="127">
        <v>310115</v>
      </c>
      <c r="BJ464" s="97" t="s">
        <v>417</v>
      </c>
      <c r="BK464" s="127">
        <v>40041.56</v>
      </c>
    </row>
    <row r="465" spans="1:63" x14ac:dyDescent="0.25">
      <c r="B465" s="121">
        <v>33</v>
      </c>
      <c r="C465" s="122" t="s">
        <v>418</v>
      </c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  <c r="AA465" s="128"/>
      <c r="AB465" s="128"/>
      <c r="AC465" s="124">
        <v>1579.61</v>
      </c>
      <c r="AD465" s="124">
        <v>1579.61</v>
      </c>
      <c r="AE465" s="124">
        <v>1579.61</v>
      </c>
      <c r="AF465" s="124">
        <v>1949.66</v>
      </c>
      <c r="AG465" s="124">
        <v>1949.66</v>
      </c>
      <c r="AH465" s="124">
        <v>1949.66</v>
      </c>
      <c r="AI465" s="124">
        <v>1949.66</v>
      </c>
      <c r="AJ465" s="124">
        <v>1949.66</v>
      </c>
      <c r="AK465" s="124">
        <v>1949.66</v>
      </c>
      <c r="AL465" s="124">
        <v>1949.66</v>
      </c>
      <c r="AM465" s="124">
        <v>1949.66</v>
      </c>
      <c r="AN465" s="124">
        <v>1949.66</v>
      </c>
      <c r="AO465" s="125">
        <v>1949.66</v>
      </c>
      <c r="AP465" s="125">
        <v>1949.66</v>
      </c>
      <c r="AQ465" s="125">
        <v>0</v>
      </c>
      <c r="AR465" s="125">
        <v>0</v>
      </c>
      <c r="AS465" s="125">
        <v>0</v>
      </c>
      <c r="AT465" s="125">
        <v>0</v>
      </c>
      <c r="AU465" s="125">
        <v>0</v>
      </c>
      <c r="AV465" s="125">
        <v>0</v>
      </c>
      <c r="AW465" s="125">
        <v>0</v>
      </c>
      <c r="AX465" s="125">
        <v>0</v>
      </c>
      <c r="AY465" s="126"/>
      <c r="AZ465" s="126"/>
      <c r="BA465" s="126"/>
      <c r="BB465" s="126"/>
      <c r="BC465" s="126"/>
      <c r="BD465" s="126"/>
      <c r="BE465" s="126"/>
      <c r="BF465" s="127">
        <v>33</v>
      </c>
      <c r="BG465" s="97" t="s">
        <v>418</v>
      </c>
      <c r="BH465" s="127">
        <v>1949.66</v>
      </c>
      <c r="BI465" s="127">
        <v>33</v>
      </c>
      <c r="BJ465" s="97" t="s">
        <v>418</v>
      </c>
      <c r="BK465" s="127">
        <v>1949.66</v>
      </c>
    </row>
    <row r="466" spans="1:63" x14ac:dyDescent="0.25">
      <c r="B466" s="121">
        <v>3301</v>
      </c>
      <c r="C466" s="122" t="s">
        <v>419</v>
      </c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  <c r="AA466" s="128"/>
      <c r="AB466" s="128"/>
      <c r="AC466" s="124">
        <v>1579.61</v>
      </c>
      <c r="AD466" s="124">
        <v>1579.61</v>
      </c>
      <c r="AE466" s="124">
        <v>1579.61</v>
      </c>
      <c r="AF466" s="124">
        <v>1949.66</v>
      </c>
      <c r="AG466" s="124">
        <v>1949.66</v>
      </c>
      <c r="AH466" s="124">
        <v>1949.66</v>
      </c>
      <c r="AI466" s="124">
        <v>1949.66</v>
      </c>
      <c r="AJ466" s="124">
        <v>1949.66</v>
      </c>
      <c r="AK466" s="124">
        <v>1949.66</v>
      </c>
      <c r="AL466" s="124">
        <v>1949.66</v>
      </c>
      <c r="AM466" s="124">
        <v>1949.66</v>
      </c>
      <c r="AN466" s="124">
        <v>1949.66</v>
      </c>
      <c r="AO466" s="125">
        <v>1949.66</v>
      </c>
      <c r="AP466" s="125">
        <v>1949.66</v>
      </c>
      <c r="AQ466" s="125">
        <v>0</v>
      </c>
      <c r="AR466" s="125">
        <v>0</v>
      </c>
      <c r="AS466" s="125">
        <v>0</v>
      </c>
      <c r="AT466" s="125">
        <v>0</v>
      </c>
      <c r="AU466" s="125">
        <v>0</v>
      </c>
      <c r="AV466" s="125">
        <v>0</v>
      </c>
      <c r="AW466" s="125">
        <v>0</v>
      </c>
      <c r="AX466" s="125">
        <v>0</v>
      </c>
      <c r="AY466" s="126"/>
      <c r="AZ466" s="126"/>
      <c r="BA466" s="126"/>
      <c r="BB466" s="126"/>
      <c r="BC466" s="126"/>
      <c r="BD466" s="126"/>
      <c r="BE466" s="126"/>
      <c r="BF466" s="127">
        <v>3301</v>
      </c>
      <c r="BG466" s="97" t="s">
        <v>419</v>
      </c>
      <c r="BH466" s="127">
        <v>1949.66</v>
      </c>
      <c r="BI466" s="127">
        <v>3301</v>
      </c>
      <c r="BJ466" s="97" t="s">
        <v>419</v>
      </c>
      <c r="BK466" s="127">
        <v>1949.66</v>
      </c>
    </row>
    <row r="467" spans="1:63" x14ac:dyDescent="0.25">
      <c r="B467" s="121">
        <v>35</v>
      </c>
      <c r="C467" s="122" t="s">
        <v>420</v>
      </c>
      <c r="D467" s="116">
        <v>5783.45</v>
      </c>
      <c r="E467" s="116">
        <v>6188.93</v>
      </c>
      <c r="F467" s="116">
        <v>7317.19</v>
      </c>
      <c r="G467" s="116">
        <v>10132.6</v>
      </c>
      <c r="H467" s="116">
        <v>13219.83</v>
      </c>
      <c r="I467" s="116">
        <v>9913.0300000000007</v>
      </c>
      <c r="J467" s="116">
        <v>10062.74</v>
      </c>
      <c r="K467" s="116">
        <v>14495.18</v>
      </c>
      <c r="L467" s="116">
        <v>6548.52</v>
      </c>
      <c r="M467" s="116">
        <v>12951.06</v>
      </c>
      <c r="N467" s="116">
        <v>23795.64</v>
      </c>
      <c r="O467" s="116">
        <v>28222.3</v>
      </c>
      <c r="P467" s="116">
        <v>54854.239999999998</v>
      </c>
      <c r="Q467" s="116">
        <v>60009.5</v>
      </c>
      <c r="R467" s="116">
        <v>62376.63</v>
      </c>
      <c r="S467" s="116">
        <v>53329.59</v>
      </c>
      <c r="T467" s="116">
        <v>50800.28</v>
      </c>
      <c r="U467" s="116">
        <v>53944.63</v>
      </c>
      <c r="V467" s="116">
        <v>50113.04</v>
      </c>
      <c r="W467" s="116">
        <v>39770.589999999997</v>
      </c>
      <c r="X467" s="116">
        <v>40610.93</v>
      </c>
      <c r="Y467" s="116">
        <v>41947.77</v>
      </c>
      <c r="Z467" s="116">
        <v>35910.46</v>
      </c>
      <c r="AA467" s="116">
        <v>36861.17</v>
      </c>
      <c r="AB467" s="116">
        <v>49918.65</v>
      </c>
      <c r="AC467" s="124">
        <v>52615.7</v>
      </c>
      <c r="AD467" s="124">
        <v>74455.63</v>
      </c>
      <c r="AE467" s="124">
        <v>80932.83</v>
      </c>
      <c r="AF467" s="124">
        <v>57201.13</v>
      </c>
      <c r="AG467" s="124">
        <v>82032.81</v>
      </c>
      <c r="AH467" s="124">
        <v>85050.05</v>
      </c>
      <c r="AI467" s="124">
        <v>57094.080000000002</v>
      </c>
      <c r="AJ467" s="124">
        <v>78752.600000000006</v>
      </c>
      <c r="AK467" s="124">
        <v>80428.83</v>
      </c>
      <c r="AL467" s="124">
        <v>61036.73</v>
      </c>
      <c r="AM467" s="124">
        <v>86892.3</v>
      </c>
      <c r="AN467" s="124">
        <v>89871.74</v>
      </c>
      <c r="AO467" s="125">
        <v>60422.93</v>
      </c>
      <c r="AP467" s="125">
        <v>84559.26</v>
      </c>
      <c r="AQ467" s="125">
        <v>52975.09</v>
      </c>
      <c r="AR467" s="125">
        <v>28727.56</v>
      </c>
      <c r="AS467" s="125">
        <v>47589.48</v>
      </c>
      <c r="AT467" s="125">
        <v>45594.44</v>
      </c>
      <c r="AU467" s="125">
        <v>26585.97</v>
      </c>
      <c r="AV467" s="125">
        <v>26470.98</v>
      </c>
      <c r="AW467" s="125">
        <v>33533.89</v>
      </c>
      <c r="AX467" s="125">
        <v>10940.84</v>
      </c>
      <c r="AY467" s="126"/>
      <c r="AZ467" s="126"/>
      <c r="BA467" s="126"/>
      <c r="BB467" s="126"/>
      <c r="BC467" s="126"/>
      <c r="BD467" s="126"/>
      <c r="BE467" s="126"/>
      <c r="BF467" s="127">
        <v>35</v>
      </c>
      <c r="BG467" s="97" t="s">
        <v>420</v>
      </c>
      <c r="BH467" s="127">
        <v>85050.05</v>
      </c>
      <c r="BI467" s="127">
        <v>35</v>
      </c>
      <c r="BJ467" s="97" t="s">
        <v>420</v>
      </c>
      <c r="BK467" s="127">
        <v>57094.080000000002</v>
      </c>
    </row>
    <row r="468" spans="1:63" x14ac:dyDescent="0.25">
      <c r="B468" s="121">
        <v>3501</v>
      </c>
      <c r="C468" s="122" t="s">
        <v>421</v>
      </c>
      <c r="D468" s="116">
        <v>1729.73</v>
      </c>
      <c r="E468" s="116">
        <v>1729.73</v>
      </c>
      <c r="F468" s="116">
        <v>1729.73</v>
      </c>
      <c r="G468" s="116">
        <v>1729.73</v>
      </c>
      <c r="H468" s="116">
        <v>1729.73</v>
      </c>
      <c r="I468" s="116">
        <v>1729.73</v>
      </c>
      <c r="J468" s="116">
        <v>1729.73</v>
      </c>
      <c r="K468" s="116">
        <v>1729.73</v>
      </c>
      <c r="L468" s="116">
        <v>1729.73</v>
      </c>
      <c r="M468" s="116">
        <v>1729.73</v>
      </c>
      <c r="N468" s="116">
        <v>1729.73</v>
      </c>
      <c r="O468" s="116">
        <v>1729.73</v>
      </c>
      <c r="P468" s="116">
        <v>32851.9</v>
      </c>
      <c r="Q468" s="116">
        <v>32851.96</v>
      </c>
      <c r="R468" s="116">
        <v>32851.96</v>
      </c>
      <c r="S468" s="116">
        <v>32851.96</v>
      </c>
      <c r="T468" s="116">
        <v>32851.96</v>
      </c>
      <c r="U468" s="116">
        <v>32851.96</v>
      </c>
      <c r="V468" s="116">
        <v>32851.96</v>
      </c>
      <c r="W468" s="116">
        <v>32851.96</v>
      </c>
      <c r="X468" s="116">
        <v>32851.96</v>
      </c>
      <c r="Y468" s="116">
        <v>32851.96</v>
      </c>
      <c r="Z468" s="116">
        <v>32851.96</v>
      </c>
      <c r="AA468" s="116">
        <v>32851.96</v>
      </c>
      <c r="AB468" s="116">
        <v>32851.96</v>
      </c>
      <c r="AC468" s="124">
        <v>32851.96</v>
      </c>
      <c r="AD468" s="124">
        <v>32851.96</v>
      </c>
      <c r="AE468" s="124">
        <v>32851.96</v>
      </c>
      <c r="AF468" s="124">
        <v>32851.96</v>
      </c>
      <c r="AG468" s="124">
        <v>32851.96</v>
      </c>
      <c r="AH468" s="124">
        <v>32851.96</v>
      </c>
      <c r="AI468" s="124">
        <v>32851.96</v>
      </c>
      <c r="AJ468" s="124">
        <v>32851.96</v>
      </c>
      <c r="AK468" s="124">
        <v>32851.96</v>
      </c>
      <c r="AL468" s="124">
        <v>32851.96</v>
      </c>
      <c r="AM468" s="124">
        <v>32851.96</v>
      </c>
      <c r="AN468" s="124">
        <v>32851.96</v>
      </c>
      <c r="AO468" s="125">
        <v>32851.96</v>
      </c>
      <c r="AP468" s="125">
        <v>32851.96</v>
      </c>
      <c r="AQ468" s="125">
        <v>0</v>
      </c>
      <c r="AR468" s="125">
        <v>2348.63</v>
      </c>
      <c r="AS468" s="125">
        <v>2348.63</v>
      </c>
      <c r="AT468" s="125">
        <v>2348.63</v>
      </c>
      <c r="AU468" s="125">
        <v>2348.63</v>
      </c>
      <c r="AV468" s="125">
        <v>2348.63</v>
      </c>
      <c r="AW468" s="125">
        <v>2348.63</v>
      </c>
      <c r="AX468" s="125">
        <v>2348.63</v>
      </c>
      <c r="AY468" s="126"/>
      <c r="AZ468" s="126"/>
      <c r="BA468" s="126"/>
      <c r="BB468" s="126"/>
      <c r="BC468" s="126"/>
      <c r="BD468" s="126"/>
      <c r="BE468" s="126"/>
      <c r="BF468" s="127">
        <v>3501</v>
      </c>
      <c r="BG468" s="97" t="s">
        <v>421</v>
      </c>
      <c r="BH468" s="127">
        <v>32851.96</v>
      </c>
      <c r="BI468" s="127">
        <v>3501</v>
      </c>
      <c r="BJ468" s="97" t="s">
        <v>421</v>
      </c>
      <c r="BK468" s="127">
        <v>32851.96</v>
      </c>
    </row>
    <row r="469" spans="1:63" x14ac:dyDescent="0.25">
      <c r="B469" s="121">
        <v>3504</v>
      </c>
      <c r="C469" s="122" t="s">
        <v>422</v>
      </c>
      <c r="D469" s="116">
        <v>4053.72</v>
      </c>
      <c r="E469" s="116">
        <v>4459.2</v>
      </c>
      <c r="F469" s="116">
        <v>5587.4</v>
      </c>
      <c r="G469" s="116">
        <v>-8402.8700000000008</v>
      </c>
      <c r="H469" s="116">
        <v>11490.1</v>
      </c>
      <c r="I469" s="116">
        <v>8183.3</v>
      </c>
      <c r="J469" s="116">
        <v>8333.01</v>
      </c>
      <c r="K469" s="116">
        <v>12765.45</v>
      </c>
      <c r="L469" s="116">
        <v>4818.79</v>
      </c>
      <c r="M469" s="116">
        <v>11221.33</v>
      </c>
      <c r="N469" s="116">
        <v>-22065.91</v>
      </c>
      <c r="O469" s="116">
        <v>26492.57</v>
      </c>
      <c r="P469" s="116">
        <v>22002.34</v>
      </c>
      <c r="Q469" s="116">
        <v>27157.54</v>
      </c>
      <c r="R469" s="116">
        <v>29524.67</v>
      </c>
      <c r="S469" s="116">
        <v>20477.63</v>
      </c>
      <c r="T469" s="116">
        <v>17948.32</v>
      </c>
      <c r="U469" s="116">
        <v>21092.67</v>
      </c>
      <c r="V469" s="116">
        <v>17261.080000000002</v>
      </c>
      <c r="W469" s="116">
        <v>6918.63</v>
      </c>
      <c r="X469" s="116">
        <v>7758.97</v>
      </c>
      <c r="Y469" s="116">
        <v>9095.81</v>
      </c>
      <c r="Z469" s="116">
        <v>3058.5</v>
      </c>
      <c r="AA469" s="116">
        <v>4009.21</v>
      </c>
      <c r="AB469" s="116">
        <v>17066.689999999999</v>
      </c>
      <c r="AC469" s="124">
        <v>19763.740000000002</v>
      </c>
      <c r="AD469" s="124">
        <v>41603.67</v>
      </c>
      <c r="AE469" s="124">
        <v>48080.87</v>
      </c>
      <c r="AF469" s="124">
        <v>24349.17</v>
      </c>
      <c r="AG469" s="124">
        <v>49180.85</v>
      </c>
      <c r="AH469" s="124">
        <v>52198.09</v>
      </c>
      <c r="AI469" s="124">
        <v>24242.12</v>
      </c>
      <c r="AJ469" s="124">
        <v>45900.639999999999</v>
      </c>
      <c r="AK469" s="124">
        <v>47576.87</v>
      </c>
      <c r="AL469" s="124">
        <v>28184.77</v>
      </c>
      <c r="AM469" s="124">
        <v>54040.34</v>
      </c>
      <c r="AN469" s="124">
        <v>57019.78</v>
      </c>
      <c r="AO469" s="125">
        <v>27570.97</v>
      </c>
      <c r="AP469" s="125">
        <v>51707.3</v>
      </c>
      <c r="AQ469" s="125">
        <v>52975.09</v>
      </c>
      <c r="AR469" s="125">
        <v>26378.93</v>
      </c>
      <c r="AS469" s="125">
        <v>45240.85</v>
      </c>
      <c r="AT469" s="125">
        <v>43245.81</v>
      </c>
      <c r="AU469" s="125">
        <v>24237.34</v>
      </c>
      <c r="AV469" s="125">
        <v>24122.35</v>
      </c>
      <c r="AW469" s="125">
        <v>31185.26</v>
      </c>
      <c r="AX469" s="125">
        <v>8592.2099999999991</v>
      </c>
      <c r="AY469" s="126"/>
      <c r="AZ469" s="126"/>
      <c r="BA469" s="126"/>
      <c r="BB469" s="126"/>
      <c r="BC469" s="126"/>
      <c r="BD469" s="126"/>
      <c r="BE469" s="126"/>
      <c r="BF469" s="127">
        <v>3504</v>
      </c>
      <c r="BG469" s="97" t="s">
        <v>422</v>
      </c>
      <c r="BH469" s="127">
        <v>52198.09</v>
      </c>
      <c r="BI469" s="120">
        <v>3504</v>
      </c>
      <c r="BJ469" s="113" t="s">
        <v>422</v>
      </c>
      <c r="BK469" s="120">
        <v>24242.12</v>
      </c>
    </row>
    <row r="470" spans="1:63" x14ac:dyDescent="0.25">
      <c r="B470" s="121">
        <v>36</v>
      </c>
      <c r="C470" s="122" t="s">
        <v>423</v>
      </c>
      <c r="D470" s="116">
        <v>-4115502.1</v>
      </c>
      <c r="E470" s="116">
        <v>-4115502.1</v>
      </c>
      <c r="F470" s="116">
        <v>-4115502.1</v>
      </c>
      <c r="G470" s="116">
        <v>-4115502.1</v>
      </c>
      <c r="H470" s="116">
        <v>-4115502.1</v>
      </c>
      <c r="I470" s="116">
        <v>-4115502.1</v>
      </c>
      <c r="J470" s="116">
        <v>-4115502.1</v>
      </c>
      <c r="K470" s="116">
        <v>-4115502.1</v>
      </c>
      <c r="L470" s="116">
        <v>-4115502.1</v>
      </c>
      <c r="M470" s="116">
        <v>-4115502.1</v>
      </c>
      <c r="N470" s="116">
        <v>-4115502.1</v>
      </c>
      <c r="O470" s="116">
        <v>-4115502.1</v>
      </c>
      <c r="P470" s="116">
        <v>-5242232.92</v>
      </c>
      <c r="Q470" s="116">
        <v>-5265353.1900000004</v>
      </c>
      <c r="R470" s="116">
        <v>-5265353.1900000004</v>
      </c>
      <c r="S470" s="116">
        <v>-5265353.1900000004</v>
      </c>
      <c r="T470" s="116">
        <v>-5265353.1900000004</v>
      </c>
      <c r="U470" s="116">
        <v>-5265353.1900000004</v>
      </c>
      <c r="V470" s="116">
        <v>-5265353.1900000004</v>
      </c>
      <c r="W470" s="116">
        <v>-5265353.1900000004</v>
      </c>
      <c r="X470" s="116">
        <v>-5265353.1900000004</v>
      </c>
      <c r="Y470" s="116">
        <v>-5265353.1900000004</v>
      </c>
      <c r="Z470" s="116">
        <v>-5265353.1900000004</v>
      </c>
      <c r="AA470" s="116">
        <v>-5265353.1900000004</v>
      </c>
      <c r="AB470" s="116">
        <v>-5249557.05</v>
      </c>
      <c r="AC470" s="124">
        <v>-5251136.66</v>
      </c>
      <c r="AD470" s="124">
        <v>-5251136.66</v>
      </c>
      <c r="AE470" s="124">
        <v>-5251136.66</v>
      </c>
      <c r="AF470" s="124">
        <v>-5247806.18</v>
      </c>
      <c r="AG470" s="124">
        <v>-5247806.18</v>
      </c>
      <c r="AH470" s="124">
        <v>-5247806.18</v>
      </c>
      <c r="AI470" s="124">
        <v>-5247806.18</v>
      </c>
      <c r="AJ470" s="124">
        <v>-5247806.18</v>
      </c>
      <c r="AK470" s="124">
        <v>-5368150.59</v>
      </c>
      <c r="AL470" s="124">
        <v>-5368150.59</v>
      </c>
      <c r="AM470" s="124">
        <v>-5368150.59</v>
      </c>
      <c r="AN470" s="124">
        <v>-6403931.9400000004</v>
      </c>
      <c r="AO470" s="125">
        <v>-6403931.9400000004</v>
      </c>
      <c r="AP470" s="125">
        <v>-6403931.9400000004</v>
      </c>
      <c r="AQ470" s="125">
        <v>-6369130.3200000003</v>
      </c>
      <c r="AR470" s="125">
        <v>-5421478.9500000002</v>
      </c>
      <c r="AS470" s="125">
        <v>-5421478.9500000002</v>
      </c>
      <c r="AT470" s="125">
        <v>-5421478.9500000002</v>
      </c>
      <c r="AU470" s="125">
        <v>-5421478.9500000002</v>
      </c>
      <c r="AV470" s="125">
        <v>-5421478.9500000002</v>
      </c>
      <c r="AW470" s="125">
        <v>-5421478.9500000002</v>
      </c>
      <c r="AX470" s="125">
        <v>-5421478.9500000002</v>
      </c>
      <c r="AY470" s="126"/>
      <c r="AZ470" s="126"/>
      <c r="BA470" s="126"/>
      <c r="BB470" s="126"/>
      <c r="BC470" s="126"/>
      <c r="BD470" s="126"/>
      <c r="BE470" s="126"/>
      <c r="BF470" s="127">
        <v>36</v>
      </c>
      <c r="BG470" s="97" t="s">
        <v>423</v>
      </c>
      <c r="BH470" s="127">
        <v>-5247806.18</v>
      </c>
      <c r="BI470" s="127">
        <v>36</v>
      </c>
      <c r="BJ470" s="97" t="s">
        <v>423</v>
      </c>
      <c r="BK470" s="127">
        <v>-5247806.18</v>
      </c>
    </row>
    <row r="471" spans="1:63" x14ac:dyDescent="0.25">
      <c r="B471" s="121">
        <v>3601</v>
      </c>
      <c r="C471" s="122" t="s">
        <v>424</v>
      </c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  <c r="AA471" s="141"/>
      <c r="AB471" s="141"/>
      <c r="AC471" s="124">
        <v>14216.53</v>
      </c>
      <c r="AD471" s="124">
        <v>14216.53</v>
      </c>
      <c r="AE471" s="124">
        <v>14216.53</v>
      </c>
      <c r="AF471" s="124">
        <v>17547.009999999998</v>
      </c>
      <c r="AG471" s="124">
        <v>17547.009999999998</v>
      </c>
      <c r="AH471" s="124">
        <v>17547.009999999998</v>
      </c>
      <c r="AI471" s="124">
        <v>17547.009999999998</v>
      </c>
      <c r="AJ471" s="124">
        <v>17547.009999999998</v>
      </c>
      <c r="AK471" s="124">
        <v>17547.009999999998</v>
      </c>
      <c r="AL471" s="124">
        <v>17547.009999999998</v>
      </c>
      <c r="AM471" s="124">
        <v>17547.009999999998</v>
      </c>
      <c r="AN471" s="124">
        <v>17547.009999999998</v>
      </c>
      <c r="AO471" s="125">
        <v>17547.009999999998</v>
      </c>
      <c r="AP471" s="125">
        <v>17547.009999999998</v>
      </c>
      <c r="AQ471" s="125">
        <v>0</v>
      </c>
      <c r="AR471" s="125">
        <v>0</v>
      </c>
      <c r="AS471" s="125">
        <v>0</v>
      </c>
      <c r="AT471" s="125">
        <v>0</v>
      </c>
      <c r="AU471" s="125">
        <v>0</v>
      </c>
      <c r="AV471" s="125">
        <v>0</v>
      </c>
      <c r="AW471" s="125">
        <v>0</v>
      </c>
      <c r="AX471" s="125">
        <v>0</v>
      </c>
      <c r="AY471" s="126"/>
      <c r="AZ471" s="126"/>
      <c r="BA471" s="126"/>
      <c r="BB471" s="126"/>
      <c r="BC471" s="126"/>
      <c r="BD471" s="126"/>
      <c r="BE471" s="126"/>
      <c r="BF471" s="120">
        <v>3601</v>
      </c>
      <c r="BG471" s="113" t="s">
        <v>424</v>
      </c>
      <c r="BH471" s="120">
        <v>17547.009999999998</v>
      </c>
      <c r="BI471" s="127">
        <v>3601</v>
      </c>
      <c r="BJ471" s="97" t="s">
        <v>424</v>
      </c>
      <c r="BK471" s="127">
        <v>17547.009999999998</v>
      </c>
    </row>
    <row r="472" spans="1:63" x14ac:dyDescent="0.25">
      <c r="B472" s="121">
        <v>3602</v>
      </c>
      <c r="C472" s="122" t="s">
        <v>425</v>
      </c>
      <c r="D472" s="116">
        <v>-2143751.7599999998</v>
      </c>
      <c r="E472" s="116">
        <v>-4115502.1</v>
      </c>
      <c r="F472" s="116">
        <v>-4115502.1</v>
      </c>
      <c r="G472" s="116">
        <v>-4115502.1</v>
      </c>
      <c r="H472" s="116">
        <v>-4115502.1</v>
      </c>
      <c r="I472" s="116">
        <v>-4115502.1</v>
      </c>
      <c r="J472" s="116">
        <v>-4115502.1</v>
      </c>
      <c r="K472" s="116">
        <v>-4115502.1</v>
      </c>
      <c r="L472" s="116">
        <v>-4115502.1</v>
      </c>
      <c r="M472" s="116">
        <v>-4115502.1</v>
      </c>
      <c r="N472" s="116">
        <v>-4115502.1</v>
      </c>
      <c r="O472" s="116">
        <v>-4115502.1</v>
      </c>
      <c r="P472" s="116">
        <v>-4115502.1</v>
      </c>
      <c r="Q472" s="116">
        <v>-5265353.1900000004</v>
      </c>
      <c r="R472" s="116">
        <v>-5265353.1900000004</v>
      </c>
      <c r="S472" s="116">
        <v>-5265353.1900000004</v>
      </c>
      <c r="T472" s="116">
        <v>-5265353.1900000004</v>
      </c>
      <c r="U472" s="116">
        <v>-5265353.1900000004</v>
      </c>
      <c r="V472" s="116">
        <v>-5265353.1900000004</v>
      </c>
      <c r="W472" s="116">
        <v>-5265353.1900000004</v>
      </c>
      <c r="X472" s="116">
        <v>-5265353.1900000004</v>
      </c>
      <c r="Y472" s="116">
        <v>-5265353.1900000004</v>
      </c>
      <c r="Z472" s="116">
        <v>-5265353.1900000004</v>
      </c>
      <c r="AA472" s="116">
        <v>-5265353.1900000004</v>
      </c>
      <c r="AB472" s="116">
        <v>-5265353.1900000004</v>
      </c>
      <c r="AC472" s="124">
        <v>-5265353.1900000004</v>
      </c>
      <c r="AD472" s="124">
        <v>-5265353.1900000004</v>
      </c>
      <c r="AE472" s="124">
        <v>-5265353.1900000004</v>
      </c>
      <c r="AF472" s="124">
        <v>-5265353.1900000004</v>
      </c>
      <c r="AG472" s="124">
        <v>-5265353.1900000004</v>
      </c>
      <c r="AH472" s="124">
        <v>-5265353.1900000004</v>
      </c>
      <c r="AI472" s="124">
        <v>-5265353.1900000004</v>
      </c>
      <c r="AJ472" s="124">
        <v>-5265353.1900000004</v>
      </c>
      <c r="AK472" s="124">
        <v>-5385697.5999999996</v>
      </c>
      <c r="AL472" s="124">
        <v>-5385697.5999999996</v>
      </c>
      <c r="AM472" s="124">
        <v>-5385697.5999999996</v>
      </c>
      <c r="AN472" s="124">
        <v>-5385697.5999999996</v>
      </c>
      <c r="AO472" s="125">
        <v>-6421478.9500000002</v>
      </c>
      <c r="AP472" s="125">
        <v>-6421478.9500000002</v>
      </c>
      <c r="AQ472" s="125">
        <v>-6369130.3200000003</v>
      </c>
      <c r="AR472" s="125">
        <v>-5421478.9500000002</v>
      </c>
      <c r="AS472" s="125">
        <v>-5421478.9500000002</v>
      </c>
      <c r="AT472" s="125">
        <v>-5421478.9500000002</v>
      </c>
      <c r="AU472" s="125">
        <v>-5421478.9500000002</v>
      </c>
      <c r="AV472" s="125">
        <v>-5421478.9500000002</v>
      </c>
      <c r="AW472" s="125">
        <v>-5421478.9500000002</v>
      </c>
      <c r="AX472" s="125">
        <v>-5421478.9500000002</v>
      </c>
      <c r="AY472" s="126"/>
      <c r="AZ472" s="126"/>
      <c r="BA472" s="126"/>
      <c r="BB472" s="126"/>
      <c r="BC472" s="126"/>
      <c r="BD472" s="126"/>
      <c r="BE472" s="126"/>
      <c r="BF472" s="127">
        <v>3602</v>
      </c>
      <c r="BG472" s="97" t="s">
        <v>425</v>
      </c>
      <c r="BH472" s="127">
        <v>-5265353.1900000004</v>
      </c>
      <c r="BI472" s="127">
        <v>3602</v>
      </c>
      <c r="BJ472" s="97" t="s">
        <v>425</v>
      </c>
      <c r="BK472" s="127">
        <v>-5265353.1900000004</v>
      </c>
    </row>
    <row r="473" spans="1:63" x14ac:dyDescent="0.25">
      <c r="B473" s="130" t="s">
        <v>426</v>
      </c>
      <c r="C473" s="122" t="s">
        <v>427</v>
      </c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  <c r="AA473" s="141"/>
      <c r="AB473" s="116">
        <v>15796.14</v>
      </c>
      <c r="AC473" s="129"/>
      <c r="AD473" s="129"/>
      <c r="AE473" s="129"/>
      <c r="AF473" s="129"/>
      <c r="AG473" s="129"/>
      <c r="AH473" s="129"/>
      <c r="AI473" s="129"/>
      <c r="AJ473" s="124">
        <v>0</v>
      </c>
      <c r="AK473" s="124">
        <v>0</v>
      </c>
      <c r="AL473" s="124">
        <v>0</v>
      </c>
      <c r="AM473" s="124">
        <v>0</v>
      </c>
      <c r="AN473" s="124">
        <v>0</v>
      </c>
      <c r="AO473" s="125">
        <v>0</v>
      </c>
      <c r="AP473" s="125">
        <v>0</v>
      </c>
      <c r="AQ473" s="125">
        <v>0</v>
      </c>
      <c r="AR473" s="125">
        <v>0</v>
      </c>
      <c r="AS473" s="125">
        <v>0</v>
      </c>
      <c r="AT473" s="125">
        <v>0</v>
      </c>
      <c r="AU473" s="125">
        <v>0</v>
      </c>
      <c r="AV473" s="125">
        <v>0</v>
      </c>
      <c r="AW473" s="125">
        <v>0</v>
      </c>
      <c r="AX473" s="125">
        <v>0</v>
      </c>
      <c r="AY473" s="126"/>
      <c r="AZ473" s="126"/>
      <c r="BA473" s="126"/>
      <c r="BB473" s="126"/>
      <c r="BC473" s="126"/>
      <c r="BD473" s="126"/>
      <c r="BE473" s="126"/>
    </row>
    <row r="474" spans="1:63" x14ac:dyDescent="0.25">
      <c r="B474" s="121">
        <v>3604</v>
      </c>
      <c r="C474" s="152" t="s">
        <v>428</v>
      </c>
      <c r="D474" s="116">
        <v>-1971750.3400000003</v>
      </c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16">
        <v>-1126730.82</v>
      </c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  <c r="AA474" s="141"/>
      <c r="AB474" s="141"/>
      <c r="AC474" s="129"/>
      <c r="AD474" s="129"/>
      <c r="AE474" s="129"/>
      <c r="AF474" s="129"/>
      <c r="AG474" s="129"/>
      <c r="AH474" s="129"/>
      <c r="AI474" s="129"/>
      <c r="AJ474" s="124">
        <v>0</v>
      </c>
      <c r="AK474" s="124">
        <v>0</v>
      </c>
      <c r="AL474" s="124">
        <v>0</v>
      </c>
      <c r="AM474" s="124">
        <v>0</v>
      </c>
      <c r="AN474" s="124">
        <v>0</v>
      </c>
      <c r="AO474" s="125">
        <v>0</v>
      </c>
      <c r="AP474" s="125">
        <v>0</v>
      </c>
      <c r="AQ474" s="125">
        <v>0</v>
      </c>
      <c r="AR474" s="125">
        <v>0</v>
      </c>
      <c r="AS474" s="125">
        <v>0</v>
      </c>
      <c r="AT474" s="125">
        <v>0</v>
      </c>
      <c r="AU474" s="125">
        <v>0</v>
      </c>
      <c r="AV474" s="125">
        <v>0</v>
      </c>
      <c r="AW474" s="125">
        <v>0</v>
      </c>
      <c r="AX474" s="125">
        <v>0</v>
      </c>
      <c r="AY474" s="126"/>
      <c r="AZ474" s="126"/>
      <c r="BA474" s="126"/>
      <c r="BB474" s="126"/>
      <c r="BC474" s="126"/>
      <c r="BD474" s="126"/>
      <c r="BE474" s="126"/>
    </row>
    <row r="475" spans="1:63" x14ac:dyDescent="0.25">
      <c r="B475" s="121">
        <v>4</v>
      </c>
      <c r="C475" s="122" t="s">
        <v>429</v>
      </c>
      <c r="D475" s="116">
        <v>5319304.59</v>
      </c>
      <c r="E475" s="116">
        <v>474290.63</v>
      </c>
      <c r="F475" s="116">
        <v>929870.43</v>
      </c>
      <c r="G475" s="116">
        <v>1453245.54</v>
      </c>
      <c r="H475" s="116">
        <v>1922296.32</v>
      </c>
      <c r="I475" s="116">
        <v>2422235.2999999998</v>
      </c>
      <c r="J475" s="116">
        <v>2947183.68</v>
      </c>
      <c r="K475" s="116">
        <v>3408909.1</v>
      </c>
      <c r="L475" s="116">
        <v>3871939.11</v>
      </c>
      <c r="M475" s="116">
        <v>4353631.3600000003</v>
      </c>
      <c r="N475" s="116">
        <v>4863484.46</v>
      </c>
      <c r="O475" s="116">
        <v>5338760.28</v>
      </c>
      <c r="P475" s="116">
        <v>5900345.7300000004</v>
      </c>
      <c r="Q475" s="116">
        <v>410670.13</v>
      </c>
      <c r="R475" s="116">
        <v>791533.7</v>
      </c>
      <c r="S475" s="116">
        <v>1240235.69</v>
      </c>
      <c r="T475" s="116">
        <v>1744694.71</v>
      </c>
      <c r="U475" s="116">
        <v>2266966.59</v>
      </c>
      <c r="V475" s="116">
        <v>2764077.62</v>
      </c>
      <c r="W475" s="116">
        <v>3255250.01</v>
      </c>
      <c r="X475" s="116">
        <v>3696718.53</v>
      </c>
      <c r="Y475" s="116">
        <v>4181702.15</v>
      </c>
      <c r="Z475" s="116">
        <v>4853934.1900000004</v>
      </c>
      <c r="AA475" s="116">
        <v>5068683.5999999996</v>
      </c>
      <c r="AB475" s="116">
        <v>5515151.4100000001</v>
      </c>
      <c r="AC475" s="124">
        <v>466001.58</v>
      </c>
      <c r="AD475" s="124">
        <v>1012945.42</v>
      </c>
      <c r="AE475" s="124">
        <v>1376564.85</v>
      </c>
      <c r="AF475" s="124">
        <v>1832660.51</v>
      </c>
      <c r="AG475" s="124">
        <v>2331711.65</v>
      </c>
      <c r="AH475" s="124">
        <v>2995797.5</v>
      </c>
      <c r="AI475" s="124">
        <v>3373998.37</v>
      </c>
      <c r="AJ475" s="124">
        <v>4179449.04</v>
      </c>
      <c r="AK475" s="124">
        <v>4998310.97</v>
      </c>
      <c r="AL475" s="124">
        <v>5850316.5499999998</v>
      </c>
      <c r="AM475" s="124">
        <v>6381617.96</v>
      </c>
      <c r="AN475" s="124">
        <v>6882005.2000000002</v>
      </c>
      <c r="AO475" s="125">
        <v>640532.17000000004</v>
      </c>
      <c r="AP475" s="125">
        <v>1397007.74</v>
      </c>
      <c r="AQ475" s="125">
        <v>2152292.4900000002</v>
      </c>
      <c r="AR475" s="125">
        <v>2917789.15</v>
      </c>
      <c r="AS475" s="125">
        <v>3742241.51</v>
      </c>
      <c r="AT475" s="125">
        <v>4622968.53</v>
      </c>
      <c r="AU475" s="125">
        <v>5533750.8799999999</v>
      </c>
      <c r="AV475" s="125">
        <v>6448737.3399999999</v>
      </c>
      <c r="AW475" s="125">
        <v>7360089.6100000003</v>
      </c>
      <c r="AX475" s="125">
        <v>8433506.0899999999</v>
      </c>
      <c r="AY475" s="126"/>
      <c r="AZ475" s="126"/>
      <c r="BA475" s="126"/>
      <c r="BB475" s="126"/>
      <c r="BC475" s="126"/>
      <c r="BD475" s="126"/>
      <c r="BE475" s="126"/>
      <c r="BF475" s="127">
        <v>4</v>
      </c>
      <c r="BG475" s="97" t="s">
        <v>429</v>
      </c>
      <c r="BH475" s="127">
        <v>2995797.5</v>
      </c>
      <c r="BI475" s="127">
        <v>4</v>
      </c>
      <c r="BJ475" s="97" t="s">
        <v>429</v>
      </c>
      <c r="BK475" s="127">
        <v>3373998.37</v>
      </c>
    </row>
    <row r="476" spans="1:63" x14ac:dyDescent="0.25">
      <c r="B476" s="121">
        <v>41</v>
      </c>
      <c r="C476" s="122" t="s">
        <v>430</v>
      </c>
      <c r="D476" s="116">
        <v>1513898.93</v>
      </c>
      <c r="E476" s="116">
        <v>167493.01999999999</v>
      </c>
      <c r="F476" s="116">
        <v>325578.02</v>
      </c>
      <c r="G476" s="116">
        <v>506792.44</v>
      </c>
      <c r="H476" s="116">
        <v>687600.32</v>
      </c>
      <c r="I476" s="116">
        <v>872747.91</v>
      </c>
      <c r="J476" s="116">
        <v>1054890.27</v>
      </c>
      <c r="K476" s="116">
        <v>1250959.83</v>
      </c>
      <c r="L476" s="116">
        <v>1447260.01</v>
      </c>
      <c r="M476" s="116">
        <v>1648347.81</v>
      </c>
      <c r="N476" s="116">
        <v>1860970.33</v>
      </c>
      <c r="O476" s="116">
        <v>2060516.78</v>
      </c>
      <c r="P476" s="116">
        <v>2280593.02</v>
      </c>
      <c r="Q476" s="116">
        <v>209360.54</v>
      </c>
      <c r="R476" s="116">
        <v>398410.07</v>
      </c>
      <c r="S476" s="116">
        <v>607122.97</v>
      </c>
      <c r="T476" s="116">
        <v>806907.47</v>
      </c>
      <c r="U476" s="116">
        <v>1022650.39</v>
      </c>
      <c r="V476" s="116">
        <v>1226973.25</v>
      </c>
      <c r="W476" s="116">
        <v>1434645.09</v>
      </c>
      <c r="X476" s="116">
        <v>1640942.9</v>
      </c>
      <c r="Y476" s="116">
        <v>1839713.2</v>
      </c>
      <c r="Z476" s="116">
        <v>2050058.26</v>
      </c>
      <c r="AA476" s="116">
        <v>2252118.61</v>
      </c>
      <c r="AB476" s="116">
        <v>2460937.73</v>
      </c>
      <c r="AC476" s="124">
        <v>211897.58</v>
      </c>
      <c r="AD476" s="124">
        <v>410728.55</v>
      </c>
      <c r="AE476" s="124">
        <v>625562.62</v>
      </c>
      <c r="AF476" s="124">
        <v>837430.27</v>
      </c>
      <c r="AG476" s="124">
        <v>1062205.05</v>
      </c>
      <c r="AH476" s="124">
        <v>1292996.29</v>
      </c>
      <c r="AI476" s="124">
        <v>1516762.41</v>
      </c>
      <c r="AJ476" s="124">
        <v>1773665.24</v>
      </c>
      <c r="AK476" s="124">
        <v>2010417.83</v>
      </c>
      <c r="AL476" s="124">
        <v>2263241.9700000002</v>
      </c>
      <c r="AM476" s="124">
        <v>2519761.56</v>
      </c>
      <c r="AN476" s="124">
        <v>2790030.64</v>
      </c>
      <c r="AO476" s="125">
        <v>282250.13</v>
      </c>
      <c r="AP476" s="125">
        <v>551317.77</v>
      </c>
      <c r="AQ476" s="125">
        <v>860700.02</v>
      </c>
      <c r="AR476" s="125">
        <v>1159692.3500000001</v>
      </c>
      <c r="AS476" s="125">
        <v>1488830.97</v>
      </c>
      <c r="AT476" s="125">
        <v>1820312.26</v>
      </c>
      <c r="AU476" s="125">
        <v>2177014.23</v>
      </c>
      <c r="AV476" s="125">
        <v>2544842.4900000002</v>
      </c>
      <c r="AW476" s="125">
        <v>2912770.05</v>
      </c>
      <c r="AX476" s="125">
        <v>3301749.6</v>
      </c>
      <c r="AY476" s="126"/>
      <c r="AZ476" s="126"/>
      <c r="BA476" s="126"/>
      <c r="BB476" s="126"/>
      <c r="BC476" s="126"/>
      <c r="BD476" s="126"/>
      <c r="BE476" s="126"/>
      <c r="BF476" s="127">
        <v>41</v>
      </c>
      <c r="BG476" s="97" t="s">
        <v>430</v>
      </c>
      <c r="BH476" s="127">
        <v>1292996.29</v>
      </c>
      <c r="BI476" s="127">
        <v>41</v>
      </c>
      <c r="BJ476" s="97" t="s">
        <v>430</v>
      </c>
      <c r="BK476" s="127">
        <v>1516762.41</v>
      </c>
    </row>
    <row r="477" spans="1:63" x14ac:dyDescent="0.25">
      <c r="A477" s="113"/>
      <c r="B477" s="121">
        <v>4101</v>
      </c>
      <c r="C477" s="122" t="s">
        <v>431</v>
      </c>
      <c r="D477" s="116">
        <v>1506187.2</v>
      </c>
      <c r="E477" s="116">
        <v>167493.01999999999</v>
      </c>
      <c r="F477" s="116">
        <v>325578.02</v>
      </c>
      <c r="G477" s="116">
        <v>506792.44</v>
      </c>
      <c r="H477" s="116">
        <v>687600.32</v>
      </c>
      <c r="I477" s="116">
        <v>872747.91</v>
      </c>
      <c r="J477" s="116">
        <v>1051761.23</v>
      </c>
      <c r="K477" s="116">
        <v>1238130.76</v>
      </c>
      <c r="L477" s="116">
        <v>1424418.01</v>
      </c>
      <c r="M477" s="116">
        <v>1615988.31</v>
      </c>
      <c r="N477" s="116">
        <v>1819988.34</v>
      </c>
      <c r="O477" s="116">
        <v>2019534.79</v>
      </c>
      <c r="P477" s="116">
        <v>2229307.0699999998</v>
      </c>
      <c r="Q477" s="116">
        <v>209360.54</v>
      </c>
      <c r="R477" s="116">
        <v>398410.07</v>
      </c>
      <c r="S477" s="116">
        <v>607122.97</v>
      </c>
      <c r="T477" s="116">
        <v>806907.47</v>
      </c>
      <c r="U477" s="116">
        <v>1008368.25</v>
      </c>
      <c r="V477" s="116">
        <v>1200449.28</v>
      </c>
      <c r="W477" s="116">
        <v>1397919.59</v>
      </c>
      <c r="X477" s="116">
        <v>1593918.65</v>
      </c>
      <c r="Y477" s="116">
        <v>1784338.61</v>
      </c>
      <c r="Z477" s="116">
        <v>1986054.99</v>
      </c>
      <c r="AA477" s="116">
        <v>2187836.9900000002</v>
      </c>
      <c r="AB477" s="116">
        <v>2396656.12</v>
      </c>
      <c r="AC477" s="124">
        <v>211897.58</v>
      </c>
      <c r="AD477" s="124">
        <v>410728.55</v>
      </c>
      <c r="AE477" s="124">
        <v>625562.62</v>
      </c>
      <c r="AF477" s="124">
        <v>837430.27</v>
      </c>
      <c r="AG477" s="124">
        <v>1062205.05</v>
      </c>
      <c r="AH477" s="124">
        <v>1292996.29</v>
      </c>
      <c r="AI477" s="124">
        <v>1516762.41</v>
      </c>
      <c r="AJ477" s="124">
        <v>1773475.24</v>
      </c>
      <c r="AK477" s="124">
        <v>2010227.83</v>
      </c>
      <c r="AL477" s="124">
        <v>2263051.9700000002</v>
      </c>
      <c r="AM477" s="124">
        <v>2519571.56</v>
      </c>
      <c r="AN477" s="124">
        <v>2789840.64</v>
      </c>
      <c r="AO477" s="125">
        <v>282250.13</v>
      </c>
      <c r="AP477" s="125">
        <v>551317.77</v>
      </c>
      <c r="AQ477" s="125">
        <v>860700.02</v>
      </c>
      <c r="AR477" s="125">
        <v>1159692.3500000001</v>
      </c>
      <c r="AS477" s="125">
        <v>1488830.97</v>
      </c>
      <c r="AT477" s="125">
        <v>1820312.26</v>
      </c>
      <c r="AU477" s="125">
        <v>2176821.8199999998</v>
      </c>
      <c r="AV477" s="125">
        <v>2544650.08</v>
      </c>
      <c r="AW477" s="125">
        <v>2912351.82</v>
      </c>
      <c r="AX477" s="125">
        <v>3301331.37</v>
      </c>
      <c r="AY477" s="126"/>
      <c r="AZ477" s="126"/>
      <c r="BA477" s="126"/>
      <c r="BB477" s="126"/>
      <c r="BC477" s="126"/>
      <c r="BD477" s="126"/>
      <c r="BE477" s="126"/>
      <c r="BF477" s="127">
        <v>4101</v>
      </c>
      <c r="BG477" s="97" t="s">
        <v>431</v>
      </c>
      <c r="BH477" s="127">
        <v>1292996.29</v>
      </c>
      <c r="BI477" s="127">
        <v>4101</v>
      </c>
      <c r="BJ477" s="97" t="s">
        <v>431</v>
      </c>
      <c r="BK477" s="127">
        <v>1516762.41</v>
      </c>
    </row>
    <row r="478" spans="1:63" x14ac:dyDescent="0.25">
      <c r="B478" s="121">
        <v>410105</v>
      </c>
      <c r="C478" s="122" t="s">
        <v>432</v>
      </c>
      <c r="D478" s="123">
        <v>190.69</v>
      </c>
      <c r="E478" s="123">
        <v>16.28</v>
      </c>
      <c r="F478" s="123">
        <v>31</v>
      </c>
      <c r="G478" s="123">
        <v>47.31</v>
      </c>
      <c r="H478" s="123">
        <v>63.11</v>
      </c>
      <c r="I478" s="123">
        <v>79.45</v>
      </c>
      <c r="J478" s="123">
        <v>94.33</v>
      </c>
      <c r="K478" s="123">
        <v>96.05</v>
      </c>
      <c r="L478" s="123">
        <v>97.77</v>
      </c>
      <c r="M478" s="123">
        <v>99.44</v>
      </c>
      <c r="N478" s="123">
        <v>101.17</v>
      </c>
      <c r="O478" s="123">
        <v>102.84</v>
      </c>
      <c r="P478" s="123">
        <v>104.57</v>
      </c>
      <c r="Q478" s="123">
        <v>1.73</v>
      </c>
      <c r="R478" s="123">
        <v>3.29</v>
      </c>
      <c r="S478" s="123">
        <v>5.0199999999999996</v>
      </c>
      <c r="T478" s="123">
        <v>120.21</v>
      </c>
      <c r="U478" s="123">
        <v>239.02</v>
      </c>
      <c r="V478" s="123">
        <v>257.93</v>
      </c>
      <c r="W478" s="123">
        <v>277.48</v>
      </c>
      <c r="X478" s="123">
        <v>297.05</v>
      </c>
      <c r="Y478" s="123">
        <v>315.69</v>
      </c>
      <c r="Z478" s="123">
        <v>343.81</v>
      </c>
      <c r="AA478" s="123">
        <v>380.49</v>
      </c>
      <c r="AB478" s="123">
        <v>381.42</v>
      </c>
      <c r="AC478" s="124">
        <v>0.93</v>
      </c>
      <c r="AD478" s="124">
        <v>1.8</v>
      </c>
      <c r="AE478" s="124">
        <v>2.73</v>
      </c>
      <c r="AF478" s="124">
        <v>3.63</v>
      </c>
      <c r="AG478" s="124">
        <v>4145.74</v>
      </c>
      <c r="AH478" s="124">
        <v>20040.11</v>
      </c>
      <c r="AI478" s="124">
        <v>21422.91</v>
      </c>
      <c r="AJ478" s="124">
        <v>39755.57</v>
      </c>
      <c r="AK478" s="124">
        <v>45728.39</v>
      </c>
      <c r="AL478" s="124">
        <v>50831.37</v>
      </c>
      <c r="AM478" s="124">
        <v>53543.26</v>
      </c>
      <c r="AN478" s="124">
        <v>55997.87</v>
      </c>
      <c r="AO478" s="125">
        <v>2510.0100000000002</v>
      </c>
      <c r="AP478" s="125">
        <v>4235.6000000000004</v>
      </c>
      <c r="AQ478" s="125">
        <v>5735.59</v>
      </c>
      <c r="AR478" s="125">
        <v>7374.49</v>
      </c>
      <c r="AS478" s="125">
        <v>9122.94</v>
      </c>
      <c r="AT478" s="125">
        <v>12372.4</v>
      </c>
      <c r="AU478" s="125">
        <v>16193.68</v>
      </c>
      <c r="AV478" s="125">
        <v>19606.09</v>
      </c>
      <c r="AW478" s="125">
        <v>21371.18</v>
      </c>
      <c r="AX478" s="125">
        <v>21907.15</v>
      </c>
      <c r="AY478" s="126"/>
      <c r="AZ478" s="126"/>
      <c r="BA478" s="126"/>
      <c r="BB478" s="126"/>
      <c r="BC478" s="126"/>
      <c r="BD478" s="126"/>
      <c r="BE478" s="126"/>
      <c r="BF478" s="127">
        <v>410105</v>
      </c>
      <c r="BG478" s="97" t="s">
        <v>432</v>
      </c>
      <c r="BH478" s="127">
        <v>20040.11</v>
      </c>
      <c r="BI478" s="127">
        <v>410105</v>
      </c>
      <c r="BJ478" s="97" t="s">
        <v>432</v>
      </c>
      <c r="BK478" s="127">
        <v>21422.91</v>
      </c>
    </row>
    <row r="479" spans="1:63" x14ac:dyDescent="0.25">
      <c r="B479" s="121">
        <v>410115</v>
      </c>
      <c r="C479" s="122" t="s">
        <v>433</v>
      </c>
      <c r="D479" s="123">
        <v>20846.189999999999</v>
      </c>
      <c r="E479" s="123">
        <v>1656.32</v>
      </c>
      <c r="F479" s="123">
        <v>3215.12</v>
      </c>
      <c r="G479" s="123">
        <v>5052.43</v>
      </c>
      <c r="H479" s="123">
        <v>7074.13</v>
      </c>
      <c r="I479" s="123">
        <v>9185.5</v>
      </c>
      <c r="J479" s="123">
        <v>11130.43</v>
      </c>
      <c r="K479" s="123">
        <v>13071.16</v>
      </c>
      <c r="L479" s="123">
        <v>15204.04</v>
      </c>
      <c r="M479" s="123">
        <v>17312.82</v>
      </c>
      <c r="N479" s="123">
        <v>19418.86</v>
      </c>
      <c r="O479" s="123">
        <v>21136.65</v>
      </c>
      <c r="P479" s="123">
        <v>23162.13</v>
      </c>
      <c r="Q479" s="123">
        <v>1657.33</v>
      </c>
      <c r="R479" s="123">
        <v>3157.21</v>
      </c>
      <c r="S479" s="123">
        <v>4521.18</v>
      </c>
      <c r="T479" s="123">
        <v>5812.4</v>
      </c>
      <c r="U479" s="123">
        <v>7173.15</v>
      </c>
      <c r="V479" s="123">
        <v>8462.02</v>
      </c>
      <c r="W479" s="123">
        <v>9844.19</v>
      </c>
      <c r="X479" s="123">
        <v>11767.85</v>
      </c>
      <c r="Y479" s="123">
        <v>12972.81</v>
      </c>
      <c r="Z479" s="123">
        <v>14120.54</v>
      </c>
      <c r="AA479" s="123">
        <v>15869.13</v>
      </c>
      <c r="AB479" s="123">
        <v>17022.52</v>
      </c>
      <c r="AC479" s="124">
        <v>1137.9000000000001</v>
      </c>
      <c r="AD479" s="124">
        <v>2263.44</v>
      </c>
      <c r="AE479" s="124">
        <v>3457.5</v>
      </c>
      <c r="AF479" s="124">
        <v>4630.55</v>
      </c>
      <c r="AG479" s="124">
        <v>5864.58</v>
      </c>
      <c r="AH479" s="124">
        <v>7101.31</v>
      </c>
      <c r="AI479" s="124">
        <v>8456.36</v>
      </c>
      <c r="AJ479" s="124">
        <v>9789.9500000000007</v>
      </c>
      <c r="AK479" s="124">
        <v>11168.42</v>
      </c>
      <c r="AL479" s="124">
        <v>12622.78</v>
      </c>
      <c r="AM479" s="124">
        <v>14016.13</v>
      </c>
      <c r="AN479" s="124">
        <v>15602.46</v>
      </c>
      <c r="AO479" s="125">
        <v>3343.89</v>
      </c>
      <c r="AP479" s="125">
        <v>6498.57</v>
      </c>
      <c r="AQ479" s="125">
        <v>10081.870000000001</v>
      </c>
      <c r="AR479" s="125">
        <v>11988.34</v>
      </c>
      <c r="AS479" s="125">
        <v>13947.52</v>
      </c>
      <c r="AT479" s="125">
        <v>15773.03</v>
      </c>
      <c r="AU479" s="125">
        <v>17829.82</v>
      </c>
      <c r="AV479" s="125">
        <v>20211.93</v>
      </c>
      <c r="AW479" s="125">
        <v>22744.32</v>
      </c>
      <c r="AX479" s="125">
        <v>25343.57</v>
      </c>
      <c r="AY479" s="126"/>
      <c r="AZ479" s="126"/>
      <c r="BA479" s="126"/>
      <c r="BB479" s="126"/>
      <c r="BC479" s="126"/>
      <c r="BD479" s="126"/>
      <c r="BE479" s="126"/>
      <c r="BF479" s="127">
        <v>410115</v>
      </c>
      <c r="BG479" s="97" t="s">
        <v>433</v>
      </c>
      <c r="BH479" s="127">
        <v>7101.31</v>
      </c>
      <c r="BI479" s="127">
        <v>410115</v>
      </c>
      <c r="BJ479" s="97" t="s">
        <v>433</v>
      </c>
      <c r="BK479" s="127">
        <v>8456.36</v>
      </c>
    </row>
    <row r="480" spans="1:63" x14ac:dyDescent="0.25">
      <c r="B480" s="121">
        <v>410130</v>
      </c>
      <c r="C480" s="122" t="s">
        <v>302</v>
      </c>
      <c r="D480" s="123">
        <v>1485150.32</v>
      </c>
      <c r="E480" s="123">
        <v>165820.42000000001</v>
      </c>
      <c r="F480" s="123">
        <v>322331.90000000002</v>
      </c>
      <c r="G480" s="123">
        <v>501692.7</v>
      </c>
      <c r="H480" s="123">
        <v>680463.08</v>
      </c>
      <c r="I480" s="123">
        <v>863482.96</v>
      </c>
      <c r="J480" s="123">
        <v>1040536.47</v>
      </c>
      <c r="K480" s="123">
        <v>1224963.55</v>
      </c>
      <c r="L480" s="123">
        <v>1409116.2</v>
      </c>
      <c r="M480" s="123">
        <v>1598576.05</v>
      </c>
      <c r="N480" s="123">
        <v>1800468.31</v>
      </c>
      <c r="O480" s="123">
        <v>1998295.3</v>
      </c>
      <c r="P480" s="123">
        <v>2206040.37</v>
      </c>
      <c r="Q480" s="123">
        <v>207701.48</v>
      </c>
      <c r="R480" s="123">
        <v>395249.57</v>
      </c>
      <c r="S480" s="123">
        <v>602596.77</v>
      </c>
      <c r="T480" s="123">
        <v>800974.86</v>
      </c>
      <c r="U480" s="123">
        <v>1000956.08</v>
      </c>
      <c r="V480" s="123">
        <v>1191729.33</v>
      </c>
      <c r="W480" s="123">
        <v>1387797.92</v>
      </c>
      <c r="X480" s="123">
        <v>1581853.75</v>
      </c>
      <c r="Y480" s="123">
        <v>1771050.11</v>
      </c>
      <c r="Z480" s="123">
        <v>1971590.64</v>
      </c>
      <c r="AA480" s="123">
        <v>2171587.37</v>
      </c>
      <c r="AB480" s="123">
        <v>2379252.1800000002</v>
      </c>
      <c r="AC480" s="124">
        <v>210758.75</v>
      </c>
      <c r="AD480" s="124">
        <v>408463.31</v>
      </c>
      <c r="AE480" s="124">
        <v>622102.39</v>
      </c>
      <c r="AF480" s="124">
        <v>832796.09</v>
      </c>
      <c r="AG480" s="124">
        <v>1052194.73</v>
      </c>
      <c r="AH480" s="124">
        <v>1265854.8700000001</v>
      </c>
      <c r="AI480" s="124">
        <v>1486883.14</v>
      </c>
      <c r="AJ480" s="124">
        <v>1723929.72</v>
      </c>
      <c r="AK480" s="124">
        <v>1953331.02</v>
      </c>
      <c r="AL480" s="124">
        <v>2199597.8199999998</v>
      </c>
      <c r="AM480" s="124">
        <v>2452012.17</v>
      </c>
      <c r="AN480" s="124">
        <v>2718240.31</v>
      </c>
      <c r="AO480" s="125">
        <v>276396.23</v>
      </c>
      <c r="AP480" s="125">
        <v>540583.6</v>
      </c>
      <c r="AQ480" s="125">
        <v>844882.56</v>
      </c>
      <c r="AR480" s="125">
        <v>1140329.52</v>
      </c>
      <c r="AS480" s="125">
        <v>1465760.51</v>
      </c>
      <c r="AT480" s="125">
        <v>1792166.83</v>
      </c>
      <c r="AU480" s="125">
        <v>2142798.3199999998</v>
      </c>
      <c r="AV480" s="125">
        <v>2504832.06</v>
      </c>
      <c r="AW480" s="125">
        <v>2868236.32</v>
      </c>
      <c r="AX480" s="125">
        <v>3254080.65</v>
      </c>
      <c r="AY480" s="126"/>
      <c r="AZ480" s="126"/>
      <c r="BA480" s="126"/>
      <c r="BB480" s="126"/>
      <c r="BC480" s="126"/>
      <c r="BD480" s="126"/>
      <c r="BE480" s="126"/>
      <c r="BF480" s="127">
        <v>410130</v>
      </c>
      <c r="BG480" s="97" t="s">
        <v>302</v>
      </c>
      <c r="BH480" s="127">
        <v>1265854.8700000001</v>
      </c>
      <c r="BI480" s="127">
        <v>410130</v>
      </c>
      <c r="BJ480" s="97" t="s">
        <v>302</v>
      </c>
      <c r="BK480" s="127">
        <v>1486883.14</v>
      </c>
    </row>
    <row r="481" spans="1:63" x14ac:dyDescent="0.25">
      <c r="B481" s="121">
        <v>41013010</v>
      </c>
      <c r="C481" s="122" t="s">
        <v>434</v>
      </c>
      <c r="D481" s="123">
        <v>1485150.32</v>
      </c>
      <c r="E481" s="123">
        <v>165820.42000000001</v>
      </c>
      <c r="F481" s="123">
        <v>322331.90000000002</v>
      </c>
      <c r="G481" s="123">
        <v>501692.7</v>
      </c>
      <c r="H481" s="123">
        <v>680463.08</v>
      </c>
      <c r="I481" s="123">
        <v>863482.96</v>
      </c>
      <c r="J481" s="123">
        <v>1040536.47</v>
      </c>
      <c r="K481" s="123">
        <v>1224963.55</v>
      </c>
      <c r="L481" s="123">
        <v>1409116.2</v>
      </c>
      <c r="M481" s="123">
        <v>1598576.05</v>
      </c>
      <c r="N481" s="123">
        <v>1800468.31</v>
      </c>
      <c r="O481" s="123">
        <v>1998295.3</v>
      </c>
      <c r="P481" s="123">
        <v>2206040.37</v>
      </c>
      <c r="Q481" s="123">
        <v>207701.48</v>
      </c>
      <c r="R481" s="123">
        <v>395249.57</v>
      </c>
      <c r="S481" s="123">
        <v>602596.77</v>
      </c>
      <c r="T481" s="123">
        <v>800974.86</v>
      </c>
      <c r="U481" s="123">
        <v>1000956.08</v>
      </c>
      <c r="V481" s="123">
        <v>1191729.33</v>
      </c>
      <c r="W481" s="123">
        <v>1387797.92</v>
      </c>
      <c r="X481" s="123">
        <v>1581853.75</v>
      </c>
      <c r="Y481" s="123">
        <v>1771050.11</v>
      </c>
      <c r="Z481" s="123">
        <v>1971590.64</v>
      </c>
      <c r="AA481" s="123">
        <v>2171587.37</v>
      </c>
      <c r="AB481" s="123">
        <v>2379252.1800000002</v>
      </c>
      <c r="AC481" s="124">
        <v>210758.75</v>
      </c>
      <c r="AD481" s="124">
        <v>408463.31</v>
      </c>
      <c r="AE481" s="124">
        <v>622102.39</v>
      </c>
      <c r="AF481" s="124">
        <v>832796.09</v>
      </c>
      <c r="AG481" s="124">
        <v>1052194.73</v>
      </c>
      <c r="AH481" s="124">
        <v>1265854.8700000001</v>
      </c>
      <c r="AI481" s="124">
        <v>1486883.14</v>
      </c>
      <c r="AJ481" s="124">
        <v>1723929.72</v>
      </c>
      <c r="AK481" s="124">
        <v>1953331.02</v>
      </c>
      <c r="AL481" s="124">
        <v>2199597.8199999998</v>
      </c>
      <c r="AM481" s="124">
        <v>2452012.17</v>
      </c>
      <c r="AN481" s="124">
        <v>2718240.31</v>
      </c>
      <c r="AO481" s="125">
        <v>276396.23</v>
      </c>
      <c r="AP481" s="125">
        <v>540583.6</v>
      </c>
      <c r="AQ481" s="125">
        <v>844882.56</v>
      </c>
      <c r="AR481" s="125">
        <v>1140329.52</v>
      </c>
      <c r="AS481" s="125">
        <v>1465760.51</v>
      </c>
      <c r="AT481" s="125">
        <v>1792166.83</v>
      </c>
      <c r="AU481" s="125">
        <v>2142798.3199999998</v>
      </c>
      <c r="AV481" s="125">
        <v>2504832.06</v>
      </c>
      <c r="AW481" s="125">
        <v>2868236.32</v>
      </c>
      <c r="AX481" s="125">
        <v>3254080.65</v>
      </c>
      <c r="AY481" s="126"/>
      <c r="AZ481" s="126"/>
      <c r="BA481" s="126"/>
      <c r="BB481" s="126"/>
      <c r="BC481" s="126"/>
      <c r="BD481" s="126"/>
      <c r="BE481" s="126"/>
      <c r="BF481" s="127">
        <v>41013010</v>
      </c>
      <c r="BG481" s="97" t="s">
        <v>434</v>
      </c>
      <c r="BH481" s="127">
        <v>1265854.8700000001</v>
      </c>
      <c r="BI481" s="127">
        <v>41013010</v>
      </c>
      <c r="BJ481" s="97" t="s">
        <v>434</v>
      </c>
      <c r="BK481" s="127">
        <v>1486883.14</v>
      </c>
    </row>
    <row r="482" spans="1:63" x14ac:dyDescent="0.25">
      <c r="B482" s="121">
        <v>4103</v>
      </c>
      <c r="C482" s="122" t="s">
        <v>312</v>
      </c>
      <c r="D482" s="123">
        <v>7711.73</v>
      </c>
      <c r="E482" s="128"/>
      <c r="F482" s="128"/>
      <c r="G482" s="128"/>
      <c r="H482" s="128"/>
      <c r="I482" s="128"/>
      <c r="J482" s="123">
        <v>3129.04</v>
      </c>
      <c r="K482" s="123">
        <v>12829.07</v>
      </c>
      <c r="L482" s="123">
        <v>22842</v>
      </c>
      <c r="M482" s="123">
        <v>32359.5</v>
      </c>
      <c r="N482" s="123">
        <v>40981.99</v>
      </c>
      <c r="O482" s="123">
        <v>40981.99</v>
      </c>
      <c r="P482" s="123">
        <v>51285.95</v>
      </c>
      <c r="Q482" s="128"/>
      <c r="R482" s="128"/>
      <c r="S482" s="128"/>
      <c r="T482" s="128"/>
      <c r="U482" s="123">
        <v>14282.14</v>
      </c>
      <c r="V482" s="123">
        <v>26523.97</v>
      </c>
      <c r="W482" s="123">
        <v>36725.5</v>
      </c>
      <c r="X482" s="123">
        <v>47024.25</v>
      </c>
      <c r="Y482" s="123">
        <v>55374.59</v>
      </c>
      <c r="Z482" s="123">
        <v>64003.27</v>
      </c>
      <c r="AA482" s="123">
        <v>64281.62</v>
      </c>
      <c r="AB482" s="123">
        <v>64281.61</v>
      </c>
      <c r="AC482" s="129"/>
      <c r="AD482" s="129"/>
      <c r="AE482" s="129"/>
      <c r="AF482" s="129"/>
      <c r="AG482" s="129"/>
      <c r="AH482" s="129"/>
      <c r="AI482" s="129"/>
      <c r="AJ482" s="124">
        <v>0</v>
      </c>
      <c r="AK482" s="124">
        <v>0</v>
      </c>
      <c r="AL482" s="124">
        <v>0</v>
      </c>
      <c r="AM482" s="124">
        <v>0</v>
      </c>
      <c r="AN482" s="124">
        <v>0</v>
      </c>
      <c r="AO482" s="125">
        <v>0</v>
      </c>
      <c r="AP482" s="125">
        <v>0</v>
      </c>
      <c r="AQ482" s="125">
        <v>0</v>
      </c>
      <c r="AR482" s="125">
        <v>0</v>
      </c>
      <c r="AS482" s="125">
        <v>0</v>
      </c>
      <c r="AT482" s="125">
        <v>0</v>
      </c>
      <c r="AU482" s="125">
        <v>0</v>
      </c>
      <c r="AV482" s="125">
        <v>0</v>
      </c>
      <c r="AW482" s="125">
        <v>0</v>
      </c>
      <c r="AX482" s="125">
        <v>0</v>
      </c>
      <c r="AY482" s="126"/>
      <c r="AZ482" s="126"/>
      <c r="BA482" s="126"/>
      <c r="BB482" s="126"/>
      <c r="BC482" s="126"/>
      <c r="BD482" s="126"/>
      <c r="BE482" s="126"/>
    </row>
    <row r="483" spans="1:63" x14ac:dyDescent="0.25">
      <c r="B483" s="121">
        <v>410345</v>
      </c>
      <c r="C483" s="122" t="s">
        <v>435</v>
      </c>
      <c r="D483" s="123">
        <v>7711.73</v>
      </c>
      <c r="E483" s="128"/>
      <c r="F483" s="128"/>
      <c r="G483" s="128"/>
      <c r="H483" s="128"/>
      <c r="I483" s="128"/>
      <c r="J483" s="123">
        <v>3129.04</v>
      </c>
      <c r="K483" s="123">
        <v>12829.07</v>
      </c>
      <c r="L483" s="123">
        <v>22842</v>
      </c>
      <c r="M483" s="123">
        <v>32359.5</v>
      </c>
      <c r="N483" s="123">
        <v>40981.99</v>
      </c>
      <c r="O483" s="123">
        <v>40981.99</v>
      </c>
      <c r="P483" s="123">
        <v>51285.95</v>
      </c>
      <c r="Q483" s="128"/>
      <c r="R483" s="128"/>
      <c r="S483" s="128"/>
      <c r="T483" s="128"/>
      <c r="U483" s="123">
        <v>14282.14</v>
      </c>
      <c r="V483" s="123">
        <v>26523.97</v>
      </c>
      <c r="W483" s="123">
        <v>36725.5</v>
      </c>
      <c r="X483" s="123">
        <v>47024.25</v>
      </c>
      <c r="Y483" s="123">
        <v>55374.59</v>
      </c>
      <c r="Z483" s="123">
        <v>64003.27</v>
      </c>
      <c r="AA483" s="123">
        <v>64281.62</v>
      </c>
      <c r="AB483" s="123">
        <v>64281.61</v>
      </c>
      <c r="AC483" s="129"/>
      <c r="AD483" s="129"/>
      <c r="AE483" s="129"/>
      <c r="AF483" s="129"/>
      <c r="AG483" s="129"/>
      <c r="AH483" s="129"/>
      <c r="AI483" s="129"/>
      <c r="AJ483" s="124">
        <v>0</v>
      </c>
      <c r="AK483" s="124">
        <v>0</v>
      </c>
      <c r="AL483" s="124">
        <v>0</v>
      </c>
      <c r="AM483" s="124">
        <v>0</v>
      </c>
      <c r="AN483" s="124">
        <v>0</v>
      </c>
      <c r="AO483" s="125">
        <v>0</v>
      </c>
      <c r="AP483" s="125">
        <v>0</v>
      </c>
      <c r="AQ483" s="125">
        <v>0</v>
      </c>
      <c r="AR483" s="125">
        <v>0</v>
      </c>
      <c r="AS483" s="125">
        <v>0</v>
      </c>
      <c r="AT483" s="125">
        <v>0</v>
      </c>
      <c r="AU483" s="125">
        <v>0</v>
      </c>
      <c r="AV483" s="125">
        <v>0</v>
      </c>
      <c r="AW483" s="125">
        <v>0</v>
      </c>
      <c r="AX483" s="125">
        <v>0</v>
      </c>
      <c r="AY483" s="126"/>
      <c r="AZ483" s="126"/>
      <c r="BA483" s="126"/>
      <c r="BB483" s="126"/>
      <c r="BC483" s="126"/>
      <c r="BD483" s="126"/>
      <c r="BE483" s="126"/>
    </row>
    <row r="484" spans="1:63" x14ac:dyDescent="0.25">
      <c r="B484" s="121">
        <v>42</v>
      </c>
      <c r="C484" s="122" t="s">
        <v>436</v>
      </c>
      <c r="D484" s="123">
        <v>13150.23</v>
      </c>
      <c r="E484" s="123">
        <v>1087.0999999999999</v>
      </c>
      <c r="F484" s="123">
        <v>2282.4499999999998</v>
      </c>
      <c r="G484" s="123">
        <v>3252.7</v>
      </c>
      <c r="H484" s="123">
        <v>4451.2299999999996</v>
      </c>
      <c r="I484" s="123">
        <v>10128.219999999999</v>
      </c>
      <c r="J484" s="123">
        <v>10975.13</v>
      </c>
      <c r="K484" s="123">
        <v>11781.81</v>
      </c>
      <c r="L484" s="123">
        <v>12862.25</v>
      </c>
      <c r="M484" s="123">
        <v>14237.02</v>
      </c>
      <c r="N484" s="123">
        <v>22979.51</v>
      </c>
      <c r="O484" s="123">
        <v>19809.97</v>
      </c>
      <c r="P484" s="123">
        <v>20956.38</v>
      </c>
      <c r="Q484" s="123">
        <v>815.25</v>
      </c>
      <c r="R484" s="123">
        <v>1580.78</v>
      </c>
      <c r="S484" s="123">
        <v>2730.93</v>
      </c>
      <c r="T484" s="123">
        <v>3535.81</v>
      </c>
      <c r="U484" s="123">
        <v>2070.69</v>
      </c>
      <c r="V484" s="123">
        <v>4927.08</v>
      </c>
      <c r="W484" s="123">
        <v>5902.04</v>
      </c>
      <c r="X484" s="123">
        <v>6860.95</v>
      </c>
      <c r="Y484" s="123">
        <v>7316.94</v>
      </c>
      <c r="Z484" s="123">
        <v>8081.19</v>
      </c>
      <c r="AA484" s="123">
        <v>9627.8799999999992</v>
      </c>
      <c r="AB484" s="123">
        <v>11493.32</v>
      </c>
      <c r="AC484" s="124">
        <v>1008.63</v>
      </c>
      <c r="AD484" s="124">
        <v>1939.3</v>
      </c>
      <c r="AE484" s="124">
        <v>2856.18</v>
      </c>
      <c r="AF484" s="124">
        <v>3829.43</v>
      </c>
      <c r="AG484" s="124">
        <v>4616.5200000000004</v>
      </c>
      <c r="AH484" s="124">
        <v>5579.37</v>
      </c>
      <c r="AI484" s="124">
        <v>6517.4</v>
      </c>
      <c r="AJ484" s="124">
        <v>9669.89</v>
      </c>
      <c r="AK484" s="124">
        <v>10710.59</v>
      </c>
      <c r="AL484" s="124">
        <v>11819.13</v>
      </c>
      <c r="AM484" s="124">
        <v>12769.95</v>
      </c>
      <c r="AN484" s="124">
        <v>13841.84</v>
      </c>
      <c r="AO484" s="125">
        <v>560.80999999999995</v>
      </c>
      <c r="AP484" s="125">
        <v>1595.75</v>
      </c>
      <c r="AQ484" s="125">
        <v>2664.56</v>
      </c>
      <c r="AR484" s="125">
        <v>4241.42</v>
      </c>
      <c r="AS484" s="125">
        <v>5456.88</v>
      </c>
      <c r="AT484" s="125">
        <v>9110.3700000000008</v>
      </c>
      <c r="AU484" s="125">
        <v>10809.78</v>
      </c>
      <c r="AV484" s="125">
        <v>15418.81</v>
      </c>
      <c r="AW484" s="125">
        <v>20966.89</v>
      </c>
      <c r="AX484" s="125">
        <v>39574.44</v>
      </c>
      <c r="AY484" s="126"/>
      <c r="AZ484" s="126"/>
      <c r="BA484" s="126"/>
      <c r="BB484" s="126"/>
      <c r="BC484" s="126"/>
      <c r="BD484" s="126"/>
      <c r="BE484" s="126"/>
      <c r="BF484" s="127">
        <v>42</v>
      </c>
      <c r="BG484" s="97" t="s">
        <v>436</v>
      </c>
      <c r="BH484" s="127">
        <v>5579.37</v>
      </c>
      <c r="BI484" s="127">
        <v>42</v>
      </c>
      <c r="BJ484" s="97" t="s">
        <v>436</v>
      </c>
      <c r="BK484" s="127">
        <v>6517.4</v>
      </c>
    </row>
    <row r="485" spans="1:63" x14ac:dyDescent="0.25">
      <c r="B485" s="121">
        <v>4290</v>
      </c>
      <c r="C485" s="122" t="s">
        <v>437</v>
      </c>
      <c r="D485" s="123">
        <v>13150.23</v>
      </c>
      <c r="E485" s="123">
        <v>1087.0999999999999</v>
      </c>
      <c r="F485" s="123">
        <v>2282.4499999999998</v>
      </c>
      <c r="G485" s="123">
        <v>3252.7</v>
      </c>
      <c r="H485" s="123">
        <v>4451.2299999999996</v>
      </c>
      <c r="I485" s="123">
        <v>10128.219999999999</v>
      </c>
      <c r="J485" s="123">
        <v>10975.13</v>
      </c>
      <c r="K485" s="123">
        <v>11781.81</v>
      </c>
      <c r="L485" s="123">
        <v>12862.25</v>
      </c>
      <c r="M485" s="123">
        <v>14237.02</v>
      </c>
      <c r="N485" s="123">
        <v>22979.51</v>
      </c>
      <c r="O485" s="123">
        <v>19809.97</v>
      </c>
      <c r="P485" s="123">
        <v>20956.38</v>
      </c>
      <c r="Q485" s="123">
        <v>815.25</v>
      </c>
      <c r="R485" s="123">
        <v>1580.78</v>
      </c>
      <c r="S485" s="123">
        <v>2730.93</v>
      </c>
      <c r="T485" s="123">
        <v>3535.81</v>
      </c>
      <c r="U485" s="123">
        <v>2070.69</v>
      </c>
      <c r="V485" s="123">
        <v>4927.08</v>
      </c>
      <c r="W485" s="123">
        <v>5902.04</v>
      </c>
      <c r="X485" s="123">
        <v>6860.95</v>
      </c>
      <c r="Y485" s="123">
        <v>7316.94</v>
      </c>
      <c r="Z485" s="123">
        <v>8081.19</v>
      </c>
      <c r="AA485" s="123">
        <v>9627.8799999999992</v>
      </c>
      <c r="AB485" s="123">
        <v>11493.32</v>
      </c>
      <c r="AC485" s="124">
        <v>1008.63</v>
      </c>
      <c r="AD485" s="124">
        <v>1939.3</v>
      </c>
      <c r="AE485" s="124">
        <v>2856.18</v>
      </c>
      <c r="AF485" s="124">
        <v>3829.43</v>
      </c>
      <c r="AG485" s="124">
        <v>4616.5200000000004</v>
      </c>
      <c r="AH485" s="124">
        <v>5579.37</v>
      </c>
      <c r="AI485" s="124">
        <v>6517.4</v>
      </c>
      <c r="AJ485" s="124">
        <v>9669.89</v>
      </c>
      <c r="AK485" s="124">
        <v>10710.59</v>
      </c>
      <c r="AL485" s="124">
        <v>11819.13</v>
      </c>
      <c r="AM485" s="124">
        <v>12769.95</v>
      </c>
      <c r="AN485" s="124">
        <v>13841.84</v>
      </c>
      <c r="AO485" s="125">
        <v>560.80999999999995</v>
      </c>
      <c r="AP485" s="125">
        <v>1595.75</v>
      </c>
      <c r="AQ485" s="125">
        <v>2664.56</v>
      </c>
      <c r="AR485" s="125">
        <v>4241.42</v>
      </c>
      <c r="AS485" s="125">
        <v>5456.88</v>
      </c>
      <c r="AT485" s="125">
        <v>9110.3700000000008</v>
      </c>
      <c r="AU485" s="125">
        <v>10809.78</v>
      </c>
      <c r="AV485" s="125">
        <v>15418.81</v>
      </c>
      <c r="AW485" s="125">
        <v>20966.89</v>
      </c>
      <c r="AX485" s="125">
        <v>39574.44</v>
      </c>
      <c r="AY485" s="126"/>
      <c r="AZ485" s="126"/>
      <c r="BA485" s="126"/>
      <c r="BB485" s="126"/>
      <c r="BC485" s="126"/>
      <c r="BD485" s="126"/>
      <c r="BE485" s="126"/>
      <c r="BF485" s="127">
        <v>4290</v>
      </c>
      <c r="BG485" s="97" t="s">
        <v>437</v>
      </c>
      <c r="BH485" s="127">
        <v>5579.37</v>
      </c>
      <c r="BI485" s="127">
        <v>4290</v>
      </c>
      <c r="BJ485" s="97" t="s">
        <v>437</v>
      </c>
      <c r="BK485" s="127">
        <v>6517.4</v>
      </c>
    </row>
    <row r="486" spans="1:63" x14ac:dyDescent="0.25">
      <c r="B486" s="121">
        <v>43</v>
      </c>
      <c r="C486" s="122" t="s">
        <v>438</v>
      </c>
      <c r="D486" s="123">
        <v>55898.92</v>
      </c>
      <c r="E486" s="123">
        <v>3654.35</v>
      </c>
      <c r="F486" s="123">
        <v>8008.07</v>
      </c>
      <c r="G486" s="123">
        <v>11531.89</v>
      </c>
      <c r="H486" s="123">
        <v>14926.15</v>
      </c>
      <c r="I486" s="123">
        <v>18515.900000000001</v>
      </c>
      <c r="J486" s="123">
        <v>22773.59</v>
      </c>
      <c r="K486" s="123">
        <v>27412.42</v>
      </c>
      <c r="L486" s="123">
        <v>31912.84</v>
      </c>
      <c r="M486" s="123">
        <v>36023.18</v>
      </c>
      <c r="N486" s="123">
        <v>40471.360000000001</v>
      </c>
      <c r="O486" s="123">
        <v>43774.32</v>
      </c>
      <c r="P486" s="123">
        <v>48476.4</v>
      </c>
      <c r="Q486" s="123">
        <v>4714.21</v>
      </c>
      <c r="R486" s="123">
        <v>7840.56</v>
      </c>
      <c r="S486" s="123">
        <v>11239.14</v>
      </c>
      <c r="T486" s="123">
        <v>14914.88</v>
      </c>
      <c r="U486" s="123">
        <v>18419.03</v>
      </c>
      <c r="V486" s="123">
        <v>22389.21</v>
      </c>
      <c r="W486" s="123">
        <v>25858.03</v>
      </c>
      <c r="X486" s="123">
        <v>29370.3</v>
      </c>
      <c r="Y486" s="123">
        <v>32671.18</v>
      </c>
      <c r="Z486" s="123">
        <v>35983.78</v>
      </c>
      <c r="AA486" s="123">
        <v>39251.01</v>
      </c>
      <c r="AB486" s="123">
        <v>44394.76</v>
      </c>
      <c r="AC486" s="124">
        <v>661.89</v>
      </c>
      <c r="AD486" s="124">
        <v>1420.33</v>
      </c>
      <c r="AE486" s="124">
        <v>2065.1799999999998</v>
      </c>
      <c r="AF486" s="124">
        <v>2708.35</v>
      </c>
      <c r="AG486" s="124">
        <v>3353.04</v>
      </c>
      <c r="AH486" s="124">
        <v>3981.63</v>
      </c>
      <c r="AI486" s="124">
        <v>4582.18</v>
      </c>
      <c r="AJ486" s="124">
        <v>5226.7700000000004</v>
      </c>
      <c r="AK486" s="124">
        <v>8486.4599999999991</v>
      </c>
      <c r="AL486" s="124">
        <v>8917.64</v>
      </c>
      <c r="AM486" s="124">
        <v>9184.4</v>
      </c>
      <c r="AN486" s="124">
        <v>51273.23</v>
      </c>
      <c r="AO486" s="125">
        <v>48186.99</v>
      </c>
      <c r="AP486" s="125">
        <v>98146.44</v>
      </c>
      <c r="AQ486" s="125">
        <v>147990.64000000001</v>
      </c>
      <c r="AR486" s="125">
        <v>234483.34</v>
      </c>
      <c r="AS486" s="125">
        <v>274426.38</v>
      </c>
      <c r="AT486" s="125">
        <v>323616.42</v>
      </c>
      <c r="AU486" s="125">
        <v>366773.85</v>
      </c>
      <c r="AV486" s="125">
        <v>414261.85</v>
      </c>
      <c r="AW486" s="125">
        <v>457433.81</v>
      </c>
      <c r="AX486" s="125">
        <v>583451</v>
      </c>
      <c r="AY486" s="126"/>
      <c r="AZ486" s="126"/>
      <c r="BA486" s="126"/>
      <c r="BB486" s="126"/>
      <c r="BC486" s="126"/>
      <c r="BD486" s="126"/>
      <c r="BE486" s="126"/>
      <c r="BF486" s="127">
        <v>43</v>
      </c>
      <c r="BG486" s="97" t="s">
        <v>438</v>
      </c>
      <c r="BH486" s="127">
        <v>3981.63</v>
      </c>
      <c r="BI486" s="127">
        <v>43</v>
      </c>
      <c r="BJ486" s="97" t="s">
        <v>438</v>
      </c>
      <c r="BK486" s="127">
        <v>4582.18</v>
      </c>
    </row>
    <row r="487" spans="1:63" x14ac:dyDescent="0.25">
      <c r="B487" s="121">
        <v>4303</v>
      </c>
      <c r="C487" s="122" t="s">
        <v>439</v>
      </c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  <c r="AA487" s="128"/>
      <c r="AB487" s="128"/>
      <c r="AC487" s="129"/>
      <c r="AD487" s="129"/>
      <c r="AE487" s="129"/>
      <c r="AF487" s="129"/>
      <c r="AG487" s="129"/>
      <c r="AH487" s="129"/>
      <c r="AI487" s="129"/>
      <c r="AJ487" s="124">
        <v>0</v>
      </c>
      <c r="AK487" s="124">
        <v>2770.02</v>
      </c>
      <c r="AL487" s="124">
        <v>2770.02</v>
      </c>
      <c r="AM487" s="124">
        <v>2770.02</v>
      </c>
      <c r="AN487" s="124">
        <v>44669.96</v>
      </c>
      <c r="AO487" s="125">
        <v>48043.31</v>
      </c>
      <c r="AP487" s="125">
        <v>97901.05</v>
      </c>
      <c r="AQ487" s="125">
        <v>147652.54</v>
      </c>
      <c r="AR487" s="125">
        <v>234059.41</v>
      </c>
      <c r="AS487" s="125">
        <v>273916.01</v>
      </c>
      <c r="AT487" s="125">
        <v>323028.84999999998</v>
      </c>
      <c r="AU487" s="125">
        <v>366155.82</v>
      </c>
      <c r="AV487" s="125">
        <v>413620.34</v>
      </c>
      <c r="AW487" s="125">
        <v>456769.02</v>
      </c>
      <c r="AX487" s="125">
        <v>582777.75</v>
      </c>
      <c r="AY487" s="126"/>
      <c r="AZ487" s="126"/>
      <c r="BA487" s="126"/>
      <c r="BB487" s="126"/>
      <c r="BC487" s="126"/>
      <c r="BD487" s="126"/>
      <c r="BE487" s="126"/>
    </row>
    <row r="488" spans="1:63" x14ac:dyDescent="0.25">
      <c r="B488" s="121">
        <v>430305</v>
      </c>
      <c r="C488" s="122" t="s">
        <v>440</v>
      </c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  <c r="AA488" s="128"/>
      <c r="AB488" s="128"/>
      <c r="AC488" s="129"/>
      <c r="AD488" s="129"/>
      <c r="AE488" s="129"/>
      <c r="AF488" s="129"/>
      <c r="AG488" s="129"/>
      <c r="AH488" s="129"/>
      <c r="AI488" s="129"/>
      <c r="AJ488" s="124">
        <v>0</v>
      </c>
      <c r="AK488" s="124">
        <v>0</v>
      </c>
      <c r="AL488" s="124">
        <v>0</v>
      </c>
      <c r="AM488" s="124">
        <v>0</v>
      </c>
      <c r="AN488" s="124">
        <v>0</v>
      </c>
      <c r="AO488" s="125">
        <v>0</v>
      </c>
      <c r="AP488" s="125">
        <v>0</v>
      </c>
      <c r="AQ488" s="125">
        <v>0</v>
      </c>
      <c r="AR488" s="125">
        <v>0</v>
      </c>
      <c r="AS488" s="125">
        <v>0</v>
      </c>
      <c r="AT488" s="125">
        <v>0</v>
      </c>
      <c r="AU488" s="125">
        <v>0</v>
      </c>
      <c r="AV488" s="125">
        <v>0</v>
      </c>
      <c r="AW488" s="125">
        <v>0</v>
      </c>
      <c r="AX488" s="125">
        <v>0</v>
      </c>
      <c r="AY488" s="126"/>
      <c r="AZ488" s="126"/>
      <c r="BA488" s="126"/>
      <c r="BB488" s="126"/>
      <c r="BC488" s="126"/>
      <c r="BD488" s="126"/>
      <c r="BE488" s="126"/>
    </row>
    <row r="489" spans="1:63" x14ac:dyDescent="0.25">
      <c r="A489" s="113"/>
      <c r="B489" s="121">
        <v>4306</v>
      </c>
      <c r="C489" s="122" t="s">
        <v>441</v>
      </c>
      <c r="D489" s="123">
        <v>55898.92</v>
      </c>
      <c r="E489" s="123">
        <v>3654.35</v>
      </c>
      <c r="F489" s="123">
        <v>8008.07</v>
      </c>
      <c r="G489" s="123">
        <v>11531.89</v>
      </c>
      <c r="H489" s="123">
        <v>14926.15</v>
      </c>
      <c r="I489" s="123">
        <v>18515.900000000001</v>
      </c>
      <c r="J489" s="123">
        <v>22773.59</v>
      </c>
      <c r="K489" s="123">
        <v>27412.42</v>
      </c>
      <c r="L489" s="123">
        <v>31912.84</v>
      </c>
      <c r="M489" s="123">
        <v>36023.18</v>
      </c>
      <c r="N489" s="123">
        <v>40471.360000000001</v>
      </c>
      <c r="O489" s="123">
        <v>43774.32</v>
      </c>
      <c r="P489" s="123">
        <v>48476.4</v>
      </c>
      <c r="Q489" s="123">
        <v>4714.21</v>
      </c>
      <c r="R489" s="123">
        <v>7840.56</v>
      </c>
      <c r="S489" s="123">
        <v>11239.14</v>
      </c>
      <c r="T489" s="123">
        <v>14914.88</v>
      </c>
      <c r="U489" s="123">
        <v>18419.03</v>
      </c>
      <c r="V489" s="123">
        <v>22389.21</v>
      </c>
      <c r="W489" s="123">
        <v>25858.03</v>
      </c>
      <c r="X489" s="123">
        <v>29370.3</v>
      </c>
      <c r="Y489" s="123">
        <v>32671.18</v>
      </c>
      <c r="Z489" s="123">
        <v>35983.78</v>
      </c>
      <c r="AA489" s="123">
        <v>39251.01</v>
      </c>
      <c r="AB489" s="123">
        <v>44394.76</v>
      </c>
      <c r="AC489" s="124">
        <v>661.89</v>
      </c>
      <c r="AD489" s="124">
        <v>1420.33</v>
      </c>
      <c r="AE489" s="124">
        <v>2065.1799999999998</v>
      </c>
      <c r="AF489" s="124">
        <v>2708.35</v>
      </c>
      <c r="AG489" s="124">
        <v>3353.04</v>
      </c>
      <c r="AH489" s="124">
        <v>3981.63</v>
      </c>
      <c r="AI489" s="124">
        <v>4582.18</v>
      </c>
      <c r="AJ489" s="124">
        <v>5226.7700000000004</v>
      </c>
      <c r="AK489" s="124">
        <v>5716.44</v>
      </c>
      <c r="AL489" s="124">
        <v>6147.62</v>
      </c>
      <c r="AM489" s="124">
        <v>6414.38</v>
      </c>
      <c r="AN489" s="124">
        <v>6603.27</v>
      </c>
      <c r="AO489" s="125">
        <v>143.68</v>
      </c>
      <c r="AP489" s="125">
        <v>245.39</v>
      </c>
      <c r="AQ489" s="125">
        <v>338.1</v>
      </c>
      <c r="AR489" s="125">
        <v>423.93</v>
      </c>
      <c r="AS489" s="125">
        <v>510.37</v>
      </c>
      <c r="AT489" s="125">
        <v>587.57000000000005</v>
      </c>
      <c r="AU489" s="125">
        <v>618.03</v>
      </c>
      <c r="AV489" s="125">
        <v>641.51</v>
      </c>
      <c r="AW489" s="125">
        <v>664.79</v>
      </c>
      <c r="AX489" s="125">
        <v>673.25</v>
      </c>
      <c r="AY489" s="126"/>
      <c r="AZ489" s="126"/>
      <c r="BA489" s="126"/>
      <c r="BB489" s="126"/>
      <c r="BC489" s="126"/>
      <c r="BD489" s="126"/>
      <c r="BE489" s="126"/>
      <c r="BF489" s="127">
        <v>4306</v>
      </c>
      <c r="BG489" s="97" t="s">
        <v>441</v>
      </c>
      <c r="BH489" s="127">
        <v>3981.63</v>
      </c>
      <c r="BI489" s="127">
        <v>4306</v>
      </c>
      <c r="BJ489" s="97" t="s">
        <v>441</v>
      </c>
      <c r="BK489" s="127">
        <v>4582.18</v>
      </c>
    </row>
    <row r="490" spans="1:63" x14ac:dyDescent="0.25">
      <c r="B490" s="121">
        <v>44</v>
      </c>
      <c r="C490" s="122" t="s">
        <v>442</v>
      </c>
      <c r="D490" s="123">
        <v>339506.49</v>
      </c>
      <c r="E490" s="123">
        <v>24479.03</v>
      </c>
      <c r="F490" s="123">
        <v>57540.97</v>
      </c>
      <c r="G490" s="123">
        <v>119431.59</v>
      </c>
      <c r="H490" s="123">
        <v>168814.4</v>
      </c>
      <c r="I490" s="123">
        <v>210285.55</v>
      </c>
      <c r="J490" s="123">
        <v>264769.99</v>
      </c>
      <c r="K490" s="123">
        <v>299527.09000000003</v>
      </c>
      <c r="L490" s="123">
        <v>344682.07</v>
      </c>
      <c r="M490" s="123">
        <v>399831.52</v>
      </c>
      <c r="N490" s="123">
        <v>474319</v>
      </c>
      <c r="O490" s="123">
        <v>569754.43000000005</v>
      </c>
      <c r="P490" s="123">
        <v>546704.34</v>
      </c>
      <c r="Q490" s="123">
        <v>639.33000000000004</v>
      </c>
      <c r="R490" s="128"/>
      <c r="S490" s="123">
        <v>49479.97</v>
      </c>
      <c r="T490" s="123">
        <v>89122.32</v>
      </c>
      <c r="U490" s="123">
        <v>228563.84</v>
      </c>
      <c r="V490" s="123">
        <v>337097.25</v>
      </c>
      <c r="W490" s="123">
        <v>415105.42</v>
      </c>
      <c r="X490" s="123">
        <v>425595.81</v>
      </c>
      <c r="Y490" s="123">
        <v>508509.06</v>
      </c>
      <c r="Z490" s="123">
        <v>754786.78</v>
      </c>
      <c r="AA490" s="123">
        <v>541742.04</v>
      </c>
      <c r="AB490" s="123">
        <v>553310.46</v>
      </c>
      <c r="AC490" s="124">
        <v>43280.24</v>
      </c>
      <c r="AD490" s="124">
        <v>170830.37</v>
      </c>
      <c r="AE490" s="124">
        <v>116902.1</v>
      </c>
      <c r="AF490" s="124">
        <v>142997.68</v>
      </c>
      <c r="AG490" s="124">
        <v>190089.38</v>
      </c>
      <c r="AH490" s="124">
        <v>373141.04</v>
      </c>
      <c r="AI490" s="124">
        <v>270508.12</v>
      </c>
      <c r="AJ490" s="124">
        <v>552327.26</v>
      </c>
      <c r="AK490" s="124">
        <v>864971.51</v>
      </c>
      <c r="AL490" s="124">
        <v>1151456.19</v>
      </c>
      <c r="AM490" s="124">
        <v>1130588.21</v>
      </c>
      <c r="AN490" s="124">
        <v>896982.61</v>
      </c>
      <c r="AO490" s="125">
        <v>3172.77</v>
      </c>
      <c r="AP490" s="125">
        <v>49644.44</v>
      </c>
      <c r="AQ490" s="125">
        <v>102259.49</v>
      </c>
      <c r="AR490" s="125">
        <v>129546.16</v>
      </c>
      <c r="AS490" s="125">
        <v>211032.19</v>
      </c>
      <c r="AT490" s="125">
        <v>323372.11</v>
      </c>
      <c r="AU490" s="125">
        <v>445274.02</v>
      </c>
      <c r="AV490" s="125">
        <v>504590.97</v>
      </c>
      <c r="AW490" s="125">
        <v>576963.09</v>
      </c>
      <c r="AX490" s="125">
        <v>676858.4</v>
      </c>
      <c r="AY490" s="126"/>
      <c r="AZ490" s="126"/>
      <c r="BA490" s="126"/>
      <c r="BB490" s="126"/>
      <c r="BC490" s="126"/>
      <c r="BD490" s="126"/>
      <c r="BE490" s="126"/>
      <c r="BF490" s="127">
        <v>44</v>
      </c>
      <c r="BG490" s="97" t="s">
        <v>442</v>
      </c>
      <c r="BH490" s="127">
        <v>373141.04</v>
      </c>
      <c r="BI490" s="127">
        <v>44</v>
      </c>
      <c r="BJ490" s="97" t="s">
        <v>442</v>
      </c>
      <c r="BK490" s="127">
        <v>270508.12</v>
      </c>
    </row>
    <row r="491" spans="1:63" x14ac:dyDescent="0.25">
      <c r="B491" s="121">
        <v>4402</v>
      </c>
      <c r="C491" s="122" t="s">
        <v>443</v>
      </c>
      <c r="D491" s="123">
        <v>228970.23999999999</v>
      </c>
      <c r="E491" s="123">
        <v>24479.03</v>
      </c>
      <c r="F491" s="123">
        <v>57540.97</v>
      </c>
      <c r="G491" s="123">
        <v>96596.26</v>
      </c>
      <c r="H491" s="123">
        <v>145979.07</v>
      </c>
      <c r="I491" s="123">
        <v>186810.89</v>
      </c>
      <c r="J491" s="123">
        <v>226546.94</v>
      </c>
      <c r="K491" s="123">
        <v>260025.38</v>
      </c>
      <c r="L491" s="123">
        <v>304541.03000000003</v>
      </c>
      <c r="M491" s="123">
        <v>359690.48</v>
      </c>
      <c r="N491" s="123">
        <v>434177.96</v>
      </c>
      <c r="O491" s="123">
        <v>528334.72</v>
      </c>
      <c r="P491" s="123">
        <v>495820.74</v>
      </c>
      <c r="Q491" s="128"/>
      <c r="R491" s="128"/>
      <c r="S491" s="123">
        <v>27671.34</v>
      </c>
      <c r="T491" s="123">
        <v>67313.69</v>
      </c>
      <c r="U491" s="123">
        <v>206755.21</v>
      </c>
      <c r="V491" s="123">
        <v>299874.26</v>
      </c>
      <c r="W491" s="123">
        <v>377882.43</v>
      </c>
      <c r="X491" s="123">
        <v>388372.82</v>
      </c>
      <c r="Y491" s="123">
        <v>454633.07</v>
      </c>
      <c r="Z491" s="123">
        <v>700910.79</v>
      </c>
      <c r="AA491" s="123">
        <v>487866.05</v>
      </c>
      <c r="AB491" s="123">
        <v>514393.92</v>
      </c>
      <c r="AC491" s="124">
        <v>43280.24</v>
      </c>
      <c r="AD491" s="124">
        <v>170580.37</v>
      </c>
      <c r="AE491" s="124">
        <v>101342.96</v>
      </c>
      <c r="AF491" s="124">
        <v>127438.54</v>
      </c>
      <c r="AG491" s="124">
        <v>174530.24</v>
      </c>
      <c r="AH491" s="124">
        <v>343782.21</v>
      </c>
      <c r="AI491" s="124">
        <v>241149.29</v>
      </c>
      <c r="AJ491" s="124">
        <v>522968.43</v>
      </c>
      <c r="AK491" s="124">
        <v>825095.69</v>
      </c>
      <c r="AL491" s="124">
        <v>1111580.3700000001</v>
      </c>
      <c r="AM491" s="124">
        <v>1090712.3899999999</v>
      </c>
      <c r="AN491" s="124">
        <v>855727.01</v>
      </c>
      <c r="AO491" s="125">
        <v>3172.77</v>
      </c>
      <c r="AP491" s="125">
        <v>49644.44</v>
      </c>
      <c r="AQ491" s="125">
        <v>64418.02</v>
      </c>
      <c r="AR491" s="125">
        <v>91704.69</v>
      </c>
      <c r="AS491" s="125">
        <v>173190.72</v>
      </c>
      <c r="AT491" s="125">
        <v>249383.83</v>
      </c>
      <c r="AU491" s="125">
        <v>371285.74</v>
      </c>
      <c r="AV491" s="125">
        <v>430602.69</v>
      </c>
      <c r="AW491" s="125">
        <v>503941.29</v>
      </c>
      <c r="AX491" s="125">
        <v>603836.6</v>
      </c>
      <c r="AY491" s="126"/>
      <c r="AZ491" s="126"/>
      <c r="BA491" s="126"/>
      <c r="BB491" s="126"/>
      <c r="BC491" s="126"/>
      <c r="BD491" s="126"/>
      <c r="BE491" s="126"/>
      <c r="BF491" s="127">
        <v>4402</v>
      </c>
      <c r="BG491" s="97" t="s">
        <v>443</v>
      </c>
      <c r="BH491" s="127">
        <v>343782.21</v>
      </c>
      <c r="BI491" s="127">
        <v>4402</v>
      </c>
      <c r="BJ491" s="97" t="s">
        <v>443</v>
      </c>
      <c r="BK491" s="127">
        <v>241149.29</v>
      </c>
    </row>
    <row r="492" spans="1:63" x14ac:dyDescent="0.25">
      <c r="B492" s="121">
        <v>440210</v>
      </c>
      <c r="C492" s="122" t="s">
        <v>444</v>
      </c>
      <c r="D492" s="128"/>
      <c r="E492" s="123">
        <v>6001.66</v>
      </c>
      <c r="F492" s="123">
        <v>19787.88</v>
      </c>
      <c r="G492" s="123">
        <v>31670.78</v>
      </c>
      <c r="H492" s="123">
        <v>27033.59</v>
      </c>
      <c r="I492" s="123">
        <v>51701.83</v>
      </c>
      <c r="J492" s="123">
        <v>55914.21</v>
      </c>
      <c r="K492" s="123">
        <v>51104.25</v>
      </c>
      <c r="L492" s="123">
        <v>69727.100000000006</v>
      </c>
      <c r="M492" s="123">
        <v>76932.59</v>
      </c>
      <c r="N492" s="123">
        <v>64093.98</v>
      </c>
      <c r="O492" s="123">
        <v>89914.79</v>
      </c>
      <c r="P492" s="123">
        <v>94159.65</v>
      </c>
      <c r="Q492" s="128"/>
      <c r="R492" s="128"/>
      <c r="S492" s="128"/>
      <c r="T492" s="128"/>
      <c r="U492" s="123">
        <v>35156.089999999997</v>
      </c>
      <c r="V492" s="123">
        <v>30310.52</v>
      </c>
      <c r="W492" s="123">
        <v>21636.36</v>
      </c>
      <c r="X492" s="123">
        <v>20521.740000000002</v>
      </c>
      <c r="Y492" s="123">
        <v>19299.11</v>
      </c>
      <c r="Z492" s="123">
        <v>20648.02</v>
      </c>
      <c r="AA492" s="123">
        <v>18328.39</v>
      </c>
      <c r="AB492" s="123">
        <v>19675.439999999999</v>
      </c>
      <c r="AC492" s="129"/>
      <c r="AD492" s="129"/>
      <c r="AE492" s="124">
        <v>3353.44</v>
      </c>
      <c r="AF492" s="124">
        <v>5330.67</v>
      </c>
      <c r="AG492" s="124">
        <v>5063.18</v>
      </c>
      <c r="AH492" s="124">
        <v>3809.56</v>
      </c>
      <c r="AI492" s="124">
        <v>2980.19</v>
      </c>
      <c r="AJ492" s="124">
        <v>4542.45</v>
      </c>
      <c r="AK492" s="124">
        <v>3357.44</v>
      </c>
      <c r="AL492" s="124">
        <v>4412.8500000000004</v>
      </c>
      <c r="AM492" s="124">
        <v>3893.61</v>
      </c>
      <c r="AN492" s="124">
        <v>4636.1899999999996</v>
      </c>
      <c r="AO492" s="125">
        <v>1945.85</v>
      </c>
      <c r="AP492" s="125">
        <v>1945.85</v>
      </c>
      <c r="AQ492" s="125">
        <v>4098.12</v>
      </c>
      <c r="AR492" s="125">
        <v>3312.14</v>
      </c>
      <c r="AS492" s="125">
        <v>1923.03</v>
      </c>
      <c r="AT492" s="125">
        <v>3820.97</v>
      </c>
      <c r="AU492" s="125">
        <v>2265.8200000000002</v>
      </c>
      <c r="AV492" s="125">
        <v>2511.9</v>
      </c>
      <c r="AW492" s="125">
        <v>3544.27</v>
      </c>
      <c r="AX492" s="125">
        <v>3258.68</v>
      </c>
      <c r="AY492" s="126"/>
      <c r="AZ492" s="126"/>
      <c r="BA492" s="126"/>
      <c r="BB492" s="126"/>
      <c r="BC492" s="126"/>
      <c r="BD492" s="126"/>
      <c r="BE492" s="126"/>
      <c r="BF492" s="127">
        <v>440210</v>
      </c>
      <c r="BG492" s="97" t="s">
        <v>445</v>
      </c>
      <c r="BH492" s="127">
        <v>3809.56</v>
      </c>
      <c r="BI492" s="127">
        <v>440210</v>
      </c>
      <c r="BJ492" s="97" t="s">
        <v>445</v>
      </c>
      <c r="BK492" s="127">
        <v>2980.19</v>
      </c>
    </row>
    <row r="493" spans="1:63" x14ac:dyDescent="0.25">
      <c r="B493" s="121">
        <v>440220</v>
      </c>
      <c r="C493" s="122" t="s">
        <v>446</v>
      </c>
      <c r="D493" s="123">
        <v>228970.23999999999</v>
      </c>
      <c r="E493" s="123">
        <v>15385.76</v>
      </c>
      <c r="F493" s="123">
        <v>39602.370000000003</v>
      </c>
      <c r="G493" s="123">
        <v>64925.48</v>
      </c>
      <c r="H493" s="123">
        <v>118945.48</v>
      </c>
      <c r="I493" s="123">
        <v>135080.4</v>
      </c>
      <c r="J493" s="123">
        <v>167024.59</v>
      </c>
      <c r="K493" s="123">
        <v>159629.73000000001</v>
      </c>
      <c r="L493" s="123">
        <v>165131.41</v>
      </c>
      <c r="M493" s="123">
        <v>203777.8</v>
      </c>
      <c r="N493" s="123">
        <v>274364.23</v>
      </c>
      <c r="O493" s="123">
        <v>320931.90999999997</v>
      </c>
      <c r="P493" s="123">
        <v>316948.95</v>
      </c>
      <c r="Q493" s="128"/>
      <c r="R493" s="128"/>
      <c r="S493" s="123">
        <v>27671.34</v>
      </c>
      <c r="T493" s="123">
        <v>27671.34</v>
      </c>
      <c r="U493" s="123">
        <v>96298.13</v>
      </c>
      <c r="V493" s="123">
        <v>143679.14000000001</v>
      </c>
      <c r="W493" s="123">
        <v>185278.31</v>
      </c>
      <c r="X493" s="123">
        <v>198115.82</v>
      </c>
      <c r="Y493" s="123">
        <v>238880.95</v>
      </c>
      <c r="Z493" s="123">
        <v>436957.52</v>
      </c>
      <c r="AA493" s="123">
        <v>244853.74</v>
      </c>
      <c r="AB493" s="123">
        <v>261814.68</v>
      </c>
      <c r="AC493" s="124">
        <v>3440.02</v>
      </c>
      <c r="AD493" s="124">
        <v>74651.42</v>
      </c>
      <c r="AE493" s="124">
        <v>25525.74</v>
      </c>
      <c r="AF493" s="124">
        <v>18299.52</v>
      </c>
      <c r="AG493" s="124">
        <v>31783.16</v>
      </c>
      <c r="AH493" s="124">
        <v>195330.82</v>
      </c>
      <c r="AI493" s="124">
        <v>127058.54</v>
      </c>
      <c r="AJ493" s="124">
        <v>313491.69</v>
      </c>
      <c r="AK493" s="124">
        <v>552214.5</v>
      </c>
      <c r="AL493" s="124">
        <v>735688.97</v>
      </c>
      <c r="AM493" s="124">
        <v>750614.6</v>
      </c>
      <c r="AN493" s="124">
        <v>618694.63</v>
      </c>
      <c r="AO493" s="125">
        <v>0</v>
      </c>
      <c r="AP493" s="125">
        <v>0</v>
      </c>
      <c r="AQ493" s="125">
        <v>0</v>
      </c>
      <c r="AR493" s="125">
        <v>0</v>
      </c>
      <c r="AS493" s="125">
        <v>0</v>
      </c>
      <c r="AT493" s="125">
        <v>0</v>
      </c>
      <c r="AU493" s="125">
        <v>0</v>
      </c>
      <c r="AV493" s="125">
        <v>0</v>
      </c>
      <c r="AW493" s="125">
        <v>0</v>
      </c>
      <c r="AX493" s="125">
        <v>0</v>
      </c>
      <c r="AY493" s="126"/>
      <c r="AZ493" s="126"/>
      <c r="BA493" s="126"/>
      <c r="BB493" s="126"/>
      <c r="BC493" s="126"/>
      <c r="BD493" s="126"/>
      <c r="BE493" s="126"/>
      <c r="BF493" s="127">
        <v>440220</v>
      </c>
      <c r="BG493" s="97" t="s">
        <v>447</v>
      </c>
      <c r="BH493" s="127">
        <v>195330.82</v>
      </c>
      <c r="BI493" s="127">
        <v>440220</v>
      </c>
      <c r="BJ493" s="97" t="s">
        <v>447</v>
      </c>
      <c r="BK493" s="127">
        <v>127058.54</v>
      </c>
    </row>
    <row r="494" spans="1:63" x14ac:dyDescent="0.25">
      <c r="B494" s="121">
        <v>440240</v>
      </c>
      <c r="C494" s="152" t="s">
        <v>448</v>
      </c>
      <c r="D494" s="128"/>
      <c r="E494" s="123">
        <v>3091.61</v>
      </c>
      <c r="F494" s="123">
        <v>-1849.28</v>
      </c>
      <c r="G494" s="128"/>
      <c r="H494" s="128"/>
      <c r="I494" s="123">
        <v>28.66</v>
      </c>
      <c r="J494" s="123">
        <v>3608.14</v>
      </c>
      <c r="K494" s="123">
        <v>49291.4</v>
      </c>
      <c r="L494" s="123">
        <v>69682.52</v>
      </c>
      <c r="M494" s="123">
        <v>78980.09</v>
      </c>
      <c r="N494" s="123">
        <v>95719.75</v>
      </c>
      <c r="O494" s="123">
        <v>117488.02</v>
      </c>
      <c r="P494" s="123">
        <v>84712.14</v>
      </c>
      <c r="Q494" s="128"/>
      <c r="R494" s="128"/>
      <c r="S494" s="128"/>
      <c r="T494" s="123">
        <v>39642.35</v>
      </c>
      <c r="U494" s="123">
        <v>75300.990000000005</v>
      </c>
      <c r="V494" s="123">
        <v>125884.6</v>
      </c>
      <c r="W494" s="123">
        <v>170967.76</v>
      </c>
      <c r="X494" s="123">
        <v>169735.26</v>
      </c>
      <c r="Y494" s="123">
        <v>196453.01</v>
      </c>
      <c r="Z494" s="123">
        <v>243305.25</v>
      </c>
      <c r="AA494" s="123">
        <v>224683.92</v>
      </c>
      <c r="AB494" s="123">
        <v>232903.8</v>
      </c>
      <c r="AC494" s="124">
        <v>39840.22</v>
      </c>
      <c r="AD494" s="124">
        <v>95928.95</v>
      </c>
      <c r="AE494" s="124">
        <v>72463.78</v>
      </c>
      <c r="AF494" s="124">
        <v>103808.35</v>
      </c>
      <c r="AG494" s="124">
        <v>137683.9</v>
      </c>
      <c r="AH494" s="124">
        <v>144641.82999999999</v>
      </c>
      <c r="AI494" s="124">
        <v>111110.56</v>
      </c>
      <c r="AJ494" s="124">
        <v>204934.29</v>
      </c>
      <c r="AK494" s="124">
        <v>269523.75</v>
      </c>
      <c r="AL494" s="124">
        <v>371478.55</v>
      </c>
      <c r="AM494" s="124">
        <v>336204.18</v>
      </c>
      <c r="AN494" s="124">
        <v>232396.19</v>
      </c>
      <c r="AO494" s="125">
        <v>1226.92</v>
      </c>
      <c r="AP494" s="125">
        <v>29925.61</v>
      </c>
      <c r="AQ494" s="125">
        <v>36861.589999999997</v>
      </c>
      <c r="AR494" s="125">
        <v>47695.16</v>
      </c>
      <c r="AS494" s="125">
        <v>74373.740000000005</v>
      </c>
      <c r="AT494" s="125">
        <v>111457.85</v>
      </c>
      <c r="AU494" s="125">
        <v>142778.89000000001</v>
      </c>
      <c r="AV494" s="125">
        <v>198755.1</v>
      </c>
      <c r="AW494" s="125">
        <v>238143.64</v>
      </c>
      <c r="AX494" s="125">
        <v>262228.34000000003</v>
      </c>
      <c r="AY494" s="126"/>
      <c r="AZ494" s="126"/>
      <c r="BA494" s="126"/>
      <c r="BB494" s="126"/>
      <c r="BC494" s="126"/>
      <c r="BD494" s="126"/>
      <c r="BE494" s="126"/>
      <c r="BF494" s="127">
        <v>440240</v>
      </c>
      <c r="BG494" s="97" t="s">
        <v>9</v>
      </c>
      <c r="BH494" s="127">
        <v>144641.82999999999</v>
      </c>
      <c r="BI494" s="120">
        <v>440240</v>
      </c>
      <c r="BJ494" s="113" t="s">
        <v>9</v>
      </c>
      <c r="BK494" s="120">
        <v>111110.56</v>
      </c>
    </row>
    <row r="495" spans="1:63" x14ac:dyDescent="0.25">
      <c r="B495" s="121">
        <v>4403</v>
      </c>
      <c r="C495" s="152" t="s">
        <v>265</v>
      </c>
      <c r="D495" s="123">
        <v>108636.98</v>
      </c>
      <c r="E495" s="128"/>
      <c r="F495" s="128"/>
      <c r="G495" s="123">
        <v>22835.33</v>
      </c>
      <c r="H495" s="123">
        <v>22835.33</v>
      </c>
      <c r="I495" s="123">
        <v>22835.33</v>
      </c>
      <c r="J495" s="123">
        <v>36944.39</v>
      </c>
      <c r="K495" s="123">
        <v>36944.39</v>
      </c>
      <c r="L495" s="123">
        <v>36944.39</v>
      </c>
      <c r="M495" s="123">
        <v>36944.39</v>
      </c>
      <c r="N495" s="123">
        <v>36944.39</v>
      </c>
      <c r="O495" s="123">
        <v>36944.39</v>
      </c>
      <c r="P495" s="123">
        <v>45768.95</v>
      </c>
      <c r="Q495" s="128"/>
      <c r="R495" s="128"/>
      <c r="S495" s="123">
        <v>21808.63</v>
      </c>
      <c r="T495" s="123">
        <v>21808.63</v>
      </c>
      <c r="U495" s="123">
        <v>21808.63</v>
      </c>
      <c r="V495" s="123">
        <v>36671.129999999997</v>
      </c>
      <c r="W495" s="123">
        <v>36671.129999999997</v>
      </c>
      <c r="X495" s="123">
        <v>36671.129999999997</v>
      </c>
      <c r="Y495" s="123">
        <v>53324.13</v>
      </c>
      <c r="Z495" s="123">
        <v>53324.13</v>
      </c>
      <c r="AA495" s="123">
        <v>53324.13</v>
      </c>
      <c r="AB495" s="123">
        <v>38364.68</v>
      </c>
      <c r="AC495" s="129"/>
      <c r="AD495" s="129"/>
      <c r="AE495" s="124">
        <v>15490.13</v>
      </c>
      <c r="AF495" s="124">
        <v>15490.13</v>
      </c>
      <c r="AG495" s="124">
        <v>15490.13</v>
      </c>
      <c r="AH495" s="124">
        <v>29289.43</v>
      </c>
      <c r="AI495" s="124">
        <v>29289.43</v>
      </c>
      <c r="AJ495" s="124">
        <v>29289.43</v>
      </c>
      <c r="AK495" s="124">
        <v>39805.82</v>
      </c>
      <c r="AL495" s="124">
        <v>39805.82</v>
      </c>
      <c r="AM495" s="124">
        <v>39805.82</v>
      </c>
      <c r="AN495" s="124">
        <v>41185.599999999999</v>
      </c>
      <c r="AO495" s="125">
        <v>0</v>
      </c>
      <c r="AP495" s="125">
        <v>0</v>
      </c>
      <c r="AQ495" s="125">
        <v>0</v>
      </c>
      <c r="AR495" s="125">
        <v>0</v>
      </c>
      <c r="AS495" s="125">
        <v>0</v>
      </c>
      <c r="AT495" s="125">
        <v>0</v>
      </c>
      <c r="AU495" s="125">
        <v>0</v>
      </c>
      <c r="AV495" s="125">
        <v>0</v>
      </c>
      <c r="AW495" s="125">
        <v>0</v>
      </c>
      <c r="AX495" s="125">
        <v>0</v>
      </c>
      <c r="AY495" s="126"/>
      <c r="AZ495" s="126"/>
      <c r="BA495" s="126"/>
      <c r="BB495" s="126"/>
      <c r="BC495" s="126"/>
      <c r="BD495" s="126"/>
      <c r="BE495" s="126"/>
      <c r="BF495" s="127">
        <v>4403</v>
      </c>
      <c r="BG495" s="97" t="s">
        <v>265</v>
      </c>
      <c r="BH495" s="127">
        <v>29289.43</v>
      </c>
      <c r="BI495" s="127">
        <v>4403</v>
      </c>
      <c r="BJ495" s="97" t="s">
        <v>265</v>
      </c>
      <c r="BK495" s="127">
        <v>29289.43</v>
      </c>
    </row>
    <row r="496" spans="1:63" x14ac:dyDescent="0.25">
      <c r="B496" s="121">
        <v>4404</v>
      </c>
      <c r="C496" s="152" t="s">
        <v>449</v>
      </c>
      <c r="D496" s="128"/>
      <c r="E496" s="128"/>
      <c r="F496" s="128"/>
      <c r="G496" s="128"/>
      <c r="H496" s="128"/>
      <c r="I496" s="123">
        <v>639.33000000000004</v>
      </c>
      <c r="J496" s="123">
        <v>1278.6600000000001</v>
      </c>
      <c r="K496" s="123">
        <v>2557.3200000000002</v>
      </c>
      <c r="L496" s="123">
        <v>3196.65</v>
      </c>
      <c r="M496" s="123">
        <v>3196.65</v>
      </c>
      <c r="N496" s="123">
        <v>3196.65</v>
      </c>
      <c r="O496" s="123">
        <v>4475.32</v>
      </c>
      <c r="P496" s="123">
        <v>5114.6499999999996</v>
      </c>
      <c r="Q496" s="123">
        <v>639.33000000000004</v>
      </c>
      <c r="R496" s="128"/>
      <c r="S496" s="128"/>
      <c r="T496" s="128"/>
      <c r="U496" s="128"/>
      <c r="V496" s="128"/>
      <c r="W496" s="128"/>
      <c r="X496" s="128"/>
      <c r="Y496" s="128"/>
      <c r="Z496" s="128"/>
      <c r="AA496" s="128"/>
      <c r="AB496" s="128"/>
      <c r="AC496" s="129"/>
      <c r="AD496" s="129"/>
      <c r="AE496" s="129"/>
      <c r="AF496" s="129"/>
      <c r="AG496" s="129"/>
      <c r="AH496" s="129"/>
      <c r="AI496" s="129"/>
      <c r="AJ496" s="124">
        <v>0</v>
      </c>
      <c r="AK496" s="124">
        <v>0</v>
      </c>
      <c r="AL496" s="124">
        <v>0</v>
      </c>
      <c r="AM496" s="124">
        <v>0</v>
      </c>
      <c r="AN496" s="124">
        <v>0</v>
      </c>
      <c r="AO496" s="125">
        <v>0</v>
      </c>
      <c r="AP496" s="125">
        <v>0</v>
      </c>
      <c r="AQ496" s="125">
        <v>0</v>
      </c>
      <c r="AR496" s="125">
        <v>0</v>
      </c>
      <c r="AS496" s="125">
        <v>0</v>
      </c>
      <c r="AT496" s="125">
        <v>0</v>
      </c>
      <c r="AU496" s="125">
        <v>0</v>
      </c>
      <c r="AV496" s="125">
        <v>0</v>
      </c>
      <c r="AW496" s="125">
        <v>0</v>
      </c>
      <c r="AX496" s="125">
        <v>0</v>
      </c>
      <c r="AY496" s="126"/>
      <c r="AZ496" s="126"/>
      <c r="BA496" s="126"/>
      <c r="BB496" s="126"/>
      <c r="BC496" s="126"/>
      <c r="BD496" s="126"/>
      <c r="BE496" s="126"/>
    </row>
    <row r="497" spans="2:63" x14ac:dyDescent="0.25">
      <c r="B497" s="121">
        <v>4405</v>
      </c>
      <c r="C497" s="152" t="s">
        <v>450</v>
      </c>
      <c r="D497" s="123">
        <v>1899.27</v>
      </c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  <c r="AA497" s="128"/>
      <c r="AB497" s="128"/>
      <c r="AC497" s="129"/>
      <c r="AD497" s="129"/>
      <c r="AE497" s="124">
        <v>69.010000000000005</v>
      </c>
      <c r="AF497" s="124">
        <v>69.010000000000005</v>
      </c>
      <c r="AG497" s="124">
        <v>69.010000000000005</v>
      </c>
      <c r="AH497" s="124">
        <v>69.400000000000006</v>
      </c>
      <c r="AI497" s="124">
        <v>69.400000000000006</v>
      </c>
      <c r="AJ497" s="124">
        <v>69.400000000000006</v>
      </c>
      <c r="AK497" s="124">
        <v>70</v>
      </c>
      <c r="AL497" s="124">
        <v>70</v>
      </c>
      <c r="AM497" s="124">
        <v>70</v>
      </c>
      <c r="AN497" s="124">
        <v>70</v>
      </c>
      <c r="AO497" s="125">
        <v>0</v>
      </c>
      <c r="AP497" s="125">
        <v>0</v>
      </c>
      <c r="AQ497" s="125">
        <v>0</v>
      </c>
      <c r="AR497" s="125">
        <v>0</v>
      </c>
      <c r="AS497" s="125">
        <v>0</v>
      </c>
      <c r="AT497" s="125">
        <v>0</v>
      </c>
      <c r="AU497" s="125">
        <v>0</v>
      </c>
      <c r="AV497" s="125">
        <v>0</v>
      </c>
      <c r="AW497" s="125">
        <v>0</v>
      </c>
      <c r="AX497" s="125">
        <v>0</v>
      </c>
      <c r="AY497" s="126"/>
      <c r="AZ497" s="126"/>
      <c r="BA497" s="126"/>
      <c r="BB497" s="126"/>
      <c r="BC497" s="126"/>
      <c r="BD497" s="126"/>
      <c r="BE497" s="126"/>
      <c r="BF497" s="120">
        <v>4405</v>
      </c>
      <c r="BG497" s="113" t="s">
        <v>450</v>
      </c>
      <c r="BH497" s="120">
        <v>69.400000000000006</v>
      </c>
      <c r="BI497" s="127">
        <v>4405</v>
      </c>
      <c r="BJ497" s="97" t="s">
        <v>450</v>
      </c>
      <c r="BK497" s="127">
        <v>69.400000000000006</v>
      </c>
    </row>
    <row r="498" spans="2:63" x14ac:dyDescent="0.25">
      <c r="B498" s="121">
        <v>4406</v>
      </c>
      <c r="C498" s="152" t="s">
        <v>451</v>
      </c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3">
        <v>551.86</v>
      </c>
      <c r="W498" s="123">
        <v>551.86</v>
      </c>
      <c r="X498" s="123">
        <v>551.86</v>
      </c>
      <c r="Y498" s="123">
        <v>551.86</v>
      </c>
      <c r="Z498" s="123">
        <v>551.86</v>
      </c>
      <c r="AA498" s="123">
        <v>551.86</v>
      </c>
      <c r="AB498" s="123">
        <v>551.86</v>
      </c>
      <c r="AC498" s="129"/>
      <c r="AD498" s="124">
        <v>250</v>
      </c>
      <c r="AE498" s="129"/>
      <c r="AF498" s="129"/>
      <c r="AG498" s="129"/>
      <c r="AH498" s="129"/>
      <c r="AI498" s="129"/>
      <c r="AJ498" s="124">
        <v>0</v>
      </c>
      <c r="AK498" s="124">
        <v>0</v>
      </c>
      <c r="AL498" s="124">
        <v>0</v>
      </c>
      <c r="AM498" s="124">
        <v>0</v>
      </c>
      <c r="AN498" s="124">
        <v>0</v>
      </c>
      <c r="AO498" s="125">
        <v>0</v>
      </c>
      <c r="AP498" s="125">
        <v>0</v>
      </c>
      <c r="AQ498" s="125">
        <v>0</v>
      </c>
      <c r="AR498" s="125">
        <v>0</v>
      </c>
      <c r="AS498" s="125">
        <v>0</v>
      </c>
      <c r="AT498" s="125">
        <v>0</v>
      </c>
      <c r="AU498" s="125">
        <v>0</v>
      </c>
      <c r="AV498" s="125">
        <v>0</v>
      </c>
      <c r="AW498" s="125">
        <v>0</v>
      </c>
      <c r="AX498" s="125">
        <v>0</v>
      </c>
      <c r="AY498" s="126"/>
      <c r="AZ498" s="126"/>
      <c r="BA498" s="126"/>
      <c r="BB498" s="126"/>
      <c r="BC498" s="126"/>
      <c r="BD498" s="126"/>
      <c r="BE498" s="126"/>
      <c r="BF498" s="113"/>
      <c r="BG498" s="113"/>
      <c r="BH498" s="113"/>
    </row>
    <row r="499" spans="2:63" x14ac:dyDescent="0.25">
      <c r="B499" s="121">
        <v>45</v>
      </c>
      <c r="C499" s="122" t="s">
        <v>452</v>
      </c>
      <c r="D499" s="123">
        <v>3323137.95</v>
      </c>
      <c r="E499" s="123">
        <v>277577.13</v>
      </c>
      <c r="F499" s="123">
        <v>532193.21</v>
      </c>
      <c r="G499" s="123">
        <v>807969.21</v>
      </c>
      <c r="H499" s="123">
        <v>1042236.51</v>
      </c>
      <c r="I499" s="123">
        <v>1301800.3</v>
      </c>
      <c r="J499" s="123">
        <v>1585017.28</v>
      </c>
      <c r="K499" s="123">
        <v>1810470.53</v>
      </c>
      <c r="L499" s="123">
        <v>2026464.52</v>
      </c>
      <c r="M499" s="123">
        <v>2246434.41</v>
      </c>
      <c r="N499" s="123">
        <v>2455986.84</v>
      </c>
      <c r="O499" s="123">
        <v>2636147.36</v>
      </c>
      <c r="P499" s="123">
        <v>2895307.96</v>
      </c>
      <c r="Q499" s="123">
        <v>195140.8</v>
      </c>
      <c r="R499" s="123">
        <v>382820.15</v>
      </c>
      <c r="S499" s="123">
        <v>568780.54</v>
      </c>
      <c r="T499" s="123">
        <v>764235.67</v>
      </c>
      <c r="U499" s="123">
        <v>977437.95</v>
      </c>
      <c r="V499" s="123">
        <v>1171808.69</v>
      </c>
      <c r="W499" s="123">
        <v>1372857.29</v>
      </c>
      <c r="X499" s="123">
        <v>1593066.43</v>
      </c>
      <c r="Y499" s="123">
        <v>1792609.63</v>
      </c>
      <c r="Z499" s="123">
        <v>2004142.04</v>
      </c>
      <c r="AA499" s="123">
        <v>2225061.92</v>
      </c>
      <c r="AB499" s="123">
        <v>2397475.0499999998</v>
      </c>
      <c r="AC499" s="124">
        <v>205046.9</v>
      </c>
      <c r="AD499" s="124">
        <v>423854.51</v>
      </c>
      <c r="AE499" s="124">
        <v>623084.78</v>
      </c>
      <c r="AF499" s="124">
        <v>838296.44</v>
      </c>
      <c r="AG499" s="124">
        <v>1062842.3700000001</v>
      </c>
      <c r="AH499" s="124">
        <v>1306380.45</v>
      </c>
      <c r="AI499" s="124">
        <v>1552877.03</v>
      </c>
      <c r="AJ499" s="124">
        <v>1810124.95</v>
      </c>
      <c r="AK499" s="124">
        <v>2067698.62</v>
      </c>
      <c r="AL499" s="124">
        <v>2373263.5299999998</v>
      </c>
      <c r="AM499" s="124">
        <v>2666336.34</v>
      </c>
      <c r="AN499" s="124">
        <v>3085539.97</v>
      </c>
      <c r="AO499" s="125">
        <v>305002.06</v>
      </c>
      <c r="AP499" s="125">
        <v>693584.52</v>
      </c>
      <c r="AQ499" s="125">
        <v>1034599.55</v>
      </c>
      <c r="AR499" s="125">
        <v>1384388.24</v>
      </c>
      <c r="AS499" s="125">
        <v>1755698.04</v>
      </c>
      <c r="AT499" s="125">
        <v>2138400.91</v>
      </c>
      <c r="AU499" s="125">
        <v>2488847.7799999998</v>
      </c>
      <c r="AV499" s="125">
        <v>2852379.79</v>
      </c>
      <c r="AW499" s="125">
        <v>3221519.37</v>
      </c>
      <c r="AX499" s="125">
        <v>3591148.41</v>
      </c>
      <c r="AY499" s="126"/>
      <c r="AZ499" s="126"/>
      <c r="BA499" s="126"/>
      <c r="BB499" s="126"/>
      <c r="BC499" s="126"/>
      <c r="BD499" s="126"/>
      <c r="BE499" s="126"/>
      <c r="BF499" s="127">
        <v>45</v>
      </c>
      <c r="BG499" s="97" t="s">
        <v>452</v>
      </c>
      <c r="BH499" s="127">
        <v>1306380.45</v>
      </c>
      <c r="BI499" s="127">
        <v>45</v>
      </c>
      <c r="BJ499" s="97" t="s">
        <v>452</v>
      </c>
      <c r="BK499" s="127">
        <v>1552877.03</v>
      </c>
    </row>
    <row r="500" spans="2:63" x14ac:dyDescent="0.25">
      <c r="B500" s="121">
        <v>4501</v>
      </c>
      <c r="C500" s="122" t="s">
        <v>453</v>
      </c>
      <c r="D500" s="123">
        <v>1411417.18</v>
      </c>
      <c r="E500" s="123">
        <v>128704.11</v>
      </c>
      <c r="F500" s="123">
        <v>241629.58</v>
      </c>
      <c r="G500" s="123">
        <v>371955.15</v>
      </c>
      <c r="H500" s="123">
        <v>499426.32</v>
      </c>
      <c r="I500" s="123">
        <v>622932.93000000005</v>
      </c>
      <c r="J500" s="123">
        <v>760960.78</v>
      </c>
      <c r="K500" s="123">
        <v>873959.66</v>
      </c>
      <c r="L500" s="123">
        <v>962414.21</v>
      </c>
      <c r="M500" s="123">
        <v>1065251.55</v>
      </c>
      <c r="N500" s="123">
        <v>1174793.5900000001</v>
      </c>
      <c r="O500" s="123">
        <v>1278478.7</v>
      </c>
      <c r="P500" s="123">
        <v>1402362.93</v>
      </c>
      <c r="Q500" s="123">
        <v>100393.61</v>
      </c>
      <c r="R500" s="123">
        <v>193746.73</v>
      </c>
      <c r="S500" s="123">
        <v>278919.71999999997</v>
      </c>
      <c r="T500" s="123">
        <v>369271.57</v>
      </c>
      <c r="U500" s="123">
        <v>458468.27</v>
      </c>
      <c r="V500" s="123">
        <v>545922.99</v>
      </c>
      <c r="W500" s="123">
        <v>631739.94999999995</v>
      </c>
      <c r="X500" s="123">
        <v>727606.15</v>
      </c>
      <c r="Y500" s="123">
        <v>817548.06</v>
      </c>
      <c r="Z500" s="123">
        <v>918056.04</v>
      </c>
      <c r="AA500" s="123">
        <v>1018532.25</v>
      </c>
      <c r="AB500" s="123">
        <v>1125698.48</v>
      </c>
      <c r="AC500" s="124">
        <v>91489.05</v>
      </c>
      <c r="AD500" s="124">
        <v>199664.63</v>
      </c>
      <c r="AE500" s="124">
        <v>286228.59999999998</v>
      </c>
      <c r="AF500" s="124">
        <v>381650.84</v>
      </c>
      <c r="AG500" s="124">
        <v>468551.5</v>
      </c>
      <c r="AH500" s="124">
        <v>562670.18000000005</v>
      </c>
      <c r="AI500" s="124">
        <v>662114.98</v>
      </c>
      <c r="AJ500" s="124">
        <v>762364.56</v>
      </c>
      <c r="AK500" s="124">
        <v>873434.3</v>
      </c>
      <c r="AL500" s="124">
        <v>1015401.94</v>
      </c>
      <c r="AM500" s="124">
        <v>1157623.93</v>
      </c>
      <c r="AN500" s="124">
        <v>1365403.75</v>
      </c>
      <c r="AO500" s="125">
        <v>143378.32999999999</v>
      </c>
      <c r="AP500" s="125">
        <v>306454.63</v>
      </c>
      <c r="AQ500" s="125">
        <v>464399.75</v>
      </c>
      <c r="AR500" s="125">
        <v>640399.57999999996</v>
      </c>
      <c r="AS500" s="125">
        <v>806637.71</v>
      </c>
      <c r="AT500" s="125">
        <v>973059.2</v>
      </c>
      <c r="AU500" s="125">
        <v>1132094.79</v>
      </c>
      <c r="AV500" s="125">
        <v>1304685.58</v>
      </c>
      <c r="AW500" s="125">
        <v>1482318.1</v>
      </c>
      <c r="AX500" s="125">
        <v>1653323.28</v>
      </c>
      <c r="AY500" s="126"/>
      <c r="AZ500" s="126"/>
      <c r="BA500" s="126"/>
      <c r="BB500" s="126"/>
      <c r="BC500" s="126"/>
      <c r="BD500" s="126"/>
      <c r="BE500" s="126"/>
      <c r="BF500" s="127">
        <v>4501</v>
      </c>
      <c r="BG500" s="97" t="s">
        <v>453</v>
      </c>
      <c r="BH500" s="127">
        <v>562670.18000000005</v>
      </c>
      <c r="BI500" s="127">
        <v>4501</v>
      </c>
      <c r="BJ500" s="97" t="s">
        <v>453</v>
      </c>
      <c r="BK500" s="127">
        <v>662114.98</v>
      </c>
    </row>
    <row r="501" spans="2:63" x14ac:dyDescent="0.25">
      <c r="B501" s="121">
        <v>450105</v>
      </c>
      <c r="C501" s="122" t="s">
        <v>454</v>
      </c>
      <c r="D501" s="123">
        <v>886143.38</v>
      </c>
      <c r="E501" s="123">
        <v>80285.55</v>
      </c>
      <c r="F501" s="123">
        <v>158903.87</v>
      </c>
      <c r="G501" s="123">
        <v>236357.35</v>
      </c>
      <c r="H501" s="123">
        <v>319870.69</v>
      </c>
      <c r="I501" s="123">
        <v>401551.96</v>
      </c>
      <c r="J501" s="123">
        <v>482115.7</v>
      </c>
      <c r="K501" s="123">
        <v>556223.06000000006</v>
      </c>
      <c r="L501" s="123">
        <v>628281.18000000005</v>
      </c>
      <c r="M501" s="123">
        <v>700109.3</v>
      </c>
      <c r="N501" s="123">
        <v>772890.76</v>
      </c>
      <c r="O501" s="123">
        <v>845851.35</v>
      </c>
      <c r="P501" s="123">
        <v>917022.8</v>
      </c>
      <c r="Q501" s="123">
        <v>64501.21</v>
      </c>
      <c r="R501" s="123">
        <v>128299.42</v>
      </c>
      <c r="S501" s="123">
        <v>191464.29</v>
      </c>
      <c r="T501" s="123">
        <v>254085.37</v>
      </c>
      <c r="U501" s="123">
        <v>316983.58</v>
      </c>
      <c r="V501" s="123">
        <v>379723.45</v>
      </c>
      <c r="W501" s="123">
        <v>443863.32</v>
      </c>
      <c r="X501" s="123">
        <v>509910.69</v>
      </c>
      <c r="Y501" s="123">
        <v>576399.66</v>
      </c>
      <c r="Z501" s="123">
        <v>643607.27</v>
      </c>
      <c r="AA501" s="123">
        <v>710131.73</v>
      </c>
      <c r="AB501" s="123">
        <v>776967.77</v>
      </c>
      <c r="AC501" s="124">
        <v>65128.59</v>
      </c>
      <c r="AD501" s="124">
        <v>133694.12</v>
      </c>
      <c r="AE501" s="124">
        <v>197212.66</v>
      </c>
      <c r="AF501" s="124">
        <v>259420.86</v>
      </c>
      <c r="AG501" s="124">
        <v>320735.21999999997</v>
      </c>
      <c r="AH501" s="124">
        <v>379998.93</v>
      </c>
      <c r="AI501" s="124">
        <v>441644.14</v>
      </c>
      <c r="AJ501" s="124">
        <v>507938.15</v>
      </c>
      <c r="AK501" s="124">
        <v>584133.76</v>
      </c>
      <c r="AL501" s="124">
        <v>666796.93999999994</v>
      </c>
      <c r="AM501" s="124">
        <v>754749.93</v>
      </c>
      <c r="AN501" s="124">
        <v>840613.47</v>
      </c>
      <c r="AO501" s="125">
        <v>87777.34</v>
      </c>
      <c r="AP501" s="125">
        <v>179823.88</v>
      </c>
      <c r="AQ501" s="125">
        <v>273770.42</v>
      </c>
      <c r="AR501" s="125">
        <v>372132.6</v>
      </c>
      <c r="AS501" s="125">
        <v>470333.14</v>
      </c>
      <c r="AT501" s="125">
        <v>568075.88</v>
      </c>
      <c r="AU501" s="125">
        <v>664156.89</v>
      </c>
      <c r="AV501" s="125">
        <v>765809.02</v>
      </c>
      <c r="AW501" s="125">
        <v>867542.89</v>
      </c>
      <c r="AX501" s="125">
        <v>970364.26</v>
      </c>
      <c r="AY501" s="126"/>
      <c r="AZ501" s="126"/>
      <c r="BA501" s="126"/>
      <c r="BB501" s="126"/>
      <c r="BC501" s="126"/>
      <c r="BD501" s="126"/>
      <c r="BE501" s="126"/>
      <c r="BF501" s="127">
        <v>450105</v>
      </c>
      <c r="BG501" s="97" t="s">
        <v>454</v>
      </c>
      <c r="BH501" s="127">
        <v>379998.93</v>
      </c>
      <c r="BI501" s="127">
        <v>450105</v>
      </c>
      <c r="BJ501" s="97" t="s">
        <v>454</v>
      </c>
      <c r="BK501" s="127">
        <v>441644.14</v>
      </c>
    </row>
    <row r="502" spans="2:63" x14ac:dyDescent="0.25">
      <c r="B502" s="121">
        <v>450110</v>
      </c>
      <c r="C502" s="122" t="s">
        <v>455</v>
      </c>
      <c r="D502" s="123">
        <v>109315.11</v>
      </c>
      <c r="E502" s="123">
        <v>10439.290000000001</v>
      </c>
      <c r="F502" s="123">
        <v>19743.87</v>
      </c>
      <c r="G502" s="123">
        <v>30154.26</v>
      </c>
      <c r="H502" s="123">
        <v>40324.43</v>
      </c>
      <c r="I502" s="123">
        <v>50533.75</v>
      </c>
      <c r="J502" s="123">
        <v>60304.44</v>
      </c>
      <c r="K502" s="123">
        <v>69109.39</v>
      </c>
      <c r="L502" s="123">
        <v>77680.820000000007</v>
      </c>
      <c r="M502" s="123">
        <v>86372.86</v>
      </c>
      <c r="N502" s="123">
        <v>95410.16</v>
      </c>
      <c r="O502" s="123">
        <v>104232.92</v>
      </c>
      <c r="P502" s="123">
        <v>112947.11</v>
      </c>
      <c r="Q502" s="123">
        <v>8750.7000000000007</v>
      </c>
      <c r="R502" s="123">
        <v>16676.349999999999</v>
      </c>
      <c r="S502" s="123">
        <v>24515.51</v>
      </c>
      <c r="T502" s="123">
        <v>32314.82</v>
      </c>
      <c r="U502" s="123">
        <v>40050.25</v>
      </c>
      <c r="V502" s="123">
        <v>47796.59</v>
      </c>
      <c r="W502" s="123">
        <v>55876.22</v>
      </c>
      <c r="X502" s="123">
        <v>63656.11</v>
      </c>
      <c r="Y502" s="123">
        <v>71956.789999999994</v>
      </c>
      <c r="Z502" s="123">
        <v>80250.070000000007</v>
      </c>
      <c r="AA502" s="123">
        <v>88644.96</v>
      </c>
      <c r="AB502" s="123">
        <v>96712.88</v>
      </c>
      <c r="AC502" s="124">
        <v>8253.19</v>
      </c>
      <c r="AD502" s="124">
        <v>17166.189999999999</v>
      </c>
      <c r="AE502" s="124">
        <v>24650.73</v>
      </c>
      <c r="AF502" s="124">
        <v>32483.119999999999</v>
      </c>
      <c r="AG502" s="124">
        <v>40241.75</v>
      </c>
      <c r="AH502" s="124">
        <v>48242.59</v>
      </c>
      <c r="AI502" s="124">
        <v>56149.78</v>
      </c>
      <c r="AJ502" s="124">
        <v>65159.28</v>
      </c>
      <c r="AK502" s="124">
        <v>74276.37</v>
      </c>
      <c r="AL502" s="124">
        <v>85662.1</v>
      </c>
      <c r="AM502" s="124">
        <v>97106.49</v>
      </c>
      <c r="AN502" s="124">
        <v>109267.55</v>
      </c>
      <c r="AO502" s="125">
        <v>12209.95</v>
      </c>
      <c r="AP502" s="125">
        <v>25178.560000000001</v>
      </c>
      <c r="AQ502" s="125">
        <v>38224.26</v>
      </c>
      <c r="AR502" s="125">
        <v>52472.27</v>
      </c>
      <c r="AS502" s="125">
        <v>66621.460000000006</v>
      </c>
      <c r="AT502" s="125">
        <v>81031.75</v>
      </c>
      <c r="AU502" s="125">
        <v>95001.45</v>
      </c>
      <c r="AV502" s="125">
        <v>110041.23</v>
      </c>
      <c r="AW502" s="125">
        <v>124858.9</v>
      </c>
      <c r="AX502" s="125">
        <v>139490.97</v>
      </c>
      <c r="AY502" s="126"/>
      <c r="AZ502" s="126"/>
      <c r="BA502" s="126"/>
      <c r="BB502" s="126"/>
      <c r="BC502" s="126"/>
      <c r="BD502" s="126"/>
      <c r="BE502" s="126"/>
      <c r="BF502" s="127">
        <v>450110</v>
      </c>
      <c r="BG502" s="97" t="s">
        <v>455</v>
      </c>
      <c r="BH502" s="127">
        <v>48242.59</v>
      </c>
      <c r="BI502" s="127">
        <v>450110</v>
      </c>
      <c r="BJ502" s="97" t="s">
        <v>455</v>
      </c>
      <c r="BK502" s="127">
        <v>56149.78</v>
      </c>
    </row>
    <row r="503" spans="2:63" x14ac:dyDescent="0.25">
      <c r="B503" s="121">
        <v>45011005</v>
      </c>
      <c r="C503" s="122" t="s">
        <v>316</v>
      </c>
      <c r="D503" s="123">
        <v>81686.23</v>
      </c>
      <c r="E503" s="123">
        <v>7207.74</v>
      </c>
      <c r="F503" s="123">
        <v>14068.54</v>
      </c>
      <c r="G503" s="123">
        <v>22061.93</v>
      </c>
      <c r="H503" s="123">
        <v>29723.38</v>
      </c>
      <c r="I503" s="123">
        <v>37480.660000000003</v>
      </c>
      <c r="J503" s="123">
        <v>44832.35</v>
      </c>
      <c r="K503" s="123">
        <v>51308.02</v>
      </c>
      <c r="L503" s="123">
        <v>57598.51</v>
      </c>
      <c r="M503" s="123">
        <v>64012.03</v>
      </c>
      <c r="N503" s="123">
        <v>70704.710000000006</v>
      </c>
      <c r="O503" s="123">
        <v>77172.210000000006</v>
      </c>
      <c r="P503" s="123">
        <v>83583.09</v>
      </c>
      <c r="Q503" s="123">
        <v>5824.91</v>
      </c>
      <c r="R503" s="123">
        <v>11479.31</v>
      </c>
      <c r="S503" s="123">
        <v>17103.47</v>
      </c>
      <c r="T503" s="123">
        <v>22728.400000000001</v>
      </c>
      <c r="U503" s="123">
        <v>28242.58</v>
      </c>
      <c r="V503" s="123">
        <v>33733.919999999998</v>
      </c>
      <c r="W503" s="123">
        <v>39355.22</v>
      </c>
      <c r="X503" s="123">
        <v>45100.87</v>
      </c>
      <c r="Y503" s="123">
        <v>51015.3</v>
      </c>
      <c r="Z503" s="123">
        <v>56918.58</v>
      </c>
      <c r="AA503" s="123">
        <v>62954.720000000001</v>
      </c>
      <c r="AB503" s="123">
        <v>68622.64</v>
      </c>
      <c r="AC503" s="124">
        <v>5674.48</v>
      </c>
      <c r="AD503" s="124">
        <v>11737.47</v>
      </c>
      <c r="AE503" s="124">
        <v>17273.939999999999</v>
      </c>
      <c r="AF503" s="124">
        <v>22849.83</v>
      </c>
      <c r="AG503" s="124">
        <v>28367.279999999999</v>
      </c>
      <c r="AH503" s="124">
        <v>34125.67</v>
      </c>
      <c r="AI503" s="124">
        <v>39772.519999999997</v>
      </c>
      <c r="AJ503" s="124">
        <v>46231.94</v>
      </c>
      <c r="AK503" s="124">
        <v>52678.52</v>
      </c>
      <c r="AL503" s="124">
        <v>60996.37</v>
      </c>
      <c r="AM503" s="124">
        <v>69194</v>
      </c>
      <c r="AN503" s="124">
        <v>78038.009999999995</v>
      </c>
      <c r="AO503" s="125">
        <v>8498.0300000000007</v>
      </c>
      <c r="AP503" s="125">
        <v>17841.04</v>
      </c>
      <c r="AQ503" s="125">
        <v>27172.37</v>
      </c>
      <c r="AR503" s="125">
        <v>37565.01</v>
      </c>
      <c r="AS503" s="125">
        <v>47813.14</v>
      </c>
      <c r="AT503" s="125">
        <v>58298.86</v>
      </c>
      <c r="AU503" s="125">
        <v>68250.240000000005</v>
      </c>
      <c r="AV503" s="125">
        <v>79039.070000000007</v>
      </c>
      <c r="AW503" s="125">
        <v>89868.42</v>
      </c>
      <c r="AX503" s="125">
        <v>100462.33</v>
      </c>
      <c r="AY503" s="126"/>
      <c r="AZ503" s="126"/>
      <c r="BA503" s="126"/>
      <c r="BB503" s="126"/>
      <c r="BC503" s="126"/>
      <c r="BD503" s="126"/>
      <c r="BE503" s="126"/>
      <c r="BF503" s="127">
        <v>45011005</v>
      </c>
      <c r="BG503" s="97" t="s">
        <v>316</v>
      </c>
      <c r="BH503" s="127">
        <v>34125.67</v>
      </c>
      <c r="BI503" s="127">
        <v>45011005</v>
      </c>
      <c r="BJ503" s="97" t="s">
        <v>316</v>
      </c>
      <c r="BK503" s="127">
        <v>39772.519999999997</v>
      </c>
    </row>
    <row r="504" spans="2:63" x14ac:dyDescent="0.25">
      <c r="B504" s="121">
        <v>45011010</v>
      </c>
      <c r="C504" s="122" t="s">
        <v>317</v>
      </c>
      <c r="D504" s="123">
        <v>27628.880000000001</v>
      </c>
      <c r="E504" s="123">
        <v>3231.55</v>
      </c>
      <c r="F504" s="123">
        <v>5675.33</v>
      </c>
      <c r="G504" s="123">
        <v>8092.33</v>
      </c>
      <c r="H504" s="123">
        <v>10601.05</v>
      </c>
      <c r="I504" s="123">
        <v>13053.09</v>
      </c>
      <c r="J504" s="123">
        <v>15472.09</v>
      </c>
      <c r="K504" s="123">
        <v>17801.37</v>
      </c>
      <c r="L504" s="123">
        <v>20082.310000000001</v>
      </c>
      <c r="M504" s="123">
        <v>22360.83</v>
      </c>
      <c r="N504" s="123">
        <v>24705.45</v>
      </c>
      <c r="O504" s="123">
        <v>27060.71</v>
      </c>
      <c r="P504" s="123">
        <v>29364.02</v>
      </c>
      <c r="Q504" s="123">
        <v>2925.79</v>
      </c>
      <c r="R504" s="123">
        <v>5197.04</v>
      </c>
      <c r="S504" s="123">
        <v>7412.04</v>
      </c>
      <c r="T504" s="123">
        <v>9586.42</v>
      </c>
      <c r="U504" s="123">
        <v>11807.67</v>
      </c>
      <c r="V504" s="123">
        <v>14062.67</v>
      </c>
      <c r="W504" s="123">
        <v>16521</v>
      </c>
      <c r="X504" s="123">
        <v>18555.240000000002</v>
      </c>
      <c r="Y504" s="123">
        <v>20941.490000000002</v>
      </c>
      <c r="Z504" s="123">
        <v>23331.49</v>
      </c>
      <c r="AA504" s="123">
        <v>25690.240000000002</v>
      </c>
      <c r="AB504" s="123">
        <v>28090.240000000002</v>
      </c>
      <c r="AC504" s="124">
        <v>2578.71</v>
      </c>
      <c r="AD504" s="124">
        <v>5428.72</v>
      </c>
      <c r="AE504" s="124">
        <v>7376.79</v>
      </c>
      <c r="AF504" s="124">
        <v>9633.2900000000009</v>
      </c>
      <c r="AG504" s="124">
        <v>11874.47</v>
      </c>
      <c r="AH504" s="124">
        <v>14116.92</v>
      </c>
      <c r="AI504" s="124">
        <v>16377.26</v>
      </c>
      <c r="AJ504" s="124">
        <v>18927.34</v>
      </c>
      <c r="AK504" s="124">
        <v>21597.85</v>
      </c>
      <c r="AL504" s="124">
        <v>24665.73</v>
      </c>
      <c r="AM504" s="124">
        <v>27912.49</v>
      </c>
      <c r="AN504" s="124">
        <v>31229.54</v>
      </c>
      <c r="AO504" s="125">
        <v>3711.92</v>
      </c>
      <c r="AP504" s="125">
        <v>7337.52</v>
      </c>
      <c r="AQ504" s="125">
        <v>11051.89</v>
      </c>
      <c r="AR504" s="125">
        <v>14907.26</v>
      </c>
      <c r="AS504" s="125">
        <v>18808.32</v>
      </c>
      <c r="AT504" s="125">
        <v>22732.89</v>
      </c>
      <c r="AU504" s="125">
        <v>26751.21</v>
      </c>
      <c r="AV504" s="125">
        <v>31002.16</v>
      </c>
      <c r="AW504" s="125">
        <v>34990.480000000003</v>
      </c>
      <c r="AX504" s="125">
        <v>39028.639999999999</v>
      </c>
      <c r="AY504" s="126"/>
      <c r="AZ504" s="126"/>
      <c r="BA504" s="126"/>
      <c r="BB504" s="126"/>
      <c r="BC504" s="126"/>
      <c r="BD504" s="126"/>
      <c r="BE504" s="126"/>
      <c r="BF504" s="127">
        <v>45011010</v>
      </c>
      <c r="BG504" s="97" t="s">
        <v>317</v>
      </c>
      <c r="BH504" s="127">
        <v>14116.92</v>
      </c>
      <c r="BI504" s="127">
        <v>45011010</v>
      </c>
      <c r="BJ504" s="97" t="s">
        <v>317</v>
      </c>
      <c r="BK504" s="127">
        <v>16377.26</v>
      </c>
    </row>
    <row r="505" spans="2:63" x14ac:dyDescent="0.25">
      <c r="B505" s="142">
        <v>450120</v>
      </c>
      <c r="C505" s="145" t="s">
        <v>319</v>
      </c>
      <c r="D505" s="123">
        <v>128634.54</v>
      </c>
      <c r="E505" s="123">
        <v>10586.62</v>
      </c>
      <c r="F505" s="123">
        <v>20747.72</v>
      </c>
      <c r="G505" s="123">
        <v>32521.88</v>
      </c>
      <c r="H505" s="123">
        <v>43878.68</v>
      </c>
      <c r="I505" s="123">
        <v>55337.31</v>
      </c>
      <c r="J505" s="123">
        <v>66233.52</v>
      </c>
      <c r="K505" s="123">
        <v>75835.5</v>
      </c>
      <c r="L505" s="123">
        <v>85095.79</v>
      </c>
      <c r="M505" s="123">
        <v>94387.92</v>
      </c>
      <c r="N505" s="123">
        <v>104404.98</v>
      </c>
      <c r="O505" s="123">
        <v>113861.23</v>
      </c>
      <c r="P505" s="123">
        <v>123437.65</v>
      </c>
      <c r="Q505" s="123">
        <v>8658.6299999999992</v>
      </c>
      <c r="R505" s="123">
        <v>17092.52</v>
      </c>
      <c r="S505" s="123">
        <v>25472.37</v>
      </c>
      <c r="T505" s="123">
        <v>33865.03</v>
      </c>
      <c r="U505" s="123">
        <v>42119.96</v>
      </c>
      <c r="V505" s="123">
        <v>50116.7</v>
      </c>
      <c r="W505" s="123">
        <v>58429.23</v>
      </c>
      <c r="X505" s="123">
        <v>66886.61</v>
      </c>
      <c r="Y505" s="123">
        <v>75587.45</v>
      </c>
      <c r="Z505" s="123">
        <v>84250.59</v>
      </c>
      <c r="AA505" s="123">
        <v>93211.8</v>
      </c>
      <c r="AB505" s="123">
        <v>102007.53</v>
      </c>
      <c r="AC505" s="124">
        <v>8409.7999999999993</v>
      </c>
      <c r="AD505" s="124">
        <v>17486.93</v>
      </c>
      <c r="AE505" s="124">
        <v>25883.71</v>
      </c>
      <c r="AF505" s="124">
        <v>34371.68</v>
      </c>
      <c r="AG505" s="124">
        <v>42562.63</v>
      </c>
      <c r="AH505" s="124">
        <v>51189.67</v>
      </c>
      <c r="AI505" s="124">
        <v>59760.76</v>
      </c>
      <c r="AJ505" s="124">
        <v>69060.759999999995</v>
      </c>
      <c r="AK505" s="124">
        <v>78461</v>
      </c>
      <c r="AL505" s="124">
        <v>90571.85</v>
      </c>
      <c r="AM505" s="124">
        <v>102286.32</v>
      </c>
      <c r="AN505" s="124">
        <v>115702</v>
      </c>
      <c r="AO505" s="125">
        <v>12550.15</v>
      </c>
      <c r="AP505" s="125">
        <v>26239.35</v>
      </c>
      <c r="AQ505" s="125">
        <v>39869.78</v>
      </c>
      <c r="AR505" s="125">
        <v>55107.78</v>
      </c>
      <c r="AS505" s="125">
        <v>70007.59</v>
      </c>
      <c r="AT505" s="125">
        <v>85493.57</v>
      </c>
      <c r="AU505" s="125">
        <v>99960.86</v>
      </c>
      <c r="AV505" s="125">
        <v>115946.79</v>
      </c>
      <c r="AW505" s="125">
        <v>131923.54</v>
      </c>
      <c r="AX505" s="125">
        <v>147504.97</v>
      </c>
      <c r="AY505" s="126"/>
      <c r="AZ505" s="126"/>
      <c r="BA505" s="126"/>
      <c r="BB505" s="126"/>
      <c r="BC505" s="126"/>
      <c r="BD505" s="126"/>
      <c r="BE505" s="126"/>
      <c r="BF505" s="127">
        <v>450120</v>
      </c>
      <c r="BG505" s="97" t="s">
        <v>319</v>
      </c>
      <c r="BH505" s="127">
        <v>51189.67</v>
      </c>
      <c r="BI505" s="127">
        <v>450120</v>
      </c>
      <c r="BJ505" s="97" t="s">
        <v>319</v>
      </c>
      <c r="BK505" s="127">
        <v>59760.76</v>
      </c>
    </row>
    <row r="506" spans="2:63" x14ac:dyDescent="0.25">
      <c r="B506" s="121">
        <v>450130</v>
      </c>
      <c r="C506" s="152" t="s">
        <v>456</v>
      </c>
      <c r="D506" s="123">
        <v>53230.47</v>
      </c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3">
        <v>9337</v>
      </c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  <c r="AA506" s="128"/>
      <c r="AB506" s="123">
        <v>6967.6</v>
      </c>
      <c r="AC506" s="129"/>
      <c r="AD506" s="129"/>
      <c r="AE506" s="129"/>
      <c r="AF506" s="129"/>
      <c r="AG506" s="129"/>
      <c r="AH506" s="129"/>
      <c r="AI506" s="129"/>
      <c r="AJ506" s="124">
        <v>0</v>
      </c>
      <c r="AK506" s="124">
        <v>0</v>
      </c>
      <c r="AL506" s="124">
        <v>0</v>
      </c>
      <c r="AM506" s="124">
        <v>0</v>
      </c>
      <c r="AN506" s="124">
        <v>0</v>
      </c>
      <c r="AO506" s="125">
        <v>0</v>
      </c>
      <c r="AP506" s="125">
        <v>0</v>
      </c>
      <c r="AQ506" s="125">
        <v>0</v>
      </c>
      <c r="AR506" s="125">
        <v>0</v>
      </c>
      <c r="AS506" s="125">
        <v>0</v>
      </c>
      <c r="AT506" s="125">
        <v>0</v>
      </c>
      <c r="AU506" s="125">
        <v>0</v>
      </c>
      <c r="AV506" s="125">
        <v>0</v>
      </c>
      <c r="AW506" s="125">
        <v>0</v>
      </c>
      <c r="AX506" s="125">
        <v>0</v>
      </c>
      <c r="AY506" s="126"/>
      <c r="AZ506" s="126"/>
      <c r="BA506" s="126"/>
      <c r="BB506" s="126"/>
      <c r="BC506" s="126"/>
      <c r="BD506" s="126"/>
      <c r="BE506" s="126"/>
    </row>
    <row r="507" spans="2:63" x14ac:dyDescent="0.25">
      <c r="B507" s="121">
        <v>450135</v>
      </c>
      <c r="C507" s="122" t="s">
        <v>320</v>
      </c>
      <c r="D507" s="123">
        <v>74671.83</v>
      </c>
      <c r="E507" s="123">
        <v>5871.62</v>
      </c>
      <c r="F507" s="123">
        <v>11486.24</v>
      </c>
      <c r="G507" s="123">
        <v>18065.04</v>
      </c>
      <c r="H507" s="123">
        <v>24297.74</v>
      </c>
      <c r="I507" s="123">
        <v>30493.200000000001</v>
      </c>
      <c r="J507" s="123">
        <v>36654.04</v>
      </c>
      <c r="K507" s="123">
        <v>42233.78</v>
      </c>
      <c r="L507" s="123">
        <v>47690.42</v>
      </c>
      <c r="M507" s="123">
        <v>53385.59</v>
      </c>
      <c r="N507" s="123">
        <v>59406.9</v>
      </c>
      <c r="O507" s="123">
        <v>65307.49</v>
      </c>
      <c r="P507" s="123">
        <v>71170.3</v>
      </c>
      <c r="Q507" s="123">
        <v>5384.45</v>
      </c>
      <c r="R507" s="123">
        <v>10620.8</v>
      </c>
      <c r="S507" s="123">
        <v>15835.09</v>
      </c>
      <c r="T507" s="123">
        <v>21114.720000000001</v>
      </c>
      <c r="U507" s="123">
        <v>26259.58</v>
      </c>
      <c r="V507" s="123">
        <v>31345.01</v>
      </c>
      <c r="W507" s="123">
        <v>36494.660000000003</v>
      </c>
      <c r="X507" s="123">
        <v>41653.629999999997</v>
      </c>
      <c r="Y507" s="123">
        <v>46843.86</v>
      </c>
      <c r="Z507" s="123">
        <v>52042.63</v>
      </c>
      <c r="AA507" s="123">
        <v>57274.7</v>
      </c>
      <c r="AB507" s="123">
        <v>62385.84</v>
      </c>
      <c r="AC507" s="124">
        <v>4932.95</v>
      </c>
      <c r="AD507" s="124">
        <v>10102.379999999999</v>
      </c>
      <c r="AE507" s="124">
        <v>14881.06</v>
      </c>
      <c r="AF507" s="124">
        <v>19609.23</v>
      </c>
      <c r="AG507" s="124">
        <v>24147.03</v>
      </c>
      <c r="AH507" s="124">
        <v>28885.57</v>
      </c>
      <c r="AI507" s="124">
        <v>33546.06</v>
      </c>
      <c r="AJ507" s="124">
        <v>38507.11</v>
      </c>
      <c r="AK507" s="124">
        <v>43165.36</v>
      </c>
      <c r="AL507" s="124">
        <v>48597.81</v>
      </c>
      <c r="AM507" s="124">
        <v>54178.64</v>
      </c>
      <c r="AN507" s="124">
        <v>60220.6</v>
      </c>
      <c r="AO507" s="125">
        <v>5756.41</v>
      </c>
      <c r="AP507" s="125">
        <v>11773.43</v>
      </c>
      <c r="AQ507" s="125">
        <v>17367.900000000001</v>
      </c>
      <c r="AR507" s="125">
        <v>23211.27</v>
      </c>
      <c r="AS507" s="125">
        <v>29119.47</v>
      </c>
      <c r="AT507" s="125">
        <v>35400.32</v>
      </c>
      <c r="AU507" s="125">
        <v>41556.519999999997</v>
      </c>
      <c r="AV507" s="125">
        <v>48463.16</v>
      </c>
      <c r="AW507" s="125">
        <v>55837.98</v>
      </c>
      <c r="AX507" s="125">
        <v>63289.43</v>
      </c>
      <c r="AY507" s="126"/>
      <c r="AZ507" s="126"/>
      <c r="BA507" s="126"/>
      <c r="BB507" s="126"/>
      <c r="BC507" s="126"/>
      <c r="BD507" s="126"/>
      <c r="BE507" s="126"/>
      <c r="BF507" s="127">
        <v>450135</v>
      </c>
      <c r="BG507" s="97" t="s">
        <v>320</v>
      </c>
      <c r="BH507" s="127">
        <v>28885.57</v>
      </c>
      <c r="BI507" s="120">
        <v>450135</v>
      </c>
      <c r="BJ507" s="113" t="s">
        <v>320</v>
      </c>
      <c r="BK507" s="120">
        <v>33546.06</v>
      </c>
    </row>
    <row r="508" spans="2:63" x14ac:dyDescent="0.25">
      <c r="B508" s="121">
        <v>450190</v>
      </c>
      <c r="C508" s="122" t="s">
        <v>249</v>
      </c>
      <c r="D508" s="123">
        <v>159421.85</v>
      </c>
      <c r="E508" s="123">
        <v>21521.03</v>
      </c>
      <c r="F508" s="123">
        <v>30747.88</v>
      </c>
      <c r="G508" s="123">
        <v>54856.62</v>
      </c>
      <c r="H508" s="123">
        <v>71054.78</v>
      </c>
      <c r="I508" s="123">
        <v>85016.71</v>
      </c>
      <c r="J508" s="123">
        <v>115653.08</v>
      </c>
      <c r="K508" s="123">
        <v>130557.93</v>
      </c>
      <c r="L508" s="123">
        <v>123666</v>
      </c>
      <c r="M508" s="123">
        <v>130995.88</v>
      </c>
      <c r="N508" s="123">
        <v>142680.79</v>
      </c>
      <c r="O508" s="123">
        <v>149225.71</v>
      </c>
      <c r="P508" s="123">
        <v>168448.07</v>
      </c>
      <c r="Q508" s="123">
        <v>13098.62</v>
      </c>
      <c r="R508" s="123">
        <v>21057.64</v>
      </c>
      <c r="S508" s="123">
        <v>21632.46</v>
      </c>
      <c r="T508" s="123">
        <v>27891.63</v>
      </c>
      <c r="U508" s="123">
        <v>33054.9</v>
      </c>
      <c r="V508" s="123">
        <v>36941.24</v>
      </c>
      <c r="W508" s="123">
        <v>37076.519999999997</v>
      </c>
      <c r="X508" s="123">
        <v>45499.11</v>
      </c>
      <c r="Y508" s="123">
        <v>46760.3</v>
      </c>
      <c r="Z508" s="123">
        <v>57905.48</v>
      </c>
      <c r="AA508" s="123">
        <v>69269.06</v>
      </c>
      <c r="AB508" s="123">
        <v>80656.86</v>
      </c>
      <c r="AC508" s="124">
        <v>4764.5200000000004</v>
      </c>
      <c r="AD508" s="124">
        <v>21215.01</v>
      </c>
      <c r="AE508" s="124">
        <v>23600.44</v>
      </c>
      <c r="AF508" s="124">
        <v>35765.949999999997</v>
      </c>
      <c r="AG508" s="124">
        <v>40864.870000000003</v>
      </c>
      <c r="AH508" s="124">
        <v>54353.42</v>
      </c>
      <c r="AI508" s="124">
        <v>71014.240000000005</v>
      </c>
      <c r="AJ508" s="124">
        <v>81699.259999999995</v>
      </c>
      <c r="AK508" s="124">
        <v>93397.81</v>
      </c>
      <c r="AL508" s="124">
        <v>123773.24</v>
      </c>
      <c r="AM508" s="124">
        <v>149302.54999999999</v>
      </c>
      <c r="AN508" s="124">
        <v>208155.2</v>
      </c>
      <c r="AO508" s="125">
        <v>25084.48</v>
      </c>
      <c r="AP508" s="125">
        <v>63439.41</v>
      </c>
      <c r="AQ508" s="125">
        <v>95167.39</v>
      </c>
      <c r="AR508" s="125">
        <v>137475.66</v>
      </c>
      <c r="AS508" s="125">
        <v>170556.05</v>
      </c>
      <c r="AT508" s="125">
        <v>203057.68</v>
      </c>
      <c r="AU508" s="125">
        <v>231419.07</v>
      </c>
      <c r="AV508" s="125">
        <v>264425.38</v>
      </c>
      <c r="AW508" s="125">
        <v>302154.78999999998</v>
      </c>
      <c r="AX508" s="125">
        <v>332673.65000000002</v>
      </c>
      <c r="AY508" s="126"/>
      <c r="AZ508" s="126"/>
      <c r="BA508" s="126"/>
      <c r="BB508" s="126"/>
      <c r="BC508" s="126"/>
      <c r="BD508" s="126"/>
      <c r="BE508" s="126"/>
      <c r="BF508" s="127">
        <v>450190</v>
      </c>
      <c r="BG508" s="97" t="s">
        <v>249</v>
      </c>
      <c r="BH508" s="127">
        <v>54353.42</v>
      </c>
      <c r="BI508" s="127">
        <v>450190</v>
      </c>
      <c r="BJ508" s="97" t="s">
        <v>249</v>
      </c>
      <c r="BK508" s="127">
        <v>71014.240000000005</v>
      </c>
    </row>
    <row r="509" spans="2:63" x14ac:dyDescent="0.25">
      <c r="B509" s="121">
        <v>45019005</v>
      </c>
      <c r="C509" s="122" t="s">
        <v>457</v>
      </c>
      <c r="D509" s="123">
        <v>78190.990000000005</v>
      </c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3">
        <v>90</v>
      </c>
      <c r="U509" s="123">
        <v>440</v>
      </c>
      <c r="V509" s="123">
        <v>440</v>
      </c>
      <c r="W509" s="123">
        <v>440</v>
      </c>
      <c r="X509" s="123">
        <v>440</v>
      </c>
      <c r="Y509" s="123">
        <v>440</v>
      </c>
      <c r="Z509" s="123">
        <v>440</v>
      </c>
      <c r="AA509" s="123">
        <v>440</v>
      </c>
      <c r="AB509" s="123">
        <v>440</v>
      </c>
      <c r="AC509" s="129"/>
      <c r="AD509" s="129"/>
      <c r="AE509" s="129"/>
      <c r="AF509" s="129"/>
      <c r="AG509" s="129"/>
      <c r="AH509" s="129"/>
      <c r="AI509" s="129"/>
      <c r="AJ509" s="124">
        <v>0</v>
      </c>
      <c r="AK509" s="124">
        <v>0</v>
      </c>
      <c r="AL509" s="124">
        <v>0</v>
      </c>
      <c r="AM509" s="124">
        <v>0</v>
      </c>
      <c r="AN509" s="124">
        <v>0</v>
      </c>
      <c r="AO509" s="125">
        <v>0</v>
      </c>
      <c r="AP509" s="125">
        <v>0</v>
      </c>
      <c r="AQ509" s="125">
        <v>0</v>
      </c>
      <c r="AR509" s="125">
        <v>0</v>
      </c>
      <c r="AS509" s="125">
        <v>0</v>
      </c>
      <c r="AT509" s="125">
        <v>0</v>
      </c>
      <c r="AU509" s="125">
        <v>0</v>
      </c>
      <c r="AV509" s="125">
        <v>0</v>
      </c>
      <c r="AW509" s="125">
        <v>0</v>
      </c>
      <c r="AX509" s="125">
        <v>0</v>
      </c>
      <c r="AY509" s="126"/>
      <c r="AZ509" s="126"/>
      <c r="BA509" s="126"/>
      <c r="BB509" s="126"/>
      <c r="BC509" s="126"/>
      <c r="BD509" s="126"/>
      <c r="BE509" s="126"/>
    </row>
    <row r="510" spans="2:63" x14ac:dyDescent="0.25">
      <c r="B510" s="121">
        <v>45019010</v>
      </c>
      <c r="C510" s="122" t="s">
        <v>457</v>
      </c>
      <c r="D510" s="123">
        <v>77677.25</v>
      </c>
      <c r="E510" s="123">
        <v>4935.91</v>
      </c>
      <c r="F510" s="123">
        <v>7406.07</v>
      </c>
      <c r="G510" s="123">
        <v>24315.53</v>
      </c>
      <c r="H510" s="123">
        <v>30997.72</v>
      </c>
      <c r="I510" s="123">
        <v>40920.120000000003</v>
      </c>
      <c r="J510" s="123">
        <v>47048.62</v>
      </c>
      <c r="K510" s="123">
        <v>48911.67</v>
      </c>
      <c r="L510" s="123">
        <v>50714.26</v>
      </c>
      <c r="M510" s="123">
        <v>54298.13</v>
      </c>
      <c r="N510" s="123">
        <v>60518.64</v>
      </c>
      <c r="O510" s="123">
        <v>63810.31</v>
      </c>
      <c r="P510" s="123">
        <v>68255.14</v>
      </c>
      <c r="Q510" s="123">
        <v>4346.88</v>
      </c>
      <c r="R510" s="123">
        <v>7315.62</v>
      </c>
      <c r="S510" s="123">
        <v>10564.79</v>
      </c>
      <c r="T510" s="123">
        <v>14358.88</v>
      </c>
      <c r="U510" s="123">
        <v>16571.82</v>
      </c>
      <c r="V510" s="123">
        <v>18398.849999999999</v>
      </c>
      <c r="W510" s="123">
        <v>20363.669999999998</v>
      </c>
      <c r="X510" s="123">
        <v>22410.85</v>
      </c>
      <c r="Y510" s="123">
        <v>25417.75</v>
      </c>
      <c r="Z510" s="123">
        <v>28123.18</v>
      </c>
      <c r="AA510" s="123">
        <v>32834.839999999997</v>
      </c>
      <c r="AB510" s="123">
        <v>35562.21</v>
      </c>
      <c r="AC510" s="124">
        <v>2252.42</v>
      </c>
      <c r="AD510" s="124">
        <v>5373.84</v>
      </c>
      <c r="AE510" s="124">
        <v>7042.09</v>
      </c>
      <c r="AF510" s="124">
        <v>10875.59</v>
      </c>
      <c r="AG510" s="124">
        <v>15175.35</v>
      </c>
      <c r="AH510" s="124">
        <v>23172.61</v>
      </c>
      <c r="AI510" s="124">
        <v>28008.59</v>
      </c>
      <c r="AJ510" s="124">
        <v>35112.03</v>
      </c>
      <c r="AK510" s="124">
        <v>35112.03</v>
      </c>
      <c r="AL510" s="124">
        <v>50817.71</v>
      </c>
      <c r="AM510" s="124">
        <v>59112.04</v>
      </c>
      <c r="AN510" s="124">
        <v>78455.289999999994</v>
      </c>
      <c r="AO510" s="125">
        <v>11781.67</v>
      </c>
      <c r="AP510" s="125">
        <v>30171.360000000001</v>
      </c>
      <c r="AQ510" s="125">
        <v>44617.94</v>
      </c>
      <c r="AR510" s="125">
        <v>69018.5</v>
      </c>
      <c r="AS510" s="125">
        <v>90526.67</v>
      </c>
      <c r="AT510" s="125">
        <v>116326.55</v>
      </c>
      <c r="AU510" s="125">
        <v>137600.65</v>
      </c>
      <c r="AV510" s="125">
        <v>162500.75</v>
      </c>
      <c r="AW510" s="125">
        <v>187376.58</v>
      </c>
      <c r="AX510" s="125">
        <v>208130.1</v>
      </c>
      <c r="AY510" s="126"/>
      <c r="AZ510" s="126"/>
      <c r="BA510" s="126"/>
      <c r="BB510" s="126"/>
      <c r="BC510" s="126"/>
      <c r="BD510" s="126"/>
      <c r="BE510" s="126"/>
      <c r="BF510" s="120">
        <v>45019010</v>
      </c>
      <c r="BG510" s="113" t="s">
        <v>457</v>
      </c>
      <c r="BH510" s="120">
        <v>23172.61</v>
      </c>
      <c r="BI510" s="127">
        <v>45019010</v>
      </c>
      <c r="BJ510" s="97" t="s">
        <v>457</v>
      </c>
      <c r="BK510" s="127">
        <v>28008.59</v>
      </c>
    </row>
    <row r="511" spans="2:63" x14ac:dyDescent="0.25">
      <c r="B511" s="121">
        <v>4501901005</v>
      </c>
      <c r="C511" s="122" t="s">
        <v>458</v>
      </c>
      <c r="D511" s="123">
        <v>513.74</v>
      </c>
      <c r="E511" s="123">
        <v>4935.91</v>
      </c>
      <c r="F511" s="123">
        <v>7406.07</v>
      </c>
      <c r="G511" s="123">
        <v>24315.53</v>
      </c>
      <c r="H511" s="123">
        <v>30997.72</v>
      </c>
      <c r="I511" s="123">
        <v>39621.69</v>
      </c>
      <c r="J511" s="123">
        <v>45750.19</v>
      </c>
      <c r="K511" s="123">
        <v>47613.24</v>
      </c>
      <c r="L511" s="123">
        <v>49415.83</v>
      </c>
      <c r="M511" s="123">
        <v>52999.7</v>
      </c>
      <c r="N511" s="123">
        <v>59220.21</v>
      </c>
      <c r="O511" s="123">
        <v>62511.88</v>
      </c>
      <c r="P511" s="123">
        <v>66956.710000000006</v>
      </c>
      <c r="Q511" s="123">
        <v>4346.88</v>
      </c>
      <c r="R511" s="123">
        <v>3227.69</v>
      </c>
      <c r="S511" s="123">
        <v>4236.8500000000004</v>
      </c>
      <c r="T511" s="123">
        <v>5209.41</v>
      </c>
      <c r="U511" s="123">
        <v>5825.66</v>
      </c>
      <c r="V511" s="123">
        <v>6169.42</v>
      </c>
      <c r="W511" s="123">
        <v>7109.02</v>
      </c>
      <c r="X511" s="123">
        <v>7876.68</v>
      </c>
      <c r="Y511" s="123">
        <v>9473.41</v>
      </c>
      <c r="Z511" s="123">
        <v>10349.06</v>
      </c>
      <c r="AA511" s="123">
        <v>12525.62</v>
      </c>
      <c r="AB511" s="123">
        <v>13261.17</v>
      </c>
      <c r="AC511" s="124">
        <v>454.44</v>
      </c>
      <c r="AD511" s="124">
        <v>1269.46</v>
      </c>
      <c r="AE511" s="124">
        <v>1764.93</v>
      </c>
      <c r="AF511" s="124">
        <v>2672.29</v>
      </c>
      <c r="AG511" s="124">
        <v>5068.9399999999996</v>
      </c>
      <c r="AH511" s="124">
        <v>5737.42</v>
      </c>
      <c r="AI511" s="124">
        <v>6437.26</v>
      </c>
      <c r="AJ511" s="124">
        <v>7329.07</v>
      </c>
      <c r="AK511" s="124">
        <v>7329.07</v>
      </c>
      <c r="AL511" s="124">
        <v>11248.85</v>
      </c>
      <c r="AM511" s="124">
        <v>11518.76</v>
      </c>
      <c r="AN511" s="124">
        <v>14701.37</v>
      </c>
      <c r="AO511" s="125">
        <v>2306.65</v>
      </c>
      <c r="AP511" s="125">
        <v>6893.74</v>
      </c>
      <c r="AQ511" s="125">
        <v>11479.28</v>
      </c>
      <c r="AR511" s="125">
        <v>14546.7</v>
      </c>
      <c r="AS511" s="125">
        <v>19139.27</v>
      </c>
      <c r="AT511" s="125">
        <v>25749.75</v>
      </c>
      <c r="AU511" s="125">
        <v>30936.15</v>
      </c>
      <c r="AV511" s="125">
        <v>28580.03</v>
      </c>
      <c r="AW511" s="125">
        <v>37997.879999999997</v>
      </c>
      <c r="AX511" s="125">
        <v>45542.54</v>
      </c>
      <c r="AY511" s="126"/>
      <c r="AZ511" s="126"/>
      <c r="BA511" s="126"/>
      <c r="BB511" s="126"/>
      <c r="BC511" s="126"/>
      <c r="BD511" s="126"/>
      <c r="BE511" s="126"/>
      <c r="BF511" s="127">
        <v>4501901005</v>
      </c>
      <c r="BG511" s="97" t="s">
        <v>458</v>
      </c>
      <c r="BH511" s="127">
        <v>5737.42</v>
      </c>
      <c r="BI511" s="127">
        <v>4501901005</v>
      </c>
      <c r="BJ511" s="97" t="s">
        <v>458</v>
      </c>
      <c r="BK511" s="127">
        <v>6437.26</v>
      </c>
    </row>
    <row r="512" spans="2:63" x14ac:dyDescent="0.25">
      <c r="B512" s="121">
        <v>4501901015</v>
      </c>
      <c r="C512" s="122" t="s">
        <v>459</v>
      </c>
      <c r="D512" s="128"/>
      <c r="E512" s="128"/>
      <c r="F512" s="128"/>
      <c r="G512" s="128"/>
      <c r="H512" s="128"/>
      <c r="I512" s="123">
        <v>1298.43</v>
      </c>
      <c r="J512" s="123">
        <v>1298.43</v>
      </c>
      <c r="K512" s="123">
        <v>1298.43</v>
      </c>
      <c r="L512" s="123">
        <v>1298.43</v>
      </c>
      <c r="M512" s="123">
        <v>1298.43</v>
      </c>
      <c r="N512" s="123">
        <v>1298.43</v>
      </c>
      <c r="O512" s="123">
        <v>1298.43</v>
      </c>
      <c r="P512" s="123">
        <v>1298.43</v>
      </c>
      <c r="Q512" s="128"/>
      <c r="R512" s="123">
        <v>1093.92</v>
      </c>
      <c r="S512" s="123">
        <v>2080.73</v>
      </c>
      <c r="T512" s="123">
        <v>3177.14</v>
      </c>
      <c r="U512" s="123">
        <v>3940.69</v>
      </c>
      <c r="V512" s="123">
        <v>4914.3599999999997</v>
      </c>
      <c r="W512" s="123">
        <v>5806.66</v>
      </c>
      <c r="X512" s="123">
        <v>6953.26</v>
      </c>
      <c r="Y512" s="123">
        <v>7836.36</v>
      </c>
      <c r="Z512" s="123">
        <v>8831.33</v>
      </c>
      <c r="AA512" s="123">
        <v>11140.61</v>
      </c>
      <c r="AB512" s="123">
        <v>12307.57</v>
      </c>
      <c r="AC512" s="124">
        <v>1259.6400000000001</v>
      </c>
      <c r="AD512" s="124">
        <v>2738.18</v>
      </c>
      <c r="AE512" s="124">
        <v>3563.91</v>
      </c>
      <c r="AF512" s="124">
        <v>4587.82</v>
      </c>
      <c r="AG512" s="124">
        <v>6490.93</v>
      </c>
      <c r="AH512" s="124">
        <v>7815.85</v>
      </c>
      <c r="AI512" s="124">
        <v>8957.14</v>
      </c>
      <c r="AJ512" s="124">
        <v>10218.61</v>
      </c>
      <c r="AK512" s="124">
        <v>10218.61</v>
      </c>
      <c r="AL512" s="124">
        <v>11936.78</v>
      </c>
      <c r="AM512" s="124">
        <v>13561.2</v>
      </c>
      <c r="AN512" s="124">
        <v>14896.84</v>
      </c>
      <c r="AO512" s="125">
        <v>2945.02</v>
      </c>
      <c r="AP512" s="125">
        <v>5502.62</v>
      </c>
      <c r="AQ512" s="125">
        <v>6883.66</v>
      </c>
      <c r="AR512" s="125">
        <v>12988.32</v>
      </c>
      <c r="AS512" s="125">
        <v>18063.03</v>
      </c>
      <c r="AT512" s="125">
        <v>21498.43</v>
      </c>
      <c r="AU512" s="125">
        <v>25236.13</v>
      </c>
      <c r="AV512" s="125">
        <v>30079.31</v>
      </c>
      <c r="AW512" s="125">
        <v>32852.29</v>
      </c>
      <c r="AX512" s="125">
        <v>39041.15</v>
      </c>
      <c r="AY512" s="126"/>
      <c r="AZ512" s="126"/>
      <c r="BA512" s="126"/>
      <c r="BB512" s="126"/>
      <c r="BC512" s="126"/>
      <c r="BD512" s="126"/>
      <c r="BE512" s="126"/>
      <c r="BF512" s="127">
        <v>4501901015</v>
      </c>
      <c r="BG512" s="97" t="s">
        <v>459</v>
      </c>
      <c r="BH512" s="127">
        <v>7815.85</v>
      </c>
      <c r="BI512" s="127">
        <v>4501901015</v>
      </c>
      <c r="BJ512" s="97" t="s">
        <v>459</v>
      </c>
      <c r="BK512" s="127">
        <v>8957.14</v>
      </c>
    </row>
    <row r="513" spans="2:63" x14ac:dyDescent="0.25">
      <c r="B513" s="121">
        <v>4501901020</v>
      </c>
      <c r="C513" s="122" t="s">
        <v>460</v>
      </c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3">
        <v>1393.19</v>
      </c>
      <c r="S513" s="123">
        <v>2494.36</v>
      </c>
      <c r="T513" s="123">
        <v>4219.4799999999996</v>
      </c>
      <c r="U513" s="123">
        <v>5052.62</v>
      </c>
      <c r="V513" s="123">
        <v>5562.22</v>
      </c>
      <c r="W513" s="123">
        <v>5695.14</v>
      </c>
      <c r="X513" s="123">
        <v>5828.06</v>
      </c>
      <c r="Y513" s="123">
        <v>6355.13</v>
      </c>
      <c r="Z513" s="123">
        <v>7189.94</v>
      </c>
      <c r="AA513" s="123">
        <v>7415.76</v>
      </c>
      <c r="AB513" s="123">
        <v>8240.6200000000008</v>
      </c>
      <c r="AC513" s="124">
        <v>538.34</v>
      </c>
      <c r="AD513" s="124">
        <v>1366.2</v>
      </c>
      <c r="AE513" s="124">
        <v>1713.25</v>
      </c>
      <c r="AF513" s="124">
        <v>3615.48</v>
      </c>
      <c r="AG513" s="124">
        <v>3615.48</v>
      </c>
      <c r="AH513" s="124">
        <v>9619.34</v>
      </c>
      <c r="AI513" s="124">
        <v>12292.32</v>
      </c>
      <c r="AJ513" s="124">
        <v>17012.32</v>
      </c>
      <c r="AK513" s="124">
        <v>17012.32</v>
      </c>
      <c r="AL513" s="124">
        <v>26947.32</v>
      </c>
      <c r="AM513" s="124">
        <v>33347.32</v>
      </c>
      <c r="AN513" s="124">
        <v>48172.32</v>
      </c>
      <c r="AO513" s="125">
        <v>6530</v>
      </c>
      <c r="AP513" s="125">
        <v>17775</v>
      </c>
      <c r="AQ513" s="125">
        <v>26255</v>
      </c>
      <c r="AR513" s="125">
        <v>41321.67</v>
      </c>
      <c r="AS513" s="125">
        <v>53162.559999999998</v>
      </c>
      <c r="AT513" s="125">
        <v>68916.56</v>
      </c>
      <c r="AU513" s="125">
        <v>81266.559999999998</v>
      </c>
      <c r="AV513" s="125">
        <v>103679.6</v>
      </c>
      <c r="AW513" s="125">
        <v>116364.6</v>
      </c>
      <c r="AX513" s="125">
        <v>123384.6</v>
      </c>
      <c r="AY513" s="126"/>
      <c r="AZ513" s="126"/>
      <c r="BA513" s="126"/>
      <c r="BB513" s="126"/>
      <c r="BC513" s="126"/>
      <c r="BD513" s="126"/>
      <c r="BE513" s="126"/>
      <c r="BF513" s="127">
        <v>4501901020</v>
      </c>
      <c r="BG513" s="97" t="s">
        <v>461</v>
      </c>
      <c r="BH513" s="127">
        <v>9619.34</v>
      </c>
      <c r="BI513" s="127">
        <v>4501901020</v>
      </c>
      <c r="BJ513" s="97" t="s">
        <v>461</v>
      </c>
      <c r="BK513" s="127">
        <v>12292.32</v>
      </c>
    </row>
    <row r="514" spans="2:63" x14ac:dyDescent="0.25">
      <c r="B514" s="121">
        <v>4501901025</v>
      </c>
      <c r="C514" s="122" t="s">
        <v>462</v>
      </c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3">
        <v>1600.82</v>
      </c>
      <c r="S514" s="123">
        <v>1600.82</v>
      </c>
      <c r="T514" s="123">
        <v>1600.82</v>
      </c>
      <c r="U514" s="123">
        <v>1600.82</v>
      </c>
      <c r="V514" s="123">
        <v>1600.82</v>
      </c>
      <c r="W514" s="123">
        <v>1600.82</v>
      </c>
      <c r="X514" s="123">
        <v>1600.82</v>
      </c>
      <c r="Y514" s="123">
        <v>1600.82</v>
      </c>
      <c r="Z514" s="123">
        <v>1600.82</v>
      </c>
      <c r="AA514" s="123">
        <v>1600.82</v>
      </c>
      <c r="AB514" s="123">
        <v>1600.82</v>
      </c>
      <c r="AC514" s="129"/>
      <c r="AD514" s="129"/>
      <c r="AE514" s="129"/>
      <c r="AF514" s="129"/>
      <c r="AG514" s="129"/>
      <c r="AH514" s="129"/>
      <c r="AI514" s="129"/>
      <c r="AJ514" s="124">
        <v>0</v>
      </c>
      <c r="AK514" s="124">
        <v>0</v>
      </c>
      <c r="AL514" s="124">
        <v>0</v>
      </c>
      <c r="AM514" s="124">
        <v>0</v>
      </c>
      <c r="AN514" s="124">
        <v>0</v>
      </c>
      <c r="AO514" s="125">
        <v>0</v>
      </c>
      <c r="AP514" s="125">
        <v>0</v>
      </c>
      <c r="AQ514" s="125">
        <v>0</v>
      </c>
      <c r="AR514" s="125">
        <v>0</v>
      </c>
      <c r="AS514" s="125">
        <v>0</v>
      </c>
      <c r="AT514" s="125">
        <v>0</v>
      </c>
      <c r="AU514" s="125">
        <v>0</v>
      </c>
      <c r="AV514" s="125">
        <v>0</v>
      </c>
      <c r="AW514" s="125">
        <v>0</v>
      </c>
      <c r="AX514" s="125">
        <v>0</v>
      </c>
      <c r="AY514" s="126"/>
      <c r="AZ514" s="126"/>
      <c r="BA514" s="126"/>
      <c r="BB514" s="126"/>
      <c r="BC514" s="126"/>
      <c r="BD514" s="126"/>
      <c r="BE514" s="126"/>
    </row>
    <row r="515" spans="2:63" x14ac:dyDescent="0.25">
      <c r="B515" s="121">
        <v>4501901030</v>
      </c>
      <c r="C515" s="122" t="s">
        <v>463</v>
      </c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3">
        <v>152.03</v>
      </c>
      <c r="T515" s="123">
        <v>152.03</v>
      </c>
      <c r="U515" s="123">
        <v>152.03</v>
      </c>
      <c r="V515" s="123">
        <v>152.03</v>
      </c>
      <c r="W515" s="123">
        <v>152.03</v>
      </c>
      <c r="X515" s="123">
        <v>152.03</v>
      </c>
      <c r="Y515" s="123">
        <v>152.03</v>
      </c>
      <c r="Z515" s="123">
        <v>152.03</v>
      </c>
      <c r="AA515" s="123">
        <v>152.03</v>
      </c>
      <c r="AB515" s="123">
        <v>152.03</v>
      </c>
      <c r="AC515" s="129"/>
      <c r="AD515" s="129"/>
      <c r="AE515" s="129"/>
      <c r="AF515" s="129"/>
      <c r="AG515" s="129"/>
      <c r="AH515" s="129"/>
      <c r="AI515" s="124">
        <v>321.87</v>
      </c>
      <c r="AJ515" s="124">
        <v>552.03</v>
      </c>
      <c r="AK515" s="124">
        <v>552.03</v>
      </c>
      <c r="AL515" s="124">
        <v>684.76</v>
      </c>
      <c r="AM515" s="124">
        <v>684.76</v>
      </c>
      <c r="AN515" s="124">
        <v>684.76</v>
      </c>
      <c r="AO515" s="125">
        <v>0</v>
      </c>
      <c r="AP515" s="125">
        <v>0</v>
      </c>
      <c r="AQ515" s="125">
        <v>0</v>
      </c>
      <c r="AR515" s="125">
        <v>0</v>
      </c>
      <c r="AS515" s="125">
        <v>0</v>
      </c>
      <c r="AT515" s="125">
        <v>0</v>
      </c>
      <c r="AU515" s="125">
        <v>0</v>
      </c>
      <c r="AV515" s="125">
        <v>0</v>
      </c>
      <c r="AW515" s="125">
        <v>0</v>
      </c>
      <c r="AX515" s="125">
        <v>0</v>
      </c>
      <c r="AY515" s="126"/>
      <c r="AZ515" s="126"/>
      <c r="BA515" s="126"/>
      <c r="BB515" s="126"/>
      <c r="BC515" s="126"/>
      <c r="BD515" s="126"/>
      <c r="BE515" s="126"/>
      <c r="BI515" s="127">
        <v>4501901030</v>
      </c>
      <c r="BJ515" s="97" t="s">
        <v>463</v>
      </c>
      <c r="BK515" s="127">
        <v>321.87</v>
      </c>
    </row>
    <row r="516" spans="2:63" x14ac:dyDescent="0.25">
      <c r="B516" s="121">
        <v>45019015</v>
      </c>
      <c r="C516" s="122" t="s">
        <v>464</v>
      </c>
      <c r="D516" s="123">
        <v>20025.509999999998</v>
      </c>
      <c r="E516" s="123">
        <v>1037.6300000000001</v>
      </c>
      <c r="F516" s="123">
        <v>2044.04</v>
      </c>
      <c r="G516" s="123">
        <v>2958.97</v>
      </c>
      <c r="H516" s="123">
        <v>3810.35</v>
      </c>
      <c r="I516" s="123">
        <v>5027.79</v>
      </c>
      <c r="J516" s="123">
        <v>6462.39</v>
      </c>
      <c r="K516" s="123">
        <v>7609.69</v>
      </c>
      <c r="L516" s="123">
        <v>8387.41</v>
      </c>
      <c r="M516" s="123">
        <v>8927.9500000000007</v>
      </c>
      <c r="N516" s="123">
        <v>9441.51</v>
      </c>
      <c r="O516" s="123">
        <v>10354.66</v>
      </c>
      <c r="P516" s="123">
        <v>10984.77</v>
      </c>
      <c r="Q516" s="123">
        <v>482.23</v>
      </c>
      <c r="R516" s="123">
        <v>1181.6400000000001</v>
      </c>
      <c r="S516" s="123">
        <v>1728.02</v>
      </c>
      <c r="T516" s="123">
        <v>2206.21</v>
      </c>
      <c r="U516" s="123">
        <v>2973.33</v>
      </c>
      <c r="V516" s="123">
        <v>3607.08</v>
      </c>
      <c r="W516" s="123">
        <v>4464.72</v>
      </c>
      <c r="X516" s="123">
        <v>5052.32</v>
      </c>
      <c r="Y516" s="123">
        <v>5958.73</v>
      </c>
      <c r="Z516" s="123">
        <v>6834.27</v>
      </c>
      <c r="AA516" s="123">
        <v>7423.11</v>
      </c>
      <c r="AB516" s="123">
        <v>7891.75</v>
      </c>
      <c r="AC516" s="124">
        <v>359.41</v>
      </c>
      <c r="AD516" s="124">
        <v>733</v>
      </c>
      <c r="AE516" s="124">
        <v>988.98</v>
      </c>
      <c r="AF516" s="124">
        <v>1386.38</v>
      </c>
      <c r="AG516" s="124">
        <v>1830.86</v>
      </c>
      <c r="AH516" s="124">
        <v>2131.6799999999998</v>
      </c>
      <c r="AI516" s="124">
        <v>2510.5100000000002</v>
      </c>
      <c r="AJ516" s="124">
        <v>3273.37</v>
      </c>
      <c r="AK516" s="124">
        <v>3829.77</v>
      </c>
      <c r="AL516" s="124">
        <v>5278.63</v>
      </c>
      <c r="AM516" s="124">
        <v>5994.94</v>
      </c>
      <c r="AN516" s="124">
        <v>6763.47</v>
      </c>
      <c r="AO516" s="125">
        <v>812.63</v>
      </c>
      <c r="AP516" s="125">
        <v>1518.63</v>
      </c>
      <c r="AQ516" s="125">
        <v>2455.02</v>
      </c>
      <c r="AR516" s="125">
        <v>3417.98</v>
      </c>
      <c r="AS516" s="125">
        <v>4254.0600000000004</v>
      </c>
      <c r="AT516" s="125">
        <v>5159.74</v>
      </c>
      <c r="AU516" s="125">
        <v>6389.43</v>
      </c>
      <c r="AV516" s="125">
        <v>8301.6</v>
      </c>
      <c r="AW516" s="125">
        <v>10303.93</v>
      </c>
      <c r="AX516" s="125">
        <v>12331.94</v>
      </c>
      <c r="AY516" s="126"/>
      <c r="AZ516" s="126"/>
      <c r="BA516" s="126"/>
      <c r="BB516" s="126"/>
      <c r="BC516" s="126"/>
      <c r="BD516" s="126"/>
      <c r="BE516" s="126"/>
      <c r="BF516" s="127">
        <v>45019015</v>
      </c>
      <c r="BG516" s="97" t="s">
        <v>464</v>
      </c>
      <c r="BH516" s="127">
        <v>2131.6799999999998</v>
      </c>
      <c r="BI516" s="127">
        <v>45019015</v>
      </c>
      <c r="BJ516" s="97" t="s">
        <v>464</v>
      </c>
      <c r="BK516" s="127">
        <v>2510.5100000000002</v>
      </c>
    </row>
    <row r="517" spans="2:63" x14ac:dyDescent="0.25">
      <c r="B517" s="121">
        <v>45019020</v>
      </c>
      <c r="C517" s="122" t="s">
        <v>465</v>
      </c>
      <c r="D517" s="123">
        <v>2019.49</v>
      </c>
      <c r="E517" s="128"/>
      <c r="F517" s="128"/>
      <c r="G517" s="128"/>
      <c r="H517" s="123">
        <v>404.67</v>
      </c>
      <c r="I517" s="123">
        <v>420.38</v>
      </c>
      <c r="J517" s="123">
        <v>961.47</v>
      </c>
      <c r="K517" s="123">
        <v>986.62</v>
      </c>
      <c r="L517" s="123">
        <v>986.62</v>
      </c>
      <c r="M517" s="123">
        <v>1455.06</v>
      </c>
      <c r="N517" s="123">
        <v>1455.06</v>
      </c>
      <c r="O517" s="123">
        <v>1654.61</v>
      </c>
      <c r="P517" s="123">
        <v>1832.69</v>
      </c>
      <c r="Q517" s="123">
        <v>123.58</v>
      </c>
      <c r="R517" s="123">
        <v>194.89</v>
      </c>
      <c r="S517" s="123">
        <v>194.89</v>
      </c>
      <c r="T517" s="123">
        <v>487.02</v>
      </c>
      <c r="U517" s="123">
        <v>585.13</v>
      </c>
      <c r="V517" s="123">
        <v>639.66999999999996</v>
      </c>
      <c r="W517" s="123">
        <v>1749.27</v>
      </c>
      <c r="X517" s="123">
        <v>3147.04</v>
      </c>
      <c r="Y517" s="123">
        <v>4394.28</v>
      </c>
      <c r="Z517" s="123">
        <v>5725.05</v>
      </c>
      <c r="AA517" s="123">
        <v>7340.87</v>
      </c>
      <c r="AB517" s="123">
        <v>8243.07</v>
      </c>
      <c r="AC517" s="124">
        <v>1473.69</v>
      </c>
      <c r="AD517" s="124">
        <v>2669.88</v>
      </c>
      <c r="AE517" s="124">
        <v>3618.14</v>
      </c>
      <c r="AF517" s="124">
        <v>4968</v>
      </c>
      <c r="AG517" s="124">
        <v>5467.08</v>
      </c>
      <c r="AH517" s="124">
        <v>6106.43</v>
      </c>
      <c r="AI517" s="124">
        <v>7019.41</v>
      </c>
      <c r="AJ517" s="124">
        <v>7911.52</v>
      </c>
      <c r="AK517" s="124">
        <v>8527.4500000000007</v>
      </c>
      <c r="AL517" s="124">
        <v>9673.4599999999991</v>
      </c>
      <c r="AM517" s="124">
        <v>10269.02</v>
      </c>
      <c r="AN517" s="124">
        <v>11941.17</v>
      </c>
      <c r="AO517" s="125">
        <v>2278.44</v>
      </c>
      <c r="AP517" s="125">
        <v>3653.07</v>
      </c>
      <c r="AQ517" s="125">
        <v>6833.93</v>
      </c>
      <c r="AR517" s="125">
        <v>8472.2199999999993</v>
      </c>
      <c r="AS517" s="125">
        <v>10317.75</v>
      </c>
      <c r="AT517" s="125">
        <v>11320.29</v>
      </c>
      <c r="AU517" s="125">
        <v>13233</v>
      </c>
      <c r="AV517" s="125">
        <v>14116.81</v>
      </c>
      <c r="AW517" s="125">
        <v>14339.53</v>
      </c>
      <c r="AX517" s="125">
        <v>15436.48</v>
      </c>
      <c r="AY517" s="126"/>
      <c r="AZ517" s="126"/>
      <c r="BA517" s="126"/>
      <c r="BB517" s="126"/>
      <c r="BC517" s="126"/>
      <c r="BD517" s="126"/>
      <c r="BE517" s="126"/>
      <c r="BF517" s="127">
        <v>45019020</v>
      </c>
      <c r="BG517" s="97" t="s">
        <v>465</v>
      </c>
      <c r="BH517" s="127">
        <v>6106.43</v>
      </c>
      <c r="BI517" s="127">
        <v>45019020</v>
      </c>
      <c r="BJ517" s="97" t="s">
        <v>465</v>
      </c>
      <c r="BK517" s="127">
        <v>7019.41</v>
      </c>
    </row>
    <row r="518" spans="2:63" x14ac:dyDescent="0.25">
      <c r="B518" s="121">
        <v>45019030</v>
      </c>
      <c r="C518" s="122" t="s">
        <v>466</v>
      </c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3">
        <v>177.68</v>
      </c>
      <c r="X518" s="123">
        <v>177.68</v>
      </c>
      <c r="Y518" s="123">
        <v>177.68</v>
      </c>
      <c r="Z518" s="123">
        <v>177.68</v>
      </c>
      <c r="AA518" s="123">
        <v>177.68</v>
      </c>
      <c r="AB518" s="123">
        <v>177.68</v>
      </c>
      <c r="AC518" s="129"/>
      <c r="AD518" s="129"/>
      <c r="AE518" s="129"/>
      <c r="AF518" s="129"/>
      <c r="AG518" s="129"/>
      <c r="AH518" s="129"/>
      <c r="AI518" s="129"/>
      <c r="AJ518" s="124">
        <v>0</v>
      </c>
      <c r="AK518" s="124">
        <v>0</v>
      </c>
      <c r="AL518" s="124">
        <v>0</v>
      </c>
      <c r="AM518" s="124">
        <v>0</v>
      </c>
      <c r="AN518" s="124">
        <v>0</v>
      </c>
      <c r="AO518" s="125">
        <v>0</v>
      </c>
      <c r="AP518" s="125">
        <v>0</v>
      </c>
      <c r="AQ518" s="125">
        <v>0</v>
      </c>
      <c r="AR518" s="125">
        <v>0</v>
      </c>
      <c r="AS518" s="125">
        <v>0</v>
      </c>
      <c r="AT518" s="125">
        <v>0</v>
      </c>
      <c r="AU518" s="125">
        <v>0</v>
      </c>
      <c r="AV518" s="125">
        <v>0</v>
      </c>
      <c r="AW518" s="125">
        <v>0</v>
      </c>
      <c r="AX518" s="125">
        <v>0</v>
      </c>
      <c r="AY518" s="126"/>
      <c r="AZ518" s="126"/>
      <c r="BA518" s="126"/>
      <c r="BB518" s="126"/>
      <c r="BC518" s="126"/>
      <c r="BD518" s="126"/>
      <c r="BE518" s="126"/>
    </row>
    <row r="519" spans="2:63" x14ac:dyDescent="0.25">
      <c r="B519" s="121">
        <v>45019035</v>
      </c>
      <c r="C519" s="122" t="s">
        <v>467</v>
      </c>
      <c r="D519" s="123">
        <v>5115.3100000000004</v>
      </c>
      <c r="E519" s="123">
        <v>524.6</v>
      </c>
      <c r="F519" s="123">
        <v>1049.2</v>
      </c>
      <c r="G519" s="123">
        <v>1573.8</v>
      </c>
      <c r="H519" s="123">
        <v>2098.4</v>
      </c>
      <c r="I519" s="123">
        <v>2623</v>
      </c>
      <c r="J519" s="123">
        <v>3147.6</v>
      </c>
      <c r="K519" s="123">
        <v>3436.9</v>
      </c>
      <c r="L519" s="123">
        <v>3726.2</v>
      </c>
      <c r="M519" s="123">
        <v>4015.5</v>
      </c>
      <c r="N519" s="123">
        <v>4304.8</v>
      </c>
      <c r="O519" s="123">
        <v>4594.1000000000004</v>
      </c>
      <c r="P519" s="123">
        <v>4943.3999999999996</v>
      </c>
      <c r="Q519" s="123">
        <v>289.3</v>
      </c>
      <c r="R519" s="123">
        <v>578.6</v>
      </c>
      <c r="S519" s="123">
        <v>867.9</v>
      </c>
      <c r="T519" s="123">
        <v>1157.2</v>
      </c>
      <c r="U519" s="123">
        <v>1446.5</v>
      </c>
      <c r="V519" s="123">
        <v>1744.13</v>
      </c>
      <c r="W519" s="123">
        <v>2033.43</v>
      </c>
      <c r="X519" s="123">
        <v>2363.8200000000002</v>
      </c>
      <c r="Y519" s="123">
        <v>2619.0300000000002</v>
      </c>
      <c r="Z519" s="123">
        <v>2901.33</v>
      </c>
      <c r="AA519" s="123">
        <v>3190.63</v>
      </c>
      <c r="AB519" s="123">
        <v>3479.93</v>
      </c>
      <c r="AC519" s="124">
        <v>289.3</v>
      </c>
      <c r="AD519" s="124">
        <v>578.6</v>
      </c>
      <c r="AE519" s="124">
        <v>867.9</v>
      </c>
      <c r="AF519" s="124">
        <v>867.9</v>
      </c>
      <c r="AG519" s="124">
        <v>867.9</v>
      </c>
      <c r="AH519" s="124">
        <v>867.9</v>
      </c>
      <c r="AI519" s="124">
        <v>867.9</v>
      </c>
      <c r="AJ519" s="124">
        <v>867.9</v>
      </c>
      <c r="AK519" s="124">
        <v>1167.9000000000001</v>
      </c>
      <c r="AL519" s="124">
        <v>1667.9</v>
      </c>
      <c r="AM519" s="124">
        <v>2067.9</v>
      </c>
      <c r="AN519" s="124">
        <v>2337.9</v>
      </c>
      <c r="AO519" s="125">
        <v>1448.41</v>
      </c>
      <c r="AP519" s="125">
        <v>2280.64</v>
      </c>
      <c r="AQ519" s="125">
        <v>4857.97</v>
      </c>
      <c r="AR519" s="125">
        <v>6014.53</v>
      </c>
      <c r="AS519" s="125">
        <v>8554.89</v>
      </c>
      <c r="AT519" s="125">
        <v>9848.2099999999991</v>
      </c>
      <c r="AU519" s="125">
        <v>10972.51</v>
      </c>
      <c r="AV519" s="125">
        <v>12791.86</v>
      </c>
      <c r="AW519" s="125">
        <v>14887.91</v>
      </c>
      <c r="AX519" s="125">
        <v>16836.8</v>
      </c>
      <c r="AY519" s="126"/>
      <c r="AZ519" s="126"/>
      <c r="BA519" s="126"/>
      <c r="BB519" s="126"/>
      <c r="BC519" s="126"/>
      <c r="BD519" s="126"/>
      <c r="BE519" s="126"/>
      <c r="BF519" s="127">
        <v>45019035</v>
      </c>
      <c r="BG519" s="97" t="s">
        <v>467</v>
      </c>
      <c r="BH519" s="127">
        <v>867.9</v>
      </c>
      <c r="BI519" s="127">
        <v>45019035</v>
      </c>
      <c r="BJ519" s="97" t="s">
        <v>467</v>
      </c>
      <c r="BK519" s="127">
        <v>867.9</v>
      </c>
    </row>
    <row r="520" spans="2:63" x14ac:dyDescent="0.25">
      <c r="B520" s="150">
        <v>45019040</v>
      </c>
      <c r="C520" s="131" t="s">
        <v>468</v>
      </c>
      <c r="D520" s="123">
        <v>3558.78</v>
      </c>
      <c r="E520" s="128"/>
      <c r="F520" s="128"/>
      <c r="G520" s="128"/>
      <c r="H520" s="128"/>
      <c r="I520" s="123">
        <v>1800</v>
      </c>
      <c r="J520" s="123">
        <v>7400</v>
      </c>
      <c r="K520" s="123">
        <v>8900</v>
      </c>
      <c r="L520" s="123">
        <v>8900</v>
      </c>
      <c r="M520" s="123">
        <v>8900</v>
      </c>
      <c r="N520" s="123">
        <v>8900</v>
      </c>
      <c r="O520" s="123">
        <v>8900</v>
      </c>
      <c r="P520" s="123">
        <v>11450</v>
      </c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51"/>
      <c r="AD520" s="151"/>
      <c r="AE520" s="151"/>
      <c r="AF520" s="117">
        <v>2200.0500000000002</v>
      </c>
      <c r="AG520" s="117">
        <v>2200.0500000000002</v>
      </c>
      <c r="AH520" s="117">
        <v>2200.0500000000002</v>
      </c>
      <c r="AI520" s="117">
        <v>9400.0499999999993</v>
      </c>
      <c r="AJ520" s="117">
        <v>18229.14</v>
      </c>
      <c r="AK520" s="117">
        <v>23729.14</v>
      </c>
      <c r="AL520" s="117">
        <v>29229.14</v>
      </c>
      <c r="AM520" s="117">
        <v>34729.14</v>
      </c>
      <c r="AN520" s="117">
        <v>40229.14</v>
      </c>
      <c r="AO520" s="118">
        <v>5500</v>
      </c>
      <c r="AP520" s="118">
        <v>15500</v>
      </c>
      <c r="AQ520" s="118">
        <v>21000</v>
      </c>
      <c r="AR520" s="118">
        <v>25500</v>
      </c>
      <c r="AS520" s="118">
        <v>25500</v>
      </c>
      <c r="AT520" s="118">
        <v>25500</v>
      </c>
      <c r="AU520" s="118">
        <v>25500</v>
      </c>
      <c r="AV520" s="118">
        <v>25500</v>
      </c>
      <c r="AW520" s="118">
        <v>28800</v>
      </c>
      <c r="AX520" s="118">
        <v>28800</v>
      </c>
      <c r="AY520" s="119"/>
      <c r="AZ520" s="119"/>
      <c r="BA520" s="119"/>
      <c r="BB520" s="119"/>
      <c r="BC520" s="119"/>
      <c r="BD520" s="119"/>
      <c r="BE520" s="119"/>
      <c r="BF520" s="127">
        <v>45019040</v>
      </c>
      <c r="BG520" s="97" t="s">
        <v>468</v>
      </c>
      <c r="BH520" s="127">
        <v>2200.0500000000002</v>
      </c>
      <c r="BI520" s="127">
        <v>45019040</v>
      </c>
      <c r="BJ520" s="97" t="s">
        <v>468</v>
      </c>
      <c r="BK520" s="127">
        <v>9400.0499999999993</v>
      </c>
    </row>
    <row r="521" spans="2:63" x14ac:dyDescent="0.25">
      <c r="B521" s="114">
        <v>45019045</v>
      </c>
      <c r="C521" s="115" t="s">
        <v>469</v>
      </c>
      <c r="D521" s="123">
        <v>17047.439999999999</v>
      </c>
      <c r="E521" s="123">
        <v>983.56</v>
      </c>
      <c r="F521" s="123">
        <v>1040.08</v>
      </c>
      <c r="G521" s="123">
        <v>1460.02</v>
      </c>
      <c r="H521" s="123">
        <v>1460.02</v>
      </c>
      <c r="I521" s="123">
        <v>1663.62</v>
      </c>
      <c r="J521" s="123">
        <v>4939.79</v>
      </c>
      <c r="K521" s="123">
        <v>9001.86</v>
      </c>
      <c r="L521" s="123">
        <v>9001.86</v>
      </c>
      <c r="M521" s="123">
        <v>10100.77</v>
      </c>
      <c r="N521" s="123">
        <v>10100.77</v>
      </c>
      <c r="O521" s="123">
        <v>10100.77</v>
      </c>
      <c r="P521" s="123">
        <v>31374.42</v>
      </c>
      <c r="Q521" s="123">
        <v>163.78</v>
      </c>
      <c r="R521" s="123">
        <v>163.78</v>
      </c>
      <c r="S521" s="123">
        <v>163.78</v>
      </c>
      <c r="T521" s="123">
        <v>330.33</v>
      </c>
      <c r="U521" s="123">
        <v>712.18</v>
      </c>
      <c r="V521" s="123">
        <v>782.49</v>
      </c>
      <c r="W521" s="123">
        <v>1245.6300000000001</v>
      </c>
      <c r="X521" s="123">
        <v>1245.6300000000001</v>
      </c>
      <c r="Y521" s="123">
        <v>1245.6300000000001</v>
      </c>
      <c r="Z521" s="123">
        <v>2372.7399999999998</v>
      </c>
      <c r="AA521" s="123">
        <v>3140.18</v>
      </c>
      <c r="AB521" s="123">
        <v>9315.9</v>
      </c>
      <c r="AC521" s="151"/>
      <c r="AD521" s="117">
        <v>1664.34</v>
      </c>
      <c r="AE521" s="117">
        <v>2186.4</v>
      </c>
      <c r="AF521" s="117">
        <v>3275.48</v>
      </c>
      <c r="AG521" s="117">
        <v>3477.67</v>
      </c>
      <c r="AH521" s="117">
        <v>3521.1</v>
      </c>
      <c r="AI521" s="117">
        <v>3745.1</v>
      </c>
      <c r="AJ521" s="117">
        <v>3745.1</v>
      </c>
      <c r="AK521" s="117">
        <v>3745.1</v>
      </c>
      <c r="AL521" s="117">
        <v>3745.1</v>
      </c>
      <c r="AM521" s="117">
        <v>8485.66</v>
      </c>
      <c r="AN521" s="117">
        <v>18921.71</v>
      </c>
      <c r="AO521" s="118">
        <v>0</v>
      </c>
      <c r="AP521" s="118">
        <v>0</v>
      </c>
      <c r="AQ521" s="118">
        <v>0</v>
      </c>
      <c r="AR521" s="118">
        <v>0</v>
      </c>
      <c r="AS521" s="118">
        <v>0</v>
      </c>
      <c r="AT521" s="118">
        <v>0</v>
      </c>
      <c r="AU521" s="118">
        <v>0</v>
      </c>
      <c r="AV521" s="118">
        <v>0</v>
      </c>
      <c r="AW521" s="118">
        <v>0</v>
      </c>
      <c r="AX521" s="118">
        <v>0</v>
      </c>
      <c r="AY521" s="119"/>
      <c r="AZ521" s="119"/>
      <c r="BA521" s="119"/>
      <c r="BB521" s="119"/>
      <c r="BC521" s="119"/>
      <c r="BD521" s="119"/>
      <c r="BE521" s="119"/>
      <c r="BF521" s="127">
        <v>45019045</v>
      </c>
      <c r="BG521" s="97" t="s">
        <v>469</v>
      </c>
      <c r="BH521" s="127">
        <v>3521.1</v>
      </c>
      <c r="BI521" s="127">
        <v>45019045</v>
      </c>
      <c r="BJ521" s="97" t="s">
        <v>469</v>
      </c>
      <c r="BK521" s="127">
        <v>3745.1</v>
      </c>
    </row>
    <row r="522" spans="2:63" x14ac:dyDescent="0.25">
      <c r="B522" s="121">
        <v>45019050</v>
      </c>
      <c r="C522" s="122" t="s">
        <v>470</v>
      </c>
      <c r="D522" s="123">
        <v>3245.5</v>
      </c>
      <c r="E522" s="123">
        <v>218.52</v>
      </c>
      <c r="F522" s="123">
        <v>349.77</v>
      </c>
      <c r="G522" s="123">
        <v>704.01</v>
      </c>
      <c r="H522" s="123">
        <v>1356.57</v>
      </c>
      <c r="I522" s="123">
        <v>1356.57</v>
      </c>
      <c r="J522" s="123">
        <v>1406.88</v>
      </c>
      <c r="K522" s="123">
        <v>1523.34</v>
      </c>
      <c r="L522" s="123">
        <v>1523.34</v>
      </c>
      <c r="M522" s="123">
        <v>1577.2</v>
      </c>
      <c r="N522" s="123">
        <v>1802.7</v>
      </c>
      <c r="O522" s="123">
        <v>2025</v>
      </c>
      <c r="P522" s="123">
        <v>2618.64</v>
      </c>
      <c r="Q522" s="123">
        <v>44.93</v>
      </c>
      <c r="R522" s="123">
        <v>224.23</v>
      </c>
      <c r="S522" s="123">
        <v>254.69</v>
      </c>
      <c r="T522" s="123">
        <v>606.62</v>
      </c>
      <c r="U522" s="123">
        <v>631.98</v>
      </c>
      <c r="V522" s="123">
        <v>763.75</v>
      </c>
      <c r="W522" s="123">
        <v>1408.3</v>
      </c>
      <c r="X522" s="123">
        <v>1515.93</v>
      </c>
      <c r="Y522" s="123">
        <v>1658.45</v>
      </c>
      <c r="Z522" s="123">
        <v>1867.41</v>
      </c>
      <c r="AA522" s="123">
        <v>2035.62</v>
      </c>
      <c r="AB522" s="123">
        <v>2328.2199999999998</v>
      </c>
      <c r="AC522" s="124">
        <v>72.22</v>
      </c>
      <c r="AD522" s="124">
        <v>206.13</v>
      </c>
      <c r="AE522" s="124">
        <v>297.08</v>
      </c>
      <c r="AF522" s="124">
        <v>436.05</v>
      </c>
      <c r="AG522" s="124">
        <v>839.23</v>
      </c>
      <c r="AH522" s="124">
        <v>1106.1300000000001</v>
      </c>
      <c r="AI522" s="124">
        <v>1276.19</v>
      </c>
      <c r="AJ522" s="124">
        <v>1523.74</v>
      </c>
      <c r="AK522" s="124">
        <v>2059.59</v>
      </c>
      <c r="AL522" s="124">
        <v>2647.87</v>
      </c>
      <c r="AM522" s="124">
        <v>3065.61</v>
      </c>
      <c r="AN522" s="124">
        <v>5155.67</v>
      </c>
      <c r="AO522" s="125">
        <v>524.59</v>
      </c>
      <c r="AP522" s="125">
        <v>1495.58</v>
      </c>
      <c r="AQ522" s="125">
        <v>1936.27</v>
      </c>
      <c r="AR522" s="125">
        <v>3792.48</v>
      </c>
      <c r="AS522" s="125">
        <v>5003.92</v>
      </c>
      <c r="AT522" s="125">
        <v>6143.03</v>
      </c>
      <c r="AU522" s="125">
        <v>6447.44</v>
      </c>
      <c r="AV522" s="125">
        <v>7076.32</v>
      </c>
      <c r="AW522" s="125">
        <v>7285.17</v>
      </c>
      <c r="AX522" s="125">
        <v>7613.42</v>
      </c>
      <c r="AY522" s="126"/>
      <c r="AZ522" s="126"/>
      <c r="BA522" s="126"/>
      <c r="BB522" s="126"/>
      <c r="BC522" s="126"/>
      <c r="BD522" s="126"/>
      <c r="BE522" s="126"/>
      <c r="BF522" s="127">
        <v>45019050</v>
      </c>
      <c r="BG522" s="97" t="s">
        <v>470</v>
      </c>
      <c r="BH522" s="127">
        <v>1106.1300000000001</v>
      </c>
      <c r="BI522" s="127">
        <v>45019050</v>
      </c>
      <c r="BJ522" s="97" t="s">
        <v>470</v>
      </c>
      <c r="BK522" s="127">
        <v>1276.19</v>
      </c>
    </row>
    <row r="523" spans="2:63" x14ac:dyDescent="0.25">
      <c r="B523" s="121">
        <v>45019055</v>
      </c>
      <c r="C523" s="122" t="s">
        <v>471</v>
      </c>
      <c r="D523" s="128"/>
      <c r="E523" s="128"/>
      <c r="F523" s="128"/>
      <c r="G523" s="128"/>
      <c r="H523" s="128"/>
      <c r="I523" s="128"/>
      <c r="J523" s="128"/>
      <c r="K523" s="123">
        <v>323.5</v>
      </c>
      <c r="L523" s="123">
        <v>323.5</v>
      </c>
      <c r="M523" s="123">
        <v>305.5</v>
      </c>
      <c r="N523" s="123">
        <v>255.5</v>
      </c>
      <c r="O523" s="123">
        <v>330.5</v>
      </c>
      <c r="P523" s="123">
        <v>330.5</v>
      </c>
      <c r="Q523" s="128"/>
      <c r="R523" s="128"/>
      <c r="S523" s="128"/>
      <c r="T523" s="128"/>
      <c r="U523" s="128"/>
      <c r="V523" s="128"/>
      <c r="W523" s="128"/>
      <c r="X523" s="128"/>
      <c r="Y523" s="128"/>
      <c r="Z523" s="123">
        <v>704.55</v>
      </c>
      <c r="AA523" s="123">
        <v>704.55</v>
      </c>
      <c r="AB523" s="123">
        <v>704.55</v>
      </c>
      <c r="AC523" s="129"/>
      <c r="AD523" s="129"/>
      <c r="AE523" s="124">
        <v>47.32</v>
      </c>
      <c r="AF523" s="124">
        <v>47.32</v>
      </c>
      <c r="AG523" s="124">
        <v>394.24</v>
      </c>
      <c r="AH523" s="124">
        <v>394.24</v>
      </c>
      <c r="AI523" s="124">
        <v>410.39</v>
      </c>
      <c r="AJ523" s="124">
        <v>410.39</v>
      </c>
      <c r="AK523" s="124">
        <v>410.39</v>
      </c>
      <c r="AL523" s="124">
        <v>410.39</v>
      </c>
      <c r="AM523" s="124">
        <v>410.39</v>
      </c>
      <c r="AN523" s="124">
        <v>10916.63</v>
      </c>
      <c r="AO523" s="125">
        <v>0</v>
      </c>
      <c r="AP523" s="125">
        <v>0</v>
      </c>
      <c r="AQ523" s="125">
        <v>0</v>
      </c>
      <c r="AR523" s="125">
        <v>0</v>
      </c>
      <c r="AS523" s="125">
        <v>0</v>
      </c>
      <c r="AT523" s="125">
        <v>0</v>
      </c>
      <c r="AU523" s="125">
        <v>0</v>
      </c>
      <c r="AV523" s="125">
        <v>0</v>
      </c>
      <c r="AW523" s="125">
        <v>0</v>
      </c>
      <c r="AX523" s="125">
        <v>0</v>
      </c>
      <c r="AY523" s="126"/>
      <c r="AZ523" s="126"/>
      <c r="BA523" s="126"/>
      <c r="BB523" s="126"/>
      <c r="BC523" s="126"/>
      <c r="BD523" s="126"/>
      <c r="BE523" s="126"/>
      <c r="BF523" s="127">
        <v>45019055</v>
      </c>
      <c r="BG523" s="97" t="s">
        <v>471</v>
      </c>
      <c r="BH523" s="127">
        <v>394.24</v>
      </c>
      <c r="BI523" s="127">
        <v>45019055</v>
      </c>
      <c r="BJ523" s="97" t="s">
        <v>471</v>
      </c>
      <c r="BK523" s="127">
        <v>410.39</v>
      </c>
    </row>
    <row r="524" spans="2:63" x14ac:dyDescent="0.25">
      <c r="B524" s="121">
        <v>45019060</v>
      </c>
      <c r="C524" s="122" t="s">
        <v>472</v>
      </c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3">
        <v>55.17</v>
      </c>
      <c r="S524" s="123">
        <v>57.39</v>
      </c>
      <c r="T524" s="123">
        <v>77.239999999999995</v>
      </c>
      <c r="U524" s="123">
        <v>125.38</v>
      </c>
      <c r="V524" s="123">
        <v>137.88</v>
      </c>
      <c r="W524" s="123">
        <v>162.19</v>
      </c>
      <c r="X524" s="123">
        <v>187.74</v>
      </c>
      <c r="Y524" s="123">
        <v>187.74</v>
      </c>
      <c r="Z524" s="123">
        <v>226.35</v>
      </c>
      <c r="AA524" s="123">
        <v>237.99</v>
      </c>
      <c r="AB524" s="123">
        <v>237.99</v>
      </c>
      <c r="AC524" s="129"/>
      <c r="AD524" s="124">
        <v>528.04999999999995</v>
      </c>
      <c r="AE524" s="124">
        <v>571.72</v>
      </c>
      <c r="AF524" s="124">
        <v>619.30999999999995</v>
      </c>
      <c r="AG524" s="124">
        <v>657.09</v>
      </c>
      <c r="AH524" s="124">
        <v>741.14</v>
      </c>
      <c r="AI524" s="124">
        <v>743.72</v>
      </c>
      <c r="AJ524" s="124">
        <v>751.78</v>
      </c>
      <c r="AK524" s="124">
        <v>765.58</v>
      </c>
      <c r="AL524" s="124">
        <v>811.13</v>
      </c>
      <c r="AM524" s="124">
        <v>1000.08</v>
      </c>
      <c r="AN524" s="124">
        <v>1086.21</v>
      </c>
      <c r="AO524" s="125">
        <v>18.059999999999999</v>
      </c>
      <c r="AP524" s="125">
        <v>358.82</v>
      </c>
      <c r="AQ524" s="125">
        <v>358.82</v>
      </c>
      <c r="AR524" s="125">
        <v>358.82</v>
      </c>
      <c r="AS524" s="125">
        <v>684.79</v>
      </c>
      <c r="AT524" s="125">
        <v>687.29</v>
      </c>
      <c r="AU524" s="125">
        <v>703.12</v>
      </c>
      <c r="AV524" s="125">
        <v>737.15</v>
      </c>
      <c r="AW524" s="125">
        <v>878.02</v>
      </c>
      <c r="AX524" s="125">
        <v>878.02</v>
      </c>
      <c r="AY524" s="126"/>
      <c r="AZ524" s="126"/>
      <c r="BA524" s="126"/>
      <c r="BB524" s="126"/>
      <c r="BC524" s="126"/>
      <c r="BD524" s="126"/>
      <c r="BE524" s="126"/>
      <c r="BF524" s="127">
        <v>45019060</v>
      </c>
      <c r="BG524" s="97" t="s">
        <v>472</v>
      </c>
      <c r="BH524" s="127">
        <v>741.14</v>
      </c>
      <c r="BI524" s="127">
        <v>45019060</v>
      </c>
      <c r="BJ524" s="97" t="s">
        <v>472</v>
      </c>
      <c r="BK524" s="127">
        <v>743.72</v>
      </c>
    </row>
    <row r="525" spans="2:63" x14ac:dyDescent="0.25">
      <c r="B525" s="121">
        <v>45019070</v>
      </c>
      <c r="C525" s="122" t="s">
        <v>318</v>
      </c>
      <c r="D525" s="123">
        <v>17102.310000000001</v>
      </c>
      <c r="E525" s="123">
        <v>4204.13</v>
      </c>
      <c r="F525" s="123">
        <v>1410.53</v>
      </c>
      <c r="G525" s="123">
        <v>6020.08</v>
      </c>
      <c r="H525" s="123">
        <v>11167.06</v>
      </c>
      <c r="I525" s="123">
        <v>11069.22</v>
      </c>
      <c r="J525" s="123">
        <v>12260.82</v>
      </c>
      <c r="K525" s="123">
        <v>16135.75</v>
      </c>
      <c r="L525" s="123">
        <v>5522.52</v>
      </c>
      <c r="M525" s="123">
        <v>6109.46</v>
      </c>
      <c r="N525" s="123">
        <v>10106.48</v>
      </c>
      <c r="O525" s="123">
        <v>11283.41</v>
      </c>
      <c r="P525" s="123">
        <v>100.14</v>
      </c>
      <c r="Q525" s="123">
        <v>7271.9</v>
      </c>
      <c r="R525" s="123">
        <v>10591.67</v>
      </c>
      <c r="S525" s="123">
        <v>5809.94</v>
      </c>
      <c r="T525" s="123">
        <v>6035.05</v>
      </c>
      <c r="U525" s="123">
        <v>6649.48</v>
      </c>
      <c r="V525" s="123">
        <v>7011.77</v>
      </c>
      <c r="W525" s="123">
        <v>1239.99</v>
      </c>
      <c r="X525" s="123">
        <v>4673.1099999999997</v>
      </c>
      <c r="Y525" s="128"/>
      <c r="Z525" s="123">
        <v>3495.89</v>
      </c>
      <c r="AA525" s="123">
        <v>6320.21</v>
      </c>
      <c r="AB525" s="123">
        <v>6336.16</v>
      </c>
      <c r="AC525" s="124">
        <v>-94.17</v>
      </c>
      <c r="AD525" s="124">
        <v>2973.5</v>
      </c>
      <c r="AE525" s="124">
        <v>204.12</v>
      </c>
      <c r="AF525" s="124">
        <v>2937.16</v>
      </c>
      <c r="AG525" s="124">
        <v>1426.67</v>
      </c>
      <c r="AH525" s="124">
        <v>5207.3900000000003</v>
      </c>
      <c r="AI525" s="124">
        <v>7751.61</v>
      </c>
      <c r="AJ525" s="124">
        <v>0</v>
      </c>
      <c r="AK525" s="124">
        <v>3800.55</v>
      </c>
      <c r="AL525" s="124">
        <v>7778.62</v>
      </c>
      <c r="AM525" s="124">
        <v>12023.71</v>
      </c>
      <c r="AN525" s="124">
        <v>15821.36</v>
      </c>
      <c r="AO525" s="125">
        <v>2344.66</v>
      </c>
      <c r="AP525" s="125">
        <v>7356.19</v>
      </c>
      <c r="AQ525" s="125">
        <v>11053.82</v>
      </c>
      <c r="AR525" s="125">
        <v>15351.39</v>
      </c>
      <c r="AS525" s="125">
        <v>19732.21</v>
      </c>
      <c r="AT525" s="125">
        <v>21378.79</v>
      </c>
      <c r="AU525" s="125">
        <v>23285.72</v>
      </c>
      <c r="AV525" s="125">
        <v>23865.37</v>
      </c>
      <c r="AW525" s="125">
        <v>25888.9</v>
      </c>
      <c r="AX525" s="125">
        <v>29641.17</v>
      </c>
      <c r="AY525" s="126"/>
      <c r="AZ525" s="126"/>
      <c r="BA525" s="126"/>
      <c r="BB525" s="126"/>
      <c r="BC525" s="126"/>
      <c r="BD525" s="126"/>
      <c r="BE525" s="126"/>
      <c r="BF525" s="127">
        <v>45019070</v>
      </c>
      <c r="BG525" s="97" t="s">
        <v>318</v>
      </c>
      <c r="BH525" s="127">
        <v>5207.3900000000003</v>
      </c>
      <c r="BI525" s="127">
        <v>45019070</v>
      </c>
      <c r="BJ525" s="97" t="s">
        <v>318</v>
      </c>
      <c r="BK525" s="127">
        <v>7751.61</v>
      </c>
    </row>
    <row r="526" spans="2:63" x14ac:dyDescent="0.25">
      <c r="B526" s="121">
        <v>45019075</v>
      </c>
      <c r="C526" s="122" t="s">
        <v>473</v>
      </c>
      <c r="D526" s="123">
        <v>7357.11</v>
      </c>
      <c r="E526" s="123">
        <v>9240.66</v>
      </c>
      <c r="F526" s="123">
        <v>16696.150000000001</v>
      </c>
      <c r="G526" s="123">
        <v>16696.150000000001</v>
      </c>
      <c r="H526" s="123">
        <v>18044.150000000001</v>
      </c>
      <c r="I526" s="123">
        <v>18044.150000000001</v>
      </c>
      <c r="J526" s="123">
        <v>29557.63</v>
      </c>
      <c r="K526" s="123">
        <v>30344.7</v>
      </c>
      <c r="L526" s="123">
        <v>30505.37</v>
      </c>
      <c r="M526" s="123">
        <v>30615.37</v>
      </c>
      <c r="N526" s="123">
        <v>30728.37</v>
      </c>
      <c r="O526" s="123">
        <v>30729.37</v>
      </c>
      <c r="P526" s="123">
        <v>30739.37</v>
      </c>
      <c r="Q526" s="128"/>
      <c r="R526" s="128"/>
      <c r="S526" s="123">
        <v>863</v>
      </c>
      <c r="T526" s="123">
        <v>1039</v>
      </c>
      <c r="U526" s="123">
        <v>1039</v>
      </c>
      <c r="V526" s="123">
        <v>1159.5</v>
      </c>
      <c r="W526" s="123">
        <v>1159.5</v>
      </c>
      <c r="X526" s="123">
        <v>1276.83</v>
      </c>
      <c r="Y526" s="123">
        <v>1276.83</v>
      </c>
      <c r="Z526" s="123">
        <v>1276.83</v>
      </c>
      <c r="AA526" s="123">
        <v>1287.1600000000001</v>
      </c>
      <c r="AB526" s="123">
        <v>1427.16</v>
      </c>
      <c r="AC526" s="124">
        <v>35.630000000000003</v>
      </c>
      <c r="AD526" s="124">
        <v>5735.63</v>
      </c>
      <c r="AE526" s="124">
        <v>6648.63</v>
      </c>
      <c r="AF526" s="124">
        <v>6648.63</v>
      </c>
      <c r="AG526" s="124">
        <v>6648.63</v>
      </c>
      <c r="AH526" s="124">
        <v>6648.63</v>
      </c>
      <c r="AI526" s="124">
        <v>6648.63</v>
      </c>
      <c r="AJ526" s="124">
        <v>6866.13</v>
      </c>
      <c r="AK526" s="124">
        <v>6866.13</v>
      </c>
      <c r="AL526" s="124">
        <v>7953.09</v>
      </c>
      <c r="AM526" s="124">
        <v>7953.09</v>
      </c>
      <c r="AN526" s="124">
        <v>12147.67</v>
      </c>
      <c r="AO526" s="125">
        <v>0</v>
      </c>
      <c r="AP526" s="125">
        <v>0</v>
      </c>
      <c r="AQ526" s="125">
        <v>0</v>
      </c>
      <c r="AR526" s="125">
        <v>0</v>
      </c>
      <c r="AS526" s="125">
        <v>0</v>
      </c>
      <c r="AT526" s="125">
        <v>0</v>
      </c>
      <c r="AU526" s="125">
        <v>0</v>
      </c>
      <c r="AV526" s="125">
        <v>0</v>
      </c>
      <c r="AW526" s="125">
        <v>0</v>
      </c>
      <c r="AX526" s="125">
        <v>0</v>
      </c>
      <c r="AY526" s="126"/>
      <c r="AZ526" s="126"/>
      <c r="BA526" s="126"/>
      <c r="BB526" s="126"/>
      <c r="BC526" s="126"/>
      <c r="BD526" s="126"/>
      <c r="BE526" s="126"/>
      <c r="BF526" s="127">
        <v>45019075</v>
      </c>
      <c r="BG526" s="97" t="s">
        <v>473</v>
      </c>
      <c r="BH526" s="127">
        <v>6648.63</v>
      </c>
      <c r="BI526" s="127">
        <v>45019075</v>
      </c>
      <c r="BJ526" s="97" t="s">
        <v>473</v>
      </c>
      <c r="BK526" s="127">
        <v>6648.63</v>
      </c>
    </row>
    <row r="527" spans="2:63" x14ac:dyDescent="0.25">
      <c r="B527" s="121">
        <v>45019080</v>
      </c>
      <c r="C527" s="122" t="s">
        <v>474</v>
      </c>
      <c r="D527" s="123">
        <v>5759.41</v>
      </c>
      <c r="E527" s="123">
        <v>376.02</v>
      </c>
      <c r="F527" s="123">
        <v>752.04</v>
      </c>
      <c r="G527" s="123">
        <v>1128.06</v>
      </c>
      <c r="H527" s="123">
        <v>1715.84</v>
      </c>
      <c r="I527" s="123">
        <v>2091.86</v>
      </c>
      <c r="J527" s="123">
        <v>2467.88</v>
      </c>
      <c r="K527" s="123">
        <v>3383.9</v>
      </c>
      <c r="L527" s="123">
        <v>4074.92</v>
      </c>
      <c r="M527" s="123">
        <v>4690.9399999999996</v>
      </c>
      <c r="N527" s="123">
        <v>5066.96</v>
      </c>
      <c r="O527" s="123">
        <v>5442.98</v>
      </c>
      <c r="P527" s="123">
        <v>5819</v>
      </c>
      <c r="Q527" s="123">
        <v>376.02</v>
      </c>
      <c r="R527" s="123">
        <v>752.04</v>
      </c>
      <c r="S527" s="123">
        <v>1128.06</v>
      </c>
      <c r="T527" s="123">
        <v>1504.08</v>
      </c>
      <c r="U527" s="123">
        <v>1880.1</v>
      </c>
      <c r="V527" s="123">
        <v>2256.12</v>
      </c>
      <c r="W527" s="123">
        <v>2632.14</v>
      </c>
      <c r="X527" s="123">
        <v>3008.16</v>
      </c>
      <c r="Y527" s="123">
        <v>3384.18</v>
      </c>
      <c r="Z527" s="123">
        <v>3760.2</v>
      </c>
      <c r="AA527" s="123">
        <v>4136.22</v>
      </c>
      <c r="AB527" s="123">
        <v>4512.24</v>
      </c>
      <c r="AC527" s="124">
        <v>376.02</v>
      </c>
      <c r="AD527" s="124">
        <v>752.04</v>
      </c>
      <c r="AE527" s="124">
        <v>1128.06</v>
      </c>
      <c r="AF527" s="124">
        <v>1504.08</v>
      </c>
      <c r="AG527" s="124">
        <v>1880.1</v>
      </c>
      <c r="AH527" s="124">
        <v>2256.12</v>
      </c>
      <c r="AI527" s="124">
        <v>2632.14</v>
      </c>
      <c r="AJ527" s="124">
        <v>3008.16</v>
      </c>
      <c r="AK527" s="124">
        <v>3384.18</v>
      </c>
      <c r="AL527" s="124">
        <v>3760.2</v>
      </c>
      <c r="AM527" s="124">
        <v>4190.97</v>
      </c>
      <c r="AN527" s="124">
        <v>4378.9799999999996</v>
      </c>
      <c r="AO527" s="125">
        <v>376.02</v>
      </c>
      <c r="AP527" s="125">
        <v>752.04</v>
      </c>
      <c r="AQ527" s="125">
        <v>1128.06</v>
      </c>
      <c r="AR527" s="125">
        <v>1504.08</v>
      </c>
      <c r="AS527" s="125">
        <v>1880.1</v>
      </c>
      <c r="AT527" s="125">
        <v>2256.12</v>
      </c>
      <c r="AU527" s="125">
        <v>2632.14</v>
      </c>
      <c r="AV527" s="125">
        <v>3202.96</v>
      </c>
      <c r="AW527" s="125">
        <v>3781.06</v>
      </c>
      <c r="AX527" s="125">
        <v>4362.03</v>
      </c>
      <c r="AY527" s="126"/>
      <c r="AZ527" s="126"/>
      <c r="BA527" s="126"/>
      <c r="BB527" s="126"/>
      <c r="BC527" s="126"/>
      <c r="BD527" s="126"/>
      <c r="BE527" s="126"/>
      <c r="BF527" s="127">
        <v>45019080</v>
      </c>
      <c r="BG527" s="97" t="s">
        <v>474</v>
      </c>
      <c r="BH527" s="127">
        <v>2256.12</v>
      </c>
      <c r="BI527" s="127">
        <v>45019080</v>
      </c>
      <c r="BJ527" s="97" t="s">
        <v>474</v>
      </c>
      <c r="BK527" s="127">
        <v>2632.14</v>
      </c>
    </row>
    <row r="528" spans="2:63" x14ac:dyDescent="0.25">
      <c r="B528" s="121">
        <v>4502</v>
      </c>
      <c r="C528" s="152" t="s">
        <v>475</v>
      </c>
      <c r="D528" s="123">
        <v>264474.64</v>
      </c>
      <c r="E528" s="123">
        <v>19470.55</v>
      </c>
      <c r="F528" s="123">
        <v>39211.81</v>
      </c>
      <c r="G528" s="123">
        <v>57302.74</v>
      </c>
      <c r="H528" s="123">
        <v>70414.42</v>
      </c>
      <c r="I528" s="123">
        <v>84219.18</v>
      </c>
      <c r="J528" s="123">
        <v>93621.69</v>
      </c>
      <c r="K528" s="123">
        <v>110031.69</v>
      </c>
      <c r="L528" s="123">
        <v>125195.27</v>
      </c>
      <c r="M528" s="123">
        <v>138199.72</v>
      </c>
      <c r="N528" s="123">
        <v>152401.56</v>
      </c>
      <c r="O528" s="123">
        <v>170713.48</v>
      </c>
      <c r="P528" s="123">
        <v>189267.48</v>
      </c>
      <c r="Q528" s="123">
        <v>16751.669999999998</v>
      </c>
      <c r="R528" s="123">
        <v>30997.94</v>
      </c>
      <c r="S528" s="123">
        <v>43405.29</v>
      </c>
      <c r="T528" s="123">
        <v>58522.2</v>
      </c>
      <c r="U528" s="123">
        <v>75596.66</v>
      </c>
      <c r="V528" s="123">
        <v>86846.26</v>
      </c>
      <c r="W528" s="123">
        <v>97832.26</v>
      </c>
      <c r="X528" s="123">
        <v>116888.32000000001</v>
      </c>
      <c r="Y528" s="123">
        <v>131174.32</v>
      </c>
      <c r="Z528" s="123">
        <v>144230.32</v>
      </c>
      <c r="AA528" s="123">
        <v>162021.28</v>
      </c>
      <c r="AB528" s="123">
        <v>174147.28</v>
      </c>
      <c r="AC528" s="124">
        <v>20436</v>
      </c>
      <c r="AD528" s="124">
        <v>36972</v>
      </c>
      <c r="AE528" s="124">
        <v>50708</v>
      </c>
      <c r="AF528" s="124">
        <v>63484.92</v>
      </c>
      <c r="AG528" s="124">
        <v>75080</v>
      </c>
      <c r="AH528" s="124">
        <v>95297.78</v>
      </c>
      <c r="AI528" s="124">
        <v>109736.25</v>
      </c>
      <c r="AJ528" s="124">
        <v>125367.67999999999</v>
      </c>
      <c r="AK528" s="124">
        <v>141151.88</v>
      </c>
      <c r="AL528" s="124">
        <v>161789.25</v>
      </c>
      <c r="AM528" s="124">
        <v>177797.29</v>
      </c>
      <c r="AN528" s="124">
        <v>204565.1</v>
      </c>
      <c r="AO528" s="125">
        <v>19778.330000000002</v>
      </c>
      <c r="AP528" s="125">
        <v>35163.97</v>
      </c>
      <c r="AQ528" s="125">
        <v>51657.36</v>
      </c>
      <c r="AR528" s="125">
        <v>70308.14</v>
      </c>
      <c r="AS528" s="125">
        <v>96702.43</v>
      </c>
      <c r="AT528" s="125">
        <v>117001.53</v>
      </c>
      <c r="AU528" s="125">
        <v>139053.42000000001</v>
      </c>
      <c r="AV528" s="125">
        <v>159432.97</v>
      </c>
      <c r="AW528" s="125">
        <v>187411.66</v>
      </c>
      <c r="AX528" s="125">
        <v>212503.63</v>
      </c>
      <c r="AY528" s="126"/>
      <c r="AZ528" s="126"/>
      <c r="BA528" s="126"/>
      <c r="BB528" s="126"/>
      <c r="BC528" s="126"/>
      <c r="BD528" s="126"/>
      <c r="BE528" s="126"/>
      <c r="BF528" s="127">
        <v>4502</v>
      </c>
      <c r="BG528" s="97" t="s">
        <v>475</v>
      </c>
      <c r="BH528" s="127">
        <v>95297.78</v>
      </c>
      <c r="BI528" s="127">
        <v>4502</v>
      </c>
      <c r="BJ528" s="97" t="s">
        <v>475</v>
      </c>
      <c r="BK528" s="127">
        <v>109736.25</v>
      </c>
    </row>
    <row r="529" spans="2:63" x14ac:dyDescent="0.25">
      <c r="B529" s="121">
        <v>450205</v>
      </c>
      <c r="C529" s="152" t="s">
        <v>476</v>
      </c>
      <c r="D529" s="123">
        <v>23330</v>
      </c>
      <c r="E529" s="123">
        <v>2836</v>
      </c>
      <c r="F529" s="123">
        <v>4672</v>
      </c>
      <c r="G529" s="123">
        <v>8722</v>
      </c>
      <c r="H529" s="123">
        <v>10222</v>
      </c>
      <c r="I529" s="123">
        <v>12072</v>
      </c>
      <c r="J529" s="123">
        <v>12672</v>
      </c>
      <c r="K529" s="123">
        <v>13072</v>
      </c>
      <c r="L529" s="123">
        <v>14225.57</v>
      </c>
      <c r="M529" s="123">
        <v>14625.57</v>
      </c>
      <c r="N529" s="123">
        <v>16525.57</v>
      </c>
      <c r="O529" s="123">
        <v>18675.57</v>
      </c>
      <c r="P529" s="123">
        <v>20275.57</v>
      </c>
      <c r="Q529" s="123">
        <v>1450</v>
      </c>
      <c r="R529" s="123">
        <v>2850</v>
      </c>
      <c r="S529" s="123">
        <v>4000</v>
      </c>
      <c r="T529" s="123">
        <v>5100</v>
      </c>
      <c r="U529" s="123">
        <v>6800</v>
      </c>
      <c r="V529" s="123">
        <v>8100</v>
      </c>
      <c r="W529" s="123">
        <v>9500</v>
      </c>
      <c r="X529" s="123">
        <v>11875</v>
      </c>
      <c r="Y529" s="123">
        <v>13625</v>
      </c>
      <c r="Z529" s="123">
        <v>14625</v>
      </c>
      <c r="AA529" s="123">
        <v>16525</v>
      </c>
      <c r="AB529" s="123">
        <v>19525</v>
      </c>
      <c r="AC529" s="124">
        <v>1350</v>
      </c>
      <c r="AD529" s="124">
        <v>3050</v>
      </c>
      <c r="AE529" s="124">
        <v>3950</v>
      </c>
      <c r="AF529" s="124">
        <v>4950</v>
      </c>
      <c r="AG529" s="124">
        <v>7150</v>
      </c>
      <c r="AH529" s="124">
        <v>8450</v>
      </c>
      <c r="AI529" s="124">
        <v>10200</v>
      </c>
      <c r="AJ529" s="124">
        <v>10650</v>
      </c>
      <c r="AK529" s="124">
        <v>12750</v>
      </c>
      <c r="AL529" s="124">
        <v>13800</v>
      </c>
      <c r="AM529" s="124">
        <v>15800</v>
      </c>
      <c r="AN529" s="124">
        <v>16300</v>
      </c>
      <c r="AO529" s="125">
        <v>1550</v>
      </c>
      <c r="AP529" s="125">
        <v>3700</v>
      </c>
      <c r="AQ529" s="125">
        <v>4150</v>
      </c>
      <c r="AR529" s="125">
        <v>5900</v>
      </c>
      <c r="AS529" s="125">
        <v>7200</v>
      </c>
      <c r="AT529" s="125">
        <v>8650</v>
      </c>
      <c r="AU529" s="125">
        <v>10050</v>
      </c>
      <c r="AV529" s="125">
        <v>12950</v>
      </c>
      <c r="AW529" s="125">
        <v>16200</v>
      </c>
      <c r="AX529" s="125">
        <v>18750</v>
      </c>
      <c r="AY529" s="126"/>
      <c r="AZ529" s="126"/>
      <c r="BA529" s="126"/>
      <c r="BB529" s="126"/>
      <c r="BC529" s="126"/>
      <c r="BD529" s="126"/>
      <c r="BE529" s="126"/>
      <c r="BF529" s="127">
        <v>450205</v>
      </c>
      <c r="BG529" s="97" t="s">
        <v>476</v>
      </c>
      <c r="BH529" s="127">
        <v>8450</v>
      </c>
      <c r="BI529" s="127">
        <v>450205</v>
      </c>
      <c r="BJ529" s="97" t="s">
        <v>476</v>
      </c>
      <c r="BK529" s="127">
        <v>10200</v>
      </c>
    </row>
    <row r="530" spans="2:63" x14ac:dyDescent="0.25">
      <c r="B530" s="121">
        <v>450210</v>
      </c>
      <c r="C530" s="152" t="s">
        <v>477</v>
      </c>
      <c r="D530" s="123">
        <v>241144.64</v>
      </c>
      <c r="E530" s="123">
        <v>16634.55</v>
      </c>
      <c r="F530" s="123">
        <v>34539.81</v>
      </c>
      <c r="G530" s="123">
        <v>48580.74</v>
      </c>
      <c r="H530" s="123">
        <v>60192.42</v>
      </c>
      <c r="I530" s="123">
        <v>72147.179999999993</v>
      </c>
      <c r="J530" s="123">
        <v>80949.69</v>
      </c>
      <c r="K530" s="123">
        <v>96959.69</v>
      </c>
      <c r="L530" s="123">
        <v>110969.7</v>
      </c>
      <c r="M530" s="123">
        <v>123574.15</v>
      </c>
      <c r="N530" s="123">
        <v>135875.99</v>
      </c>
      <c r="O530" s="123">
        <v>152037.91</v>
      </c>
      <c r="P530" s="123">
        <v>168991.91</v>
      </c>
      <c r="Q530" s="123">
        <v>15301.67</v>
      </c>
      <c r="R530" s="123">
        <v>28147.94</v>
      </c>
      <c r="S530" s="123">
        <v>39405.29</v>
      </c>
      <c r="T530" s="123">
        <v>53422.2</v>
      </c>
      <c r="U530" s="123">
        <v>68796.66</v>
      </c>
      <c r="V530" s="123">
        <v>78746.259999999995</v>
      </c>
      <c r="W530" s="123">
        <v>88332.26</v>
      </c>
      <c r="X530" s="123">
        <v>105013.32</v>
      </c>
      <c r="Y530" s="123">
        <v>117549.32</v>
      </c>
      <c r="Z530" s="123">
        <v>129605.32</v>
      </c>
      <c r="AA530" s="123">
        <v>145496.28</v>
      </c>
      <c r="AB530" s="123">
        <v>154622.28</v>
      </c>
      <c r="AC530" s="124">
        <v>19086</v>
      </c>
      <c r="AD530" s="124">
        <v>33922</v>
      </c>
      <c r="AE530" s="124">
        <v>46758</v>
      </c>
      <c r="AF530" s="124">
        <v>58534.92</v>
      </c>
      <c r="AG530" s="124">
        <v>67930</v>
      </c>
      <c r="AH530" s="124">
        <v>86847.78</v>
      </c>
      <c r="AI530" s="124">
        <v>99536.25</v>
      </c>
      <c r="AJ530" s="124">
        <v>114717.68</v>
      </c>
      <c r="AK530" s="124">
        <v>128401.88</v>
      </c>
      <c r="AL530" s="124">
        <v>147989.25</v>
      </c>
      <c r="AM530" s="124">
        <v>161997.29</v>
      </c>
      <c r="AN530" s="124">
        <v>188265.1</v>
      </c>
      <c r="AO530" s="125">
        <v>18228.330000000002</v>
      </c>
      <c r="AP530" s="125">
        <v>31463.97</v>
      </c>
      <c r="AQ530" s="125">
        <v>47507.360000000001</v>
      </c>
      <c r="AR530" s="125">
        <v>64408.14</v>
      </c>
      <c r="AS530" s="125">
        <v>89502.43</v>
      </c>
      <c r="AT530" s="125">
        <v>108351.53</v>
      </c>
      <c r="AU530" s="125">
        <v>129003.42</v>
      </c>
      <c r="AV530" s="125">
        <v>146482.97</v>
      </c>
      <c r="AW530" s="125">
        <v>171211.66</v>
      </c>
      <c r="AX530" s="125">
        <v>193753.63</v>
      </c>
      <c r="AY530" s="126"/>
      <c r="AZ530" s="126"/>
      <c r="BA530" s="126"/>
      <c r="BB530" s="126"/>
      <c r="BC530" s="126"/>
      <c r="BD530" s="126"/>
      <c r="BE530" s="126"/>
      <c r="BF530" s="127">
        <v>450210</v>
      </c>
      <c r="BG530" s="97" t="s">
        <v>477</v>
      </c>
      <c r="BH530" s="127">
        <v>86847.78</v>
      </c>
      <c r="BI530" s="127">
        <v>450210</v>
      </c>
      <c r="BJ530" s="97" t="s">
        <v>477</v>
      </c>
      <c r="BK530" s="127">
        <v>99536.25</v>
      </c>
    </row>
    <row r="531" spans="2:63" x14ac:dyDescent="0.25">
      <c r="B531" s="121">
        <v>4503</v>
      </c>
      <c r="C531" s="152" t="s">
        <v>478</v>
      </c>
      <c r="D531" s="123">
        <v>546357.74</v>
      </c>
      <c r="E531" s="123">
        <v>42425.26</v>
      </c>
      <c r="F531" s="123">
        <v>84695.45</v>
      </c>
      <c r="G531" s="123">
        <v>129770.69</v>
      </c>
      <c r="H531" s="123">
        <v>144884.54</v>
      </c>
      <c r="I531" s="123">
        <v>182145.6</v>
      </c>
      <c r="J531" s="123">
        <v>268539.46000000002</v>
      </c>
      <c r="K531" s="123">
        <v>298968.05</v>
      </c>
      <c r="L531" s="123">
        <v>328392.68</v>
      </c>
      <c r="M531" s="123">
        <v>359436.16</v>
      </c>
      <c r="N531" s="123">
        <v>394749.96</v>
      </c>
      <c r="O531" s="123">
        <v>391205.05</v>
      </c>
      <c r="P531" s="123">
        <v>475279.78</v>
      </c>
      <c r="Q531" s="123">
        <v>22003.35</v>
      </c>
      <c r="R531" s="123">
        <v>50664.42</v>
      </c>
      <c r="S531" s="123">
        <v>79971.149999999994</v>
      </c>
      <c r="T531" s="123">
        <v>117819.25</v>
      </c>
      <c r="U531" s="123">
        <v>155418.91</v>
      </c>
      <c r="V531" s="123">
        <v>177302.43</v>
      </c>
      <c r="W531" s="123">
        <v>218981.85</v>
      </c>
      <c r="X531" s="123">
        <v>253949.37</v>
      </c>
      <c r="Y531" s="123">
        <v>284098.42</v>
      </c>
      <c r="Z531" s="123">
        <v>319599.26</v>
      </c>
      <c r="AA531" s="123">
        <v>355618.68</v>
      </c>
      <c r="AB531" s="123">
        <v>404770.75</v>
      </c>
      <c r="AC531" s="124">
        <v>32325.58</v>
      </c>
      <c r="AD531" s="124">
        <v>60852.47</v>
      </c>
      <c r="AE531" s="124">
        <v>93822.74</v>
      </c>
      <c r="AF531" s="124">
        <v>139925.84</v>
      </c>
      <c r="AG531" s="124">
        <v>196194.01</v>
      </c>
      <c r="AH531" s="124">
        <v>251540.73</v>
      </c>
      <c r="AI531" s="124">
        <v>317816.57</v>
      </c>
      <c r="AJ531" s="124">
        <v>365140.57</v>
      </c>
      <c r="AK531" s="124">
        <v>418532.15</v>
      </c>
      <c r="AL531" s="124">
        <v>477476.66</v>
      </c>
      <c r="AM531" s="124">
        <v>543142.41</v>
      </c>
      <c r="AN531" s="124">
        <v>628940.68999999994</v>
      </c>
      <c r="AO531" s="125">
        <v>50961.45</v>
      </c>
      <c r="AP531" s="125">
        <v>144776.82999999999</v>
      </c>
      <c r="AQ531" s="125">
        <v>225095.34</v>
      </c>
      <c r="AR531" s="125">
        <v>300120.43</v>
      </c>
      <c r="AS531" s="125">
        <v>387355.19</v>
      </c>
      <c r="AT531" s="125">
        <v>486709.86</v>
      </c>
      <c r="AU531" s="125">
        <v>568449.31999999995</v>
      </c>
      <c r="AV531" s="125">
        <v>645794.30000000005</v>
      </c>
      <c r="AW531" s="125">
        <v>706285.9</v>
      </c>
      <c r="AX531" s="125">
        <v>777850.66</v>
      </c>
      <c r="AY531" s="126"/>
      <c r="AZ531" s="126"/>
      <c r="BA531" s="126"/>
      <c r="BB531" s="126"/>
      <c r="BC531" s="126"/>
      <c r="BD531" s="126"/>
      <c r="BE531" s="126"/>
      <c r="BF531" s="127">
        <v>4503</v>
      </c>
      <c r="BG531" s="97" t="s">
        <v>478</v>
      </c>
      <c r="BH531" s="127">
        <v>251540.73</v>
      </c>
      <c r="BI531" s="127">
        <v>4503</v>
      </c>
      <c r="BJ531" s="97" t="s">
        <v>478</v>
      </c>
      <c r="BK531" s="127">
        <v>317816.57</v>
      </c>
    </row>
    <row r="532" spans="2:63" x14ac:dyDescent="0.25">
      <c r="B532" s="121">
        <v>450305</v>
      </c>
      <c r="C532" s="152" t="s">
        <v>479</v>
      </c>
      <c r="D532" s="123">
        <v>6617.13</v>
      </c>
      <c r="E532" s="123">
        <v>249.24</v>
      </c>
      <c r="F532" s="123">
        <v>635.22</v>
      </c>
      <c r="G532" s="123">
        <v>973.87</v>
      </c>
      <c r="H532" s="123">
        <v>1326.25</v>
      </c>
      <c r="I532" s="123">
        <v>1707.54</v>
      </c>
      <c r="J532" s="123">
        <v>2023.51</v>
      </c>
      <c r="K532" s="123">
        <v>2546.4</v>
      </c>
      <c r="L532" s="123">
        <v>2611.79</v>
      </c>
      <c r="M532" s="123">
        <v>3050.4</v>
      </c>
      <c r="N532" s="123">
        <v>3413.4</v>
      </c>
      <c r="O532" s="123">
        <v>3558.01</v>
      </c>
      <c r="P532" s="123">
        <v>4563.96</v>
      </c>
      <c r="Q532" s="123">
        <v>333.78</v>
      </c>
      <c r="R532" s="123">
        <v>579.38</v>
      </c>
      <c r="S532" s="123">
        <v>788.37</v>
      </c>
      <c r="T532" s="123">
        <v>1216.8</v>
      </c>
      <c r="U532" s="123">
        <v>1927.68</v>
      </c>
      <c r="V532" s="123">
        <v>2122.89</v>
      </c>
      <c r="W532" s="123">
        <v>2469.75</v>
      </c>
      <c r="X532" s="123">
        <v>2810.98</v>
      </c>
      <c r="Y532" s="123">
        <v>3291.31</v>
      </c>
      <c r="Z532" s="123">
        <v>3787.48</v>
      </c>
      <c r="AA532" s="123">
        <v>5719.14</v>
      </c>
      <c r="AB532" s="123">
        <v>6358.69</v>
      </c>
      <c r="AC532" s="124">
        <v>640.15</v>
      </c>
      <c r="AD532" s="124">
        <v>1304.6400000000001</v>
      </c>
      <c r="AE532" s="124">
        <v>1793.12</v>
      </c>
      <c r="AF532" s="124">
        <v>2532.98</v>
      </c>
      <c r="AG532" s="124">
        <v>3202.97</v>
      </c>
      <c r="AH532" s="124">
        <v>3827.16</v>
      </c>
      <c r="AI532" s="124">
        <v>4991.9399999999996</v>
      </c>
      <c r="AJ532" s="124">
        <v>5969.91</v>
      </c>
      <c r="AK532" s="124">
        <v>7011.1</v>
      </c>
      <c r="AL532" s="124">
        <v>8128.32</v>
      </c>
      <c r="AM532" s="124">
        <v>10228.620000000001</v>
      </c>
      <c r="AN532" s="124">
        <v>13282.67</v>
      </c>
      <c r="AO532" s="125">
        <v>321.06</v>
      </c>
      <c r="AP532" s="125">
        <v>2874.34</v>
      </c>
      <c r="AQ532" s="125">
        <v>4654.8900000000003</v>
      </c>
      <c r="AR532" s="125">
        <v>7067.9</v>
      </c>
      <c r="AS532" s="125">
        <v>9712.75</v>
      </c>
      <c r="AT532" s="125">
        <v>12109.31</v>
      </c>
      <c r="AU532" s="125">
        <v>14890.5</v>
      </c>
      <c r="AV532" s="125">
        <v>16480.349999999999</v>
      </c>
      <c r="AW532" s="125">
        <v>17190.169999999998</v>
      </c>
      <c r="AX532" s="125">
        <v>18424.36</v>
      </c>
      <c r="AY532" s="126"/>
      <c r="AZ532" s="126"/>
      <c r="BA532" s="126"/>
      <c r="BB532" s="126"/>
      <c r="BC532" s="126"/>
      <c r="BD532" s="126"/>
      <c r="BE532" s="126"/>
      <c r="BF532" s="127">
        <v>450305</v>
      </c>
      <c r="BG532" s="97" t="s">
        <v>479</v>
      </c>
      <c r="BH532" s="127">
        <v>3827.16</v>
      </c>
      <c r="BI532" s="127">
        <v>450305</v>
      </c>
      <c r="BJ532" s="97" t="s">
        <v>479</v>
      </c>
      <c r="BK532" s="127">
        <v>4991.9399999999996</v>
      </c>
    </row>
    <row r="533" spans="2:63" x14ac:dyDescent="0.25">
      <c r="B533" s="121">
        <v>450310</v>
      </c>
      <c r="C533" s="152" t="s">
        <v>480</v>
      </c>
      <c r="D533" s="123">
        <v>71309.08</v>
      </c>
      <c r="E533" s="123">
        <v>5459.16</v>
      </c>
      <c r="F533" s="123">
        <v>10918.32</v>
      </c>
      <c r="G533" s="123">
        <v>13396.62</v>
      </c>
      <c r="H533" s="123">
        <v>15874.92</v>
      </c>
      <c r="I533" s="123">
        <v>18353.22</v>
      </c>
      <c r="J533" s="123">
        <v>20747.97</v>
      </c>
      <c r="K533" s="123">
        <v>23142.720000000001</v>
      </c>
      <c r="L533" s="123">
        <v>25537.47</v>
      </c>
      <c r="M533" s="123">
        <v>27932.22</v>
      </c>
      <c r="N533" s="123">
        <v>30326.97</v>
      </c>
      <c r="O533" s="123">
        <v>32721.72</v>
      </c>
      <c r="P533" s="123">
        <v>35116.47</v>
      </c>
      <c r="Q533" s="123">
        <v>2394.75</v>
      </c>
      <c r="R533" s="123">
        <v>4900.7700000000004</v>
      </c>
      <c r="S533" s="123">
        <v>7406.79</v>
      </c>
      <c r="T533" s="123">
        <v>9912.81</v>
      </c>
      <c r="U533" s="123">
        <v>12418.83</v>
      </c>
      <c r="V533" s="123">
        <v>14924.85</v>
      </c>
      <c r="W533" s="123">
        <v>17430.87</v>
      </c>
      <c r="X533" s="123">
        <v>19936.89</v>
      </c>
      <c r="Y533" s="123">
        <v>22442.91</v>
      </c>
      <c r="Z533" s="123">
        <v>24948.93</v>
      </c>
      <c r="AA533" s="123">
        <v>27454.95</v>
      </c>
      <c r="AB533" s="123">
        <v>29960.97</v>
      </c>
      <c r="AC533" s="124">
        <v>2506.02</v>
      </c>
      <c r="AD533" s="124">
        <v>5067.75</v>
      </c>
      <c r="AE533" s="124">
        <v>7629.48</v>
      </c>
      <c r="AF533" s="124">
        <v>10191.209999999999</v>
      </c>
      <c r="AG533" s="124">
        <v>12752.94</v>
      </c>
      <c r="AH533" s="124">
        <v>15314.67</v>
      </c>
      <c r="AI533" s="124">
        <v>17876.400000000001</v>
      </c>
      <c r="AJ533" s="124">
        <v>20438.13</v>
      </c>
      <c r="AK533" s="124">
        <v>23707.86</v>
      </c>
      <c r="AL533" s="124">
        <v>27553.58</v>
      </c>
      <c r="AM533" s="124">
        <v>30115.3</v>
      </c>
      <c r="AN533" s="124">
        <v>32677.02</v>
      </c>
      <c r="AO533" s="125">
        <v>2591.7199999999998</v>
      </c>
      <c r="AP533" s="125">
        <v>5209.13</v>
      </c>
      <c r="AQ533" s="125">
        <v>7982.54</v>
      </c>
      <c r="AR533" s="125">
        <v>10635.95</v>
      </c>
      <c r="AS533" s="125">
        <v>13253.36</v>
      </c>
      <c r="AT533" s="125">
        <v>17630.93</v>
      </c>
      <c r="AU533" s="125">
        <v>20248.34</v>
      </c>
      <c r="AV533" s="125">
        <v>22865.75</v>
      </c>
      <c r="AW533" s="125">
        <v>25483.16</v>
      </c>
      <c r="AX533" s="125">
        <v>28100.57</v>
      </c>
      <c r="AY533" s="126"/>
      <c r="AZ533" s="126"/>
      <c r="BA533" s="126"/>
      <c r="BB533" s="126"/>
      <c r="BC533" s="126"/>
      <c r="BD533" s="126"/>
      <c r="BE533" s="126"/>
      <c r="BF533" s="127">
        <v>450310</v>
      </c>
      <c r="BG533" s="97" t="s">
        <v>480</v>
      </c>
      <c r="BH533" s="127">
        <v>15314.67</v>
      </c>
      <c r="BI533" s="127">
        <v>450310</v>
      </c>
      <c r="BJ533" s="97" t="s">
        <v>480</v>
      </c>
      <c r="BK533" s="127">
        <v>17876.400000000001</v>
      </c>
    </row>
    <row r="534" spans="2:63" x14ac:dyDescent="0.25">
      <c r="B534" s="142">
        <v>45031005</v>
      </c>
      <c r="C534" s="152" t="s">
        <v>481</v>
      </c>
      <c r="D534" s="123">
        <v>70969.08</v>
      </c>
      <c r="E534" s="123">
        <v>5459.16</v>
      </c>
      <c r="F534" s="123">
        <v>10918.32</v>
      </c>
      <c r="G534" s="123">
        <v>13396.62</v>
      </c>
      <c r="H534" s="123">
        <v>15874.92</v>
      </c>
      <c r="I534" s="123">
        <v>18353.22</v>
      </c>
      <c r="J534" s="123">
        <v>20747.97</v>
      </c>
      <c r="K534" s="123">
        <v>23142.720000000001</v>
      </c>
      <c r="L534" s="123">
        <v>25537.47</v>
      </c>
      <c r="M534" s="123">
        <v>27932.22</v>
      </c>
      <c r="N534" s="123">
        <v>30326.97</v>
      </c>
      <c r="O534" s="123">
        <v>32721.72</v>
      </c>
      <c r="P534" s="123">
        <v>35116.47</v>
      </c>
      <c r="Q534" s="123">
        <v>2394.75</v>
      </c>
      <c r="R534" s="123">
        <v>4900.7700000000004</v>
      </c>
      <c r="S534" s="123">
        <v>7406.79</v>
      </c>
      <c r="T534" s="123">
        <v>9912.81</v>
      </c>
      <c r="U534" s="123">
        <v>12418.83</v>
      </c>
      <c r="V534" s="123">
        <v>14924.85</v>
      </c>
      <c r="W534" s="123">
        <v>17430.87</v>
      </c>
      <c r="X534" s="123">
        <v>19936.89</v>
      </c>
      <c r="Y534" s="123">
        <v>22442.91</v>
      </c>
      <c r="Z534" s="123">
        <v>24948.93</v>
      </c>
      <c r="AA534" s="123">
        <v>27454.95</v>
      </c>
      <c r="AB534" s="123">
        <v>29960.97</v>
      </c>
      <c r="AC534" s="124">
        <v>2506.02</v>
      </c>
      <c r="AD534" s="124">
        <v>5067.75</v>
      </c>
      <c r="AE534" s="124">
        <v>7629.48</v>
      </c>
      <c r="AF534" s="124">
        <v>10191.209999999999</v>
      </c>
      <c r="AG534" s="124">
        <v>12752.94</v>
      </c>
      <c r="AH534" s="124">
        <v>15314.67</v>
      </c>
      <c r="AI534" s="124">
        <v>17876.400000000001</v>
      </c>
      <c r="AJ534" s="124">
        <v>20438.13</v>
      </c>
      <c r="AK534" s="124">
        <v>23707.86</v>
      </c>
      <c r="AL534" s="124">
        <v>27553.58</v>
      </c>
      <c r="AM534" s="124">
        <v>30115.3</v>
      </c>
      <c r="AN534" s="124">
        <v>32677.02</v>
      </c>
      <c r="AO534" s="125">
        <v>2591.7199999999998</v>
      </c>
      <c r="AP534" s="125">
        <v>5209.13</v>
      </c>
      <c r="AQ534" s="125">
        <v>7982.54</v>
      </c>
      <c r="AR534" s="125">
        <v>10635.95</v>
      </c>
      <c r="AS534" s="125">
        <v>13253.36</v>
      </c>
      <c r="AT534" s="125">
        <v>15870.77</v>
      </c>
      <c r="AU534" s="125">
        <v>18488.18</v>
      </c>
      <c r="AV534" s="125">
        <v>21105.59</v>
      </c>
      <c r="AW534" s="125">
        <v>23723</v>
      </c>
      <c r="AX534" s="125">
        <v>26340.41</v>
      </c>
      <c r="AY534" s="126"/>
      <c r="AZ534" s="126"/>
      <c r="BA534" s="126"/>
      <c r="BB534" s="126"/>
      <c r="BC534" s="126"/>
      <c r="BD534" s="126"/>
      <c r="BE534" s="126"/>
      <c r="BF534" s="127">
        <v>45031005</v>
      </c>
      <c r="BG534" s="97" t="s">
        <v>482</v>
      </c>
      <c r="BH534" s="127">
        <v>15314.67</v>
      </c>
      <c r="BI534" s="127">
        <v>45031005</v>
      </c>
      <c r="BJ534" s="97" t="s">
        <v>482</v>
      </c>
      <c r="BK534" s="127">
        <v>17876.400000000001</v>
      </c>
    </row>
    <row r="535" spans="2:63" x14ac:dyDescent="0.25">
      <c r="B535" s="121">
        <v>45031010</v>
      </c>
      <c r="C535" s="122" t="s">
        <v>483</v>
      </c>
      <c r="D535" s="123">
        <v>340</v>
      </c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  <c r="AA535" s="128"/>
      <c r="AB535" s="128"/>
      <c r="AC535" s="129"/>
      <c r="AD535" s="129"/>
      <c r="AE535" s="129"/>
      <c r="AF535" s="129"/>
      <c r="AG535" s="129"/>
      <c r="AH535" s="129"/>
      <c r="AI535" s="129"/>
      <c r="AJ535" s="124">
        <v>0</v>
      </c>
      <c r="AK535" s="124">
        <v>0</v>
      </c>
      <c r="AL535" s="124">
        <v>0</v>
      </c>
      <c r="AM535" s="124">
        <v>0</v>
      </c>
      <c r="AN535" s="124">
        <v>0</v>
      </c>
      <c r="AO535" s="125">
        <v>0</v>
      </c>
      <c r="AP535" s="125">
        <v>0</v>
      </c>
      <c r="AQ535" s="125">
        <v>0</v>
      </c>
      <c r="AR535" s="125">
        <v>0</v>
      </c>
      <c r="AS535" s="125">
        <v>0</v>
      </c>
      <c r="AT535" s="125">
        <v>0</v>
      </c>
      <c r="AU535" s="125">
        <v>0</v>
      </c>
      <c r="AV535" s="125">
        <v>0</v>
      </c>
      <c r="AW535" s="125">
        <v>0</v>
      </c>
      <c r="AX535" s="125">
        <v>0</v>
      </c>
      <c r="AY535" s="126"/>
      <c r="AZ535" s="126"/>
      <c r="BA535" s="126"/>
      <c r="BB535" s="126"/>
      <c r="BC535" s="126"/>
      <c r="BD535" s="126"/>
      <c r="BE535" s="126"/>
    </row>
    <row r="536" spans="2:63" x14ac:dyDescent="0.25">
      <c r="B536" s="121">
        <v>450315</v>
      </c>
      <c r="C536" s="122" t="s">
        <v>484</v>
      </c>
      <c r="D536" s="123">
        <v>211182.31</v>
      </c>
      <c r="E536" s="123">
        <v>13334.83</v>
      </c>
      <c r="F536" s="123">
        <v>27118.639999999999</v>
      </c>
      <c r="G536" s="123">
        <v>43579.05</v>
      </c>
      <c r="H536" s="123">
        <v>43809.8</v>
      </c>
      <c r="I536" s="123">
        <v>63623.06</v>
      </c>
      <c r="J536" s="123">
        <v>83085.3</v>
      </c>
      <c r="K536" s="123">
        <v>92813.6</v>
      </c>
      <c r="L536" s="123">
        <v>101064.85</v>
      </c>
      <c r="M536" s="123">
        <v>110510.16</v>
      </c>
      <c r="N536" s="123">
        <v>121162.12</v>
      </c>
      <c r="O536" s="123">
        <v>115186.56</v>
      </c>
      <c r="P536" s="123">
        <v>170328.57</v>
      </c>
      <c r="Q536" s="123">
        <v>7155.59</v>
      </c>
      <c r="R536" s="123">
        <v>18145.59</v>
      </c>
      <c r="S536" s="123">
        <v>26024.18</v>
      </c>
      <c r="T536" s="123">
        <v>38535.85</v>
      </c>
      <c r="U536" s="123">
        <v>48294.879999999997</v>
      </c>
      <c r="V536" s="123">
        <v>52243.47</v>
      </c>
      <c r="W536" s="123">
        <v>60009.38</v>
      </c>
      <c r="X536" s="123">
        <v>69015.88</v>
      </c>
      <c r="Y536" s="123">
        <v>80426.2</v>
      </c>
      <c r="Z536" s="123">
        <v>94489.77</v>
      </c>
      <c r="AA536" s="123">
        <v>111418.27</v>
      </c>
      <c r="AB536" s="123">
        <v>124206.25</v>
      </c>
      <c r="AC536" s="124">
        <v>12008.27</v>
      </c>
      <c r="AD536" s="124">
        <v>18001.93</v>
      </c>
      <c r="AE536" s="124">
        <v>27574.97</v>
      </c>
      <c r="AF536" s="124">
        <v>43219.82</v>
      </c>
      <c r="AG536" s="124">
        <v>61832.15</v>
      </c>
      <c r="AH536" s="124">
        <v>73578.06</v>
      </c>
      <c r="AI536" s="124">
        <v>88008.76</v>
      </c>
      <c r="AJ536" s="124">
        <v>106263.33</v>
      </c>
      <c r="AK536" s="124">
        <v>128488.54</v>
      </c>
      <c r="AL536" s="124">
        <v>153092.09</v>
      </c>
      <c r="AM536" s="124">
        <v>179103.64</v>
      </c>
      <c r="AN536" s="124">
        <v>224796.73</v>
      </c>
      <c r="AO536" s="125">
        <v>21119.16</v>
      </c>
      <c r="AP536" s="125">
        <v>51496.84</v>
      </c>
      <c r="AQ536" s="125">
        <v>96695.64</v>
      </c>
      <c r="AR536" s="125">
        <v>132033.28</v>
      </c>
      <c r="AS536" s="125">
        <v>175089.92000000001</v>
      </c>
      <c r="AT536" s="125">
        <v>222307.14</v>
      </c>
      <c r="AU536" s="125">
        <v>263386.83</v>
      </c>
      <c r="AV536" s="125">
        <v>302271.99</v>
      </c>
      <c r="AW536" s="125">
        <v>324359.92</v>
      </c>
      <c r="AX536" s="125">
        <v>356365.68</v>
      </c>
      <c r="AY536" s="126"/>
      <c r="AZ536" s="126"/>
      <c r="BA536" s="126"/>
      <c r="BB536" s="126"/>
      <c r="BC536" s="126"/>
      <c r="BD536" s="126"/>
      <c r="BE536" s="126"/>
      <c r="BF536" s="127">
        <v>450315</v>
      </c>
      <c r="BG536" s="97" t="s">
        <v>484</v>
      </c>
      <c r="BH536" s="127">
        <v>73578.06</v>
      </c>
      <c r="BI536" s="127">
        <v>450315</v>
      </c>
      <c r="BJ536" s="97" t="s">
        <v>484</v>
      </c>
      <c r="BK536" s="127">
        <v>88008.76</v>
      </c>
    </row>
    <row r="537" spans="2:63" x14ac:dyDescent="0.25">
      <c r="B537" s="121">
        <v>45031505</v>
      </c>
      <c r="C537" s="152" t="s">
        <v>485</v>
      </c>
      <c r="D537" s="123">
        <v>22379.06</v>
      </c>
      <c r="E537" s="123">
        <v>1864.56</v>
      </c>
      <c r="F537" s="123">
        <v>2514.56</v>
      </c>
      <c r="G537" s="123">
        <v>2664.56</v>
      </c>
      <c r="H537" s="123">
        <v>2994.86</v>
      </c>
      <c r="I537" s="123">
        <v>3756.86</v>
      </c>
      <c r="J537" s="123">
        <v>5506.86</v>
      </c>
      <c r="K537" s="123">
        <v>5656.86</v>
      </c>
      <c r="L537" s="123">
        <v>5656.86</v>
      </c>
      <c r="M537" s="123">
        <v>5656.86</v>
      </c>
      <c r="N537" s="123">
        <v>5656.86</v>
      </c>
      <c r="O537" s="123">
        <v>5656.86</v>
      </c>
      <c r="P537" s="123">
        <v>5656.86</v>
      </c>
      <c r="Q537" s="123">
        <v>160.71</v>
      </c>
      <c r="R537" s="123">
        <v>160.71</v>
      </c>
      <c r="S537" s="123">
        <v>608.65</v>
      </c>
      <c r="T537" s="123">
        <v>608.65</v>
      </c>
      <c r="U537" s="123">
        <v>1220.6500000000001</v>
      </c>
      <c r="V537" s="123">
        <v>1220.6500000000001</v>
      </c>
      <c r="W537" s="123">
        <v>1220.6500000000001</v>
      </c>
      <c r="X537" s="123">
        <v>1220.6500000000001</v>
      </c>
      <c r="Y537" s="123">
        <v>1220.6500000000001</v>
      </c>
      <c r="Z537" s="123">
        <v>1220.6500000000001</v>
      </c>
      <c r="AA537" s="123">
        <v>1220.6500000000001</v>
      </c>
      <c r="AB537" s="123">
        <v>1220.6500000000001</v>
      </c>
      <c r="AC537" s="124">
        <v>480</v>
      </c>
      <c r="AD537" s="124">
        <v>480</v>
      </c>
      <c r="AE537" s="124">
        <v>480</v>
      </c>
      <c r="AF537" s="124">
        <v>480</v>
      </c>
      <c r="AG537" s="124">
        <v>2616</v>
      </c>
      <c r="AH537" s="124">
        <v>2616</v>
      </c>
      <c r="AI537" s="124">
        <v>2963</v>
      </c>
      <c r="AJ537" s="124">
        <v>2963</v>
      </c>
      <c r="AK537" s="124">
        <v>2963</v>
      </c>
      <c r="AL537" s="124">
        <v>2963</v>
      </c>
      <c r="AM537" s="124">
        <v>2963</v>
      </c>
      <c r="AN537" s="124">
        <v>3310</v>
      </c>
      <c r="AO537" s="125">
        <v>979.99</v>
      </c>
      <c r="AP537" s="125">
        <v>1459.99</v>
      </c>
      <c r="AQ537" s="125">
        <v>1521.59</v>
      </c>
      <c r="AR537" s="125">
        <v>1606.99</v>
      </c>
      <c r="AS537" s="125">
        <v>2206.9899999999998</v>
      </c>
      <c r="AT537" s="125">
        <v>2537.4299999999998</v>
      </c>
      <c r="AU537" s="125">
        <v>2537.4299999999998</v>
      </c>
      <c r="AV537" s="125">
        <v>2867.87</v>
      </c>
      <c r="AW537" s="125">
        <v>2940.41</v>
      </c>
      <c r="AX537" s="125">
        <v>3190.41</v>
      </c>
      <c r="AY537" s="126"/>
      <c r="AZ537" s="126"/>
      <c r="BA537" s="126"/>
      <c r="BB537" s="126"/>
      <c r="BC537" s="126"/>
      <c r="BD537" s="126"/>
      <c r="BE537" s="126"/>
      <c r="BF537" s="127">
        <v>45031505</v>
      </c>
      <c r="BG537" s="97" t="s">
        <v>485</v>
      </c>
      <c r="BH537" s="127">
        <v>2616</v>
      </c>
      <c r="BI537" s="127">
        <v>45031505</v>
      </c>
      <c r="BJ537" s="97" t="s">
        <v>485</v>
      </c>
      <c r="BK537" s="127">
        <v>2963</v>
      </c>
    </row>
    <row r="538" spans="2:63" x14ac:dyDescent="0.25">
      <c r="B538" s="121">
        <v>45031510</v>
      </c>
      <c r="C538" s="152" t="s">
        <v>486</v>
      </c>
      <c r="D538" s="123">
        <v>62262.78</v>
      </c>
      <c r="E538" s="123">
        <v>4740</v>
      </c>
      <c r="F538" s="123">
        <v>9820</v>
      </c>
      <c r="G538" s="123">
        <v>14320</v>
      </c>
      <c r="H538" s="123">
        <v>19080</v>
      </c>
      <c r="I538" s="123">
        <v>23580</v>
      </c>
      <c r="J538" s="123">
        <v>28080</v>
      </c>
      <c r="K538" s="123">
        <v>28080</v>
      </c>
      <c r="L538" s="123">
        <v>28080</v>
      </c>
      <c r="M538" s="123">
        <v>28080</v>
      </c>
      <c r="N538" s="123">
        <v>28080</v>
      </c>
      <c r="O538" s="123">
        <v>28080</v>
      </c>
      <c r="P538" s="123">
        <v>28080</v>
      </c>
      <c r="Q538" s="128"/>
      <c r="R538" s="128"/>
      <c r="S538" s="123">
        <v>78</v>
      </c>
      <c r="T538" s="123">
        <v>78</v>
      </c>
      <c r="U538" s="123">
        <v>78</v>
      </c>
      <c r="V538" s="123">
        <v>78</v>
      </c>
      <c r="W538" s="123">
        <v>78</v>
      </c>
      <c r="X538" s="123">
        <v>78</v>
      </c>
      <c r="Y538" s="123">
        <v>78</v>
      </c>
      <c r="Z538" s="123">
        <v>78</v>
      </c>
      <c r="AA538" s="123">
        <v>78</v>
      </c>
      <c r="AB538" s="123">
        <v>78</v>
      </c>
      <c r="AC538" s="129"/>
      <c r="AD538" s="129"/>
      <c r="AE538" s="129"/>
      <c r="AF538" s="129"/>
      <c r="AG538" s="129"/>
      <c r="AH538" s="129"/>
      <c r="AI538" s="129"/>
      <c r="AJ538" s="124">
        <v>0</v>
      </c>
      <c r="AK538" s="124">
        <v>0</v>
      </c>
      <c r="AL538" s="124">
        <v>0</v>
      </c>
      <c r="AM538" s="124">
        <v>0</v>
      </c>
      <c r="AN538" s="124">
        <v>0</v>
      </c>
      <c r="AO538" s="125">
        <v>0</v>
      </c>
      <c r="AP538" s="125">
        <v>0</v>
      </c>
      <c r="AQ538" s="125">
        <v>0</v>
      </c>
      <c r="AR538" s="125">
        <v>0</v>
      </c>
      <c r="AS538" s="125">
        <v>0</v>
      </c>
      <c r="AT538" s="125">
        <v>0</v>
      </c>
      <c r="AU538" s="125">
        <v>0</v>
      </c>
      <c r="AV538" s="125">
        <v>0</v>
      </c>
      <c r="AW538" s="125">
        <v>0</v>
      </c>
      <c r="AX538" s="125">
        <v>0</v>
      </c>
      <c r="AY538" s="126"/>
      <c r="AZ538" s="126"/>
      <c r="BA538" s="126"/>
      <c r="BB538" s="126"/>
      <c r="BC538" s="126"/>
      <c r="BD538" s="126"/>
      <c r="BE538" s="126"/>
    </row>
    <row r="539" spans="2:63" x14ac:dyDescent="0.25">
      <c r="B539" s="121">
        <v>45031515</v>
      </c>
      <c r="C539" s="122" t="s">
        <v>487</v>
      </c>
      <c r="D539" s="123">
        <v>2428.35</v>
      </c>
      <c r="E539" s="123">
        <v>51</v>
      </c>
      <c r="F539" s="123">
        <v>51</v>
      </c>
      <c r="G539" s="123">
        <v>51</v>
      </c>
      <c r="H539" s="123">
        <v>51</v>
      </c>
      <c r="I539" s="123">
        <v>214.5</v>
      </c>
      <c r="J539" s="123">
        <v>214.5</v>
      </c>
      <c r="K539" s="123">
        <v>214.5</v>
      </c>
      <c r="L539" s="123">
        <v>214.5</v>
      </c>
      <c r="M539" s="123">
        <v>214.5</v>
      </c>
      <c r="N539" s="123">
        <v>214.5</v>
      </c>
      <c r="O539" s="123">
        <v>390.12</v>
      </c>
      <c r="P539" s="123">
        <v>1578.12</v>
      </c>
      <c r="Q539" s="128"/>
      <c r="R539" s="128"/>
      <c r="S539" s="128"/>
      <c r="T539" s="128"/>
      <c r="U539" s="128"/>
      <c r="V539" s="128"/>
      <c r="W539" s="123">
        <v>1215.9100000000001</v>
      </c>
      <c r="X539" s="123">
        <v>1215.9100000000001</v>
      </c>
      <c r="Y539" s="123">
        <v>2183.37</v>
      </c>
      <c r="Z539" s="123">
        <v>2646.94</v>
      </c>
      <c r="AA539" s="123">
        <v>3220.44</v>
      </c>
      <c r="AB539" s="123">
        <v>6466.59</v>
      </c>
      <c r="AC539" s="124">
        <v>24</v>
      </c>
      <c r="AD539" s="124">
        <v>-172.34</v>
      </c>
      <c r="AE539" s="124">
        <v>260.7</v>
      </c>
      <c r="AF539" s="124">
        <v>472.07</v>
      </c>
      <c r="AG539" s="124">
        <v>4588.3999999999996</v>
      </c>
      <c r="AH539" s="124">
        <v>3025.24</v>
      </c>
      <c r="AI539" s="124">
        <v>3025.24</v>
      </c>
      <c r="AJ539" s="124">
        <v>4050.76</v>
      </c>
      <c r="AK539" s="124">
        <v>4156.76</v>
      </c>
      <c r="AL539" s="124">
        <v>5215.66</v>
      </c>
      <c r="AM539" s="124">
        <v>5743.4</v>
      </c>
      <c r="AN539" s="124">
        <v>9016.61</v>
      </c>
      <c r="AO539" s="125">
        <v>1746</v>
      </c>
      <c r="AP539" s="125">
        <v>7702</v>
      </c>
      <c r="AQ539" s="125">
        <v>10481.91</v>
      </c>
      <c r="AR539" s="125">
        <v>11618.41</v>
      </c>
      <c r="AS539" s="125">
        <v>12234.41</v>
      </c>
      <c r="AT539" s="125">
        <v>13764.27</v>
      </c>
      <c r="AU539" s="125">
        <v>14386.27</v>
      </c>
      <c r="AV539" s="125">
        <v>16626.77</v>
      </c>
      <c r="AW539" s="125">
        <v>16944.72</v>
      </c>
      <c r="AX539" s="125">
        <v>18770.97</v>
      </c>
      <c r="AY539" s="126"/>
      <c r="AZ539" s="126"/>
      <c r="BA539" s="126"/>
      <c r="BB539" s="126"/>
      <c r="BC539" s="126"/>
      <c r="BD539" s="126"/>
      <c r="BE539" s="126"/>
      <c r="BF539" s="127">
        <v>45031515</v>
      </c>
      <c r="BG539" s="97" t="s">
        <v>487</v>
      </c>
      <c r="BH539" s="127">
        <v>3025.24</v>
      </c>
      <c r="BI539" s="127">
        <v>45031515</v>
      </c>
      <c r="BJ539" s="97" t="s">
        <v>487</v>
      </c>
      <c r="BK539" s="127">
        <v>3025.24</v>
      </c>
    </row>
    <row r="540" spans="2:63" x14ac:dyDescent="0.25">
      <c r="B540" s="121">
        <v>45031520</v>
      </c>
      <c r="C540" s="122" t="s">
        <v>488</v>
      </c>
      <c r="D540" s="123">
        <v>39322.35</v>
      </c>
      <c r="E540" s="123">
        <v>2074.27</v>
      </c>
      <c r="F540" s="123">
        <v>2950</v>
      </c>
      <c r="G540" s="123">
        <v>4622.41</v>
      </c>
      <c r="H540" s="123">
        <v>7609.51</v>
      </c>
      <c r="I540" s="123">
        <v>11654.41</v>
      </c>
      <c r="J540" s="123">
        <v>12896.75</v>
      </c>
      <c r="K540" s="123">
        <v>14295.14</v>
      </c>
      <c r="L540" s="123">
        <v>14935.14</v>
      </c>
      <c r="M540" s="123">
        <v>15985.14</v>
      </c>
      <c r="N540" s="123">
        <v>19942.13</v>
      </c>
      <c r="O540" s="123">
        <v>22279.599999999999</v>
      </c>
      <c r="P540" s="123">
        <v>23472.44</v>
      </c>
      <c r="Q540" s="123">
        <v>1189.8800000000001</v>
      </c>
      <c r="R540" s="123">
        <v>1929.88</v>
      </c>
      <c r="S540" s="123">
        <v>2989.88</v>
      </c>
      <c r="T540" s="123">
        <v>4289.88</v>
      </c>
      <c r="U540" s="123">
        <v>6709.88</v>
      </c>
      <c r="V540" s="123">
        <v>7349.88</v>
      </c>
      <c r="W540" s="123">
        <v>7989.88</v>
      </c>
      <c r="X540" s="123">
        <v>9536.3799999999992</v>
      </c>
      <c r="Y540" s="123">
        <v>12044.24</v>
      </c>
      <c r="Z540" s="123">
        <v>14994.24</v>
      </c>
      <c r="AA540" s="123">
        <v>16334.24</v>
      </c>
      <c r="AB540" s="123">
        <v>17392.810000000001</v>
      </c>
      <c r="AC540" s="124">
        <v>2238.21</v>
      </c>
      <c r="AD540" s="124">
        <v>2878.21</v>
      </c>
      <c r="AE540" s="124">
        <v>4368.21</v>
      </c>
      <c r="AF540" s="124">
        <v>7781.69</v>
      </c>
      <c r="AG540" s="124">
        <v>9191.69</v>
      </c>
      <c r="AH540" s="124">
        <v>11504.19</v>
      </c>
      <c r="AI540" s="124">
        <v>14780.71</v>
      </c>
      <c r="AJ540" s="124">
        <v>20602.27</v>
      </c>
      <c r="AK540" s="124">
        <v>24914.23</v>
      </c>
      <c r="AL540" s="124">
        <v>31943.79</v>
      </c>
      <c r="AM540" s="124">
        <v>37709.879999999997</v>
      </c>
      <c r="AN540" s="124">
        <v>45577.16</v>
      </c>
      <c r="AO540" s="125">
        <v>5165.43</v>
      </c>
      <c r="AP540" s="125">
        <v>10652.82</v>
      </c>
      <c r="AQ540" s="125">
        <v>20655.86</v>
      </c>
      <c r="AR540" s="125">
        <v>23755.86</v>
      </c>
      <c r="AS540" s="125">
        <v>39265.64</v>
      </c>
      <c r="AT540" s="125">
        <v>53175.87</v>
      </c>
      <c r="AU540" s="125">
        <v>68351.3</v>
      </c>
      <c r="AV540" s="125">
        <v>80803.05</v>
      </c>
      <c r="AW540" s="125">
        <v>89091.49</v>
      </c>
      <c r="AX540" s="125">
        <v>99586.66</v>
      </c>
      <c r="AY540" s="126"/>
      <c r="AZ540" s="126"/>
      <c r="BA540" s="126"/>
      <c r="BB540" s="126"/>
      <c r="BC540" s="126"/>
      <c r="BD540" s="126"/>
      <c r="BE540" s="126"/>
      <c r="BF540" s="127">
        <v>45031520</v>
      </c>
      <c r="BG540" s="97" t="s">
        <v>488</v>
      </c>
      <c r="BH540" s="127">
        <v>11504.19</v>
      </c>
      <c r="BI540" s="127">
        <v>45031520</v>
      </c>
      <c r="BJ540" s="97" t="s">
        <v>488</v>
      </c>
      <c r="BK540" s="127">
        <v>14780.71</v>
      </c>
    </row>
    <row r="541" spans="2:63" x14ac:dyDescent="0.25">
      <c r="B541" s="121">
        <v>45031525</v>
      </c>
      <c r="C541" s="152" t="s">
        <v>489</v>
      </c>
      <c r="D541" s="123">
        <v>83618.460000000006</v>
      </c>
      <c r="E541" s="123">
        <v>4605</v>
      </c>
      <c r="F541" s="123">
        <v>11783.08</v>
      </c>
      <c r="G541" s="123">
        <v>21921.08</v>
      </c>
      <c r="H541" s="123">
        <v>14000.85</v>
      </c>
      <c r="I541" s="123">
        <v>24265.85</v>
      </c>
      <c r="J541" s="123">
        <v>35865.85</v>
      </c>
      <c r="K541" s="123">
        <v>44045.760000000002</v>
      </c>
      <c r="L541" s="123">
        <v>51632.91</v>
      </c>
      <c r="M541" s="123">
        <v>60028.22</v>
      </c>
      <c r="N541" s="123">
        <v>66723.19</v>
      </c>
      <c r="O541" s="123">
        <v>58234.54</v>
      </c>
      <c r="P541" s="123">
        <v>108567.38</v>
      </c>
      <c r="Q541" s="123">
        <v>5805</v>
      </c>
      <c r="R541" s="123">
        <v>16055</v>
      </c>
      <c r="S541" s="123">
        <v>22308.29</v>
      </c>
      <c r="T541" s="123">
        <v>33516.019999999997</v>
      </c>
      <c r="U541" s="123">
        <v>40243.050000000003</v>
      </c>
      <c r="V541" s="123">
        <v>43463.05</v>
      </c>
      <c r="W541" s="123">
        <v>49373.05</v>
      </c>
      <c r="X541" s="123">
        <v>56833.05</v>
      </c>
      <c r="Y541" s="123">
        <v>64678.05</v>
      </c>
      <c r="Z541" s="123">
        <v>75328.05</v>
      </c>
      <c r="AA541" s="123">
        <v>90343.05</v>
      </c>
      <c r="AB541" s="123">
        <v>98403.06</v>
      </c>
      <c r="AC541" s="124">
        <v>9185</v>
      </c>
      <c r="AD541" s="124">
        <v>14735</v>
      </c>
      <c r="AE541" s="124">
        <v>22385</v>
      </c>
      <c r="AF541" s="124">
        <v>34405</v>
      </c>
      <c r="AG541" s="124">
        <v>45325</v>
      </c>
      <c r="AH541" s="124">
        <v>56295.96</v>
      </c>
      <c r="AI541" s="124">
        <v>67005.960000000006</v>
      </c>
      <c r="AJ541" s="124">
        <v>78306.19</v>
      </c>
      <c r="AK541" s="124">
        <v>95953.76</v>
      </c>
      <c r="AL541" s="124">
        <v>112303.76</v>
      </c>
      <c r="AM541" s="124">
        <v>131998.51999999999</v>
      </c>
      <c r="AN541" s="124">
        <v>163700.51</v>
      </c>
      <c r="AO541" s="125">
        <v>13190</v>
      </c>
      <c r="AP541" s="125">
        <v>31576.400000000001</v>
      </c>
      <c r="AQ541" s="125">
        <v>63387.55</v>
      </c>
      <c r="AR541" s="125">
        <v>94298.06</v>
      </c>
      <c r="AS541" s="125">
        <v>119818.06</v>
      </c>
      <c r="AT541" s="125">
        <v>151118.06</v>
      </c>
      <c r="AU541" s="125">
        <v>176374.24</v>
      </c>
      <c r="AV541" s="125">
        <v>200099.24</v>
      </c>
      <c r="AW541" s="125">
        <v>213464.24</v>
      </c>
      <c r="AX541" s="125">
        <v>232874.23999999999</v>
      </c>
      <c r="AY541" s="126"/>
      <c r="AZ541" s="126"/>
      <c r="BA541" s="126"/>
      <c r="BB541" s="126"/>
      <c r="BC541" s="126"/>
      <c r="BD541" s="126"/>
      <c r="BE541" s="126"/>
      <c r="BF541" s="127">
        <v>45031525</v>
      </c>
      <c r="BG541" s="97" t="s">
        <v>489</v>
      </c>
      <c r="BH541" s="127">
        <v>56295.96</v>
      </c>
      <c r="BI541" s="127">
        <v>45031525</v>
      </c>
      <c r="BJ541" s="97" t="s">
        <v>489</v>
      </c>
      <c r="BK541" s="127">
        <v>67005.960000000006</v>
      </c>
    </row>
    <row r="542" spans="2:63" x14ac:dyDescent="0.25">
      <c r="B542" s="121">
        <v>45031530</v>
      </c>
      <c r="C542" s="152" t="s">
        <v>490</v>
      </c>
      <c r="D542" s="123">
        <v>1171.31</v>
      </c>
      <c r="E542" s="128"/>
      <c r="F542" s="128"/>
      <c r="G542" s="128"/>
      <c r="H542" s="123">
        <v>73.58</v>
      </c>
      <c r="I542" s="123">
        <v>151.44</v>
      </c>
      <c r="J542" s="123">
        <v>521.34</v>
      </c>
      <c r="K542" s="123">
        <v>521.34</v>
      </c>
      <c r="L542" s="123">
        <v>545.44000000000005</v>
      </c>
      <c r="M542" s="123">
        <v>545.44000000000005</v>
      </c>
      <c r="N542" s="123">
        <v>545.44000000000005</v>
      </c>
      <c r="O542" s="123">
        <v>545.44000000000005</v>
      </c>
      <c r="P542" s="123">
        <v>2973.77</v>
      </c>
      <c r="Q542" s="128"/>
      <c r="R542" s="128"/>
      <c r="S542" s="123">
        <v>39.36</v>
      </c>
      <c r="T542" s="123">
        <v>43.3</v>
      </c>
      <c r="U542" s="123">
        <v>43.3</v>
      </c>
      <c r="V542" s="123">
        <v>131.88999999999999</v>
      </c>
      <c r="W542" s="123">
        <v>131.88999999999999</v>
      </c>
      <c r="X542" s="123">
        <v>131.88999999999999</v>
      </c>
      <c r="Y542" s="123">
        <v>221.89</v>
      </c>
      <c r="Z542" s="123">
        <v>221.89</v>
      </c>
      <c r="AA542" s="123">
        <v>221.89</v>
      </c>
      <c r="AB542" s="123">
        <v>645.14</v>
      </c>
      <c r="AC542" s="124">
        <v>81.06</v>
      </c>
      <c r="AD542" s="124">
        <v>81.06</v>
      </c>
      <c r="AE542" s="124">
        <v>81.06</v>
      </c>
      <c r="AF542" s="124">
        <v>81.06</v>
      </c>
      <c r="AG542" s="124">
        <v>111.06</v>
      </c>
      <c r="AH542" s="124">
        <v>136.66999999999999</v>
      </c>
      <c r="AI542" s="124">
        <v>233.85</v>
      </c>
      <c r="AJ542" s="124">
        <v>341.11</v>
      </c>
      <c r="AK542" s="124">
        <v>500.79</v>
      </c>
      <c r="AL542" s="124">
        <v>665.88</v>
      </c>
      <c r="AM542" s="124">
        <v>688.84</v>
      </c>
      <c r="AN542" s="124">
        <v>3192.45</v>
      </c>
      <c r="AO542" s="125">
        <v>37.74</v>
      </c>
      <c r="AP542" s="125">
        <v>105.63</v>
      </c>
      <c r="AQ542" s="125">
        <v>648.73</v>
      </c>
      <c r="AR542" s="125">
        <v>753.96</v>
      </c>
      <c r="AS542" s="125">
        <v>1564.82</v>
      </c>
      <c r="AT542" s="125">
        <v>1711.51</v>
      </c>
      <c r="AU542" s="125">
        <v>1737.59</v>
      </c>
      <c r="AV542" s="125">
        <v>1875.06</v>
      </c>
      <c r="AW542" s="125">
        <v>1919.06</v>
      </c>
      <c r="AX542" s="125">
        <v>1943.4</v>
      </c>
      <c r="AY542" s="126"/>
      <c r="AZ542" s="126"/>
      <c r="BA542" s="126"/>
      <c r="BB542" s="126"/>
      <c r="BC542" s="126"/>
      <c r="BD542" s="126"/>
      <c r="BE542" s="126"/>
      <c r="BF542" s="127">
        <v>45031530</v>
      </c>
      <c r="BG542" s="97" t="s">
        <v>490</v>
      </c>
      <c r="BH542" s="127">
        <v>136.66999999999999</v>
      </c>
      <c r="BI542" s="127">
        <v>45031530</v>
      </c>
      <c r="BJ542" s="97" t="s">
        <v>490</v>
      </c>
      <c r="BK542" s="127">
        <v>233.85</v>
      </c>
    </row>
    <row r="543" spans="2:63" x14ac:dyDescent="0.25">
      <c r="B543" s="121">
        <v>450320</v>
      </c>
      <c r="C543" s="152" t="s">
        <v>491</v>
      </c>
      <c r="D543" s="123">
        <v>56441.279999999999</v>
      </c>
      <c r="E543" s="123">
        <v>4501.3900000000003</v>
      </c>
      <c r="F543" s="123">
        <v>9423.11</v>
      </c>
      <c r="G543" s="123">
        <v>13880.23</v>
      </c>
      <c r="H543" s="123">
        <v>18923.48</v>
      </c>
      <c r="I543" s="123">
        <v>23268.21</v>
      </c>
      <c r="J543" s="123">
        <v>27912.04</v>
      </c>
      <c r="K543" s="123">
        <v>34344.89</v>
      </c>
      <c r="L543" s="123">
        <v>38805.14</v>
      </c>
      <c r="M543" s="123">
        <v>43302.73</v>
      </c>
      <c r="N543" s="123">
        <v>47789.06</v>
      </c>
      <c r="O543" s="123">
        <v>54027.57</v>
      </c>
      <c r="P543" s="123">
        <v>61662.05</v>
      </c>
      <c r="Q543" s="123">
        <v>4037.5</v>
      </c>
      <c r="R543" s="123">
        <v>14278.94</v>
      </c>
      <c r="S543" s="123">
        <v>21578.29</v>
      </c>
      <c r="T543" s="123">
        <v>30988.1</v>
      </c>
      <c r="U543" s="123">
        <v>37944.699999999997</v>
      </c>
      <c r="V543" s="123">
        <v>44524.4</v>
      </c>
      <c r="W543" s="123">
        <v>51095.17</v>
      </c>
      <c r="X543" s="123">
        <v>59201.68</v>
      </c>
      <c r="Y543" s="123">
        <v>66281.679999999993</v>
      </c>
      <c r="Z543" s="123">
        <v>72837.929999999993</v>
      </c>
      <c r="AA543" s="123">
        <v>80302.960000000006</v>
      </c>
      <c r="AB543" s="123">
        <v>87546.86</v>
      </c>
      <c r="AC543" s="124">
        <v>6869.5</v>
      </c>
      <c r="AD543" s="124">
        <v>14130.67</v>
      </c>
      <c r="AE543" s="124">
        <v>20938.54</v>
      </c>
      <c r="AF543" s="124">
        <v>28417.85</v>
      </c>
      <c r="AG543" s="124">
        <v>35162.07</v>
      </c>
      <c r="AH543" s="124">
        <v>42143.88</v>
      </c>
      <c r="AI543" s="124">
        <v>49036.62</v>
      </c>
      <c r="AJ543" s="124">
        <v>56181.1</v>
      </c>
      <c r="AK543" s="124">
        <v>63027.32</v>
      </c>
      <c r="AL543" s="124">
        <v>70311.09</v>
      </c>
      <c r="AM543" s="124">
        <v>76771.28</v>
      </c>
      <c r="AN543" s="124">
        <v>83979.18</v>
      </c>
      <c r="AO543" s="125">
        <v>6971.79</v>
      </c>
      <c r="AP543" s="125">
        <v>14703.5</v>
      </c>
      <c r="AQ543" s="125">
        <v>21649.81</v>
      </c>
      <c r="AR543" s="125">
        <v>31075.51</v>
      </c>
      <c r="AS543" s="125">
        <v>39022.39</v>
      </c>
      <c r="AT543" s="125">
        <v>47348.9</v>
      </c>
      <c r="AU543" s="125">
        <v>54792.23</v>
      </c>
      <c r="AV543" s="125">
        <v>62779.33</v>
      </c>
      <c r="AW543" s="125">
        <v>71017.350000000006</v>
      </c>
      <c r="AX543" s="125">
        <v>78017.509999999995</v>
      </c>
      <c r="AY543" s="126"/>
      <c r="AZ543" s="126"/>
      <c r="BA543" s="126"/>
      <c r="BB543" s="126"/>
      <c r="BC543" s="126"/>
      <c r="BD543" s="126"/>
      <c r="BE543" s="126"/>
      <c r="BF543" s="127">
        <v>450320</v>
      </c>
      <c r="BG543" s="97" t="s">
        <v>491</v>
      </c>
      <c r="BH543" s="127">
        <v>42143.88</v>
      </c>
      <c r="BI543" s="127">
        <v>450320</v>
      </c>
      <c r="BJ543" s="97" t="s">
        <v>491</v>
      </c>
      <c r="BK543" s="127">
        <v>49036.62</v>
      </c>
    </row>
    <row r="544" spans="2:63" x14ac:dyDescent="0.25">
      <c r="B544" s="121">
        <v>45032005</v>
      </c>
      <c r="C544" s="122" t="s">
        <v>492</v>
      </c>
      <c r="D544" s="123">
        <v>5738.82</v>
      </c>
      <c r="E544" s="123">
        <v>381.85</v>
      </c>
      <c r="F544" s="123">
        <v>901.92</v>
      </c>
      <c r="G544" s="123">
        <v>1317.41</v>
      </c>
      <c r="H544" s="123">
        <v>1919</v>
      </c>
      <c r="I544" s="123">
        <v>2361.34</v>
      </c>
      <c r="J544" s="123">
        <v>2863.69</v>
      </c>
      <c r="K544" s="123">
        <v>3297.38</v>
      </c>
      <c r="L544" s="123">
        <v>3721.21</v>
      </c>
      <c r="M544" s="123">
        <v>4157.68</v>
      </c>
      <c r="N544" s="123">
        <v>4589.2</v>
      </c>
      <c r="O544" s="123">
        <v>5056.3599999999997</v>
      </c>
      <c r="P544" s="123">
        <v>5513.47</v>
      </c>
      <c r="Q544" s="123">
        <v>464.42</v>
      </c>
      <c r="R544" s="123">
        <v>900.16</v>
      </c>
      <c r="S544" s="123">
        <v>1316.23</v>
      </c>
      <c r="T544" s="123">
        <v>1729.27</v>
      </c>
      <c r="U544" s="123">
        <v>2207.46</v>
      </c>
      <c r="V544" s="123">
        <v>2647.62</v>
      </c>
      <c r="W544" s="123">
        <v>3069.81</v>
      </c>
      <c r="X544" s="123">
        <v>3499.56</v>
      </c>
      <c r="Y544" s="123">
        <v>3905.02</v>
      </c>
      <c r="Z544" s="123">
        <v>4328.72</v>
      </c>
      <c r="AA544" s="123">
        <v>4740.43</v>
      </c>
      <c r="AB544" s="123">
        <v>5092.1400000000003</v>
      </c>
      <c r="AC544" s="124">
        <v>357.1</v>
      </c>
      <c r="AD544" s="124">
        <v>738</v>
      </c>
      <c r="AE544" s="124">
        <v>1089.9000000000001</v>
      </c>
      <c r="AF544" s="124">
        <v>1466.47</v>
      </c>
      <c r="AG544" s="124">
        <v>1814.37</v>
      </c>
      <c r="AH544" s="124">
        <v>2173.0100000000002</v>
      </c>
      <c r="AI544" s="124">
        <v>2522.02</v>
      </c>
      <c r="AJ544" s="124">
        <v>2878.7</v>
      </c>
      <c r="AK544" s="124">
        <v>3233.52</v>
      </c>
      <c r="AL544" s="124">
        <v>3582.96</v>
      </c>
      <c r="AM544" s="124">
        <v>3944.72</v>
      </c>
      <c r="AN544" s="124">
        <v>4311.57</v>
      </c>
      <c r="AO544" s="125">
        <v>341.12</v>
      </c>
      <c r="AP544" s="125">
        <v>659.41</v>
      </c>
      <c r="AQ544" s="125">
        <v>1047.55</v>
      </c>
      <c r="AR544" s="125">
        <v>1409.05</v>
      </c>
      <c r="AS544" s="125">
        <v>1760.1</v>
      </c>
      <c r="AT544" s="125">
        <v>2104</v>
      </c>
      <c r="AU544" s="125">
        <v>2461.0300000000002</v>
      </c>
      <c r="AV544" s="125">
        <v>2813.78</v>
      </c>
      <c r="AW544" s="125">
        <v>3165.4</v>
      </c>
      <c r="AX544" s="125">
        <v>3511.36</v>
      </c>
      <c r="AY544" s="126"/>
      <c r="AZ544" s="126"/>
      <c r="BA544" s="126"/>
      <c r="BB544" s="126"/>
      <c r="BC544" s="126"/>
      <c r="BD544" s="126"/>
      <c r="BE544" s="126"/>
      <c r="BF544" s="127">
        <v>45032005</v>
      </c>
      <c r="BG544" s="97" t="s">
        <v>492</v>
      </c>
      <c r="BH544" s="127">
        <v>2173.0100000000002</v>
      </c>
      <c r="BI544" s="127">
        <v>45032005</v>
      </c>
      <c r="BJ544" s="97" t="s">
        <v>492</v>
      </c>
      <c r="BK544" s="127">
        <v>2522.02</v>
      </c>
    </row>
    <row r="545" spans="1:63" x14ac:dyDescent="0.25">
      <c r="B545" s="121">
        <v>45032010</v>
      </c>
      <c r="C545" s="122" t="s">
        <v>493</v>
      </c>
      <c r="D545" s="123">
        <v>8244.44</v>
      </c>
      <c r="E545" s="123">
        <v>576.99</v>
      </c>
      <c r="F545" s="123">
        <v>1153.98</v>
      </c>
      <c r="G545" s="123">
        <v>1732.75</v>
      </c>
      <c r="H545" s="123">
        <v>2341.6999999999998</v>
      </c>
      <c r="I545" s="123">
        <v>2963.14</v>
      </c>
      <c r="J545" s="123">
        <v>3583.69</v>
      </c>
      <c r="K545" s="123">
        <v>4219.75</v>
      </c>
      <c r="L545" s="123">
        <v>4900.74</v>
      </c>
      <c r="M545" s="123">
        <v>5395.78</v>
      </c>
      <c r="N545" s="123">
        <v>6109.66</v>
      </c>
      <c r="O545" s="123">
        <v>6818.07</v>
      </c>
      <c r="P545" s="123">
        <v>7366.8</v>
      </c>
      <c r="Q545" s="123">
        <v>619.08000000000004</v>
      </c>
      <c r="R545" s="123">
        <v>1229.4000000000001</v>
      </c>
      <c r="S545" s="123">
        <v>1835.44</v>
      </c>
      <c r="T545" s="123">
        <v>2652.88</v>
      </c>
      <c r="U545" s="123">
        <v>3237.12</v>
      </c>
      <c r="V545" s="123">
        <v>3844.59</v>
      </c>
      <c r="W545" s="123">
        <v>4475.03</v>
      </c>
      <c r="X545" s="123">
        <v>5059.78</v>
      </c>
      <c r="Y545" s="123">
        <v>5723.67</v>
      </c>
      <c r="Z545" s="123">
        <v>6409.24</v>
      </c>
      <c r="AA545" s="123">
        <v>7063.99</v>
      </c>
      <c r="AB545" s="123">
        <v>7772.48</v>
      </c>
      <c r="AC545" s="124">
        <v>695.21</v>
      </c>
      <c r="AD545" s="124">
        <v>1392.36</v>
      </c>
      <c r="AE545" s="124">
        <v>2090.4</v>
      </c>
      <c r="AF545" s="124">
        <v>2826.09</v>
      </c>
      <c r="AG545" s="124">
        <v>3544.97</v>
      </c>
      <c r="AH545" s="124">
        <v>4231.33</v>
      </c>
      <c r="AI545" s="124">
        <v>4899.9799999999996</v>
      </c>
      <c r="AJ545" s="124">
        <v>5568.92</v>
      </c>
      <c r="AK545" s="124">
        <v>6257.36</v>
      </c>
      <c r="AL545" s="124">
        <v>6946.07</v>
      </c>
      <c r="AM545" s="124">
        <v>7791.08</v>
      </c>
      <c r="AN545" s="124">
        <v>8633.2900000000009</v>
      </c>
      <c r="AO545" s="125">
        <v>878.66</v>
      </c>
      <c r="AP545" s="125">
        <v>1770.47</v>
      </c>
      <c r="AQ545" s="125">
        <v>2674.27</v>
      </c>
      <c r="AR545" s="125">
        <v>3610.95</v>
      </c>
      <c r="AS545" s="125">
        <v>4539.07</v>
      </c>
      <c r="AT545" s="125">
        <v>5483.18</v>
      </c>
      <c r="AU545" s="125">
        <v>6522.84</v>
      </c>
      <c r="AV545" s="125">
        <v>7472.64</v>
      </c>
      <c r="AW545" s="125">
        <v>8443.25</v>
      </c>
      <c r="AX545" s="125">
        <v>9502.14</v>
      </c>
      <c r="AY545" s="126"/>
      <c r="AZ545" s="126"/>
      <c r="BA545" s="126"/>
      <c r="BB545" s="126"/>
      <c r="BC545" s="126"/>
      <c r="BD545" s="126"/>
      <c r="BE545" s="126"/>
      <c r="BF545" s="127">
        <v>45032010</v>
      </c>
      <c r="BG545" s="97" t="s">
        <v>493</v>
      </c>
      <c r="BH545" s="127">
        <v>4231.33</v>
      </c>
      <c r="BI545" s="127">
        <v>45032010</v>
      </c>
      <c r="BJ545" s="97" t="s">
        <v>493</v>
      </c>
      <c r="BK545" s="127">
        <v>4899.9799999999996</v>
      </c>
    </row>
    <row r="546" spans="1:63" x14ac:dyDescent="0.25">
      <c r="B546" s="121">
        <v>45032015</v>
      </c>
      <c r="C546" s="122" t="s">
        <v>494</v>
      </c>
      <c r="D546" s="123">
        <v>40787.589999999997</v>
      </c>
      <c r="E546" s="123">
        <v>3513.17</v>
      </c>
      <c r="F546" s="123">
        <v>7331.13</v>
      </c>
      <c r="G546" s="123">
        <v>10695.47</v>
      </c>
      <c r="H546" s="123">
        <v>14488.41</v>
      </c>
      <c r="I546" s="123">
        <v>17759.66</v>
      </c>
      <c r="J546" s="123">
        <v>21188.47</v>
      </c>
      <c r="K546" s="123">
        <v>24559.17</v>
      </c>
      <c r="L546" s="123">
        <v>27810.07</v>
      </c>
      <c r="M546" s="123">
        <v>31369.45</v>
      </c>
      <c r="N546" s="123">
        <v>34637.26</v>
      </c>
      <c r="O546" s="123">
        <v>37700.1</v>
      </c>
      <c r="P546" s="123">
        <v>41495.21</v>
      </c>
      <c r="Q546" s="123">
        <v>255.79</v>
      </c>
      <c r="R546" s="123">
        <v>6575.45</v>
      </c>
      <c r="S546" s="123">
        <v>10082.74</v>
      </c>
      <c r="T546" s="123">
        <v>15068.49</v>
      </c>
      <c r="U546" s="123">
        <v>18201.29</v>
      </c>
      <c r="V546" s="123">
        <v>21035.15</v>
      </c>
      <c r="W546" s="123">
        <v>23765.84</v>
      </c>
      <c r="X546" s="123">
        <v>28078.48</v>
      </c>
      <c r="Y546" s="123">
        <v>31432.83</v>
      </c>
      <c r="Z546" s="123">
        <v>34111.71</v>
      </c>
      <c r="AA546" s="123">
        <v>37826.21</v>
      </c>
      <c r="AB546" s="123">
        <v>41175.919999999998</v>
      </c>
      <c r="AC546" s="124">
        <v>3167.59</v>
      </c>
      <c r="AD546" s="124">
        <v>6662.41</v>
      </c>
      <c r="AE546" s="124">
        <v>9722.18</v>
      </c>
      <c r="AF546" s="124">
        <v>12951.06</v>
      </c>
      <c r="AG546" s="124">
        <v>15938.03</v>
      </c>
      <c r="AH546" s="124">
        <v>19184.37</v>
      </c>
      <c r="AI546" s="124">
        <v>22354</v>
      </c>
      <c r="AJ546" s="124">
        <v>25737.16</v>
      </c>
      <c r="AK546" s="124">
        <v>28857.22</v>
      </c>
      <c r="AL546" s="124">
        <v>32337.439999999999</v>
      </c>
      <c r="AM546" s="124">
        <v>34856.53</v>
      </c>
      <c r="AN546" s="124">
        <v>38155.550000000003</v>
      </c>
      <c r="AO546" s="125">
        <v>3106.86</v>
      </c>
      <c r="AP546" s="125">
        <v>6931.98</v>
      </c>
      <c r="AQ546" s="125">
        <v>9911.4599999999991</v>
      </c>
      <c r="AR546" s="125">
        <v>15247.02</v>
      </c>
      <c r="AS546" s="125">
        <v>19086.59</v>
      </c>
      <c r="AT546" s="125">
        <v>22987.4</v>
      </c>
      <c r="AU546" s="125">
        <v>26314.25</v>
      </c>
      <c r="AV546" s="125">
        <v>30267.24</v>
      </c>
      <c r="AW546" s="125">
        <v>34456.620000000003</v>
      </c>
      <c r="AX546" s="125">
        <v>37406.78</v>
      </c>
      <c r="AY546" s="126"/>
      <c r="AZ546" s="126"/>
      <c r="BA546" s="126"/>
      <c r="BB546" s="126"/>
      <c r="BC546" s="126"/>
      <c r="BD546" s="126"/>
      <c r="BE546" s="126"/>
      <c r="BF546" s="127">
        <v>45032015</v>
      </c>
      <c r="BG546" s="97" t="s">
        <v>494</v>
      </c>
      <c r="BH546" s="127">
        <v>19184.37</v>
      </c>
      <c r="BI546" s="127">
        <v>45032015</v>
      </c>
      <c r="BJ546" s="97" t="s">
        <v>494</v>
      </c>
      <c r="BK546" s="127">
        <v>22354</v>
      </c>
    </row>
    <row r="547" spans="1:63" x14ac:dyDescent="0.25">
      <c r="B547" s="121">
        <v>45032020</v>
      </c>
      <c r="C547" s="122" t="s">
        <v>495</v>
      </c>
      <c r="D547" s="123">
        <v>1220.43</v>
      </c>
      <c r="E547" s="123">
        <v>29.38</v>
      </c>
      <c r="F547" s="123">
        <v>36.08</v>
      </c>
      <c r="G547" s="123">
        <v>134.6</v>
      </c>
      <c r="H547" s="123">
        <v>174.37</v>
      </c>
      <c r="I547" s="123">
        <v>184.07</v>
      </c>
      <c r="J547" s="123">
        <v>276.19</v>
      </c>
      <c r="K547" s="123">
        <v>300.58999999999997</v>
      </c>
      <c r="L547" s="123">
        <v>405.12</v>
      </c>
      <c r="M547" s="123">
        <v>411.82</v>
      </c>
      <c r="N547" s="123">
        <v>484.94</v>
      </c>
      <c r="O547" s="123">
        <v>517.04</v>
      </c>
      <c r="P547" s="123">
        <v>652.36</v>
      </c>
      <c r="Q547" s="128"/>
      <c r="R547" s="123">
        <v>177.51</v>
      </c>
      <c r="S547" s="123">
        <v>249.25</v>
      </c>
      <c r="T547" s="123">
        <v>294.62</v>
      </c>
      <c r="U547" s="123">
        <v>357.78</v>
      </c>
      <c r="V547" s="123">
        <v>357.78</v>
      </c>
      <c r="W547" s="123">
        <v>500.08</v>
      </c>
      <c r="X547" s="123">
        <v>634.29999999999995</v>
      </c>
      <c r="Y547" s="123">
        <v>645.45000000000005</v>
      </c>
      <c r="Z547" s="123">
        <v>768.4</v>
      </c>
      <c r="AA547" s="123">
        <v>807.32</v>
      </c>
      <c r="AB547" s="123">
        <v>996.16</v>
      </c>
      <c r="AC547" s="124">
        <v>4.45</v>
      </c>
      <c r="AD547" s="124">
        <v>47.6</v>
      </c>
      <c r="AE547" s="124">
        <v>100.61</v>
      </c>
      <c r="AF547" s="124">
        <v>143.63</v>
      </c>
      <c r="AG547" s="124">
        <v>188.95</v>
      </c>
      <c r="AH547" s="124">
        <v>234.27</v>
      </c>
      <c r="AI547" s="124">
        <v>294.57</v>
      </c>
      <c r="AJ547" s="124">
        <v>385.12</v>
      </c>
      <c r="AK547" s="124">
        <v>422.87</v>
      </c>
      <c r="AL547" s="124">
        <v>543.12</v>
      </c>
      <c r="AM547" s="124">
        <v>632.29999999999995</v>
      </c>
      <c r="AN547" s="124">
        <v>686.97</v>
      </c>
      <c r="AO547" s="125">
        <v>0</v>
      </c>
      <c r="AP547" s="125">
        <v>0</v>
      </c>
      <c r="AQ547" s="125">
        <v>0</v>
      </c>
      <c r="AR547" s="125">
        <v>0</v>
      </c>
      <c r="AS547" s="125">
        <v>0</v>
      </c>
      <c r="AT547" s="125">
        <v>0</v>
      </c>
      <c r="AU547" s="125">
        <v>0</v>
      </c>
      <c r="AV547" s="125">
        <v>0</v>
      </c>
      <c r="AW547" s="125">
        <v>0</v>
      </c>
      <c r="AX547" s="125">
        <v>0</v>
      </c>
      <c r="AY547" s="126"/>
      <c r="AZ547" s="126"/>
      <c r="BA547" s="126"/>
      <c r="BB547" s="126"/>
      <c r="BC547" s="126"/>
      <c r="BD547" s="126"/>
      <c r="BE547" s="126"/>
      <c r="BF547" s="127">
        <v>45032020</v>
      </c>
      <c r="BG547" s="97" t="s">
        <v>495</v>
      </c>
      <c r="BH547" s="127">
        <v>234.27</v>
      </c>
      <c r="BI547" s="127">
        <v>45032020</v>
      </c>
      <c r="BJ547" s="97" t="s">
        <v>495</v>
      </c>
      <c r="BK547" s="127">
        <v>294.57</v>
      </c>
    </row>
    <row r="548" spans="1:63" x14ac:dyDescent="0.25">
      <c r="B548" s="121">
        <v>45032025</v>
      </c>
      <c r="C548" s="122" t="s">
        <v>496</v>
      </c>
      <c r="D548" s="128"/>
      <c r="E548" s="128"/>
      <c r="F548" s="128"/>
      <c r="G548" s="128"/>
      <c r="H548" s="128"/>
      <c r="I548" s="128"/>
      <c r="J548" s="128"/>
      <c r="K548" s="123">
        <v>1968</v>
      </c>
      <c r="L548" s="123">
        <v>1968</v>
      </c>
      <c r="M548" s="123">
        <v>1968</v>
      </c>
      <c r="N548" s="123">
        <v>1968</v>
      </c>
      <c r="O548" s="123">
        <v>3936</v>
      </c>
      <c r="P548" s="123">
        <v>6634.21</v>
      </c>
      <c r="Q548" s="123">
        <v>2698.21</v>
      </c>
      <c r="R548" s="123">
        <v>5396.42</v>
      </c>
      <c r="S548" s="123">
        <v>8094.63</v>
      </c>
      <c r="T548" s="123">
        <v>10792.84</v>
      </c>
      <c r="U548" s="123">
        <v>13491.05</v>
      </c>
      <c r="V548" s="123">
        <v>16189.26</v>
      </c>
      <c r="W548" s="123">
        <v>18834.41</v>
      </c>
      <c r="X548" s="123">
        <v>21479.56</v>
      </c>
      <c r="Y548" s="123">
        <v>24124.71</v>
      </c>
      <c r="Z548" s="123">
        <v>26769.86</v>
      </c>
      <c r="AA548" s="123">
        <v>29415.01</v>
      </c>
      <c r="AB548" s="123">
        <v>32060.16</v>
      </c>
      <c r="AC548" s="124">
        <v>2645.15</v>
      </c>
      <c r="AD548" s="124">
        <v>5290.3</v>
      </c>
      <c r="AE548" s="124">
        <v>7935.45</v>
      </c>
      <c r="AF548" s="124">
        <v>10580.6</v>
      </c>
      <c r="AG548" s="124">
        <v>13225.75</v>
      </c>
      <c r="AH548" s="124">
        <v>15870.9</v>
      </c>
      <c r="AI548" s="124">
        <v>18516.05</v>
      </c>
      <c r="AJ548" s="124">
        <v>21161.200000000001</v>
      </c>
      <c r="AK548" s="124">
        <v>23806.35</v>
      </c>
      <c r="AL548" s="124">
        <v>26451.5</v>
      </c>
      <c r="AM548" s="124">
        <v>29096.65</v>
      </c>
      <c r="AN548" s="124">
        <v>31741.8</v>
      </c>
      <c r="AO548" s="125">
        <v>2645.15</v>
      </c>
      <c r="AP548" s="125">
        <v>5290.3</v>
      </c>
      <c r="AQ548" s="125">
        <v>7935.45</v>
      </c>
      <c r="AR548" s="125">
        <v>10580.6</v>
      </c>
      <c r="AS548" s="125">
        <v>13225.75</v>
      </c>
      <c r="AT548" s="125">
        <v>15870.9</v>
      </c>
      <c r="AU548" s="125">
        <v>18516.05</v>
      </c>
      <c r="AV548" s="125">
        <v>21161.200000000001</v>
      </c>
      <c r="AW548" s="125">
        <v>23806.35</v>
      </c>
      <c r="AX548" s="125">
        <v>26451.5</v>
      </c>
      <c r="AY548" s="126"/>
      <c r="AZ548" s="126"/>
      <c r="BA548" s="126"/>
      <c r="BB548" s="126"/>
      <c r="BC548" s="126"/>
      <c r="BD548" s="126"/>
      <c r="BE548" s="126"/>
      <c r="BF548" s="127">
        <v>45032025</v>
      </c>
      <c r="BG548" s="97" t="s">
        <v>496</v>
      </c>
      <c r="BH548" s="127">
        <v>15870.9</v>
      </c>
      <c r="BI548" s="127">
        <v>45032025</v>
      </c>
      <c r="BJ548" s="97" t="s">
        <v>496</v>
      </c>
      <c r="BK548" s="127">
        <v>18516.05</v>
      </c>
    </row>
    <row r="549" spans="1:63" x14ac:dyDescent="0.25">
      <c r="B549" s="121">
        <v>45032035</v>
      </c>
      <c r="C549" s="152" t="s">
        <v>225</v>
      </c>
      <c r="D549" s="123">
        <v>450</v>
      </c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3">
        <v>450</v>
      </c>
      <c r="U549" s="123">
        <v>450</v>
      </c>
      <c r="V549" s="123">
        <v>450</v>
      </c>
      <c r="W549" s="123">
        <v>450</v>
      </c>
      <c r="X549" s="123">
        <v>450</v>
      </c>
      <c r="Y549" s="123">
        <v>450</v>
      </c>
      <c r="Z549" s="123">
        <v>450</v>
      </c>
      <c r="AA549" s="123">
        <v>450</v>
      </c>
      <c r="AB549" s="123">
        <v>450</v>
      </c>
      <c r="AC549" s="129"/>
      <c r="AD549" s="129"/>
      <c r="AE549" s="129"/>
      <c r="AF549" s="124">
        <v>450</v>
      </c>
      <c r="AG549" s="124">
        <v>450</v>
      </c>
      <c r="AH549" s="124">
        <v>450</v>
      </c>
      <c r="AI549" s="124">
        <v>450</v>
      </c>
      <c r="AJ549" s="124">
        <v>450</v>
      </c>
      <c r="AK549" s="124">
        <v>450</v>
      </c>
      <c r="AL549" s="124">
        <v>450</v>
      </c>
      <c r="AM549" s="124">
        <v>450</v>
      </c>
      <c r="AN549" s="124">
        <v>450</v>
      </c>
      <c r="AO549" s="125">
        <v>0</v>
      </c>
      <c r="AP549" s="125">
        <v>0</v>
      </c>
      <c r="AQ549" s="125">
        <v>0</v>
      </c>
      <c r="AR549" s="125">
        <v>0</v>
      </c>
      <c r="AS549" s="125">
        <v>0</v>
      </c>
      <c r="AT549" s="125">
        <v>0</v>
      </c>
      <c r="AU549" s="125">
        <v>0</v>
      </c>
      <c r="AV549" s="125">
        <v>0</v>
      </c>
      <c r="AW549" s="125">
        <v>0</v>
      </c>
      <c r="AX549" s="125">
        <v>0</v>
      </c>
      <c r="AY549" s="126"/>
      <c r="AZ549" s="126"/>
      <c r="BA549" s="126"/>
      <c r="BB549" s="126"/>
      <c r="BC549" s="126"/>
      <c r="BD549" s="126"/>
      <c r="BE549" s="126"/>
      <c r="BF549" s="127">
        <v>45032035</v>
      </c>
      <c r="BG549" s="97" t="s">
        <v>225</v>
      </c>
      <c r="BH549" s="127">
        <v>450</v>
      </c>
      <c r="BI549" s="127">
        <v>45032035</v>
      </c>
      <c r="BJ549" s="97" t="s">
        <v>225</v>
      </c>
      <c r="BK549" s="127">
        <v>450</v>
      </c>
    </row>
    <row r="550" spans="1:63" x14ac:dyDescent="0.25">
      <c r="B550" s="121">
        <v>450325</v>
      </c>
      <c r="C550" s="152" t="s">
        <v>202</v>
      </c>
      <c r="D550" s="128"/>
      <c r="E550" s="128"/>
      <c r="F550" s="128"/>
      <c r="G550" s="128"/>
      <c r="H550" s="128"/>
      <c r="I550" s="128"/>
      <c r="J550" s="123">
        <v>51494.31</v>
      </c>
      <c r="K550" s="123">
        <v>60076.7</v>
      </c>
      <c r="L550" s="123">
        <v>68659.09</v>
      </c>
      <c r="M550" s="123">
        <v>77241.48</v>
      </c>
      <c r="N550" s="123">
        <v>85823.87</v>
      </c>
      <c r="O550" s="123">
        <v>68659.100000000006</v>
      </c>
      <c r="P550" s="123">
        <v>68659.100000000006</v>
      </c>
      <c r="Q550" s="128"/>
      <c r="R550" s="128"/>
      <c r="S550" s="128"/>
      <c r="T550" s="128"/>
      <c r="U550" s="123">
        <v>8769</v>
      </c>
      <c r="V550" s="123">
        <v>10511.18</v>
      </c>
      <c r="W550" s="123">
        <v>12311.44</v>
      </c>
      <c r="X550" s="123">
        <v>14111.7</v>
      </c>
      <c r="Y550" s="123">
        <v>15853.88</v>
      </c>
      <c r="Z550" s="123">
        <v>17654.14</v>
      </c>
      <c r="AA550" s="123">
        <v>17235.62</v>
      </c>
      <c r="AB550" s="123">
        <v>18675.43</v>
      </c>
      <c r="AC550" s="124">
        <v>1439.81</v>
      </c>
      <c r="AD550" s="124">
        <v>2879.62</v>
      </c>
      <c r="AE550" s="124">
        <v>4319.43</v>
      </c>
      <c r="AF550" s="124">
        <v>5759.24</v>
      </c>
      <c r="AG550" s="124">
        <v>7199.05</v>
      </c>
      <c r="AH550" s="124">
        <v>8638.86</v>
      </c>
      <c r="AI550" s="124">
        <v>10078.67</v>
      </c>
      <c r="AJ550" s="124">
        <v>11518.48</v>
      </c>
      <c r="AK550" s="124">
        <v>12958.29</v>
      </c>
      <c r="AL550" s="124">
        <v>15698.62</v>
      </c>
      <c r="AM550" s="124">
        <v>18000.55</v>
      </c>
      <c r="AN550" s="124">
        <v>19309.310000000001</v>
      </c>
      <c r="AO550" s="125">
        <v>1308.76</v>
      </c>
      <c r="AP550" s="125">
        <v>2739.05</v>
      </c>
      <c r="AQ550" s="125">
        <v>4165.8999999999996</v>
      </c>
      <c r="AR550" s="125">
        <v>5594.88</v>
      </c>
      <c r="AS550" s="125">
        <v>7080.96</v>
      </c>
      <c r="AT550" s="125">
        <v>8567.0400000000009</v>
      </c>
      <c r="AU550" s="125">
        <v>10053.120000000001</v>
      </c>
      <c r="AV550" s="125">
        <v>11549.11</v>
      </c>
      <c r="AW550" s="125">
        <v>13043.95</v>
      </c>
      <c r="AX550" s="125">
        <v>14633.74</v>
      </c>
      <c r="AY550" s="126"/>
      <c r="AZ550" s="126"/>
      <c r="BA550" s="126"/>
      <c r="BB550" s="126"/>
      <c r="BC550" s="126"/>
      <c r="BD550" s="126"/>
      <c r="BE550" s="126"/>
      <c r="BF550" s="127">
        <v>450325</v>
      </c>
      <c r="BG550" s="97" t="s">
        <v>202</v>
      </c>
      <c r="BH550" s="127">
        <v>8638.86</v>
      </c>
      <c r="BI550" s="127">
        <v>450325</v>
      </c>
      <c r="BJ550" s="97" t="s">
        <v>202</v>
      </c>
      <c r="BK550" s="127">
        <v>10078.67</v>
      </c>
    </row>
    <row r="551" spans="1:63" s="113" customFormat="1" x14ac:dyDescent="0.25">
      <c r="A551" s="97"/>
      <c r="B551" s="121">
        <v>450330</v>
      </c>
      <c r="C551" s="152" t="s">
        <v>497</v>
      </c>
      <c r="D551" s="123">
        <v>15800.22</v>
      </c>
      <c r="E551" s="123">
        <v>3556</v>
      </c>
      <c r="F551" s="123">
        <v>7112</v>
      </c>
      <c r="G551" s="123">
        <v>7579.2</v>
      </c>
      <c r="H551" s="123">
        <v>7983.2</v>
      </c>
      <c r="I551" s="123">
        <v>13376.7</v>
      </c>
      <c r="J551" s="123">
        <v>2780.7</v>
      </c>
      <c r="K551" s="123">
        <v>4174.2</v>
      </c>
      <c r="L551" s="123">
        <v>5578.2</v>
      </c>
      <c r="M551" s="123">
        <v>6935.7</v>
      </c>
      <c r="N551" s="123">
        <v>4329.2</v>
      </c>
      <c r="O551" s="123">
        <v>5733.2</v>
      </c>
      <c r="P551" s="123">
        <v>7126.7</v>
      </c>
      <c r="Q551" s="123">
        <v>1555.79</v>
      </c>
      <c r="R551" s="123">
        <v>2634.29</v>
      </c>
      <c r="S551" s="123">
        <v>4243.79</v>
      </c>
      <c r="T551" s="123">
        <v>5322.29</v>
      </c>
      <c r="U551" s="123">
        <v>2091.29</v>
      </c>
      <c r="V551" s="123">
        <v>3229.79</v>
      </c>
      <c r="W551" s="123">
        <v>4308.29</v>
      </c>
      <c r="X551" s="123">
        <v>5386.79</v>
      </c>
      <c r="Y551" s="123">
        <v>6420.79</v>
      </c>
      <c r="Z551" s="123">
        <v>7139.79</v>
      </c>
      <c r="AA551" s="123">
        <v>7543.79</v>
      </c>
      <c r="AB551" s="123">
        <v>8537.2900000000009</v>
      </c>
      <c r="AC551" s="124">
        <v>404</v>
      </c>
      <c r="AD551" s="124">
        <v>1026.4000000000001</v>
      </c>
      <c r="AE551" s="124">
        <v>1104.9000000000001</v>
      </c>
      <c r="AF551" s="124">
        <v>1508.9</v>
      </c>
      <c r="AG551" s="124">
        <v>3536.9</v>
      </c>
      <c r="AH551" s="124">
        <v>3940.9</v>
      </c>
      <c r="AI551" s="124">
        <v>4334.3999999999996</v>
      </c>
      <c r="AJ551" s="124">
        <v>4892.42</v>
      </c>
      <c r="AK551" s="124">
        <v>5296.42</v>
      </c>
      <c r="AL551" s="124">
        <v>5374.92</v>
      </c>
      <c r="AM551" s="124">
        <v>6030.92</v>
      </c>
      <c r="AN551" s="124">
        <v>6379.42</v>
      </c>
      <c r="AO551" s="125">
        <v>357.5</v>
      </c>
      <c r="AP551" s="125">
        <v>715</v>
      </c>
      <c r="AQ551" s="125">
        <v>1045.5</v>
      </c>
      <c r="AR551" s="125">
        <v>2002</v>
      </c>
      <c r="AS551" s="125">
        <v>3682.5</v>
      </c>
      <c r="AT551" s="125">
        <v>5650.6</v>
      </c>
      <c r="AU551" s="125">
        <v>5999.1</v>
      </c>
      <c r="AV551" s="125">
        <v>6845.44</v>
      </c>
      <c r="AW551" s="125">
        <v>7684.47</v>
      </c>
      <c r="AX551" s="125">
        <v>8521.7800000000007</v>
      </c>
      <c r="AY551" s="126"/>
      <c r="AZ551" s="126"/>
      <c r="BA551" s="126"/>
      <c r="BB551" s="126"/>
      <c r="BC551" s="126"/>
      <c r="BD551" s="126"/>
      <c r="BE551" s="126"/>
      <c r="BF551" s="127">
        <v>450330</v>
      </c>
      <c r="BG551" s="97" t="s">
        <v>497</v>
      </c>
      <c r="BH551" s="127">
        <v>3940.9</v>
      </c>
      <c r="BI551" s="127">
        <v>450330</v>
      </c>
      <c r="BJ551" s="97" t="s">
        <v>497</v>
      </c>
      <c r="BK551" s="127">
        <v>4334.3999999999996</v>
      </c>
    </row>
    <row r="552" spans="1:63" x14ac:dyDescent="0.25">
      <c r="B552" s="121">
        <v>45033005</v>
      </c>
      <c r="C552" s="152" t="s">
        <v>498</v>
      </c>
      <c r="D552" s="123">
        <v>4496.24</v>
      </c>
      <c r="E552" s="123">
        <v>325.5</v>
      </c>
      <c r="F552" s="123">
        <v>651</v>
      </c>
      <c r="G552" s="123">
        <v>945</v>
      </c>
      <c r="H552" s="123">
        <v>1270.5</v>
      </c>
      <c r="I552" s="123">
        <v>1585.5</v>
      </c>
      <c r="J552" s="123">
        <v>1911</v>
      </c>
      <c r="K552" s="123">
        <v>2226</v>
      </c>
      <c r="L552" s="123">
        <v>2551.5</v>
      </c>
      <c r="M552" s="123">
        <v>2830.5</v>
      </c>
      <c r="N552" s="123">
        <v>3145.5</v>
      </c>
      <c r="O552" s="123">
        <v>3471</v>
      </c>
      <c r="P552" s="123">
        <v>3786</v>
      </c>
      <c r="Q552" s="123">
        <v>477.29</v>
      </c>
      <c r="R552" s="123">
        <v>477.29</v>
      </c>
      <c r="S552" s="123">
        <v>1008.29</v>
      </c>
      <c r="T552" s="123">
        <v>1008.29</v>
      </c>
      <c r="U552" s="123">
        <v>1648.79</v>
      </c>
      <c r="V552" s="123">
        <v>1648.79</v>
      </c>
      <c r="W552" s="123">
        <v>1648.79</v>
      </c>
      <c r="X552" s="123">
        <v>1648.79</v>
      </c>
      <c r="Y552" s="123">
        <v>2604.29</v>
      </c>
      <c r="Z552" s="123">
        <v>3244.79</v>
      </c>
      <c r="AA552" s="123">
        <v>3570.29</v>
      </c>
      <c r="AB552" s="123">
        <v>4485.29</v>
      </c>
      <c r="AC552" s="124">
        <v>325.5</v>
      </c>
      <c r="AD552" s="124">
        <v>869.4</v>
      </c>
      <c r="AE552" s="124">
        <v>869.4</v>
      </c>
      <c r="AF552" s="124">
        <v>1194.9000000000001</v>
      </c>
      <c r="AG552" s="124">
        <v>3144.4</v>
      </c>
      <c r="AH552" s="124">
        <v>3469.9</v>
      </c>
      <c r="AI552" s="124">
        <v>3784.9</v>
      </c>
      <c r="AJ552" s="124">
        <v>4264.42</v>
      </c>
      <c r="AK552" s="124">
        <v>4589.92</v>
      </c>
      <c r="AL552" s="124">
        <v>4589.92</v>
      </c>
      <c r="AM552" s="124">
        <v>5167.42</v>
      </c>
      <c r="AN552" s="124">
        <v>5437.42</v>
      </c>
      <c r="AO552" s="125">
        <v>279</v>
      </c>
      <c r="AP552" s="125">
        <v>558</v>
      </c>
      <c r="AQ552" s="125">
        <v>810</v>
      </c>
      <c r="AR552" s="125">
        <v>1688</v>
      </c>
      <c r="AS552" s="125">
        <v>3290</v>
      </c>
      <c r="AT552" s="125">
        <v>5179.6000000000004</v>
      </c>
      <c r="AU552" s="125">
        <v>5449.6</v>
      </c>
      <c r="AV552" s="125">
        <v>5728.63</v>
      </c>
      <c r="AW552" s="125">
        <v>6000.35</v>
      </c>
      <c r="AX552" s="125">
        <v>6270.35</v>
      </c>
      <c r="AY552" s="126"/>
      <c r="AZ552" s="126"/>
      <c r="BA552" s="126"/>
      <c r="BB552" s="126"/>
      <c r="BC552" s="126"/>
      <c r="BD552" s="126"/>
      <c r="BE552" s="126"/>
      <c r="BF552" s="127">
        <v>45033005</v>
      </c>
      <c r="BG552" s="97" t="s">
        <v>498</v>
      </c>
      <c r="BH552" s="127">
        <v>3469.9</v>
      </c>
      <c r="BI552" s="127">
        <v>45033005</v>
      </c>
      <c r="BJ552" s="97" t="s">
        <v>498</v>
      </c>
      <c r="BK552" s="127">
        <v>3784.9</v>
      </c>
    </row>
    <row r="553" spans="1:63" x14ac:dyDescent="0.25">
      <c r="B553" s="121">
        <v>45033010</v>
      </c>
      <c r="C553" s="152" t="s">
        <v>499</v>
      </c>
      <c r="D553" s="123">
        <v>11303.98</v>
      </c>
      <c r="E553" s="123">
        <v>3230.5</v>
      </c>
      <c r="F553" s="123">
        <v>6461</v>
      </c>
      <c r="G553" s="123">
        <v>6634.2</v>
      </c>
      <c r="H553" s="123">
        <v>6712.7</v>
      </c>
      <c r="I553" s="123">
        <v>11791.2</v>
      </c>
      <c r="J553" s="123">
        <v>869.7</v>
      </c>
      <c r="K553" s="123">
        <v>1948.2</v>
      </c>
      <c r="L553" s="123">
        <v>3026.7</v>
      </c>
      <c r="M553" s="123">
        <v>4105.2</v>
      </c>
      <c r="N553" s="123">
        <v>1183.7</v>
      </c>
      <c r="O553" s="123">
        <v>2262.1999999999998</v>
      </c>
      <c r="P553" s="123">
        <v>3340.7</v>
      </c>
      <c r="Q553" s="123">
        <v>1078.5</v>
      </c>
      <c r="R553" s="123">
        <v>2157</v>
      </c>
      <c r="S553" s="123">
        <v>3235.5</v>
      </c>
      <c r="T553" s="123">
        <v>4314</v>
      </c>
      <c r="U553" s="123">
        <v>442.5</v>
      </c>
      <c r="V553" s="123">
        <v>1581</v>
      </c>
      <c r="W553" s="123">
        <v>2659.5</v>
      </c>
      <c r="X553" s="123">
        <v>3738</v>
      </c>
      <c r="Y553" s="123">
        <v>3816.5</v>
      </c>
      <c r="Z553" s="123">
        <v>3895</v>
      </c>
      <c r="AA553" s="123">
        <v>3973.5</v>
      </c>
      <c r="AB553" s="123">
        <v>4052</v>
      </c>
      <c r="AC553" s="124">
        <v>78.5</v>
      </c>
      <c r="AD553" s="124">
        <v>157</v>
      </c>
      <c r="AE553" s="124">
        <v>235.5</v>
      </c>
      <c r="AF553" s="124">
        <v>314</v>
      </c>
      <c r="AG553" s="124">
        <v>392.5</v>
      </c>
      <c r="AH553" s="124">
        <v>471</v>
      </c>
      <c r="AI553" s="124">
        <v>549.5</v>
      </c>
      <c r="AJ553" s="124">
        <v>628</v>
      </c>
      <c r="AK553" s="124">
        <v>706.5</v>
      </c>
      <c r="AL553" s="124">
        <v>785</v>
      </c>
      <c r="AM553" s="124">
        <v>863.5</v>
      </c>
      <c r="AN553" s="124">
        <v>942</v>
      </c>
      <c r="AO553" s="125">
        <v>78.5</v>
      </c>
      <c r="AP553" s="125">
        <v>157</v>
      </c>
      <c r="AQ553" s="125">
        <v>235.5</v>
      </c>
      <c r="AR553" s="125">
        <v>314</v>
      </c>
      <c r="AS553" s="125">
        <v>392.5</v>
      </c>
      <c r="AT553" s="125">
        <v>471</v>
      </c>
      <c r="AU553" s="125">
        <v>549.5</v>
      </c>
      <c r="AV553" s="125">
        <v>1116.81</v>
      </c>
      <c r="AW553" s="125">
        <v>1684.12</v>
      </c>
      <c r="AX553" s="125">
        <v>2251.4299999999998</v>
      </c>
      <c r="AY553" s="126"/>
      <c r="AZ553" s="126"/>
      <c r="BA553" s="126"/>
      <c r="BB553" s="126"/>
      <c r="BC553" s="126"/>
      <c r="BD553" s="126"/>
      <c r="BE553" s="126"/>
      <c r="BF553" s="127">
        <v>45033010</v>
      </c>
      <c r="BG553" s="97" t="s">
        <v>499</v>
      </c>
      <c r="BH553" s="127">
        <v>471</v>
      </c>
      <c r="BI553" s="127">
        <v>45033010</v>
      </c>
      <c r="BJ553" s="97" t="s">
        <v>499</v>
      </c>
      <c r="BK553" s="127">
        <v>549.5</v>
      </c>
    </row>
    <row r="554" spans="1:63" x14ac:dyDescent="0.25">
      <c r="B554" s="153">
        <v>450390</v>
      </c>
      <c r="C554" s="154" t="s">
        <v>500</v>
      </c>
      <c r="D554" s="123">
        <v>185007.72</v>
      </c>
      <c r="E554" s="123">
        <v>15324.64</v>
      </c>
      <c r="F554" s="123">
        <v>29488.16</v>
      </c>
      <c r="G554" s="123">
        <v>50361.72</v>
      </c>
      <c r="H554" s="123">
        <v>56966.89</v>
      </c>
      <c r="I554" s="123">
        <v>61816.87</v>
      </c>
      <c r="J554" s="123">
        <v>80495.63</v>
      </c>
      <c r="K554" s="123">
        <v>81869.539999999994</v>
      </c>
      <c r="L554" s="123">
        <v>86136.14</v>
      </c>
      <c r="M554" s="123">
        <v>90463.47</v>
      </c>
      <c r="N554" s="123">
        <v>101905.34</v>
      </c>
      <c r="O554" s="123">
        <v>111318.89</v>
      </c>
      <c r="P554" s="123">
        <v>127822.93</v>
      </c>
      <c r="Q554" s="123">
        <v>6525.94</v>
      </c>
      <c r="R554" s="123">
        <v>10125.450000000001</v>
      </c>
      <c r="S554" s="123">
        <v>19929.73</v>
      </c>
      <c r="T554" s="123">
        <v>31843.4</v>
      </c>
      <c r="U554" s="123">
        <v>43972.53</v>
      </c>
      <c r="V554" s="123">
        <v>49745.85</v>
      </c>
      <c r="W554" s="123">
        <v>71356.95</v>
      </c>
      <c r="X554" s="123">
        <v>83485.45</v>
      </c>
      <c r="Y554" s="123">
        <v>89381.65</v>
      </c>
      <c r="Z554" s="123">
        <v>98741.22</v>
      </c>
      <c r="AA554" s="123">
        <v>105943.95</v>
      </c>
      <c r="AB554" s="123">
        <v>129485.26</v>
      </c>
      <c r="AC554" s="124">
        <v>8457.83</v>
      </c>
      <c r="AD554" s="124">
        <v>18441.46</v>
      </c>
      <c r="AE554" s="124">
        <v>30462.3</v>
      </c>
      <c r="AF554" s="124">
        <v>48295.839999999997</v>
      </c>
      <c r="AG554" s="124">
        <v>72507.929999999993</v>
      </c>
      <c r="AH554" s="124">
        <v>104097.2</v>
      </c>
      <c r="AI554" s="124">
        <v>143489.78</v>
      </c>
      <c r="AJ554" s="124">
        <v>159877.20000000001</v>
      </c>
      <c r="AK554" s="124">
        <v>178042.62</v>
      </c>
      <c r="AL554" s="124">
        <v>197318.04</v>
      </c>
      <c r="AM554" s="124">
        <v>222892.1</v>
      </c>
      <c r="AN554" s="124">
        <v>248516.36</v>
      </c>
      <c r="AO554" s="125">
        <v>18291.46</v>
      </c>
      <c r="AP554" s="125">
        <v>67038.97</v>
      </c>
      <c r="AQ554" s="125">
        <v>88901.06</v>
      </c>
      <c r="AR554" s="125">
        <v>111710.91</v>
      </c>
      <c r="AS554" s="125">
        <v>139513.31</v>
      </c>
      <c r="AT554" s="125">
        <v>173095.94</v>
      </c>
      <c r="AU554" s="125">
        <v>199079.2</v>
      </c>
      <c r="AV554" s="125">
        <v>223002.33</v>
      </c>
      <c r="AW554" s="125">
        <v>247506.88</v>
      </c>
      <c r="AX554" s="125">
        <v>273787.02</v>
      </c>
      <c r="AY554" s="126"/>
      <c r="AZ554" s="126"/>
      <c r="BA554" s="126"/>
      <c r="BB554" s="126"/>
      <c r="BC554" s="126"/>
      <c r="BD554" s="126"/>
      <c r="BE554" s="126"/>
      <c r="BF554" s="127">
        <v>450390</v>
      </c>
      <c r="BG554" s="97" t="s">
        <v>500</v>
      </c>
      <c r="BH554" s="127">
        <v>104097.2</v>
      </c>
      <c r="BI554" s="127">
        <v>450390</v>
      </c>
      <c r="BJ554" s="97" t="s">
        <v>500</v>
      </c>
      <c r="BK554" s="127">
        <v>143489.78</v>
      </c>
    </row>
    <row r="555" spans="1:63" x14ac:dyDescent="0.25">
      <c r="B555" s="121">
        <v>45039010</v>
      </c>
      <c r="C555" s="152" t="s">
        <v>501</v>
      </c>
      <c r="D555" s="123">
        <v>191.13</v>
      </c>
      <c r="E555" s="128"/>
      <c r="F555" s="128"/>
      <c r="G555" s="123">
        <v>215.63</v>
      </c>
      <c r="H555" s="123">
        <v>215.63</v>
      </c>
      <c r="I555" s="123">
        <v>215.63</v>
      </c>
      <c r="J555" s="123">
        <v>215.63</v>
      </c>
      <c r="K555" s="123">
        <v>250.63</v>
      </c>
      <c r="L555" s="123">
        <v>250.63</v>
      </c>
      <c r="M555" s="123">
        <v>250.63</v>
      </c>
      <c r="N555" s="123">
        <v>250.63</v>
      </c>
      <c r="O555" s="123">
        <v>250.63</v>
      </c>
      <c r="P555" s="123">
        <v>250.63</v>
      </c>
      <c r="Q555" s="128"/>
      <c r="R555" s="128"/>
      <c r="S555" s="128"/>
      <c r="T555" s="128"/>
      <c r="U555" s="128"/>
      <c r="V555" s="128"/>
      <c r="W555" s="128"/>
      <c r="X555" s="123">
        <v>19331.43</v>
      </c>
      <c r="Y555" s="128"/>
      <c r="Z555" s="128"/>
      <c r="AA555" s="128"/>
      <c r="AB555" s="128"/>
      <c r="AC555" s="129"/>
      <c r="AD555" s="129"/>
      <c r="AE555" s="129"/>
      <c r="AF555" s="129"/>
      <c r="AG555" s="129"/>
      <c r="AH555" s="129"/>
      <c r="AI555" s="129"/>
      <c r="AJ555" s="124">
        <v>0</v>
      </c>
      <c r="AK555" s="124">
        <v>0</v>
      </c>
      <c r="AL555" s="124">
        <v>0</v>
      </c>
      <c r="AM555" s="124">
        <v>0</v>
      </c>
      <c r="AN555" s="124">
        <v>0</v>
      </c>
      <c r="AO555" s="125">
        <v>10.37</v>
      </c>
      <c r="AP555" s="125">
        <v>10.37</v>
      </c>
      <c r="AQ555" s="125">
        <v>10.37</v>
      </c>
      <c r="AR555" s="125">
        <v>10.37</v>
      </c>
      <c r="AS555" s="125">
        <v>23.41</v>
      </c>
      <c r="AT555" s="125">
        <v>23.41</v>
      </c>
      <c r="AU555" s="125">
        <v>23.41</v>
      </c>
      <c r="AV555" s="125">
        <v>75.52</v>
      </c>
      <c r="AW555" s="125">
        <v>75.52</v>
      </c>
      <c r="AX555" s="125">
        <v>107.23</v>
      </c>
      <c r="AY555" s="126"/>
      <c r="AZ555" s="126"/>
      <c r="BA555" s="126"/>
      <c r="BB555" s="126"/>
      <c r="BC555" s="126"/>
      <c r="BD555" s="126"/>
      <c r="BE555" s="126"/>
    </row>
    <row r="556" spans="1:63" x14ac:dyDescent="0.25">
      <c r="B556" s="121">
        <v>45039015</v>
      </c>
      <c r="C556" s="152" t="s">
        <v>502</v>
      </c>
      <c r="D556" s="123">
        <v>10090.530000000001</v>
      </c>
      <c r="E556" s="123">
        <v>139.55000000000001</v>
      </c>
      <c r="F556" s="123">
        <v>1084.73</v>
      </c>
      <c r="G556" s="123">
        <v>4234.8100000000004</v>
      </c>
      <c r="H556" s="123">
        <v>4394.95</v>
      </c>
      <c r="I556" s="123">
        <v>4465.4399999999996</v>
      </c>
      <c r="J556" s="123">
        <v>4719.68</v>
      </c>
      <c r="K556" s="123">
        <v>5215.12</v>
      </c>
      <c r="L556" s="123">
        <v>5299.36</v>
      </c>
      <c r="M556" s="123">
        <v>5694.26</v>
      </c>
      <c r="N556" s="123">
        <v>7138.46</v>
      </c>
      <c r="O556" s="123">
        <v>8094.28</v>
      </c>
      <c r="P556" s="123">
        <v>9260.49</v>
      </c>
      <c r="Q556" s="123">
        <v>1084.6099999999999</v>
      </c>
      <c r="R556" s="123">
        <v>1746.65</v>
      </c>
      <c r="S556" s="123">
        <v>2816.76</v>
      </c>
      <c r="T556" s="123">
        <v>2929.49</v>
      </c>
      <c r="U556" s="123">
        <v>3132.64</v>
      </c>
      <c r="V556" s="123">
        <v>4046</v>
      </c>
      <c r="W556" s="123">
        <v>18573.77</v>
      </c>
      <c r="X556" s="123">
        <v>9532.15</v>
      </c>
      <c r="Y556" s="123">
        <v>19536.59</v>
      </c>
      <c r="Z556" s="123">
        <v>21101.3</v>
      </c>
      <c r="AA556" s="123">
        <v>22194.75</v>
      </c>
      <c r="AB556" s="123">
        <v>23525.09</v>
      </c>
      <c r="AC556" s="124">
        <v>3325.2</v>
      </c>
      <c r="AD556" s="124">
        <v>4700.3500000000004</v>
      </c>
      <c r="AE556" s="124">
        <v>5676.55</v>
      </c>
      <c r="AF556" s="124">
        <v>6533.89</v>
      </c>
      <c r="AG556" s="124">
        <v>11315.11</v>
      </c>
      <c r="AH556" s="124">
        <v>13803.97</v>
      </c>
      <c r="AI556" s="124">
        <v>18800.12</v>
      </c>
      <c r="AJ556" s="124">
        <v>20301.23</v>
      </c>
      <c r="AK556" s="124">
        <v>24950.48</v>
      </c>
      <c r="AL556" s="124">
        <v>29722.54</v>
      </c>
      <c r="AM556" s="124">
        <v>38307.980000000003</v>
      </c>
      <c r="AN556" s="124">
        <v>44203.199999999997</v>
      </c>
      <c r="AO556" s="125">
        <v>4431.6499999999996</v>
      </c>
      <c r="AP556" s="125">
        <v>22254.15</v>
      </c>
      <c r="AQ556" s="125">
        <v>31020.080000000002</v>
      </c>
      <c r="AR556" s="125">
        <v>38505.18</v>
      </c>
      <c r="AS556" s="125">
        <v>42569.35</v>
      </c>
      <c r="AT556" s="125">
        <v>49401.13</v>
      </c>
      <c r="AU556" s="125">
        <v>53571.26</v>
      </c>
      <c r="AV556" s="125">
        <v>61846.34</v>
      </c>
      <c r="AW556" s="125">
        <v>65854.59</v>
      </c>
      <c r="AX556" s="125">
        <v>73456.73</v>
      </c>
      <c r="AY556" s="126"/>
      <c r="AZ556" s="126"/>
      <c r="BA556" s="126"/>
      <c r="BB556" s="126"/>
      <c r="BC556" s="126"/>
      <c r="BD556" s="126"/>
      <c r="BE556" s="126"/>
      <c r="BF556" s="127">
        <v>45039015</v>
      </c>
      <c r="BG556" s="97" t="s">
        <v>502</v>
      </c>
      <c r="BH556" s="127">
        <v>13803.97</v>
      </c>
      <c r="BI556" s="127">
        <v>45039015</v>
      </c>
      <c r="BJ556" s="97" t="s">
        <v>502</v>
      </c>
      <c r="BK556" s="127">
        <v>18800.12</v>
      </c>
    </row>
    <row r="557" spans="1:63" x14ac:dyDescent="0.25">
      <c r="B557" s="121">
        <v>45039020</v>
      </c>
      <c r="C557" s="152" t="s">
        <v>503</v>
      </c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3">
        <v>169.35</v>
      </c>
      <c r="Z557" s="123">
        <v>319.35000000000002</v>
      </c>
      <c r="AA557" s="123">
        <v>577.42999999999995</v>
      </c>
      <c r="AB557" s="123">
        <v>11727.43</v>
      </c>
      <c r="AC557" s="124">
        <v>345.09</v>
      </c>
      <c r="AD557" s="124">
        <v>2328.42</v>
      </c>
      <c r="AE557" s="124">
        <v>7780.41</v>
      </c>
      <c r="AF557" s="124">
        <v>14014.61</v>
      </c>
      <c r="AG557" s="124">
        <v>21545.360000000001</v>
      </c>
      <c r="AH557" s="124">
        <v>42443.39</v>
      </c>
      <c r="AI557" s="124">
        <v>55283.1</v>
      </c>
      <c r="AJ557" s="124">
        <v>62701.69</v>
      </c>
      <c r="AK557" s="124">
        <v>65622.25</v>
      </c>
      <c r="AL557" s="124">
        <v>71653.56</v>
      </c>
      <c r="AM557" s="124">
        <v>78199.39</v>
      </c>
      <c r="AN557" s="124">
        <v>83131.47</v>
      </c>
      <c r="AO557" s="125">
        <v>6141.12</v>
      </c>
      <c r="AP557" s="125">
        <v>12858.94</v>
      </c>
      <c r="AQ557" s="125">
        <v>17254.72</v>
      </c>
      <c r="AR557" s="125">
        <v>18484.810000000001</v>
      </c>
      <c r="AS557" s="125">
        <v>20298.32</v>
      </c>
      <c r="AT557" s="125">
        <v>32167.75</v>
      </c>
      <c r="AU557" s="125">
        <v>36710.06</v>
      </c>
      <c r="AV557" s="125">
        <v>37872.080000000002</v>
      </c>
      <c r="AW557" s="125">
        <v>45158</v>
      </c>
      <c r="AX557" s="125">
        <v>45985.68</v>
      </c>
      <c r="AY557" s="126"/>
      <c r="AZ557" s="126"/>
      <c r="BA557" s="126"/>
      <c r="BB557" s="126"/>
      <c r="BC557" s="126"/>
      <c r="BD557" s="126"/>
      <c r="BE557" s="126"/>
      <c r="BF557" s="127">
        <v>45039020</v>
      </c>
      <c r="BG557" s="97" t="s">
        <v>503</v>
      </c>
      <c r="BH557" s="127">
        <v>42443.39</v>
      </c>
      <c r="BI557" s="127">
        <v>45039020</v>
      </c>
      <c r="BJ557" s="97" t="s">
        <v>503</v>
      </c>
      <c r="BK557" s="127">
        <v>55283.1</v>
      </c>
    </row>
    <row r="558" spans="1:63" x14ac:dyDescent="0.25">
      <c r="B558" s="121">
        <v>45039025</v>
      </c>
      <c r="C558" s="152" t="s">
        <v>504</v>
      </c>
      <c r="D558" s="123">
        <v>24630</v>
      </c>
      <c r="E558" s="123">
        <v>1000</v>
      </c>
      <c r="F558" s="123">
        <v>1000</v>
      </c>
      <c r="G558" s="123">
        <v>6950</v>
      </c>
      <c r="H558" s="123">
        <v>6950</v>
      </c>
      <c r="I558" s="123">
        <v>6950</v>
      </c>
      <c r="J558" s="123">
        <v>6950</v>
      </c>
      <c r="K558" s="123">
        <v>10967.86</v>
      </c>
      <c r="L558" s="123">
        <v>10967.86</v>
      </c>
      <c r="M558" s="123">
        <v>10967.86</v>
      </c>
      <c r="N558" s="123">
        <v>10967.86</v>
      </c>
      <c r="O558" s="123">
        <v>14985.72</v>
      </c>
      <c r="P558" s="123">
        <v>14985.72</v>
      </c>
      <c r="Q558" s="128"/>
      <c r="R558" s="128"/>
      <c r="S558" s="123">
        <v>150</v>
      </c>
      <c r="T558" s="123">
        <v>4167.8599999999997</v>
      </c>
      <c r="U558" s="123">
        <v>5136.6099999999997</v>
      </c>
      <c r="V558" s="123">
        <v>6255.36</v>
      </c>
      <c r="W558" s="123">
        <v>7224.11</v>
      </c>
      <c r="X558" s="123">
        <v>7000</v>
      </c>
      <c r="Y558" s="123">
        <v>10500.9</v>
      </c>
      <c r="Z558" s="123">
        <v>11469.65</v>
      </c>
      <c r="AA558" s="123">
        <v>12438.4</v>
      </c>
      <c r="AB558" s="123">
        <v>13407.15</v>
      </c>
      <c r="AC558" s="129"/>
      <c r="AD558" s="124">
        <v>1291.67</v>
      </c>
      <c r="AE558" s="124">
        <v>2583.34</v>
      </c>
      <c r="AF558" s="124">
        <v>3875.01</v>
      </c>
      <c r="AG558" s="124">
        <v>6409.95</v>
      </c>
      <c r="AH558" s="124">
        <v>8993.2800000000007</v>
      </c>
      <c r="AI558" s="124">
        <v>11576.61</v>
      </c>
      <c r="AJ558" s="124">
        <v>12868.28</v>
      </c>
      <c r="AK558" s="124">
        <v>14159.95</v>
      </c>
      <c r="AL558" s="124">
        <v>15451.62</v>
      </c>
      <c r="AM558" s="124">
        <v>18243.29</v>
      </c>
      <c r="AN558" s="124">
        <v>20041.46</v>
      </c>
      <c r="AO558" s="125">
        <v>1292.82</v>
      </c>
      <c r="AP558" s="125">
        <v>16084.49</v>
      </c>
      <c r="AQ558" s="125">
        <v>17376.16</v>
      </c>
      <c r="AR558" s="125">
        <v>18667.830000000002</v>
      </c>
      <c r="AS558" s="125">
        <v>18917.830000000002</v>
      </c>
      <c r="AT558" s="125">
        <v>19417.830000000002</v>
      </c>
      <c r="AU558" s="125">
        <v>19917.830000000002</v>
      </c>
      <c r="AV558" s="125">
        <v>20167.830000000002</v>
      </c>
      <c r="AW558" s="125">
        <v>20417.830000000002</v>
      </c>
      <c r="AX558" s="125">
        <v>20417.830000000002</v>
      </c>
      <c r="AY558" s="126"/>
      <c r="AZ558" s="126"/>
      <c r="BA558" s="126"/>
      <c r="BB558" s="126"/>
      <c r="BC558" s="126"/>
      <c r="BD558" s="126"/>
      <c r="BE558" s="126"/>
      <c r="BF558" s="127">
        <v>45039025</v>
      </c>
      <c r="BG558" s="97" t="s">
        <v>504</v>
      </c>
      <c r="BH558" s="127">
        <v>8993.2800000000007</v>
      </c>
      <c r="BI558" s="127">
        <v>45039025</v>
      </c>
      <c r="BJ558" s="97" t="s">
        <v>504</v>
      </c>
      <c r="BK558" s="127">
        <v>11576.61</v>
      </c>
    </row>
    <row r="559" spans="1:63" x14ac:dyDescent="0.25">
      <c r="B559" s="121">
        <v>45039030</v>
      </c>
      <c r="C559" s="152" t="s">
        <v>505</v>
      </c>
      <c r="D559" s="123">
        <v>46998.55</v>
      </c>
      <c r="E559" s="123">
        <v>2500</v>
      </c>
      <c r="F559" s="123">
        <v>7858.5</v>
      </c>
      <c r="G559" s="123">
        <v>7858.5</v>
      </c>
      <c r="H559" s="123">
        <v>7858.5</v>
      </c>
      <c r="I559" s="123">
        <v>7858.5</v>
      </c>
      <c r="J559" s="123">
        <v>7858.5</v>
      </c>
      <c r="K559" s="123">
        <v>9758.5</v>
      </c>
      <c r="L559" s="123">
        <v>9758.5</v>
      </c>
      <c r="M559" s="123">
        <v>9758.5</v>
      </c>
      <c r="N559" s="123">
        <v>11658.5</v>
      </c>
      <c r="O559" s="123">
        <v>11658.5</v>
      </c>
      <c r="P559" s="123">
        <v>11658.5</v>
      </c>
      <c r="Q559" s="123">
        <v>1900</v>
      </c>
      <c r="R559" s="123">
        <v>1900</v>
      </c>
      <c r="S559" s="123">
        <v>1900</v>
      </c>
      <c r="T559" s="123">
        <v>3800</v>
      </c>
      <c r="U559" s="123">
        <v>5400</v>
      </c>
      <c r="V559" s="123">
        <v>5400</v>
      </c>
      <c r="W559" s="123">
        <v>7000</v>
      </c>
      <c r="X559" s="123">
        <v>2438</v>
      </c>
      <c r="Y559" s="123">
        <v>7000</v>
      </c>
      <c r="Z559" s="123">
        <v>8600</v>
      </c>
      <c r="AA559" s="123">
        <v>8600</v>
      </c>
      <c r="AB559" s="123">
        <v>10200</v>
      </c>
      <c r="AC559" s="129"/>
      <c r="AD559" s="129"/>
      <c r="AE559" s="129"/>
      <c r="AF559" s="124">
        <v>4400</v>
      </c>
      <c r="AG559" s="124">
        <v>5000</v>
      </c>
      <c r="AH559" s="124">
        <v>5600</v>
      </c>
      <c r="AI559" s="124">
        <v>7800</v>
      </c>
      <c r="AJ559" s="124">
        <v>8400</v>
      </c>
      <c r="AK559" s="124">
        <v>9000</v>
      </c>
      <c r="AL559" s="124">
        <v>9600</v>
      </c>
      <c r="AM559" s="124">
        <v>9600</v>
      </c>
      <c r="AN559" s="124">
        <v>12400</v>
      </c>
      <c r="AO559" s="125">
        <v>600</v>
      </c>
      <c r="AP559" s="125">
        <v>1200</v>
      </c>
      <c r="AQ559" s="125">
        <v>1200</v>
      </c>
      <c r="AR559" s="125">
        <v>1800</v>
      </c>
      <c r="AS559" s="125">
        <v>3000</v>
      </c>
      <c r="AT559" s="125">
        <v>3600</v>
      </c>
      <c r="AU559" s="125">
        <v>4200</v>
      </c>
      <c r="AV559" s="125">
        <v>4800</v>
      </c>
      <c r="AW559" s="125">
        <v>5400</v>
      </c>
      <c r="AX559" s="125">
        <v>6000</v>
      </c>
      <c r="AY559" s="126"/>
      <c r="AZ559" s="126"/>
      <c r="BA559" s="126"/>
      <c r="BB559" s="126"/>
      <c r="BC559" s="126"/>
      <c r="BD559" s="126"/>
      <c r="BE559" s="126"/>
      <c r="BF559" s="127">
        <v>45039030</v>
      </c>
      <c r="BG559" s="97" t="s">
        <v>506</v>
      </c>
      <c r="BH559" s="127">
        <v>5600</v>
      </c>
      <c r="BI559" s="127">
        <v>45039030</v>
      </c>
      <c r="BJ559" s="97" t="s">
        <v>506</v>
      </c>
      <c r="BK559" s="127">
        <v>7800</v>
      </c>
    </row>
    <row r="560" spans="1:63" x14ac:dyDescent="0.25">
      <c r="B560" s="121">
        <v>45039035</v>
      </c>
      <c r="C560" s="152" t="s">
        <v>507</v>
      </c>
      <c r="D560" s="123">
        <v>30425.49</v>
      </c>
      <c r="E560" s="123">
        <v>1600</v>
      </c>
      <c r="F560" s="123">
        <v>1230</v>
      </c>
      <c r="G560" s="123">
        <v>2530</v>
      </c>
      <c r="H560" s="123">
        <v>3680</v>
      </c>
      <c r="I560" s="123">
        <v>4850</v>
      </c>
      <c r="J560" s="123">
        <v>5600</v>
      </c>
      <c r="K560" s="123">
        <v>5430</v>
      </c>
      <c r="L560" s="123">
        <v>6110</v>
      </c>
      <c r="M560" s="123">
        <v>6690</v>
      </c>
      <c r="N560" s="123">
        <v>7190</v>
      </c>
      <c r="O560" s="123">
        <v>7730</v>
      </c>
      <c r="P560" s="123">
        <v>8580</v>
      </c>
      <c r="Q560" s="123">
        <v>230</v>
      </c>
      <c r="R560" s="123">
        <v>480</v>
      </c>
      <c r="S560" s="123">
        <v>860</v>
      </c>
      <c r="T560" s="123">
        <v>860</v>
      </c>
      <c r="U560" s="123">
        <v>1040</v>
      </c>
      <c r="V560" s="123">
        <v>1520</v>
      </c>
      <c r="W560" s="123">
        <v>1918</v>
      </c>
      <c r="X560" s="123">
        <v>35411.61</v>
      </c>
      <c r="Y560" s="123">
        <v>2688</v>
      </c>
      <c r="Z560" s="123">
        <v>2938</v>
      </c>
      <c r="AA560" s="123">
        <v>3521.33</v>
      </c>
      <c r="AB560" s="123">
        <v>4721.33</v>
      </c>
      <c r="AC560" s="124">
        <v>500</v>
      </c>
      <c r="AD560" s="124">
        <v>500</v>
      </c>
      <c r="AE560" s="124">
        <v>500</v>
      </c>
      <c r="AF560" s="124">
        <v>1250</v>
      </c>
      <c r="AG560" s="124">
        <v>1500</v>
      </c>
      <c r="AH560" s="124">
        <v>1750</v>
      </c>
      <c r="AI560" s="124">
        <v>2000</v>
      </c>
      <c r="AJ560" s="124">
        <v>2250</v>
      </c>
      <c r="AK560" s="124">
        <v>3000</v>
      </c>
      <c r="AL560" s="124">
        <v>3250</v>
      </c>
      <c r="AM560" s="124">
        <v>3500</v>
      </c>
      <c r="AN560" s="124">
        <v>5023</v>
      </c>
      <c r="AO560" s="125">
        <v>200</v>
      </c>
      <c r="AP560" s="125">
        <v>200</v>
      </c>
      <c r="AQ560" s="125">
        <v>1875</v>
      </c>
      <c r="AR560" s="125">
        <v>2845</v>
      </c>
      <c r="AS560" s="125">
        <v>3095</v>
      </c>
      <c r="AT560" s="125">
        <v>3345</v>
      </c>
      <c r="AU560" s="125">
        <v>3595</v>
      </c>
      <c r="AV560" s="125">
        <v>3845</v>
      </c>
      <c r="AW560" s="125">
        <v>4095</v>
      </c>
      <c r="AX560" s="125">
        <v>4345</v>
      </c>
      <c r="AY560" s="126"/>
      <c r="AZ560" s="126"/>
      <c r="BA560" s="126"/>
      <c r="BB560" s="126"/>
      <c r="BC560" s="126"/>
      <c r="BD560" s="126"/>
      <c r="BE560" s="126"/>
      <c r="BF560" s="127">
        <v>45039035</v>
      </c>
      <c r="BG560" s="97" t="s">
        <v>507</v>
      </c>
      <c r="BH560" s="127">
        <v>1750</v>
      </c>
      <c r="BI560" s="127">
        <v>45039035</v>
      </c>
      <c r="BJ560" s="97" t="s">
        <v>507</v>
      </c>
      <c r="BK560" s="127">
        <v>2000</v>
      </c>
    </row>
    <row r="561" spans="2:63" x14ac:dyDescent="0.25">
      <c r="B561" s="121">
        <v>45039040</v>
      </c>
      <c r="C561" s="152" t="s">
        <v>508</v>
      </c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  <c r="AA561" s="128"/>
      <c r="AB561" s="128"/>
      <c r="AC561" s="129"/>
      <c r="AD561" s="129"/>
      <c r="AE561" s="129"/>
      <c r="AF561" s="129"/>
      <c r="AG561" s="124">
        <v>1500</v>
      </c>
      <c r="AH561" s="124">
        <v>1500</v>
      </c>
      <c r="AI561" s="124">
        <v>1500</v>
      </c>
      <c r="AJ561" s="124">
        <v>1900</v>
      </c>
      <c r="AK561" s="124">
        <v>1900</v>
      </c>
      <c r="AL561" s="124">
        <v>1900</v>
      </c>
      <c r="AM561" s="124">
        <v>1900</v>
      </c>
      <c r="AN561" s="124">
        <v>1900</v>
      </c>
      <c r="AO561" s="125">
        <v>0</v>
      </c>
      <c r="AP561" s="125">
        <v>0</v>
      </c>
      <c r="AQ561" s="125">
        <v>0</v>
      </c>
      <c r="AR561" s="125">
        <v>0</v>
      </c>
      <c r="AS561" s="125">
        <v>0</v>
      </c>
      <c r="AT561" s="125">
        <v>0</v>
      </c>
      <c r="AU561" s="125">
        <v>0</v>
      </c>
      <c r="AV561" s="125">
        <v>0</v>
      </c>
      <c r="AW561" s="125">
        <v>0</v>
      </c>
      <c r="AX561" s="125">
        <v>0</v>
      </c>
      <c r="AY561" s="126"/>
      <c r="AZ561" s="126"/>
      <c r="BA561" s="126"/>
      <c r="BB561" s="126"/>
      <c r="BC561" s="126"/>
      <c r="BD561" s="126"/>
      <c r="BE561" s="126"/>
      <c r="BF561" s="127">
        <v>45039040</v>
      </c>
      <c r="BG561" s="97" t="s">
        <v>508</v>
      </c>
      <c r="BH561" s="127">
        <v>1500</v>
      </c>
      <c r="BI561" s="127">
        <v>45039040</v>
      </c>
      <c r="BJ561" s="97" t="s">
        <v>508</v>
      </c>
      <c r="BK561" s="127">
        <v>1500</v>
      </c>
    </row>
    <row r="562" spans="2:63" x14ac:dyDescent="0.25">
      <c r="B562" s="121">
        <v>45039045</v>
      </c>
      <c r="C562" s="152" t="s">
        <v>509</v>
      </c>
      <c r="D562" s="123">
        <v>72672.02</v>
      </c>
      <c r="E562" s="123">
        <v>10085.09</v>
      </c>
      <c r="F562" s="123">
        <v>18314.93</v>
      </c>
      <c r="G562" s="123">
        <v>28572.78</v>
      </c>
      <c r="H562" s="123">
        <v>33867.81</v>
      </c>
      <c r="I562" s="123">
        <v>37477.300000000003</v>
      </c>
      <c r="J562" s="123">
        <v>43151.82</v>
      </c>
      <c r="K562" s="123">
        <v>38247.429999999993</v>
      </c>
      <c r="L562" s="123">
        <v>41749.79</v>
      </c>
      <c r="M562" s="123">
        <v>45102.22</v>
      </c>
      <c r="N562" s="123">
        <v>47849.89</v>
      </c>
      <c r="O562" s="123">
        <v>51749.760000000002</v>
      </c>
      <c r="P562" s="123">
        <v>66237.59</v>
      </c>
      <c r="Q562" s="123">
        <v>3311.33</v>
      </c>
      <c r="R562" s="123">
        <v>5998.8</v>
      </c>
      <c r="S562" s="123">
        <v>14202.97</v>
      </c>
      <c r="T562" s="123">
        <v>20086.05</v>
      </c>
      <c r="U562" s="123">
        <v>24263.279999999999</v>
      </c>
      <c r="V562" s="123">
        <v>27524.49</v>
      </c>
      <c r="W562" s="123">
        <v>31641.07</v>
      </c>
      <c r="X562" s="123">
        <v>5000</v>
      </c>
      <c r="Y562" s="123">
        <v>38714.550000000003</v>
      </c>
      <c r="Z562" s="123">
        <v>42040.66</v>
      </c>
      <c r="AA562" s="123">
        <v>45339.78</v>
      </c>
      <c r="AB562" s="123">
        <v>51632</v>
      </c>
      <c r="AC562" s="124">
        <v>3287.54</v>
      </c>
      <c r="AD562" s="124">
        <v>7621.02</v>
      </c>
      <c r="AE562" s="124">
        <v>10898.34</v>
      </c>
      <c r="AF562" s="124">
        <v>14198.67</v>
      </c>
      <c r="AG562" s="124">
        <v>19223.849999999999</v>
      </c>
      <c r="AH562" s="124">
        <v>22575.23</v>
      </c>
      <c r="AI562" s="124">
        <v>37697.980000000003</v>
      </c>
      <c r="AJ562" s="124">
        <v>41501.379999999997</v>
      </c>
      <c r="AK562" s="124">
        <v>48194.68</v>
      </c>
      <c r="AL562" s="124">
        <v>52933.440000000002</v>
      </c>
      <c r="AM562" s="124">
        <v>58027.519999999997</v>
      </c>
      <c r="AN562" s="124">
        <v>63283.68</v>
      </c>
      <c r="AO562" s="125">
        <v>4888.95</v>
      </c>
      <c r="AP562" s="125">
        <v>9838.32</v>
      </c>
      <c r="AQ562" s="125">
        <v>14525.68</v>
      </c>
      <c r="AR562" s="125">
        <v>24856.71</v>
      </c>
      <c r="AS562" s="125">
        <v>44499.48</v>
      </c>
      <c r="AT562" s="125">
        <v>56666.78</v>
      </c>
      <c r="AU562" s="125">
        <v>71479.41</v>
      </c>
      <c r="AV562" s="125">
        <v>83001.83</v>
      </c>
      <c r="AW562" s="125">
        <v>93273.27</v>
      </c>
      <c r="AX562" s="125">
        <v>107891.62</v>
      </c>
      <c r="AY562" s="126"/>
      <c r="AZ562" s="126"/>
      <c r="BA562" s="126"/>
      <c r="BB562" s="126"/>
      <c r="BC562" s="126"/>
      <c r="BD562" s="126"/>
      <c r="BE562" s="126"/>
      <c r="BF562" s="127">
        <v>45039045</v>
      </c>
      <c r="BG562" s="97" t="s">
        <v>509</v>
      </c>
      <c r="BH562" s="127">
        <v>22575.23</v>
      </c>
      <c r="BI562" s="127">
        <v>45039045</v>
      </c>
      <c r="BJ562" s="97" t="s">
        <v>509</v>
      </c>
      <c r="BK562" s="127">
        <v>37697.980000000003</v>
      </c>
    </row>
    <row r="563" spans="2:63" x14ac:dyDescent="0.25">
      <c r="B563" s="121">
        <v>45039055</v>
      </c>
      <c r="C563" s="152" t="s">
        <v>510</v>
      </c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  <c r="AA563" s="128"/>
      <c r="AB563" s="128"/>
      <c r="AC563" s="129"/>
      <c r="AD563" s="129"/>
      <c r="AE563" s="129"/>
      <c r="AF563" s="129"/>
      <c r="AG563" s="129"/>
      <c r="AH563" s="124">
        <v>-0.01</v>
      </c>
      <c r="AI563" s="124">
        <v>-0.01</v>
      </c>
      <c r="AJ563" s="124">
        <v>0</v>
      </c>
      <c r="AK563" s="124">
        <v>0</v>
      </c>
      <c r="AL563" s="124">
        <v>0</v>
      </c>
      <c r="AM563" s="124">
        <v>0</v>
      </c>
      <c r="AN563" s="124">
        <v>0</v>
      </c>
      <c r="AO563" s="125">
        <v>0</v>
      </c>
      <c r="AP563" s="125">
        <v>0</v>
      </c>
      <c r="AQ563" s="125">
        <v>0</v>
      </c>
      <c r="AR563" s="125">
        <v>0</v>
      </c>
      <c r="AS563" s="125">
        <v>0</v>
      </c>
      <c r="AT563" s="125">
        <v>0</v>
      </c>
      <c r="AU563" s="125">
        <v>0</v>
      </c>
      <c r="AV563" s="125">
        <v>0</v>
      </c>
      <c r="AW563" s="125">
        <v>0</v>
      </c>
      <c r="AX563" s="125">
        <v>0</v>
      </c>
      <c r="AY563" s="126"/>
      <c r="AZ563" s="126"/>
      <c r="BA563" s="126"/>
      <c r="BB563" s="126"/>
      <c r="BC563" s="126"/>
      <c r="BD563" s="126"/>
      <c r="BE563" s="126"/>
      <c r="BF563" s="127">
        <v>45039055</v>
      </c>
      <c r="BG563" s="97" t="s">
        <v>510</v>
      </c>
      <c r="BH563" s="127">
        <v>-0.01</v>
      </c>
      <c r="BI563" s="127">
        <v>45039055</v>
      </c>
      <c r="BJ563" s="97" t="s">
        <v>510</v>
      </c>
      <c r="BK563" s="127">
        <v>-0.01</v>
      </c>
    </row>
    <row r="564" spans="2:63" x14ac:dyDescent="0.25">
      <c r="B564" s="121">
        <v>45039060</v>
      </c>
      <c r="C564" s="152" t="s">
        <v>511</v>
      </c>
      <c r="D564" s="128"/>
      <c r="E564" s="128"/>
      <c r="F564" s="128"/>
      <c r="G564" s="128"/>
      <c r="H564" s="128"/>
      <c r="I564" s="128"/>
      <c r="J564" s="123">
        <v>12000</v>
      </c>
      <c r="K564" s="123">
        <v>12000</v>
      </c>
      <c r="L564" s="123">
        <v>12000</v>
      </c>
      <c r="M564" s="123">
        <v>12000</v>
      </c>
      <c r="N564" s="123">
        <v>16850</v>
      </c>
      <c r="O564" s="123">
        <v>16850</v>
      </c>
      <c r="P564" s="123">
        <v>16850</v>
      </c>
      <c r="Q564" s="128"/>
      <c r="R564" s="128"/>
      <c r="S564" s="128"/>
      <c r="T564" s="128"/>
      <c r="U564" s="123">
        <v>5000</v>
      </c>
      <c r="V564" s="123">
        <v>5000</v>
      </c>
      <c r="W564" s="123">
        <v>5000</v>
      </c>
      <c r="X564" s="123">
        <v>4772.26</v>
      </c>
      <c r="Y564" s="123">
        <v>6000</v>
      </c>
      <c r="Z564" s="123">
        <v>7500</v>
      </c>
      <c r="AA564" s="123">
        <v>8500</v>
      </c>
      <c r="AB564" s="123">
        <v>9500</v>
      </c>
      <c r="AC564" s="124">
        <v>1000</v>
      </c>
      <c r="AD564" s="124">
        <v>2000</v>
      </c>
      <c r="AE564" s="124">
        <v>3023.66</v>
      </c>
      <c r="AF564" s="124">
        <v>4023.66</v>
      </c>
      <c r="AG564" s="124">
        <v>6013.66</v>
      </c>
      <c r="AH564" s="124">
        <v>7431.34</v>
      </c>
      <c r="AI564" s="124">
        <v>8831.98</v>
      </c>
      <c r="AJ564" s="124">
        <v>9954.6200000000008</v>
      </c>
      <c r="AK564" s="124">
        <v>11215.26</v>
      </c>
      <c r="AL564" s="124">
        <v>12481.5</v>
      </c>
      <c r="AM564" s="124">
        <v>14788.54</v>
      </c>
      <c r="AN564" s="124">
        <v>18149.740000000002</v>
      </c>
      <c r="AO564" s="125">
        <v>726.55</v>
      </c>
      <c r="AP564" s="125">
        <v>4592.7</v>
      </c>
      <c r="AQ564" s="125">
        <v>5639.05</v>
      </c>
      <c r="AR564" s="125">
        <v>6441.01</v>
      </c>
      <c r="AS564" s="125">
        <v>7009.92</v>
      </c>
      <c r="AT564" s="125">
        <v>8374.0400000000009</v>
      </c>
      <c r="AU564" s="125">
        <v>9482.23</v>
      </c>
      <c r="AV564" s="125">
        <v>11293.73</v>
      </c>
      <c r="AW564" s="125">
        <v>12924.67</v>
      </c>
      <c r="AX564" s="125">
        <v>14874.93</v>
      </c>
      <c r="AY564" s="126"/>
      <c r="AZ564" s="126"/>
      <c r="BA564" s="126"/>
      <c r="BB564" s="126"/>
      <c r="BC564" s="126"/>
      <c r="BD564" s="126"/>
      <c r="BE564" s="126"/>
      <c r="BF564" s="127">
        <v>45039060</v>
      </c>
      <c r="BG564" s="97" t="s">
        <v>511</v>
      </c>
      <c r="BH564" s="127">
        <v>7431.34</v>
      </c>
      <c r="BI564" s="127">
        <v>45039060</v>
      </c>
      <c r="BJ564" s="97" t="s">
        <v>511</v>
      </c>
      <c r="BK564" s="127">
        <v>8831.98</v>
      </c>
    </row>
    <row r="565" spans="2:63" x14ac:dyDescent="0.25">
      <c r="B565" s="121">
        <v>45039065</v>
      </c>
      <c r="C565" s="152" t="s">
        <v>512</v>
      </c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3">
        <v>4772.26</v>
      </c>
      <c r="Z565" s="123">
        <v>4772.26</v>
      </c>
      <c r="AA565" s="123">
        <v>4772.26</v>
      </c>
      <c r="AB565" s="123">
        <v>4772.26</v>
      </c>
      <c r="AC565" s="129"/>
      <c r="AD565" s="129"/>
      <c r="AE565" s="129"/>
      <c r="AF565" s="129"/>
      <c r="AG565" s="129"/>
      <c r="AH565" s="129"/>
      <c r="AI565" s="129"/>
      <c r="AJ565" s="124">
        <v>0</v>
      </c>
      <c r="AK565" s="124">
        <v>0</v>
      </c>
      <c r="AL565" s="124">
        <v>0</v>
      </c>
      <c r="AM565" s="124">
        <v>0</v>
      </c>
      <c r="AN565" s="124">
        <v>0</v>
      </c>
      <c r="AO565" s="125">
        <v>0</v>
      </c>
      <c r="AP565" s="125">
        <v>0</v>
      </c>
      <c r="AQ565" s="125">
        <v>0</v>
      </c>
      <c r="AR565" s="125">
        <v>0</v>
      </c>
      <c r="AS565" s="125">
        <v>0</v>
      </c>
      <c r="AT565" s="125">
        <v>0</v>
      </c>
      <c r="AU565" s="125">
        <v>0</v>
      </c>
      <c r="AV565" s="125">
        <v>0</v>
      </c>
      <c r="AW565" s="125">
        <v>0</v>
      </c>
      <c r="AX565" s="125">
        <v>0</v>
      </c>
      <c r="AY565" s="126"/>
      <c r="AZ565" s="126"/>
      <c r="BA565" s="126"/>
      <c r="BB565" s="126"/>
      <c r="BC565" s="126"/>
      <c r="BD565" s="126"/>
      <c r="BE565" s="126"/>
    </row>
    <row r="566" spans="2:63" x14ac:dyDescent="0.25">
      <c r="B566" s="121">
        <v>4504</v>
      </c>
      <c r="C566" s="152" t="s">
        <v>513</v>
      </c>
      <c r="D566" s="123">
        <v>339986.2</v>
      </c>
      <c r="E566" s="123">
        <v>23969.33</v>
      </c>
      <c r="F566" s="123">
        <v>52346.26</v>
      </c>
      <c r="G566" s="123">
        <v>76574.289999999994</v>
      </c>
      <c r="H566" s="123">
        <v>102871.51</v>
      </c>
      <c r="I566" s="123">
        <v>135295.79999999999</v>
      </c>
      <c r="J566" s="123">
        <v>179635.87</v>
      </c>
      <c r="K566" s="123">
        <v>202669.53</v>
      </c>
      <c r="L566" s="123">
        <v>226883.64</v>
      </c>
      <c r="M566" s="123">
        <v>251367.49</v>
      </c>
      <c r="N566" s="123">
        <v>261664.64000000001</v>
      </c>
      <c r="O566" s="123">
        <v>278886.23</v>
      </c>
      <c r="P566" s="123">
        <v>297206.98</v>
      </c>
      <c r="Q566" s="123">
        <v>12067.25</v>
      </c>
      <c r="R566" s="123">
        <v>15884.46</v>
      </c>
      <c r="S566" s="123">
        <v>23030.34</v>
      </c>
      <c r="T566" s="123">
        <v>31078.04</v>
      </c>
      <c r="U566" s="123">
        <v>55341.7</v>
      </c>
      <c r="V566" s="123">
        <v>72737.53</v>
      </c>
      <c r="W566" s="123">
        <v>84697.23</v>
      </c>
      <c r="X566" s="123">
        <v>107514.9</v>
      </c>
      <c r="Y566" s="123">
        <v>122287.17</v>
      </c>
      <c r="Z566" s="123">
        <v>134460.85</v>
      </c>
      <c r="AA566" s="123">
        <v>149086.97</v>
      </c>
      <c r="AB566" s="123">
        <v>163785.91</v>
      </c>
      <c r="AC566" s="124">
        <v>12349.85</v>
      </c>
      <c r="AD566" s="124">
        <v>21889.05</v>
      </c>
      <c r="AE566" s="124">
        <v>32456.7</v>
      </c>
      <c r="AF566" s="124">
        <v>43981.27</v>
      </c>
      <c r="AG566" s="124">
        <v>56611.25</v>
      </c>
      <c r="AH566" s="124">
        <v>74985.119999999995</v>
      </c>
      <c r="AI566" s="124">
        <v>94564.160000000003</v>
      </c>
      <c r="AJ566" s="124">
        <v>126466.82</v>
      </c>
      <c r="AK566" s="124">
        <v>144826.35</v>
      </c>
      <c r="AL566" s="124">
        <v>165865.43</v>
      </c>
      <c r="AM566" s="124">
        <v>189134.23</v>
      </c>
      <c r="AN566" s="124">
        <v>213769.95</v>
      </c>
      <c r="AO566" s="125">
        <v>34751.9</v>
      </c>
      <c r="AP566" s="125">
        <v>92564.41</v>
      </c>
      <c r="AQ566" s="125">
        <v>120963.82</v>
      </c>
      <c r="AR566" s="125">
        <v>137402.32999999999</v>
      </c>
      <c r="AS566" s="125">
        <v>160475.65</v>
      </c>
      <c r="AT566" s="125">
        <v>192735.3</v>
      </c>
      <c r="AU566" s="125">
        <v>219269.8</v>
      </c>
      <c r="AV566" s="125">
        <v>246361.69</v>
      </c>
      <c r="AW566" s="125">
        <v>283569.34000000003</v>
      </c>
      <c r="AX566" s="125">
        <v>318345.53999999998</v>
      </c>
      <c r="AY566" s="126"/>
      <c r="AZ566" s="126"/>
      <c r="BA566" s="126"/>
      <c r="BB566" s="126"/>
      <c r="BC566" s="126"/>
      <c r="BD566" s="126"/>
      <c r="BE566" s="126"/>
      <c r="BF566" s="127">
        <v>4504</v>
      </c>
      <c r="BG566" s="97" t="s">
        <v>513</v>
      </c>
      <c r="BH566" s="127">
        <v>74985.119999999995</v>
      </c>
      <c r="BI566" s="127">
        <v>4504</v>
      </c>
      <c r="BJ566" s="97" t="s">
        <v>513</v>
      </c>
      <c r="BK566" s="127">
        <v>94564.160000000003</v>
      </c>
    </row>
    <row r="567" spans="2:63" x14ac:dyDescent="0.25">
      <c r="B567" s="121">
        <v>450405</v>
      </c>
      <c r="C567" s="152" t="s">
        <v>514</v>
      </c>
      <c r="D567" s="123">
        <v>144066.01999999999</v>
      </c>
      <c r="E567" s="123">
        <v>8495.9599999999991</v>
      </c>
      <c r="F567" s="123">
        <v>18077.310000000001</v>
      </c>
      <c r="G567" s="123">
        <v>25321.37</v>
      </c>
      <c r="H567" s="123">
        <v>33548.71</v>
      </c>
      <c r="I567" s="123">
        <v>33549.360000000001</v>
      </c>
      <c r="J567" s="123">
        <v>40101.32</v>
      </c>
      <c r="K567" s="123">
        <v>45261.440000000002</v>
      </c>
      <c r="L567" s="123">
        <v>50999.53</v>
      </c>
      <c r="M567" s="123">
        <v>56497.61</v>
      </c>
      <c r="N567" s="123">
        <v>62019.06</v>
      </c>
      <c r="O567" s="123">
        <v>74609.08</v>
      </c>
      <c r="P567" s="123">
        <v>80258.240000000005</v>
      </c>
      <c r="Q567" s="123">
        <v>5584.78</v>
      </c>
      <c r="R567" s="123">
        <v>5584.78</v>
      </c>
      <c r="S567" s="123">
        <v>8847.89</v>
      </c>
      <c r="T567" s="123">
        <v>13910.18</v>
      </c>
      <c r="U567" s="123">
        <v>24440.22</v>
      </c>
      <c r="V567" s="123">
        <v>31536.43</v>
      </c>
      <c r="W567" s="123">
        <v>35579.32</v>
      </c>
      <c r="X567" s="123">
        <v>41641.25</v>
      </c>
      <c r="Y567" s="123">
        <v>46582.38</v>
      </c>
      <c r="Z567" s="123">
        <v>50925.05</v>
      </c>
      <c r="AA567" s="123">
        <v>58223.07</v>
      </c>
      <c r="AB567" s="123">
        <v>62178.97</v>
      </c>
      <c r="AC567" s="124">
        <v>6972.97</v>
      </c>
      <c r="AD567" s="124">
        <v>11779.52</v>
      </c>
      <c r="AE567" s="124">
        <v>17627.97</v>
      </c>
      <c r="AF567" s="124">
        <v>23491.040000000001</v>
      </c>
      <c r="AG567" s="124">
        <v>28778.48</v>
      </c>
      <c r="AH567" s="124">
        <v>37753.620000000003</v>
      </c>
      <c r="AI567" s="124">
        <v>46353.78</v>
      </c>
      <c r="AJ567" s="124">
        <v>55055</v>
      </c>
      <c r="AK567" s="124">
        <v>64687.1</v>
      </c>
      <c r="AL567" s="124">
        <v>74426.289999999994</v>
      </c>
      <c r="AM567" s="124">
        <v>86601.18</v>
      </c>
      <c r="AN567" s="124">
        <v>99236.91</v>
      </c>
      <c r="AO567" s="125">
        <v>16545.45</v>
      </c>
      <c r="AP567" s="125">
        <v>28837.97</v>
      </c>
      <c r="AQ567" s="125">
        <v>51489.98</v>
      </c>
      <c r="AR567" s="125">
        <v>62865.78</v>
      </c>
      <c r="AS567" s="125">
        <v>72836.3</v>
      </c>
      <c r="AT567" s="125">
        <v>87713.16</v>
      </c>
      <c r="AU567" s="125">
        <v>100476.55</v>
      </c>
      <c r="AV567" s="125">
        <v>113478.95</v>
      </c>
      <c r="AW567" s="125">
        <v>125063.63</v>
      </c>
      <c r="AX567" s="125">
        <v>135257.01999999999</v>
      </c>
      <c r="AY567" s="126"/>
      <c r="AZ567" s="126"/>
      <c r="BA567" s="126"/>
      <c r="BB567" s="126"/>
      <c r="BC567" s="126"/>
      <c r="BD567" s="126"/>
      <c r="BE567" s="126"/>
      <c r="BF567" s="127">
        <v>450405</v>
      </c>
      <c r="BG567" s="97" t="s">
        <v>514</v>
      </c>
      <c r="BH567" s="127">
        <v>37753.620000000003</v>
      </c>
      <c r="BI567" s="127">
        <v>450405</v>
      </c>
      <c r="BJ567" s="97" t="s">
        <v>514</v>
      </c>
      <c r="BK567" s="127">
        <v>46353.78</v>
      </c>
    </row>
    <row r="568" spans="2:63" x14ac:dyDescent="0.25">
      <c r="B568" s="121">
        <v>450410</v>
      </c>
      <c r="C568" s="152" t="s">
        <v>515</v>
      </c>
      <c r="D568" s="123">
        <v>45055.53</v>
      </c>
      <c r="E568" s="123">
        <v>505.75</v>
      </c>
      <c r="F568" s="123">
        <v>3651.45</v>
      </c>
      <c r="G568" s="123">
        <v>4609.8999999999996</v>
      </c>
      <c r="H568" s="123">
        <v>6200.26</v>
      </c>
      <c r="I568" s="123">
        <v>21664.34</v>
      </c>
      <c r="J568" s="123">
        <v>42451.59</v>
      </c>
      <c r="K568" s="123">
        <v>43410.04</v>
      </c>
      <c r="L568" s="123">
        <v>44832.25</v>
      </c>
      <c r="M568" s="123">
        <v>45790.7</v>
      </c>
      <c r="N568" s="123">
        <v>46749.15</v>
      </c>
      <c r="O568" s="123">
        <v>47666.79</v>
      </c>
      <c r="P568" s="123">
        <v>56646.94</v>
      </c>
      <c r="Q568" s="123">
        <v>2242.17</v>
      </c>
      <c r="R568" s="123">
        <v>2242.17</v>
      </c>
      <c r="S568" s="123">
        <v>2423.4899999999998</v>
      </c>
      <c r="T568" s="123">
        <v>2423.4899999999998</v>
      </c>
      <c r="U568" s="123">
        <v>11824.16</v>
      </c>
      <c r="V568" s="123">
        <v>16331.58</v>
      </c>
      <c r="W568" s="123">
        <v>20771.41</v>
      </c>
      <c r="X568" s="123">
        <v>25216.17</v>
      </c>
      <c r="Y568" s="123">
        <v>31641.71</v>
      </c>
      <c r="Z568" s="123">
        <v>36055.660000000003</v>
      </c>
      <c r="AA568" s="123">
        <v>40013.410000000003</v>
      </c>
      <c r="AB568" s="123">
        <v>44506.67</v>
      </c>
      <c r="AC568" s="124">
        <v>1589.91</v>
      </c>
      <c r="AD568" s="124">
        <v>3179.82</v>
      </c>
      <c r="AE568" s="124">
        <v>4769.7299999999996</v>
      </c>
      <c r="AF568" s="124">
        <v>6359.64</v>
      </c>
      <c r="AG568" s="124">
        <v>9758.91</v>
      </c>
      <c r="AH568" s="124">
        <v>16303.43</v>
      </c>
      <c r="AI568" s="124">
        <v>21859.84</v>
      </c>
      <c r="AJ568" s="124">
        <v>28603.13</v>
      </c>
      <c r="AK568" s="124">
        <v>34159.54</v>
      </c>
      <c r="AL568" s="124">
        <v>41320.92</v>
      </c>
      <c r="AM568" s="124">
        <v>47877.33</v>
      </c>
      <c r="AN568" s="124">
        <v>55571.98</v>
      </c>
      <c r="AO568" s="125">
        <v>0</v>
      </c>
      <c r="AP568" s="125">
        <v>0</v>
      </c>
      <c r="AQ568" s="125">
        <v>0</v>
      </c>
      <c r="AR568" s="125">
        <v>0</v>
      </c>
      <c r="AS568" s="125">
        <v>0</v>
      </c>
      <c r="AT568" s="125">
        <v>0</v>
      </c>
      <c r="AU568" s="125">
        <v>0</v>
      </c>
      <c r="AV568" s="125">
        <v>0</v>
      </c>
      <c r="AW568" s="125">
        <v>0</v>
      </c>
      <c r="AX568" s="125">
        <v>0</v>
      </c>
      <c r="AY568" s="126"/>
      <c r="AZ568" s="126"/>
      <c r="BA568" s="126"/>
      <c r="BB568" s="126"/>
      <c r="BC568" s="126"/>
      <c r="BD568" s="126"/>
      <c r="BE568" s="126"/>
      <c r="BF568" s="127">
        <v>450410</v>
      </c>
      <c r="BG568" s="97" t="s">
        <v>515</v>
      </c>
      <c r="BH568" s="127">
        <v>16303.43</v>
      </c>
      <c r="BI568" s="127">
        <v>450410</v>
      </c>
      <c r="BJ568" s="97" t="s">
        <v>515</v>
      </c>
      <c r="BK568" s="127">
        <v>21859.84</v>
      </c>
    </row>
    <row r="569" spans="2:63" x14ac:dyDescent="0.25">
      <c r="B569" s="121">
        <v>45041005</v>
      </c>
      <c r="C569" s="152" t="s">
        <v>516</v>
      </c>
      <c r="D569" s="123">
        <v>10597.14</v>
      </c>
      <c r="E569" s="128"/>
      <c r="F569" s="123">
        <v>3067.04</v>
      </c>
      <c r="G569" s="123">
        <v>4025.49</v>
      </c>
      <c r="H569" s="123">
        <v>5615.85</v>
      </c>
      <c r="I569" s="123">
        <v>6574.3</v>
      </c>
      <c r="J569" s="123">
        <v>9890.9</v>
      </c>
      <c r="K569" s="123">
        <v>10849.35</v>
      </c>
      <c r="L569" s="123">
        <v>11807.8</v>
      </c>
      <c r="M569" s="123">
        <v>12766.25</v>
      </c>
      <c r="N569" s="123">
        <v>13724.7</v>
      </c>
      <c r="O569" s="123">
        <v>14721</v>
      </c>
      <c r="P569" s="123">
        <v>23701.15</v>
      </c>
      <c r="Q569" s="123">
        <v>2242.17</v>
      </c>
      <c r="R569" s="123">
        <v>2242.17</v>
      </c>
      <c r="S569" s="123">
        <v>2408.19</v>
      </c>
      <c r="T569" s="123">
        <v>2408.19</v>
      </c>
      <c r="U569" s="123">
        <v>8640.84</v>
      </c>
      <c r="V569" s="123">
        <v>9887.3700000000008</v>
      </c>
      <c r="W569" s="123">
        <v>11133.9</v>
      </c>
      <c r="X569" s="123">
        <v>12380.43</v>
      </c>
      <c r="Y569" s="123">
        <v>13626.96</v>
      </c>
      <c r="Z569" s="123">
        <v>14873.49</v>
      </c>
      <c r="AA569" s="123">
        <v>16120.02</v>
      </c>
      <c r="AB569" s="123">
        <v>17366.55</v>
      </c>
      <c r="AC569" s="124">
        <v>1504.95</v>
      </c>
      <c r="AD569" s="124">
        <v>3009.9</v>
      </c>
      <c r="AE569" s="124">
        <v>4514.8500000000004</v>
      </c>
      <c r="AF569" s="124">
        <v>6019.8</v>
      </c>
      <c r="AG569" s="124">
        <v>7609.71</v>
      </c>
      <c r="AH569" s="124">
        <v>9199.6200000000008</v>
      </c>
      <c r="AI569" s="124">
        <v>10789.53</v>
      </c>
      <c r="AJ569" s="124">
        <v>12379.44</v>
      </c>
      <c r="AK569" s="124">
        <v>13969.35</v>
      </c>
      <c r="AL569" s="124">
        <v>15559.26</v>
      </c>
      <c r="AM569" s="124">
        <v>17149.169999999998</v>
      </c>
      <c r="AN569" s="124">
        <v>18739.080000000002</v>
      </c>
      <c r="AO569" s="125">
        <v>0</v>
      </c>
      <c r="AP569" s="125">
        <v>0</v>
      </c>
      <c r="AQ569" s="125">
        <v>0</v>
      </c>
      <c r="AR569" s="125">
        <v>0</v>
      </c>
      <c r="AS569" s="125">
        <v>0</v>
      </c>
      <c r="AT569" s="125">
        <v>0</v>
      </c>
      <c r="AU569" s="125">
        <v>0</v>
      </c>
      <c r="AV569" s="125">
        <v>0</v>
      </c>
      <c r="AW569" s="125">
        <v>0</v>
      </c>
      <c r="AX569" s="125">
        <v>0</v>
      </c>
      <c r="AY569" s="126"/>
      <c r="AZ569" s="126"/>
      <c r="BA569" s="126"/>
      <c r="BB569" s="126"/>
      <c r="BC569" s="126"/>
      <c r="BD569" s="126"/>
      <c r="BE569" s="126"/>
      <c r="BF569" s="127">
        <v>45041005</v>
      </c>
      <c r="BG569" s="97" t="s">
        <v>516</v>
      </c>
      <c r="BH569" s="127">
        <v>9199.6200000000008</v>
      </c>
      <c r="BI569" s="127">
        <v>45041005</v>
      </c>
      <c r="BJ569" s="97" t="s">
        <v>516</v>
      </c>
      <c r="BK569" s="127">
        <v>10789.53</v>
      </c>
    </row>
    <row r="570" spans="2:63" x14ac:dyDescent="0.25">
      <c r="B570" s="121">
        <v>45041010</v>
      </c>
      <c r="C570" s="152" t="s">
        <v>517</v>
      </c>
      <c r="D570" s="123">
        <v>12338.06</v>
      </c>
      <c r="E570" s="128"/>
      <c r="F570" s="128"/>
      <c r="G570" s="128"/>
      <c r="H570" s="128"/>
      <c r="I570" s="123">
        <v>6905.63</v>
      </c>
      <c r="J570" s="123">
        <v>11689.47</v>
      </c>
      <c r="K570" s="123">
        <v>11689.47</v>
      </c>
      <c r="L570" s="123">
        <v>11689.47</v>
      </c>
      <c r="M570" s="123">
        <v>11689.47</v>
      </c>
      <c r="N570" s="123">
        <v>11689.47</v>
      </c>
      <c r="O570" s="123">
        <v>11689.47</v>
      </c>
      <c r="P570" s="123">
        <v>11689.47</v>
      </c>
      <c r="Q570" s="128"/>
      <c r="R570" s="128"/>
      <c r="S570" s="128"/>
      <c r="T570" s="128"/>
      <c r="U570" s="123">
        <v>1298.77</v>
      </c>
      <c r="V570" s="123">
        <v>2356.5</v>
      </c>
      <c r="W570" s="123">
        <v>3896.3</v>
      </c>
      <c r="X570" s="123">
        <v>5436.1</v>
      </c>
      <c r="Y570" s="123">
        <v>6975.9</v>
      </c>
      <c r="Z570" s="123">
        <v>8274.67</v>
      </c>
      <c r="AA570" s="123">
        <v>9332.39</v>
      </c>
      <c r="AB570" s="123">
        <v>10390.120000000001</v>
      </c>
      <c r="AC570" s="124">
        <v>84.96</v>
      </c>
      <c r="AD570" s="124">
        <v>169.92</v>
      </c>
      <c r="AE570" s="124">
        <v>254.88</v>
      </c>
      <c r="AF570" s="124">
        <v>339.84</v>
      </c>
      <c r="AG570" s="124">
        <v>842.1</v>
      </c>
      <c r="AH570" s="124">
        <v>2332.4699999999998</v>
      </c>
      <c r="AI570" s="124">
        <v>2834.73</v>
      </c>
      <c r="AJ570" s="124">
        <v>3336.99</v>
      </c>
      <c r="AK570" s="124">
        <v>3839.25</v>
      </c>
      <c r="AL570" s="124">
        <v>4416.74</v>
      </c>
      <c r="AM570" s="124">
        <v>5919</v>
      </c>
      <c r="AN570" s="124">
        <v>7409.37</v>
      </c>
      <c r="AO570" s="125">
        <v>0</v>
      </c>
      <c r="AP570" s="125">
        <v>0</v>
      </c>
      <c r="AQ570" s="125">
        <v>0</v>
      </c>
      <c r="AR570" s="125">
        <v>0</v>
      </c>
      <c r="AS570" s="125">
        <v>0</v>
      </c>
      <c r="AT570" s="125">
        <v>0</v>
      </c>
      <c r="AU570" s="125">
        <v>0</v>
      </c>
      <c r="AV570" s="125">
        <v>0</v>
      </c>
      <c r="AW570" s="125">
        <v>0</v>
      </c>
      <c r="AX570" s="125">
        <v>0</v>
      </c>
      <c r="AY570" s="126"/>
      <c r="AZ570" s="126"/>
      <c r="BA570" s="126"/>
      <c r="BB570" s="126"/>
      <c r="BC570" s="126"/>
      <c r="BD570" s="126"/>
      <c r="BE570" s="126"/>
      <c r="BF570" s="127">
        <v>45041010</v>
      </c>
      <c r="BG570" s="97" t="s">
        <v>517</v>
      </c>
      <c r="BH570" s="127">
        <v>2332.4699999999998</v>
      </c>
      <c r="BI570" s="127">
        <v>45041010</v>
      </c>
      <c r="BJ570" s="97" t="s">
        <v>517</v>
      </c>
      <c r="BK570" s="127">
        <v>2834.73</v>
      </c>
    </row>
    <row r="571" spans="2:63" x14ac:dyDescent="0.25">
      <c r="B571" s="121">
        <v>45041015</v>
      </c>
      <c r="C571" s="152" t="s">
        <v>518</v>
      </c>
      <c r="D571" s="123">
        <v>20062.78</v>
      </c>
      <c r="E571" s="128"/>
      <c r="F571" s="128"/>
      <c r="G571" s="128"/>
      <c r="H571" s="128"/>
      <c r="I571" s="123">
        <v>7600</v>
      </c>
      <c r="J571" s="123">
        <v>19032.96</v>
      </c>
      <c r="K571" s="123">
        <v>19032.96</v>
      </c>
      <c r="L571" s="123">
        <v>19032.96</v>
      </c>
      <c r="M571" s="123">
        <v>19032.96</v>
      </c>
      <c r="N571" s="123">
        <v>19032.96</v>
      </c>
      <c r="O571" s="123">
        <v>19032.96</v>
      </c>
      <c r="P571" s="123">
        <v>19032.96</v>
      </c>
      <c r="Q571" s="128"/>
      <c r="R571" s="128"/>
      <c r="S571" s="128"/>
      <c r="T571" s="128"/>
      <c r="U571" s="123">
        <v>1869.25</v>
      </c>
      <c r="V571" s="123">
        <v>3523.35</v>
      </c>
      <c r="W571" s="123">
        <v>5176.8500000000004</v>
      </c>
      <c r="X571" s="123">
        <v>6835.28</v>
      </c>
      <c r="Y571" s="123">
        <v>9344.4500000000007</v>
      </c>
      <c r="Z571" s="123">
        <v>11213.1</v>
      </c>
      <c r="AA571" s="123">
        <v>12866.6</v>
      </c>
      <c r="AB571" s="123">
        <v>14520.1</v>
      </c>
      <c r="AC571" s="129"/>
      <c r="AD571" s="129"/>
      <c r="AE571" s="129"/>
      <c r="AF571" s="129"/>
      <c r="AG571" s="124">
        <v>1307.0999999999999</v>
      </c>
      <c r="AH571" s="124">
        <v>4771.34</v>
      </c>
      <c r="AI571" s="124">
        <v>8235.58</v>
      </c>
      <c r="AJ571" s="124">
        <v>11699.82</v>
      </c>
      <c r="AK571" s="124">
        <v>15164.06</v>
      </c>
      <c r="AL571" s="124">
        <v>18628.3</v>
      </c>
      <c r="AM571" s="124">
        <v>22092.54</v>
      </c>
      <c r="AN571" s="124">
        <v>25556.78</v>
      </c>
      <c r="AO571" s="125">
        <v>0</v>
      </c>
      <c r="AP571" s="125">
        <v>0</v>
      </c>
      <c r="AQ571" s="125">
        <v>0</v>
      </c>
      <c r="AR571" s="125">
        <v>0</v>
      </c>
      <c r="AS571" s="125">
        <v>0</v>
      </c>
      <c r="AT571" s="125">
        <v>0</v>
      </c>
      <c r="AU571" s="125">
        <v>0</v>
      </c>
      <c r="AV571" s="125">
        <v>0</v>
      </c>
      <c r="AW571" s="125">
        <v>0</v>
      </c>
      <c r="AX571" s="125">
        <v>0</v>
      </c>
      <c r="AY571" s="126"/>
      <c r="AZ571" s="126"/>
      <c r="BA571" s="126"/>
      <c r="BB571" s="126"/>
      <c r="BC571" s="126"/>
      <c r="BD571" s="126"/>
      <c r="BE571" s="126"/>
      <c r="BF571" s="127">
        <v>45041015</v>
      </c>
      <c r="BG571" s="97" t="s">
        <v>518</v>
      </c>
      <c r="BH571" s="127">
        <v>4771.34</v>
      </c>
      <c r="BI571" s="127">
        <v>45041015</v>
      </c>
      <c r="BJ571" s="97" t="s">
        <v>518</v>
      </c>
      <c r="BK571" s="127">
        <v>8235.58</v>
      </c>
    </row>
    <row r="572" spans="2:63" x14ac:dyDescent="0.25">
      <c r="B572" s="121">
        <v>45041020</v>
      </c>
      <c r="C572" s="152" t="s">
        <v>519</v>
      </c>
      <c r="D572" s="123">
        <v>2057.5500000000002</v>
      </c>
      <c r="E572" s="123">
        <v>505.75</v>
      </c>
      <c r="F572" s="123">
        <v>584.41</v>
      </c>
      <c r="G572" s="123">
        <v>584.41</v>
      </c>
      <c r="H572" s="123">
        <v>584.41</v>
      </c>
      <c r="I572" s="123">
        <v>584.41</v>
      </c>
      <c r="J572" s="123">
        <v>1838.26</v>
      </c>
      <c r="K572" s="123">
        <v>1838.26</v>
      </c>
      <c r="L572" s="123">
        <v>2302.02</v>
      </c>
      <c r="M572" s="123">
        <v>2302.02</v>
      </c>
      <c r="N572" s="123">
        <v>2302.02</v>
      </c>
      <c r="O572" s="123">
        <v>2223.36</v>
      </c>
      <c r="P572" s="123">
        <v>2223.36</v>
      </c>
      <c r="Q572" s="128"/>
      <c r="R572" s="128"/>
      <c r="S572" s="123">
        <v>15.3</v>
      </c>
      <c r="T572" s="123">
        <v>15.3</v>
      </c>
      <c r="U572" s="123">
        <v>15.3</v>
      </c>
      <c r="V572" s="123">
        <v>564.36</v>
      </c>
      <c r="W572" s="123">
        <v>564.36</v>
      </c>
      <c r="X572" s="123">
        <v>564.36</v>
      </c>
      <c r="Y572" s="123">
        <v>1694.4</v>
      </c>
      <c r="Z572" s="123">
        <v>1694.4</v>
      </c>
      <c r="AA572" s="123">
        <v>1694.4</v>
      </c>
      <c r="AB572" s="123">
        <v>2229.9</v>
      </c>
      <c r="AC572" s="129"/>
      <c r="AD572" s="129"/>
      <c r="AE572" s="129"/>
      <c r="AF572" s="129"/>
      <c r="AG572" s="129"/>
      <c r="AH572" s="129"/>
      <c r="AI572" s="129"/>
      <c r="AJ572" s="124">
        <v>1186.8800000000001</v>
      </c>
      <c r="AK572" s="124">
        <v>1186.8800000000001</v>
      </c>
      <c r="AL572" s="124">
        <v>2716.62</v>
      </c>
      <c r="AM572" s="124">
        <v>2716.62</v>
      </c>
      <c r="AN572" s="124">
        <v>3866.75</v>
      </c>
      <c r="AO572" s="125">
        <v>0</v>
      </c>
      <c r="AP572" s="125">
        <v>0</v>
      </c>
      <c r="AQ572" s="125">
        <v>0</v>
      </c>
      <c r="AR572" s="125">
        <v>0</v>
      </c>
      <c r="AS572" s="125">
        <v>0</v>
      </c>
      <c r="AT572" s="125">
        <v>0</v>
      </c>
      <c r="AU572" s="125">
        <v>0</v>
      </c>
      <c r="AV572" s="125">
        <v>0</v>
      </c>
      <c r="AW572" s="125">
        <v>0</v>
      </c>
      <c r="AX572" s="125">
        <v>0</v>
      </c>
      <c r="AY572" s="126"/>
      <c r="AZ572" s="126"/>
      <c r="BA572" s="126"/>
      <c r="BB572" s="126"/>
      <c r="BC572" s="126"/>
      <c r="BD572" s="126"/>
      <c r="BE572" s="126"/>
    </row>
    <row r="573" spans="2:63" x14ac:dyDescent="0.25">
      <c r="B573" s="121">
        <v>450415</v>
      </c>
      <c r="C573" s="152" t="s">
        <v>520</v>
      </c>
      <c r="D573" s="123">
        <v>6285.9</v>
      </c>
      <c r="E573" s="123">
        <v>546.04</v>
      </c>
      <c r="F573" s="123">
        <v>1092.08</v>
      </c>
      <c r="G573" s="123">
        <v>1638.12</v>
      </c>
      <c r="H573" s="123">
        <v>2184.16</v>
      </c>
      <c r="I573" s="123">
        <v>2730.2</v>
      </c>
      <c r="J573" s="123">
        <v>3276.23</v>
      </c>
      <c r="K573" s="123">
        <v>3923.15</v>
      </c>
      <c r="L573" s="123">
        <v>4570.07</v>
      </c>
      <c r="M573" s="123">
        <v>5216.99</v>
      </c>
      <c r="N573" s="123">
        <v>5863.91</v>
      </c>
      <c r="O573" s="123">
        <v>6510.83</v>
      </c>
      <c r="P573" s="123">
        <v>7157.76</v>
      </c>
      <c r="Q573" s="123">
        <v>694.56</v>
      </c>
      <c r="R573" s="123">
        <v>1389.12</v>
      </c>
      <c r="S573" s="123">
        <v>2083.6799999999998</v>
      </c>
      <c r="T573" s="123">
        <v>2083.6799999999998</v>
      </c>
      <c r="U573" s="123">
        <v>3472.8</v>
      </c>
      <c r="V573" s="123">
        <v>4167.37</v>
      </c>
      <c r="W573" s="123">
        <v>4852.1400000000003</v>
      </c>
      <c r="X573" s="123">
        <v>5536.91</v>
      </c>
      <c r="Y573" s="123">
        <v>6221.68</v>
      </c>
      <c r="Z573" s="123">
        <v>6906.45</v>
      </c>
      <c r="AA573" s="123">
        <v>6906.45</v>
      </c>
      <c r="AB573" s="123">
        <v>8275.98</v>
      </c>
      <c r="AC573" s="124">
        <v>643.61</v>
      </c>
      <c r="AD573" s="124">
        <v>1287.22</v>
      </c>
      <c r="AE573" s="124">
        <v>1930.83</v>
      </c>
      <c r="AF573" s="124">
        <v>2574.44</v>
      </c>
      <c r="AG573" s="124">
        <v>3218.05</v>
      </c>
      <c r="AH573" s="124">
        <v>3218.05</v>
      </c>
      <c r="AI573" s="124">
        <v>4533.49</v>
      </c>
      <c r="AJ573" s="124">
        <v>5205.34</v>
      </c>
      <c r="AK573" s="124">
        <v>5877.19</v>
      </c>
      <c r="AL573" s="124">
        <v>6549.04</v>
      </c>
      <c r="AM573" s="124">
        <v>8524.73</v>
      </c>
      <c r="AN573" s="124">
        <v>9196.5499999999993</v>
      </c>
      <c r="AO573" s="125">
        <v>818.35</v>
      </c>
      <c r="AP573" s="125">
        <v>1636.7</v>
      </c>
      <c r="AQ573" s="125">
        <v>2455.0500000000002</v>
      </c>
      <c r="AR573" s="125">
        <v>3273.4</v>
      </c>
      <c r="AS573" s="125">
        <v>4091.75</v>
      </c>
      <c r="AT573" s="125">
        <v>4910.12</v>
      </c>
      <c r="AU573" s="125">
        <v>5901.84</v>
      </c>
      <c r="AV573" s="125">
        <v>6893.56</v>
      </c>
      <c r="AW573" s="125">
        <v>7885.28</v>
      </c>
      <c r="AX573" s="125">
        <v>8877</v>
      </c>
      <c r="AY573" s="126"/>
      <c r="AZ573" s="126"/>
      <c r="BA573" s="126"/>
      <c r="BB573" s="126"/>
      <c r="BC573" s="126"/>
      <c r="BD573" s="126"/>
      <c r="BE573" s="126"/>
      <c r="BF573" s="127">
        <v>450415</v>
      </c>
      <c r="BG573" s="97" t="s">
        <v>520</v>
      </c>
      <c r="BH573" s="127">
        <v>3218.05</v>
      </c>
      <c r="BI573" s="127">
        <v>450415</v>
      </c>
      <c r="BJ573" s="97" t="s">
        <v>520</v>
      </c>
      <c r="BK573" s="127">
        <v>4533.49</v>
      </c>
    </row>
    <row r="574" spans="2:63" x14ac:dyDescent="0.25">
      <c r="B574" s="121">
        <v>450420</v>
      </c>
      <c r="C574" s="152" t="s">
        <v>521</v>
      </c>
      <c r="D574" s="123">
        <v>133193.99</v>
      </c>
      <c r="E574" s="123">
        <v>13248.21</v>
      </c>
      <c r="F574" s="123">
        <v>27143.599999999999</v>
      </c>
      <c r="G574" s="123">
        <v>41400.129999999997</v>
      </c>
      <c r="H574" s="123">
        <v>56075.01</v>
      </c>
      <c r="I574" s="123">
        <v>71193.73</v>
      </c>
      <c r="J574" s="123">
        <v>86350.58</v>
      </c>
      <c r="K574" s="123">
        <v>101367.35</v>
      </c>
      <c r="L574" s="123">
        <v>116479.95</v>
      </c>
      <c r="M574" s="123">
        <v>131720.29</v>
      </c>
      <c r="N574" s="123">
        <v>133340.51999999999</v>
      </c>
      <c r="O574" s="123">
        <v>134985.03</v>
      </c>
      <c r="P574" s="123">
        <v>136633.78</v>
      </c>
      <c r="Q574" s="123">
        <v>1676.84</v>
      </c>
      <c r="R574" s="123">
        <v>3322.72</v>
      </c>
      <c r="S574" s="123">
        <v>4950.8500000000004</v>
      </c>
      <c r="T574" s="123">
        <v>6567.32</v>
      </c>
      <c r="U574" s="123">
        <v>8161.01</v>
      </c>
      <c r="V574" s="123">
        <v>9710.57</v>
      </c>
      <c r="W574" s="123">
        <v>11214.98</v>
      </c>
      <c r="X574" s="123">
        <v>12696.86</v>
      </c>
      <c r="Y574" s="123">
        <v>14162.28</v>
      </c>
      <c r="Z574" s="123">
        <v>15595.1</v>
      </c>
      <c r="AA574" s="123">
        <v>17065.419999999998</v>
      </c>
      <c r="AB574" s="123">
        <v>18552.18</v>
      </c>
      <c r="AC574" s="124">
        <v>1481.69</v>
      </c>
      <c r="AD574" s="124">
        <v>2967.85</v>
      </c>
      <c r="AE574" s="124">
        <v>4445.9399999999996</v>
      </c>
      <c r="AF574" s="124">
        <v>5929.56</v>
      </c>
      <c r="AG574" s="124">
        <v>7427.66</v>
      </c>
      <c r="AH574" s="124">
        <v>8972.4</v>
      </c>
      <c r="AI574" s="124">
        <v>10692.67</v>
      </c>
      <c r="AJ574" s="124">
        <v>12202.07</v>
      </c>
      <c r="AK574" s="124">
        <v>13853.39</v>
      </c>
      <c r="AL574" s="124">
        <v>15495.7</v>
      </c>
      <c r="AM574" s="124">
        <v>17188.78</v>
      </c>
      <c r="AN574" s="124">
        <v>18942.330000000002</v>
      </c>
      <c r="AO574" s="125">
        <v>2674.44</v>
      </c>
      <c r="AP574" s="125">
        <v>5480.19</v>
      </c>
      <c r="AQ574" s="125">
        <v>8425.7199999999993</v>
      </c>
      <c r="AR574" s="125">
        <v>11592.35</v>
      </c>
      <c r="AS574" s="125">
        <v>14680.99</v>
      </c>
      <c r="AT574" s="125">
        <v>18004.919999999998</v>
      </c>
      <c r="AU574" s="125">
        <v>21474.71</v>
      </c>
      <c r="AV574" s="125">
        <v>25168.55</v>
      </c>
      <c r="AW574" s="125">
        <v>29048.21</v>
      </c>
      <c r="AX574" s="125">
        <v>33048.82</v>
      </c>
      <c r="AY574" s="126"/>
      <c r="AZ574" s="126"/>
      <c r="BA574" s="126"/>
      <c r="BB574" s="126"/>
      <c r="BC574" s="126"/>
      <c r="BD574" s="126"/>
      <c r="BE574" s="126"/>
      <c r="BF574" s="127">
        <v>450420</v>
      </c>
      <c r="BG574" s="97" t="s">
        <v>521</v>
      </c>
      <c r="BH574" s="127">
        <v>8972.4</v>
      </c>
      <c r="BI574" s="127">
        <v>450420</v>
      </c>
      <c r="BJ574" s="97" t="s">
        <v>521</v>
      </c>
      <c r="BK574" s="127">
        <v>10692.67</v>
      </c>
    </row>
    <row r="575" spans="2:63" x14ac:dyDescent="0.25">
      <c r="B575" s="121">
        <v>450421</v>
      </c>
      <c r="C575" s="152" t="s">
        <v>522</v>
      </c>
      <c r="D575" s="155"/>
      <c r="E575" s="156">
        <v>1104.02</v>
      </c>
      <c r="F575" s="156">
        <v>2261.9699999999998</v>
      </c>
      <c r="G575" s="156">
        <v>3450.01</v>
      </c>
      <c r="H575" s="156">
        <v>4672.92</v>
      </c>
      <c r="I575" s="156">
        <v>5932.81</v>
      </c>
      <c r="J575" s="156">
        <v>7195.88</v>
      </c>
      <c r="K575" s="156">
        <v>8447.2800000000007</v>
      </c>
      <c r="L575" s="156">
        <v>9706.66</v>
      </c>
      <c r="M575" s="156">
        <v>10976.69</v>
      </c>
      <c r="N575" s="156">
        <v>12326.88</v>
      </c>
      <c r="O575" s="156">
        <v>13697.3</v>
      </c>
      <c r="P575" s="156">
        <v>15071.26</v>
      </c>
      <c r="Q575" s="156">
        <v>1397.36</v>
      </c>
      <c r="R575" s="156">
        <v>2768.93</v>
      </c>
      <c r="S575" s="156">
        <v>4125.71</v>
      </c>
      <c r="T575" s="156">
        <v>5472.67</v>
      </c>
      <c r="U575" s="156">
        <v>6800.83</v>
      </c>
      <c r="V575" s="156">
        <v>8092.12</v>
      </c>
      <c r="W575" s="156">
        <v>9345.7999999999993</v>
      </c>
      <c r="X575" s="156">
        <v>10580.71</v>
      </c>
      <c r="Y575" s="156">
        <v>11801.91</v>
      </c>
      <c r="Z575" s="156">
        <v>12995.93</v>
      </c>
      <c r="AA575" s="156">
        <v>14221.19</v>
      </c>
      <c r="AB575" s="156">
        <v>15460.16</v>
      </c>
      <c r="AC575" s="124">
        <v>987.78</v>
      </c>
      <c r="AD575" s="124">
        <v>1978.56</v>
      </c>
      <c r="AE575" s="124">
        <v>2963.96</v>
      </c>
      <c r="AF575" s="124">
        <v>3953.05</v>
      </c>
      <c r="AG575" s="124">
        <v>5201.47</v>
      </c>
      <c r="AH575" s="124">
        <v>6488.75</v>
      </c>
      <c r="AI575" s="124">
        <v>7922.32</v>
      </c>
      <c r="AJ575" s="124">
        <v>8677.0300000000007</v>
      </c>
      <c r="AK575" s="124">
        <v>9502.69</v>
      </c>
      <c r="AL575" s="124">
        <v>10323.85</v>
      </c>
      <c r="AM575" s="124">
        <v>11170.39</v>
      </c>
      <c r="AN575" s="124">
        <v>12047.17</v>
      </c>
      <c r="AO575" s="125">
        <v>891.47</v>
      </c>
      <c r="AP575" s="125">
        <v>1826.72</v>
      </c>
      <c r="AQ575" s="125">
        <v>2808.55</v>
      </c>
      <c r="AR575" s="125">
        <v>3864.09</v>
      </c>
      <c r="AS575" s="125">
        <v>4893.63</v>
      </c>
      <c r="AT575" s="125">
        <v>6001.61</v>
      </c>
      <c r="AU575" s="125">
        <v>7158.2</v>
      </c>
      <c r="AV575" s="125">
        <v>8389.49</v>
      </c>
      <c r="AW575" s="125">
        <v>9682.7000000000007</v>
      </c>
      <c r="AX575" s="125">
        <v>11016.23</v>
      </c>
      <c r="AY575" s="126"/>
      <c r="AZ575" s="126"/>
      <c r="BA575" s="126"/>
      <c r="BB575" s="126"/>
      <c r="BC575" s="126"/>
      <c r="BD575" s="126"/>
      <c r="BE575" s="126"/>
      <c r="BF575" s="127">
        <v>450421</v>
      </c>
      <c r="BG575" s="97" t="s">
        <v>522</v>
      </c>
      <c r="BH575" s="127">
        <v>6488.75</v>
      </c>
      <c r="BI575" s="127">
        <v>450421</v>
      </c>
      <c r="BJ575" s="97" t="s">
        <v>522</v>
      </c>
      <c r="BK575" s="127">
        <v>7922.32</v>
      </c>
    </row>
    <row r="576" spans="2:63" x14ac:dyDescent="0.25">
      <c r="B576" s="121">
        <v>450430</v>
      </c>
      <c r="C576" s="152" t="s">
        <v>523</v>
      </c>
      <c r="D576" s="123">
        <v>6369.55</v>
      </c>
      <c r="E576" s="128"/>
      <c r="F576" s="123">
        <v>15.59</v>
      </c>
      <c r="G576" s="123">
        <v>15.59</v>
      </c>
      <c r="H576" s="123">
        <v>16.37</v>
      </c>
      <c r="I576" s="123">
        <v>16.37</v>
      </c>
      <c r="J576" s="123">
        <v>16.37</v>
      </c>
      <c r="K576" s="123">
        <v>16.37</v>
      </c>
      <c r="L576" s="123">
        <v>16.37</v>
      </c>
      <c r="M576" s="123">
        <v>16.37</v>
      </c>
      <c r="N576" s="123">
        <v>16.37</v>
      </c>
      <c r="O576" s="123">
        <v>16.37</v>
      </c>
      <c r="P576" s="123">
        <v>16.37</v>
      </c>
      <c r="Q576" s="123">
        <v>449.7</v>
      </c>
      <c r="R576" s="123">
        <v>532.95000000000005</v>
      </c>
      <c r="S576" s="123">
        <v>532.95000000000005</v>
      </c>
      <c r="T576" s="123">
        <v>532.95000000000005</v>
      </c>
      <c r="U576" s="123">
        <v>532.95000000000005</v>
      </c>
      <c r="V576" s="123">
        <v>735.33</v>
      </c>
      <c r="W576" s="123">
        <v>747.47</v>
      </c>
      <c r="X576" s="123">
        <v>751.86</v>
      </c>
      <c r="Y576" s="123">
        <v>764.09</v>
      </c>
      <c r="Z576" s="123">
        <v>847.56</v>
      </c>
      <c r="AA576" s="123">
        <v>847.56</v>
      </c>
      <c r="AB576" s="123">
        <v>847.56</v>
      </c>
      <c r="AC576" s="129"/>
      <c r="AD576" s="129"/>
      <c r="AE576" s="129"/>
      <c r="AF576" s="124">
        <v>2.08</v>
      </c>
      <c r="AG576" s="124">
        <v>2.08</v>
      </c>
      <c r="AH576" s="124">
        <v>2.08</v>
      </c>
      <c r="AI576" s="124">
        <v>2.08</v>
      </c>
      <c r="AJ576" s="124">
        <v>13502.08</v>
      </c>
      <c r="AK576" s="124">
        <v>13502.08</v>
      </c>
      <c r="AL576" s="124">
        <v>13502.08</v>
      </c>
      <c r="AM576" s="124">
        <v>13502.08</v>
      </c>
      <c r="AN576" s="124">
        <v>13502.08</v>
      </c>
      <c r="AO576" s="125">
        <v>13800</v>
      </c>
      <c r="AP576" s="125">
        <v>27600</v>
      </c>
      <c r="AQ576" s="125">
        <v>27600</v>
      </c>
      <c r="AR576" s="125">
        <v>27600</v>
      </c>
      <c r="AS576" s="125">
        <v>27613.26</v>
      </c>
      <c r="AT576" s="125">
        <v>27613.26</v>
      </c>
      <c r="AU576" s="125">
        <v>27613.26</v>
      </c>
      <c r="AV576" s="125">
        <v>27632.89</v>
      </c>
      <c r="AW576" s="125">
        <v>37696.26</v>
      </c>
      <c r="AX576" s="125">
        <v>47800.2</v>
      </c>
      <c r="AY576" s="126"/>
      <c r="AZ576" s="126"/>
      <c r="BA576" s="126"/>
      <c r="BB576" s="126"/>
      <c r="BC576" s="126"/>
      <c r="BD576" s="126"/>
      <c r="BE576" s="126"/>
      <c r="BF576" s="127">
        <v>450430</v>
      </c>
      <c r="BG576" s="97" t="s">
        <v>523</v>
      </c>
      <c r="BH576" s="127">
        <v>2.08</v>
      </c>
      <c r="BI576" s="127">
        <v>450430</v>
      </c>
      <c r="BJ576" s="97" t="s">
        <v>523</v>
      </c>
      <c r="BK576" s="127">
        <v>2.08</v>
      </c>
    </row>
    <row r="577" spans="1:63" x14ac:dyDescent="0.25">
      <c r="B577" s="121">
        <v>450490</v>
      </c>
      <c r="C577" s="152" t="s">
        <v>524</v>
      </c>
      <c r="D577" s="123">
        <v>5015.21</v>
      </c>
      <c r="E577" s="123">
        <v>69.349999999999994</v>
      </c>
      <c r="F577" s="123">
        <v>104.26</v>
      </c>
      <c r="G577" s="123">
        <v>139.16999999999999</v>
      </c>
      <c r="H577" s="123">
        <v>174.08</v>
      </c>
      <c r="I577" s="123">
        <v>208.99</v>
      </c>
      <c r="J577" s="123">
        <v>243.9</v>
      </c>
      <c r="K577" s="123">
        <v>243.9</v>
      </c>
      <c r="L577" s="123">
        <v>278.81</v>
      </c>
      <c r="M577" s="123">
        <v>1148.8399999999999</v>
      </c>
      <c r="N577" s="123">
        <v>1348.75</v>
      </c>
      <c r="O577" s="123">
        <v>1400.83</v>
      </c>
      <c r="P577" s="123">
        <v>1422.63</v>
      </c>
      <c r="Q577" s="123">
        <v>21.84</v>
      </c>
      <c r="R577" s="123">
        <v>43.79</v>
      </c>
      <c r="S577" s="123">
        <v>65.77</v>
      </c>
      <c r="T577" s="123">
        <v>87.75</v>
      </c>
      <c r="U577" s="123">
        <v>109.73</v>
      </c>
      <c r="V577" s="123">
        <v>2164.13</v>
      </c>
      <c r="W577" s="123">
        <v>2186.11</v>
      </c>
      <c r="X577" s="123">
        <v>11091.14</v>
      </c>
      <c r="Y577" s="123">
        <v>11113.12</v>
      </c>
      <c r="Z577" s="123">
        <v>11135.1</v>
      </c>
      <c r="AA577" s="123">
        <v>11809.87</v>
      </c>
      <c r="AB577" s="123">
        <v>13964.39</v>
      </c>
      <c r="AC577" s="124">
        <v>673.89</v>
      </c>
      <c r="AD577" s="124">
        <v>696.08</v>
      </c>
      <c r="AE577" s="124">
        <v>718.27</v>
      </c>
      <c r="AF577" s="124">
        <v>1671.46</v>
      </c>
      <c r="AG577" s="124">
        <v>2224.6</v>
      </c>
      <c r="AH577" s="124">
        <v>2246.79</v>
      </c>
      <c r="AI577" s="124">
        <v>3199.98</v>
      </c>
      <c r="AJ577" s="124">
        <v>3222.17</v>
      </c>
      <c r="AK577" s="124">
        <v>3244.36</v>
      </c>
      <c r="AL577" s="124">
        <v>4247.55</v>
      </c>
      <c r="AM577" s="124">
        <v>4269.74</v>
      </c>
      <c r="AN577" s="124">
        <v>5272.93</v>
      </c>
      <c r="AO577" s="125">
        <v>22.19</v>
      </c>
      <c r="AP577" s="125">
        <v>27182.83</v>
      </c>
      <c r="AQ577" s="125">
        <v>28184.52</v>
      </c>
      <c r="AR577" s="125">
        <v>28206.71</v>
      </c>
      <c r="AS577" s="125">
        <v>28228.9</v>
      </c>
      <c r="AT577" s="125">
        <v>32230.59</v>
      </c>
      <c r="AU577" s="125">
        <v>32252.78</v>
      </c>
      <c r="AV577" s="125">
        <v>32274.97</v>
      </c>
      <c r="AW577" s="125">
        <v>33539.160000000003</v>
      </c>
      <c r="AX577" s="125">
        <v>33561.35</v>
      </c>
      <c r="AY577" s="126"/>
      <c r="AZ577" s="126"/>
      <c r="BA577" s="126"/>
      <c r="BB577" s="126"/>
      <c r="BC577" s="126"/>
      <c r="BD577" s="126"/>
      <c r="BE577" s="126"/>
      <c r="BF577" s="127">
        <v>450490</v>
      </c>
      <c r="BG577" s="97" t="s">
        <v>524</v>
      </c>
      <c r="BH577" s="127">
        <v>2246.79</v>
      </c>
      <c r="BI577" s="127">
        <v>450490</v>
      </c>
      <c r="BJ577" s="97" t="s">
        <v>524</v>
      </c>
      <c r="BK577" s="127">
        <v>3199.98</v>
      </c>
    </row>
    <row r="578" spans="1:63" x14ac:dyDescent="0.25">
      <c r="B578" s="121">
        <v>45049005</v>
      </c>
      <c r="C578" s="152" t="s">
        <v>525</v>
      </c>
      <c r="D578" s="123">
        <v>384.74</v>
      </c>
      <c r="E578" s="123">
        <v>34.909999999999997</v>
      </c>
      <c r="F578" s="123">
        <v>69.819999999999993</v>
      </c>
      <c r="G578" s="123">
        <v>104.73</v>
      </c>
      <c r="H578" s="123">
        <v>139.63999999999999</v>
      </c>
      <c r="I578" s="123">
        <v>174.55</v>
      </c>
      <c r="J578" s="123">
        <v>209.46</v>
      </c>
      <c r="K578" s="123">
        <v>209.46</v>
      </c>
      <c r="L578" s="123">
        <v>244.37</v>
      </c>
      <c r="M578" s="123">
        <v>279.27999999999997</v>
      </c>
      <c r="N578" s="123">
        <v>314.19</v>
      </c>
      <c r="O578" s="123">
        <v>366.27</v>
      </c>
      <c r="P578" s="123">
        <v>388.07</v>
      </c>
      <c r="Q578" s="123">
        <v>21.84</v>
      </c>
      <c r="R578" s="123">
        <v>43.79</v>
      </c>
      <c r="S578" s="123">
        <v>65.77</v>
      </c>
      <c r="T578" s="123">
        <v>87.75</v>
      </c>
      <c r="U578" s="123">
        <v>109.73</v>
      </c>
      <c r="V578" s="123">
        <v>131.71</v>
      </c>
      <c r="W578" s="123">
        <v>153.69</v>
      </c>
      <c r="X578" s="123">
        <v>175.67</v>
      </c>
      <c r="Y578" s="123">
        <v>197.65</v>
      </c>
      <c r="Z578" s="123">
        <v>219.63</v>
      </c>
      <c r="AA578" s="123">
        <v>241.65</v>
      </c>
      <c r="AB578" s="123">
        <v>263.83999999999997</v>
      </c>
      <c r="AC578" s="124">
        <v>22.19</v>
      </c>
      <c r="AD578" s="124">
        <v>44.38</v>
      </c>
      <c r="AE578" s="124">
        <v>66.569999999999993</v>
      </c>
      <c r="AF578" s="124">
        <v>88.76</v>
      </c>
      <c r="AG578" s="124">
        <v>110.95</v>
      </c>
      <c r="AH578" s="124">
        <v>133.13999999999999</v>
      </c>
      <c r="AI578" s="124">
        <v>155.33000000000001</v>
      </c>
      <c r="AJ578" s="124">
        <v>177.52</v>
      </c>
      <c r="AK578" s="124">
        <v>199.71</v>
      </c>
      <c r="AL578" s="124">
        <v>221.9</v>
      </c>
      <c r="AM578" s="124">
        <v>244.09</v>
      </c>
      <c r="AN578" s="124">
        <v>266.27999999999997</v>
      </c>
      <c r="AO578" s="125">
        <v>22.19</v>
      </c>
      <c r="AP578" s="125">
        <v>44.38</v>
      </c>
      <c r="AQ578" s="125">
        <v>66.569999999999993</v>
      </c>
      <c r="AR578" s="125">
        <v>88.76</v>
      </c>
      <c r="AS578" s="125">
        <v>110.95</v>
      </c>
      <c r="AT578" s="125">
        <v>133.13999999999999</v>
      </c>
      <c r="AU578" s="125">
        <v>155.33000000000001</v>
      </c>
      <c r="AV578" s="125">
        <v>177.52</v>
      </c>
      <c r="AW578" s="125">
        <v>199.71</v>
      </c>
      <c r="AX578" s="125">
        <v>221.9</v>
      </c>
      <c r="AY578" s="126"/>
      <c r="AZ578" s="126"/>
      <c r="BA578" s="126"/>
      <c r="BB578" s="126"/>
      <c r="BC578" s="126"/>
      <c r="BD578" s="126"/>
      <c r="BE578" s="126"/>
      <c r="BF578" s="127">
        <v>45049005</v>
      </c>
      <c r="BG578" s="97" t="s">
        <v>525</v>
      </c>
      <c r="BH578" s="127">
        <v>133.13999999999999</v>
      </c>
      <c r="BI578" s="127">
        <v>45049005</v>
      </c>
      <c r="BJ578" s="97" t="s">
        <v>525</v>
      </c>
      <c r="BK578" s="127">
        <v>155.33000000000001</v>
      </c>
    </row>
    <row r="579" spans="1:63" x14ac:dyDescent="0.25">
      <c r="B579" s="121">
        <v>45049010</v>
      </c>
      <c r="C579" s="152" t="s">
        <v>526</v>
      </c>
      <c r="D579" s="123">
        <v>4630.47</v>
      </c>
      <c r="E579" s="123">
        <v>34.44</v>
      </c>
      <c r="F579" s="123">
        <v>34.44</v>
      </c>
      <c r="G579" s="123">
        <v>34.44</v>
      </c>
      <c r="H579" s="123">
        <v>34.44</v>
      </c>
      <c r="I579" s="123">
        <v>34.44</v>
      </c>
      <c r="J579" s="123">
        <v>34.44</v>
      </c>
      <c r="K579" s="123">
        <v>34.44</v>
      </c>
      <c r="L579" s="123">
        <v>34.44</v>
      </c>
      <c r="M579" s="123">
        <v>869.56</v>
      </c>
      <c r="N579" s="123">
        <v>1034.56</v>
      </c>
      <c r="O579" s="123">
        <v>1034.56</v>
      </c>
      <c r="P579" s="123">
        <v>1034.56</v>
      </c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  <c r="AA579" s="123">
        <v>652.75</v>
      </c>
      <c r="AB579" s="123">
        <v>652.75</v>
      </c>
      <c r="AC579" s="124">
        <v>651.70000000000005</v>
      </c>
      <c r="AD579" s="124">
        <v>651.70000000000005</v>
      </c>
      <c r="AE579" s="124">
        <v>651.70000000000005</v>
      </c>
      <c r="AF579" s="124">
        <v>1582.7</v>
      </c>
      <c r="AG579" s="124">
        <v>1582.7</v>
      </c>
      <c r="AH579" s="124">
        <v>1582.7</v>
      </c>
      <c r="AI579" s="124">
        <v>2513.6999999999998</v>
      </c>
      <c r="AJ579" s="124">
        <v>2513.6999999999998</v>
      </c>
      <c r="AK579" s="124">
        <v>2513.6999999999998</v>
      </c>
      <c r="AL579" s="124">
        <v>3494.7</v>
      </c>
      <c r="AM579" s="124">
        <v>3494.7</v>
      </c>
      <c r="AN579" s="124">
        <v>4475.7</v>
      </c>
      <c r="AO579" s="125">
        <v>0</v>
      </c>
      <c r="AP579" s="125">
        <v>0</v>
      </c>
      <c r="AQ579" s="125">
        <v>0</v>
      </c>
      <c r="AR579" s="125">
        <v>0</v>
      </c>
      <c r="AS579" s="125">
        <v>0</v>
      </c>
      <c r="AT579" s="125">
        <v>0</v>
      </c>
      <c r="AU579" s="125">
        <v>0</v>
      </c>
      <c r="AV579" s="125">
        <v>0</v>
      </c>
      <c r="AW579" s="125">
        <v>0</v>
      </c>
      <c r="AX579" s="125">
        <v>0</v>
      </c>
      <c r="AY579" s="126"/>
      <c r="AZ579" s="126"/>
      <c r="BA579" s="126"/>
      <c r="BB579" s="126"/>
      <c r="BC579" s="126"/>
      <c r="BD579" s="126"/>
      <c r="BE579" s="126"/>
      <c r="BF579" s="127">
        <v>45049010</v>
      </c>
      <c r="BG579" s="97" t="s">
        <v>526</v>
      </c>
      <c r="BH579" s="127">
        <v>1582.7</v>
      </c>
      <c r="BI579" s="127">
        <v>45049010</v>
      </c>
      <c r="BJ579" s="97" t="s">
        <v>526</v>
      </c>
      <c r="BK579" s="127">
        <v>2513.6999999999998</v>
      </c>
    </row>
    <row r="580" spans="1:63" x14ac:dyDescent="0.25">
      <c r="B580" s="121">
        <v>45049015</v>
      </c>
      <c r="C580" s="152" t="s">
        <v>526</v>
      </c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  <c r="AA580" s="128"/>
      <c r="AB580" s="128"/>
      <c r="AC580" s="129"/>
      <c r="AD580" s="129"/>
      <c r="AE580" s="129"/>
      <c r="AF580" s="129"/>
      <c r="AG580" s="129"/>
      <c r="AH580" s="129"/>
      <c r="AI580" s="129"/>
      <c r="AJ580" s="124">
        <v>0</v>
      </c>
      <c r="AK580" s="124">
        <v>0</v>
      </c>
      <c r="AL580" s="124">
        <v>0</v>
      </c>
      <c r="AM580" s="124">
        <v>0</v>
      </c>
      <c r="AN580" s="124">
        <v>0</v>
      </c>
      <c r="AO580" s="125">
        <v>0</v>
      </c>
      <c r="AP580" s="125">
        <v>0</v>
      </c>
      <c r="AQ580" s="125">
        <v>0</v>
      </c>
      <c r="AR580" s="125">
        <v>0</v>
      </c>
      <c r="AS580" s="125">
        <v>0</v>
      </c>
      <c r="AT580" s="125">
        <v>0</v>
      </c>
      <c r="AU580" s="125">
        <v>0</v>
      </c>
      <c r="AV580" s="125">
        <v>0</v>
      </c>
      <c r="AW580" s="125">
        <v>0</v>
      </c>
      <c r="AX580" s="125">
        <v>0</v>
      </c>
      <c r="AY580" s="126"/>
      <c r="AZ580" s="126"/>
      <c r="BA580" s="126"/>
      <c r="BB580" s="126"/>
      <c r="BC580" s="126"/>
      <c r="BD580" s="126"/>
      <c r="BE580" s="126"/>
    </row>
    <row r="581" spans="1:63" x14ac:dyDescent="0.25">
      <c r="B581" s="121">
        <v>45049040</v>
      </c>
      <c r="C581" s="152" t="s">
        <v>527</v>
      </c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3">
        <v>2032.42</v>
      </c>
      <c r="W581" s="123">
        <v>2032.42</v>
      </c>
      <c r="X581" s="123">
        <v>10915.47</v>
      </c>
      <c r="Y581" s="123">
        <v>10915.47</v>
      </c>
      <c r="Z581" s="123">
        <v>10915.47</v>
      </c>
      <c r="AA581" s="123">
        <v>10915.47</v>
      </c>
      <c r="AB581" s="123">
        <v>13047.8</v>
      </c>
      <c r="AC581" s="129"/>
      <c r="AD581" s="129"/>
      <c r="AE581" s="129"/>
      <c r="AF581" s="129"/>
      <c r="AG581" s="124">
        <v>530.95000000000005</v>
      </c>
      <c r="AH581" s="124">
        <v>530.95000000000005</v>
      </c>
      <c r="AI581" s="124">
        <v>530.95000000000005</v>
      </c>
      <c r="AJ581" s="124">
        <v>530.95000000000005</v>
      </c>
      <c r="AK581" s="124">
        <v>530.95000000000005</v>
      </c>
      <c r="AL581" s="124">
        <v>530.95000000000005</v>
      </c>
      <c r="AM581" s="124">
        <v>530.95000000000005</v>
      </c>
      <c r="AN581" s="124">
        <v>530.95000000000005</v>
      </c>
      <c r="AO581" s="125">
        <v>0</v>
      </c>
      <c r="AP581" s="125">
        <v>0</v>
      </c>
      <c r="AQ581" s="125">
        <v>0</v>
      </c>
      <c r="AR581" s="125">
        <v>0</v>
      </c>
      <c r="AS581" s="125">
        <v>0</v>
      </c>
      <c r="AT581" s="125">
        <v>0</v>
      </c>
      <c r="AU581" s="125">
        <v>0</v>
      </c>
      <c r="AV581" s="125">
        <v>0</v>
      </c>
      <c r="AW581" s="125">
        <v>0</v>
      </c>
      <c r="AX581" s="125">
        <v>0</v>
      </c>
      <c r="AY581" s="126"/>
      <c r="AZ581" s="126"/>
      <c r="BA581" s="126"/>
      <c r="BB581" s="126"/>
      <c r="BC581" s="126"/>
      <c r="BD581" s="126"/>
      <c r="BE581" s="126"/>
      <c r="BF581" s="127">
        <v>45049040</v>
      </c>
      <c r="BG581" s="97" t="s">
        <v>527</v>
      </c>
      <c r="BH581" s="127">
        <v>530.95000000000005</v>
      </c>
      <c r="BI581" s="127">
        <v>45049040</v>
      </c>
      <c r="BJ581" s="97" t="s">
        <v>527</v>
      </c>
      <c r="BK581" s="127">
        <v>530.95000000000005</v>
      </c>
    </row>
    <row r="582" spans="1:63" x14ac:dyDescent="0.25">
      <c r="B582" s="121">
        <v>4505</v>
      </c>
      <c r="C582" s="152" t="s">
        <v>528</v>
      </c>
      <c r="D582" s="123">
        <v>208582.89</v>
      </c>
      <c r="E582" s="123">
        <v>17370.37</v>
      </c>
      <c r="F582" s="123">
        <v>32311.52</v>
      </c>
      <c r="G582" s="123">
        <v>50087.72</v>
      </c>
      <c r="H582" s="123">
        <v>67265.570000000007</v>
      </c>
      <c r="I582" s="123">
        <v>84977.61</v>
      </c>
      <c r="J582" s="123">
        <v>102109.43</v>
      </c>
      <c r="K582" s="123">
        <v>119645.64</v>
      </c>
      <c r="L582" s="123">
        <v>137175.04999999999</v>
      </c>
      <c r="M582" s="123">
        <v>153959.44</v>
      </c>
      <c r="N582" s="123">
        <v>171173.59</v>
      </c>
      <c r="O582" s="123">
        <v>187858.4</v>
      </c>
      <c r="P582" s="123">
        <v>177699.89</v>
      </c>
      <c r="Q582" s="123">
        <v>14172.71</v>
      </c>
      <c r="R582" s="123">
        <v>26787.91</v>
      </c>
      <c r="S582" s="123">
        <v>40526.300000000003</v>
      </c>
      <c r="T582" s="123">
        <v>53820.59</v>
      </c>
      <c r="U582" s="123">
        <v>67820.12</v>
      </c>
      <c r="V582" s="123">
        <v>81177.179999999993</v>
      </c>
      <c r="W582" s="123">
        <v>94975.45</v>
      </c>
      <c r="X582" s="123">
        <v>108753.53</v>
      </c>
      <c r="Y582" s="123">
        <v>122059.27</v>
      </c>
      <c r="Z582" s="123">
        <v>135808.32999999999</v>
      </c>
      <c r="AA582" s="123">
        <v>149108.73000000001</v>
      </c>
      <c r="AB582" s="123">
        <v>162854.26</v>
      </c>
      <c r="AC582" s="124">
        <v>13737.75</v>
      </c>
      <c r="AD582" s="124">
        <v>26510.2</v>
      </c>
      <c r="AE582" s="124">
        <v>40091.9</v>
      </c>
      <c r="AF582" s="124">
        <v>53217.62</v>
      </c>
      <c r="AG582" s="124">
        <v>66423.12</v>
      </c>
      <c r="AH582" s="124">
        <v>79835.89</v>
      </c>
      <c r="AI582" s="124">
        <v>93062.88</v>
      </c>
      <c r="AJ582" s="124">
        <v>106209.76</v>
      </c>
      <c r="AK582" s="124">
        <v>119099.73</v>
      </c>
      <c r="AL582" s="124">
        <v>132441.92000000001</v>
      </c>
      <c r="AM582" s="124">
        <v>144161.85</v>
      </c>
      <c r="AN582" s="124">
        <v>157630.07</v>
      </c>
      <c r="AO582" s="125">
        <v>13465.72</v>
      </c>
      <c r="AP582" s="125">
        <v>26112.2</v>
      </c>
      <c r="AQ582" s="125">
        <v>40784.32</v>
      </c>
      <c r="AR582" s="125">
        <v>55155.77</v>
      </c>
      <c r="AS582" s="125">
        <v>69954.33</v>
      </c>
      <c r="AT582" s="125">
        <v>84215.41</v>
      </c>
      <c r="AU582" s="125">
        <v>98943.2</v>
      </c>
      <c r="AV582" s="125">
        <v>113698.35</v>
      </c>
      <c r="AW582" s="125">
        <v>127977.46</v>
      </c>
      <c r="AX582" s="125">
        <v>142844.68</v>
      </c>
      <c r="AY582" s="126"/>
      <c r="AZ582" s="126"/>
      <c r="BA582" s="126"/>
      <c r="BB582" s="126"/>
      <c r="BC582" s="126"/>
      <c r="BD582" s="126"/>
      <c r="BE582" s="126"/>
      <c r="BF582" s="127">
        <v>4505</v>
      </c>
      <c r="BG582" s="97" t="s">
        <v>528</v>
      </c>
      <c r="BH582" s="127">
        <v>79835.89</v>
      </c>
      <c r="BI582" s="127">
        <v>4505</v>
      </c>
      <c r="BJ582" s="97" t="s">
        <v>528</v>
      </c>
      <c r="BK582" s="127">
        <v>93062.88</v>
      </c>
    </row>
    <row r="583" spans="1:63" x14ac:dyDescent="0.25">
      <c r="B583" s="121">
        <v>450515</v>
      </c>
      <c r="C583" s="152" t="s">
        <v>243</v>
      </c>
      <c r="D583" s="123">
        <v>142704</v>
      </c>
      <c r="E583" s="123">
        <v>12321.1</v>
      </c>
      <c r="F583" s="123">
        <v>22712.94</v>
      </c>
      <c r="G583" s="123">
        <v>35405.370000000003</v>
      </c>
      <c r="H583" s="123">
        <v>47688.38</v>
      </c>
      <c r="I583" s="123">
        <v>60380.82</v>
      </c>
      <c r="J583" s="123">
        <v>72663.820000000007</v>
      </c>
      <c r="K583" s="123">
        <v>85356.28</v>
      </c>
      <c r="L583" s="123">
        <v>98048.71</v>
      </c>
      <c r="M583" s="123">
        <v>110331.72</v>
      </c>
      <c r="N583" s="123">
        <v>123024.16</v>
      </c>
      <c r="O583" s="123">
        <v>135307.17000000001</v>
      </c>
      <c r="P583" s="123">
        <v>120788.61</v>
      </c>
      <c r="Q583" s="123">
        <v>12366.01</v>
      </c>
      <c r="R583" s="123">
        <v>23535.32</v>
      </c>
      <c r="S583" s="123">
        <v>35901.33</v>
      </c>
      <c r="T583" s="123">
        <v>47868.46</v>
      </c>
      <c r="U583" s="123">
        <v>60234.47</v>
      </c>
      <c r="V583" s="123">
        <v>72201.58</v>
      </c>
      <c r="W583" s="123">
        <v>84567.59</v>
      </c>
      <c r="X583" s="123">
        <v>96933.61</v>
      </c>
      <c r="Y583" s="123">
        <v>108900.73</v>
      </c>
      <c r="Z583" s="123">
        <v>121266.74</v>
      </c>
      <c r="AA583" s="123">
        <v>133233.85</v>
      </c>
      <c r="AB583" s="123">
        <v>145599.85999999999</v>
      </c>
      <c r="AC583" s="124">
        <v>12366.04</v>
      </c>
      <c r="AD583" s="124">
        <v>23934.23</v>
      </c>
      <c r="AE583" s="124">
        <v>36300.25</v>
      </c>
      <c r="AF583" s="124">
        <v>48267.38</v>
      </c>
      <c r="AG583" s="124">
        <v>60264.53</v>
      </c>
      <c r="AH583" s="124">
        <v>72600.490000000005</v>
      </c>
      <c r="AI583" s="124">
        <v>84966.51</v>
      </c>
      <c r="AJ583" s="124">
        <v>97332.54</v>
      </c>
      <c r="AK583" s="124">
        <v>109299.64</v>
      </c>
      <c r="AL583" s="124">
        <v>121665.66</v>
      </c>
      <c r="AM583" s="124">
        <v>132328.93</v>
      </c>
      <c r="AN583" s="124">
        <v>144694.95000000001</v>
      </c>
      <c r="AO583" s="125">
        <v>12366.02</v>
      </c>
      <c r="AP583" s="125">
        <v>23535.33</v>
      </c>
      <c r="AQ583" s="125">
        <v>35901.339999999997</v>
      </c>
      <c r="AR583" s="125">
        <v>47868.44</v>
      </c>
      <c r="AS583" s="125">
        <v>60234.47</v>
      </c>
      <c r="AT583" s="125">
        <v>72201.59</v>
      </c>
      <c r="AU583" s="125">
        <v>84567.6</v>
      </c>
      <c r="AV583" s="125">
        <v>96933.61</v>
      </c>
      <c r="AW583" s="125">
        <v>108900.72</v>
      </c>
      <c r="AX583" s="125">
        <v>121266.75</v>
      </c>
      <c r="AY583" s="126"/>
      <c r="AZ583" s="126"/>
      <c r="BA583" s="126"/>
      <c r="BB583" s="126"/>
      <c r="BC583" s="126"/>
      <c r="BD583" s="126"/>
      <c r="BE583" s="126"/>
      <c r="BF583" s="127">
        <v>450515</v>
      </c>
      <c r="BG583" s="97" t="s">
        <v>243</v>
      </c>
      <c r="BH583" s="127">
        <v>72600.490000000005</v>
      </c>
      <c r="BI583" s="127">
        <v>450515</v>
      </c>
      <c r="BJ583" s="97" t="s">
        <v>243</v>
      </c>
      <c r="BK583" s="127">
        <v>84966.51</v>
      </c>
    </row>
    <row r="584" spans="1:63" x14ac:dyDescent="0.25">
      <c r="B584" s="121">
        <v>450525</v>
      </c>
      <c r="C584" s="152" t="s">
        <v>244</v>
      </c>
      <c r="D584" s="123">
        <v>54112.98</v>
      </c>
      <c r="E584" s="123">
        <v>4049.98</v>
      </c>
      <c r="F584" s="123">
        <v>7654.24</v>
      </c>
      <c r="G584" s="123">
        <v>11689.97</v>
      </c>
      <c r="H584" s="123">
        <v>15583.45</v>
      </c>
      <c r="I584" s="123">
        <v>19583.32</v>
      </c>
      <c r="J584" s="123">
        <v>23441.02</v>
      </c>
      <c r="K584" s="123">
        <v>27417.71</v>
      </c>
      <c r="L584" s="123">
        <v>31387.63</v>
      </c>
      <c r="M584" s="123">
        <v>35178.370000000003</v>
      </c>
      <c r="N584" s="123">
        <v>39040.949999999997</v>
      </c>
      <c r="O584" s="123">
        <v>42768.47</v>
      </c>
      <c r="P584" s="123">
        <v>46430.47</v>
      </c>
      <c r="Q584" s="123">
        <v>1205.1300000000001</v>
      </c>
      <c r="R584" s="123">
        <v>2291.65</v>
      </c>
      <c r="S584" s="123">
        <v>3491.72</v>
      </c>
      <c r="T584" s="123">
        <v>4652.13</v>
      </c>
      <c r="U584" s="123">
        <v>5848.83</v>
      </c>
      <c r="V584" s="123">
        <v>6998.39</v>
      </c>
      <c r="W584" s="123">
        <v>8157</v>
      </c>
      <c r="X584" s="123">
        <v>9289.36</v>
      </c>
      <c r="Y584" s="123">
        <v>10357.290000000001</v>
      </c>
      <c r="Z584" s="123">
        <v>11460.64</v>
      </c>
      <c r="AA584" s="123">
        <v>12523.24</v>
      </c>
      <c r="AB584" s="123">
        <v>13623.06</v>
      </c>
      <c r="AC584" s="124">
        <v>1092</v>
      </c>
      <c r="AD584" s="124">
        <v>2034.6</v>
      </c>
      <c r="AE584" s="124">
        <v>2970.57</v>
      </c>
      <c r="AF584" s="124">
        <v>3858.48</v>
      </c>
      <c r="AG584" s="124">
        <v>4771.76</v>
      </c>
      <c r="AH584" s="124">
        <v>5544.96</v>
      </c>
      <c r="AI584" s="124">
        <v>6092.2</v>
      </c>
      <c r="AJ584" s="124">
        <v>6559.32</v>
      </c>
      <c r="AK584" s="124">
        <v>7010.89</v>
      </c>
      <c r="AL584" s="124">
        <v>7441.8</v>
      </c>
      <c r="AM584" s="124">
        <v>7838.95</v>
      </c>
      <c r="AN584" s="124">
        <v>8121.84</v>
      </c>
      <c r="AO584" s="125">
        <v>162.72999999999999</v>
      </c>
      <c r="AP584" s="125">
        <v>337.47</v>
      </c>
      <c r="AQ584" s="125">
        <v>530.96</v>
      </c>
      <c r="AR584" s="125">
        <v>682.24</v>
      </c>
      <c r="AS584" s="125">
        <v>833.48</v>
      </c>
      <c r="AT584" s="125">
        <v>937.5</v>
      </c>
      <c r="AU584" s="125">
        <v>1045.97</v>
      </c>
      <c r="AV584" s="125">
        <v>1154.48</v>
      </c>
      <c r="AW584" s="125">
        <v>1259.44</v>
      </c>
      <c r="AX584" s="125">
        <v>1381.66</v>
      </c>
      <c r="AY584" s="126"/>
      <c r="AZ584" s="126"/>
      <c r="BA584" s="126"/>
      <c r="BB584" s="126"/>
      <c r="BC584" s="126"/>
      <c r="BD584" s="126"/>
      <c r="BE584" s="126"/>
      <c r="BF584" s="127">
        <v>450525</v>
      </c>
      <c r="BG584" s="97" t="s">
        <v>244</v>
      </c>
      <c r="BH584" s="127">
        <v>5544.96</v>
      </c>
      <c r="BI584" s="127">
        <v>450525</v>
      </c>
      <c r="BJ584" s="97" t="s">
        <v>244</v>
      </c>
      <c r="BK584" s="127">
        <v>6092.2</v>
      </c>
    </row>
    <row r="585" spans="1:63" x14ac:dyDescent="0.25">
      <c r="B585" s="121">
        <v>450530</v>
      </c>
      <c r="C585" s="152" t="s">
        <v>248</v>
      </c>
      <c r="D585" s="123">
        <v>11765.91</v>
      </c>
      <c r="E585" s="123">
        <v>999.29</v>
      </c>
      <c r="F585" s="123">
        <v>1944.34</v>
      </c>
      <c r="G585" s="123">
        <v>2992.38</v>
      </c>
      <c r="H585" s="123">
        <v>3993.74</v>
      </c>
      <c r="I585" s="123">
        <v>5013.47</v>
      </c>
      <c r="J585" s="123">
        <v>6004.59</v>
      </c>
      <c r="K585" s="123">
        <v>6871.65</v>
      </c>
      <c r="L585" s="123">
        <v>7738.71</v>
      </c>
      <c r="M585" s="123">
        <v>8449.35</v>
      </c>
      <c r="N585" s="123">
        <v>9108.48</v>
      </c>
      <c r="O585" s="123">
        <v>9782.76</v>
      </c>
      <c r="P585" s="123">
        <v>10480.81</v>
      </c>
      <c r="Q585" s="123">
        <v>601.57000000000005</v>
      </c>
      <c r="R585" s="123">
        <v>960.94</v>
      </c>
      <c r="S585" s="123">
        <v>1133.25</v>
      </c>
      <c r="T585" s="123">
        <v>1300</v>
      </c>
      <c r="U585" s="123">
        <v>1736.82</v>
      </c>
      <c r="V585" s="123">
        <v>1977.21</v>
      </c>
      <c r="W585" s="123">
        <v>2250.86</v>
      </c>
      <c r="X585" s="123">
        <v>2530.56</v>
      </c>
      <c r="Y585" s="123">
        <v>2801.25</v>
      </c>
      <c r="Z585" s="123">
        <v>3080.95</v>
      </c>
      <c r="AA585" s="123">
        <v>3351.64</v>
      </c>
      <c r="AB585" s="123">
        <v>3631.34</v>
      </c>
      <c r="AC585" s="124">
        <v>279.70999999999998</v>
      </c>
      <c r="AD585" s="124">
        <v>541.37</v>
      </c>
      <c r="AE585" s="124">
        <v>821.08</v>
      </c>
      <c r="AF585" s="124">
        <v>1091.76</v>
      </c>
      <c r="AG585" s="124">
        <v>1386.83</v>
      </c>
      <c r="AH585" s="124">
        <v>1690.44</v>
      </c>
      <c r="AI585" s="124">
        <v>2004.17</v>
      </c>
      <c r="AJ585" s="124">
        <v>2317.9</v>
      </c>
      <c r="AK585" s="124">
        <v>2789.2</v>
      </c>
      <c r="AL585" s="124">
        <v>3334.46</v>
      </c>
      <c r="AM585" s="124">
        <v>3993.97</v>
      </c>
      <c r="AN585" s="124">
        <v>4813.28</v>
      </c>
      <c r="AO585" s="125">
        <v>936.97</v>
      </c>
      <c r="AP585" s="125">
        <v>1830.49</v>
      </c>
      <c r="AQ585" s="125">
        <v>2790.71</v>
      </c>
      <c r="AR585" s="125">
        <v>3928.56</v>
      </c>
      <c r="AS585" s="125">
        <v>5057.45</v>
      </c>
      <c r="AT585" s="125">
        <v>6132.17</v>
      </c>
      <c r="AU585" s="125">
        <v>7233.08</v>
      </c>
      <c r="AV585" s="125">
        <v>8361.32</v>
      </c>
      <c r="AW585" s="125">
        <v>9453.14</v>
      </c>
      <c r="AX585" s="125">
        <v>10679.71</v>
      </c>
      <c r="AY585" s="126"/>
      <c r="AZ585" s="126"/>
      <c r="BA585" s="126"/>
      <c r="BB585" s="126"/>
      <c r="BC585" s="126"/>
      <c r="BD585" s="126"/>
      <c r="BE585" s="126"/>
      <c r="BF585" s="127">
        <v>450530</v>
      </c>
      <c r="BG585" s="97" t="s">
        <v>248</v>
      </c>
      <c r="BH585" s="127">
        <v>1690.44</v>
      </c>
      <c r="BI585" s="127">
        <v>450530</v>
      </c>
      <c r="BJ585" s="97" t="s">
        <v>248</v>
      </c>
      <c r="BK585" s="127">
        <v>2004.17</v>
      </c>
    </row>
    <row r="586" spans="1:63" x14ac:dyDescent="0.25">
      <c r="B586" s="121">
        <v>450535</v>
      </c>
      <c r="C586" s="152" t="s">
        <v>236</v>
      </c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  <c r="AA586" s="128"/>
      <c r="AB586" s="128"/>
      <c r="AC586" s="129"/>
      <c r="AD586" s="129"/>
      <c r="AE586" s="129"/>
      <c r="AF586" s="129"/>
      <c r="AG586" s="129"/>
      <c r="AH586" s="129"/>
      <c r="AI586" s="129"/>
      <c r="AJ586" s="124">
        <v>0</v>
      </c>
      <c r="AK586" s="124">
        <v>0</v>
      </c>
      <c r="AL586" s="124">
        <v>0</v>
      </c>
      <c r="AM586" s="124">
        <v>0</v>
      </c>
      <c r="AN586" s="124">
        <v>0</v>
      </c>
      <c r="AO586" s="125">
        <v>0</v>
      </c>
      <c r="AP586" s="125">
        <v>0</v>
      </c>
      <c r="AQ586" s="125">
        <v>0</v>
      </c>
      <c r="AR586" s="125">
        <v>0</v>
      </c>
      <c r="AS586" s="125">
        <v>0</v>
      </c>
      <c r="AT586" s="125">
        <v>0</v>
      </c>
      <c r="AU586" s="125">
        <v>0</v>
      </c>
      <c r="AV586" s="125">
        <v>0</v>
      </c>
      <c r="AW586" s="125">
        <v>0</v>
      </c>
      <c r="AX586" s="125">
        <v>0</v>
      </c>
      <c r="AY586" s="126"/>
      <c r="AZ586" s="126"/>
      <c r="BA586" s="126"/>
      <c r="BB586" s="126"/>
      <c r="BC586" s="126"/>
      <c r="BD586" s="126"/>
      <c r="BE586" s="126"/>
    </row>
    <row r="587" spans="1:63" x14ac:dyDescent="0.25">
      <c r="B587" s="121">
        <v>4506</v>
      </c>
      <c r="C587" s="152" t="s">
        <v>529</v>
      </c>
      <c r="D587" s="123">
        <v>156403.79</v>
      </c>
      <c r="E587" s="123">
        <v>10308.85</v>
      </c>
      <c r="F587" s="123">
        <v>22982.65</v>
      </c>
      <c r="G587" s="123">
        <v>35876.6</v>
      </c>
      <c r="H587" s="123">
        <v>48797.27</v>
      </c>
      <c r="I587" s="123">
        <v>61824.87</v>
      </c>
      <c r="J587" s="123">
        <v>23252.31</v>
      </c>
      <c r="K587" s="123">
        <v>28060.16</v>
      </c>
      <c r="L587" s="123">
        <v>31907.35</v>
      </c>
      <c r="M587" s="123">
        <v>35677.11</v>
      </c>
      <c r="N587" s="123">
        <v>38528.22</v>
      </c>
      <c r="O587" s="123">
        <v>48090.1</v>
      </c>
      <c r="P587" s="123">
        <v>54933.08</v>
      </c>
      <c r="Q587" s="123">
        <v>18480.29</v>
      </c>
      <c r="R587" s="123">
        <v>37314.559999999998</v>
      </c>
      <c r="S587" s="123">
        <v>55843.17</v>
      </c>
      <c r="T587" s="123">
        <v>81194.880000000005</v>
      </c>
      <c r="U587" s="123">
        <v>82891.8</v>
      </c>
      <c r="V587" s="123">
        <v>97476.14</v>
      </c>
      <c r="W587" s="123">
        <v>117717.27</v>
      </c>
      <c r="X587" s="123">
        <v>137015.48000000001</v>
      </c>
      <c r="Y587" s="123">
        <v>153433</v>
      </c>
      <c r="Z587" s="123">
        <v>172321.09</v>
      </c>
      <c r="AA587" s="123">
        <v>190312.17</v>
      </c>
      <c r="AB587" s="123">
        <v>208995.16</v>
      </c>
      <c r="AC587" s="124">
        <v>18645.14</v>
      </c>
      <c r="AD587" s="124">
        <v>38356.9</v>
      </c>
      <c r="AE587" s="124">
        <v>57829.63</v>
      </c>
      <c r="AF587" s="124">
        <v>79343.16</v>
      </c>
      <c r="AG587" s="124">
        <v>105469.11</v>
      </c>
      <c r="AH587" s="124">
        <v>131315.70000000001</v>
      </c>
      <c r="AI587" s="124">
        <v>143895.35999999999</v>
      </c>
      <c r="AJ587" s="124">
        <v>169558.74</v>
      </c>
      <c r="AK587" s="124">
        <v>195212</v>
      </c>
      <c r="AL587" s="124">
        <v>222275.42</v>
      </c>
      <c r="AM587" s="124">
        <v>234731.13</v>
      </c>
      <c r="AN587" s="124">
        <v>258335.47</v>
      </c>
      <c r="AO587" s="125">
        <v>28865.39</v>
      </c>
      <c r="AP587" s="125">
        <v>53613.11</v>
      </c>
      <c r="AQ587" s="125">
        <v>78044.039999999994</v>
      </c>
      <c r="AR587" s="125">
        <v>102942.29</v>
      </c>
      <c r="AS587" s="125">
        <v>130167.92</v>
      </c>
      <c r="AT587" s="125">
        <v>159726.57999999999</v>
      </c>
      <c r="AU587" s="125">
        <v>189726</v>
      </c>
      <c r="AV587" s="125">
        <v>222916.54</v>
      </c>
      <c r="AW587" s="125">
        <v>249360.29</v>
      </c>
      <c r="AX587" s="125">
        <v>287502.17</v>
      </c>
      <c r="AY587" s="126"/>
      <c r="AZ587" s="126"/>
      <c r="BA587" s="126"/>
      <c r="BB587" s="126"/>
      <c r="BC587" s="126"/>
      <c r="BD587" s="126"/>
      <c r="BE587" s="126"/>
      <c r="BF587" s="127">
        <v>4506</v>
      </c>
      <c r="BG587" s="97" t="s">
        <v>529</v>
      </c>
      <c r="BH587" s="127">
        <v>131315.70000000001</v>
      </c>
      <c r="BI587" s="127">
        <v>4506</v>
      </c>
      <c r="BJ587" s="97" t="s">
        <v>529</v>
      </c>
      <c r="BK587" s="127">
        <v>143895.35999999999</v>
      </c>
    </row>
    <row r="588" spans="1:63" x14ac:dyDescent="0.25">
      <c r="B588" s="121">
        <v>450625</v>
      </c>
      <c r="C588" s="152" t="s">
        <v>272</v>
      </c>
      <c r="D588" s="123">
        <v>79461.820000000007</v>
      </c>
      <c r="E588" s="128"/>
      <c r="F588" s="123">
        <v>2532.0300000000002</v>
      </c>
      <c r="G588" s="123">
        <v>5117.12</v>
      </c>
      <c r="H588" s="123">
        <v>7617.96</v>
      </c>
      <c r="I588" s="123">
        <v>10169.93</v>
      </c>
      <c r="J588" s="123">
        <v>12671.74</v>
      </c>
      <c r="K588" s="123">
        <v>14198.21</v>
      </c>
      <c r="L588" s="123">
        <v>15869.05</v>
      </c>
      <c r="M588" s="123">
        <v>17518.150000000001</v>
      </c>
      <c r="N588" s="123">
        <v>18192.91</v>
      </c>
      <c r="O588" s="123">
        <v>21834.17</v>
      </c>
      <c r="P588" s="123">
        <v>24501.09</v>
      </c>
      <c r="Q588" s="123">
        <v>13350.98</v>
      </c>
      <c r="R588" s="123">
        <v>27414.58</v>
      </c>
      <c r="S588" s="123">
        <v>40765.56</v>
      </c>
      <c r="T588" s="123">
        <v>54701.51</v>
      </c>
      <c r="U588" s="123">
        <v>72592</v>
      </c>
      <c r="V588" s="123">
        <v>85525.21</v>
      </c>
      <c r="W588" s="123">
        <v>103443.9</v>
      </c>
      <c r="X588" s="123">
        <v>119874.97</v>
      </c>
      <c r="Y588" s="123">
        <v>134326.28</v>
      </c>
      <c r="Z588" s="123">
        <v>150531.62</v>
      </c>
      <c r="AA588" s="123">
        <v>165741.56</v>
      </c>
      <c r="AB588" s="123">
        <v>181474.4</v>
      </c>
      <c r="AC588" s="124">
        <v>15972.84</v>
      </c>
      <c r="AD588" s="124">
        <v>32951.42</v>
      </c>
      <c r="AE588" s="124">
        <v>49488.84</v>
      </c>
      <c r="AF588" s="124">
        <v>66635.34</v>
      </c>
      <c r="AG588" s="124">
        <v>87391.92</v>
      </c>
      <c r="AH588" s="124">
        <v>107919.12</v>
      </c>
      <c r="AI588" s="124">
        <v>124334.99</v>
      </c>
      <c r="AJ588" s="124">
        <v>144219.24</v>
      </c>
      <c r="AK588" s="124">
        <v>164130.87</v>
      </c>
      <c r="AL588" s="124">
        <v>185560.28</v>
      </c>
      <c r="AM588" s="124">
        <v>200769.01</v>
      </c>
      <c r="AN588" s="124">
        <v>220447.2</v>
      </c>
      <c r="AO588" s="125">
        <v>23807.02</v>
      </c>
      <c r="AP588" s="125">
        <v>43579.11</v>
      </c>
      <c r="AQ588" s="125">
        <v>62950.49</v>
      </c>
      <c r="AR588" s="125">
        <v>82964.83</v>
      </c>
      <c r="AS588" s="125">
        <v>104435.31</v>
      </c>
      <c r="AT588" s="125">
        <v>128263.86</v>
      </c>
      <c r="AU588" s="125">
        <v>152841.46</v>
      </c>
      <c r="AV588" s="125">
        <v>180620.09</v>
      </c>
      <c r="AW588" s="125">
        <v>204787.82</v>
      </c>
      <c r="AX588" s="125">
        <v>231296.28</v>
      </c>
      <c r="AY588" s="126"/>
      <c r="AZ588" s="126"/>
      <c r="BA588" s="126"/>
      <c r="BB588" s="126"/>
      <c r="BC588" s="126"/>
      <c r="BD588" s="126"/>
      <c r="BE588" s="126"/>
      <c r="BF588" s="127">
        <v>450625</v>
      </c>
      <c r="BG588" s="97" t="s">
        <v>272</v>
      </c>
      <c r="BH588" s="127">
        <v>107919.12</v>
      </c>
      <c r="BI588" s="127">
        <v>450625</v>
      </c>
      <c r="BJ588" s="97" t="s">
        <v>272</v>
      </c>
      <c r="BK588" s="127">
        <v>124334.99</v>
      </c>
    </row>
    <row r="589" spans="1:63" s="113" customFormat="1" x14ac:dyDescent="0.25">
      <c r="A589" s="97"/>
      <c r="B589" s="121">
        <v>450630</v>
      </c>
      <c r="C589" s="152" t="s">
        <v>273</v>
      </c>
      <c r="D589" s="123">
        <v>23040.85</v>
      </c>
      <c r="E589" s="123">
        <v>1560.4</v>
      </c>
      <c r="F589" s="123">
        <v>2969.79</v>
      </c>
      <c r="G589" s="123">
        <v>4530.2</v>
      </c>
      <c r="H589" s="123">
        <v>6040.27</v>
      </c>
      <c r="I589" s="123">
        <v>7600.79</v>
      </c>
      <c r="J589" s="123">
        <v>9110.9699999999993</v>
      </c>
      <c r="K589" s="123">
        <v>10671.49</v>
      </c>
      <c r="L589" s="123">
        <v>12232.01</v>
      </c>
      <c r="M589" s="123">
        <v>13742.19</v>
      </c>
      <c r="N589" s="123">
        <v>15302.71</v>
      </c>
      <c r="O589" s="123">
        <v>16812.89</v>
      </c>
      <c r="P589" s="123">
        <v>18373.41</v>
      </c>
      <c r="Q589" s="123">
        <v>1267.24</v>
      </c>
      <c r="R589" s="123">
        <v>2304.7600000000002</v>
      </c>
      <c r="S589" s="123">
        <v>3453.43</v>
      </c>
      <c r="T589" s="123">
        <v>4565.05</v>
      </c>
      <c r="U589" s="123">
        <v>5713.72</v>
      </c>
      <c r="V589" s="123">
        <v>6376.38</v>
      </c>
      <c r="W589" s="123">
        <v>7046.2</v>
      </c>
      <c r="X589" s="123">
        <v>7716.02</v>
      </c>
      <c r="Y589" s="123">
        <v>8364.23</v>
      </c>
      <c r="Z589" s="123">
        <v>9034.0499999999993</v>
      </c>
      <c r="AA589" s="123">
        <v>9682.26</v>
      </c>
      <c r="AB589" s="123">
        <v>10352.08</v>
      </c>
      <c r="AC589" s="124">
        <v>669.82</v>
      </c>
      <c r="AD589" s="124">
        <v>1296.42</v>
      </c>
      <c r="AE589" s="124">
        <v>1966.24</v>
      </c>
      <c r="AF589" s="124">
        <v>2614.4499999999998</v>
      </c>
      <c r="AG589" s="124">
        <v>3284.27</v>
      </c>
      <c r="AH589" s="124">
        <v>3932.48</v>
      </c>
      <c r="AI589" s="124">
        <v>4602.3</v>
      </c>
      <c r="AJ589" s="124">
        <v>5272.12</v>
      </c>
      <c r="AK589" s="124">
        <v>5920.33</v>
      </c>
      <c r="AL589" s="124">
        <v>6595.5</v>
      </c>
      <c r="AM589" s="124">
        <v>7249.06</v>
      </c>
      <c r="AN589" s="124">
        <v>7893.84</v>
      </c>
      <c r="AO589" s="125">
        <v>3182.65</v>
      </c>
      <c r="AP589" s="125">
        <v>6345.65</v>
      </c>
      <c r="AQ589" s="125">
        <v>9528.2999999999993</v>
      </c>
      <c r="AR589" s="125">
        <v>12703.99</v>
      </c>
      <c r="AS589" s="125">
        <v>16855.580000000002</v>
      </c>
      <c r="AT589" s="125">
        <v>21000.21</v>
      </c>
      <c r="AU589" s="125">
        <v>25151.8</v>
      </c>
      <c r="AV589" s="125">
        <v>29303.39</v>
      </c>
      <c r="AW589" s="125">
        <v>33313.51</v>
      </c>
      <c r="AX589" s="125">
        <v>37268.01</v>
      </c>
      <c r="AY589" s="126"/>
      <c r="AZ589" s="126"/>
      <c r="BA589" s="126"/>
      <c r="BB589" s="126"/>
      <c r="BC589" s="126"/>
      <c r="BD589" s="126"/>
      <c r="BE589" s="126"/>
      <c r="BF589" s="157">
        <v>450630</v>
      </c>
      <c r="BG589" s="97" t="s">
        <v>273</v>
      </c>
      <c r="BH589" s="127">
        <v>3932.48</v>
      </c>
      <c r="BI589" s="127">
        <v>450630</v>
      </c>
      <c r="BJ589" s="97" t="s">
        <v>273</v>
      </c>
      <c r="BK589" s="127">
        <v>4602.3</v>
      </c>
    </row>
    <row r="590" spans="1:63" x14ac:dyDescent="0.25">
      <c r="B590" s="121">
        <v>450690</v>
      </c>
      <c r="C590" s="152" t="s">
        <v>225</v>
      </c>
      <c r="D590" s="123">
        <v>53901.120000000003</v>
      </c>
      <c r="E590" s="123">
        <v>8748.4500000000007</v>
      </c>
      <c r="F590" s="123">
        <v>17480.830000000002</v>
      </c>
      <c r="G590" s="123">
        <v>26229.279999999999</v>
      </c>
      <c r="H590" s="123">
        <v>35139.040000000001</v>
      </c>
      <c r="I590" s="123">
        <v>44054.15</v>
      </c>
      <c r="J590" s="123">
        <v>1469.6</v>
      </c>
      <c r="K590" s="123">
        <v>3190.46</v>
      </c>
      <c r="L590" s="123">
        <v>3806.29</v>
      </c>
      <c r="M590" s="123">
        <v>4416.7700000000004</v>
      </c>
      <c r="N590" s="123">
        <v>5032.6000000000004</v>
      </c>
      <c r="O590" s="123">
        <v>9443.0400000000009</v>
      </c>
      <c r="P590" s="123">
        <v>12058.58</v>
      </c>
      <c r="Q590" s="123">
        <v>3862.07</v>
      </c>
      <c r="R590" s="123">
        <v>7595.22</v>
      </c>
      <c r="S590" s="123">
        <v>11624.18</v>
      </c>
      <c r="T590" s="123">
        <v>21928.32</v>
      </c>
      <c r="U590" s="123">
        <v>4586.08</v>
      </c>
      <c r="V590" s="123">
        <v>5574.55</v>
      </c>
      <c r="W590" s="123">
        <v>7227.17</v>
      </c>
      <c r="X590" s="123">
        <v>9424.49</v>
      </c>
      <c r="Y590" s="123">
        <v>10742.49</v>
      </c>
      <c r="Z590" s="123">
        <v>12755.42</v>
      </c>
      <c r="AA590" s="123">
        <v>14888.35</v>
      </c>
      <c r="AB590" s="123">
        <v>17168.68</v>
      </c>
      <c r="AC590" s="124">
        <v>2002.48</v>
      </c>
      <c r="AD590" s="124">
        <v>4109.0600000000004</v>
      </c>
      <c r="AE590" s="124">
        <v>6374.55</v>
      </c>
      <c r="AF590" s="124">
        <v>10093.370000000001</v>
      </c>
      <c r="AG590" s="124">
        <v>14792.92</v>
      </c>
      <c r="AH590" s="124">
        <v>19464.099999999999</v>
      </c>
      <c r="AI590" s="124">
        <v>14958.07</v>
      </c>
      <c r="AJ590" s="124">
        <v>20067.38</v>
      </c>
      <c r="AK590" s="124">
        <v>25160.799999999999</v>
      </c>
      <c r="AL590" s="124">
        <v>30119.64</v>
      </c>
      <c r="AM590" s="124">
        <v>26713.06</v>
      </c>
      <c r="AN590" s="124">
        <v>29994.43</v>
      </c>
      <c r="AO590" s="125">
        <v>1875.72</v>
      </c>
      <c r="AP590" s="125">
        <v>3688.35</v>
      </c>
      <c r="AQ590" s="125">
        <v>5565.25</v>
      </c>
      <c r="AR590" s="125">
        <v>7273.47</v>
      </c>
      <c r="AS590" s="125">
        <v>8877.0300000000007</v>
      </c>
      <c r="AT590" s="125">
        <v>10462.51</v>
      </c>
      <c r="AU590" s="125">
        <v>11732.74</v>
      </c>
      <c r="AV590" s="125">
        <v>11732.74</v>
      </c>
      <c r="AW590" s="125">
        <v>11258.96</v>
      </c>
      <c r="AX590" s="125">
        <v>18937.88</v>
      </c>
      <c r="AY590" s="126"/>
      <c r="AZ590" s="126"/>
      <c r="BA590" s="126"/>
      <c r="BB590" s="126"/>
      <c r="BC590" s="126"/>
      <c r="BD590" s="126"/>
      <c r="BE590" s="126"/>
      <c r="BF590" s="157">
        <v>450690</v>
      </c>
      <c r="BG590" s="97" t="s">
        <v>225</v>
      </c>
      <c r="BH590" s="127">
        <v>19464.099999999999</v>
      </c>
      <c r="BI590" s="127">
        <v>450690</v>
      </c>
      <c r="BJ590" s="97" t="s">
        <v>225</v>
      </c>
      <c r="BK590" s="127">
        <v>14958.07</v>
      </c>
    </row>
    <row r="591" spans="1:63" x14ac:dyDescent="0.25">
      <c r="B591" s="121">
        <v>4507</v>
      </c>
      <c r="C591" s="152" t="s">
        <v>530</v>
      </c>
      <c r="D591" s="123">
        <v>395915.51</v>
      </c>
      <c r="E591" s="123">
        <v>35328.659999999996</v>
      </c>
      <c r="F591" s="123">
        <v>59015.94</v>
      </c>
      <c r="G591" s="123">
        <v>86402.02</v>
      </c>
      <c r="H591" s="123">
        <v>108576.88</v>
      </c>
      <c r="I591" s="123">
        <v>130404.31</v>
      </c>
      <c r="J591" s="123">
        <v>156897.74</v>
      </c>
      <c r="K591" s="123">
        <v>177135.8</v>
      </c>
      <c r="L591" s="123">
        <v>214496.32</v>
      </c>
      <c r="M591" s="123">
        <v>242542.94</v>
      </c>
      <c r="N591" s="123">
        <v>262675.28000000003</v>
      </c>
      <c r="O591" s="123">
        <v>280915.40000000002</v>
      </c>
      <c r="P591" s="123">
        <v>298557.82</v>
      </c>
      <c r="Q591" s="123">
        <v>11271.92</v>
      </c>
      <c r="R591" s="123">
        <v>27424.13</v>
      </c>
      <c r="S591" s="123">
        <v>47084.57</v>
      </c>
      <c r="T591" s="123">
        <v>52529.14</v>
      </c>
      <c r="U591" s="123">
        <v>81900.490000000005</v>
      </c>
      <c r="V591" s="123">
        <v>110346.16</v>
      </c>
      <c r="W591" s="123">
        <v>126913.28</v>
      </c>
      <c r="X591" s="123">
        <v>141338.68</v>
      </c>
      <c r="Y591" s="123">
        <v>162009.39000000001</v>
      </c>
      <c r="Z591" s="123">
        <v>179666.15</v>
      </c>
      <c r="AA591" s="123">
        <v>200381.84</v>
      </c>
      <c r="AB591" s="123">
        <v>157223.21</v>
      </c>
      <c r="AC591" s="124">
        <v>16063.53</v>
      </c>
      <c r="AD591" s="124">
        <v>39609.26</v>
      </c>
      <c r="AE591" s="124">
        <v>61947.21</v>
      </c>
      <c r="AF591" s="124">
        <v>76692.789999999994</v>
      </c>
      <c r="AG591" s="124">
        <v>94513.38</v>
      </c>
      <c r="AH591" s="124">
        <v>110735.05</v>
      </c>
      <c r="AI591" s="124">
        <v>131686.82999999999</v>
      </c>
      <c r="AJ591" s="124">
        <v>155016.82</v>
      </c>
      <c r="AK591" s="124">
        <v>175442.21</v>
      </c>
      <c r="AL591" s="124">
        <v>198012.91</v>
      </c>
      <c r="AM591" s="124">
        <v>219745.5</v>
      </c>
      <c r="AN591" s="124">
        <v>256894.94</v>
      </c>
      <c r="AO591" s="125">
        <v>13800.94</v>
      </c>
      <c r="AP591" s="125">
        <v>34899.370000000003</v>
      </c>
      <c r="AQ591" s="125">
        <v>53654.92</v>
      </c>
      <c r="AR591" s="125">
        <v>78059.7</v>
      </c>
      <c r="AS591" s="125">
        <v>104404.81</v>
      </c>
      <c r="AT591" s="125">
        <v>124953.03</v>
      </c>
      <c r="AU591" s="125">
        <v>141311.25</v>
      </c>
      <c r="AV591" s="125">
        <v>159490.35999999999</v>
      </c>
      <c r="AW591" s="125">
        <v>184596.62</v>
      </c>
      <c r="AX591" s="125">
        <v>198778.45</v>
      </c>
      <c r="AY591" s="126"/>
      <c r="AZ591" s="126"/>
      <c r="BA591" s="126"/>
      <c r="BB591" s="126"/>
      <c r="BC591" s="126"/>
      <c r="BD591" s="126"/>
      <c r="BE591" s="126"/>
      <c r="BF591" s="157">
        <v>4507</v>
      </c>
      <c r="BG591" s="97" t="s">
        <v>530</v>
      </c>
      <c r="BH591" s="127">
        <v>110735.05</v>
      </c>
      <c r="BI591" s="127">
        <v>4507</v>
      </c>
      <c r="BJ591" s="97" t="s">
        <v>530</v>
      </c>
      <c r="BK591" s="127">
        <v>131686.82999999999</v>
      </c>
    </row>
    <row r="592" spans="1:63" x14ac:dyDescent="0.25">
      <c r="B592" s="121">
        <v>450705</v>
      </c>
      <c r="C592" s="152" t="s">
        <v>531</v>
      </c>
      <c r="D592" s="123">
        <v>44345.16</v>
      </c>
      <c r="E592" s="123">
        <v>4685.2299999999996</v>
      </c>
      <c r="F592" s="123">
        <v>7925.77</v>
      </c>
      <c r="G592" s="123">
        <v>8079.24</v>
      </c>
      <c r="H592" s="123">
        <v>9940.2900000000009</v>
      </c>
      <c r="I592" s="123">
        <v>10727.8</v>
      </c>
      <c r="J592" s="123">
        <v>12779.27</v>
      </c>
      <c r="K592" s="123">
        <v>16304.88</v>
      </c>
      <c r="L592" s="123">
        <v>20842.07</v>
      </c>
      <c r="M592" s="123">
        <v>23607.58</v>
      </c>
      <c r="N592" s="123">
        <v>25744.52</v>
      </c>
      <c r="O592" s="123">
        <v>27011.06</v>
      </c>
      <c r="P592" s="123">
        <v>29312.59</v>
      </c>
      <c r="Q592" s="123">
        <v>1574.62</v>
      </c>
      <c r="R592" s="123">
        <v>4124.76</v>
      </c>
      <c r="S592" s="123">
        <v>5572.36</v>
      </c>
      <c r="T592" s="123">
        <v>6275.84</v>
      </c>
      <c r="U592" s="123">
        <v>7814.79</v>
      </c>
      <c r="V592" s="123">
        <v>18930.78</v>
      </c>
      <c r="W592" s="123">
        <v>20986.36</v>
      </c>
      <c r="X592" s="123">
        <v>17159.22</v>
      </c>
      <c r="Y592" s="123">
        <v>17100.63</v>
      </c>
      <c r="Z592" s="123">
        <v>15817.47</v>
      </c>
      <c r="AA592" s="123">
        <v>18148.97</v>
      </c>
      <c r="AB592" s="123">
        <v>10664.21</v>
      </c>
      <c r="AC592" s="124">
        <v>1829.7</v>
      </c>
      <c r="AD592" s="124">
        <v>5166.91</v>
      </c>
      <c r="AE592" s="124">
        <v>10647.56</v>
      </c>
      <c r="AF592" s="124">
        <v>10472.629999999999</v>
      </c>
      <c r="AG592" s="124">
        <v>12045.82</v>
      </c>
      <c r="AH592" s="124">
        <v>15490.88</v>
      </c>
      <c r="AI592" s="124">
        <v>17525.82</v>
      </c>
      <c r="AJ592" s="124">
        <v>25431.16</v>
      </c>
      <c r="AK592" s="124">
        <v>28266.12</v>
      </c>
      <c r="AL592" s="124">
        <v>34313.71</v>
      </c>
      <c r="AM592" s="124">
        <v>36860.92</v>
      </c>
      <c r="AN592" s="124">
        <v>47054</v>
      </c>
      <c r="AO592" s="125">
        <v>2826.43</v>
      </c>
      <c r="AP592" s="125">
        <v>5313.31</v>
      </c>
      <c r="AQ592" s="125">
        <v>14380.49</v>
      </c>
      <c r="AR592" s="125">
        <v>20940.95</v>
      </c>
      <c r="AS592" s="125">
        <v>34164.58</v>
      </c>
      <c r="AT592" s="125">
        <v>38758.660000000003</v>
      </c>
      <c r="AU592" s="125">
        <v>42415.45</v>
      </c>
      <c r="AV592" s="125">
        <v>46058.81</v>
      </c>
      <c r="AW592" s="125">
        <v>53804.09</v>
      </c>
      <c r="AX592" s="125">
        <v>57167.55</v>
      </c>
      <c r="AY592" s="126"/>
      <c r="AZ592" s="126"/>
      <c r="BA592" s="126"/>
      <c r="BB592" s="126"/>
      <c r="BC592" s="126"/>
      <c r="BD592" s="126"/>
      <c r="BE592" s="126"/>
      <c r="BF592" s="157">
        <v>450705</v>
      </c>
      <c r="BG592" s="97" t="s">
        <v>531</v>
      </c>
      <c r="BH592" s="127">
        <v>15490.88</v>
      </c>
      <c r="BI592" s="127">
        <v>450705</v>
      </c>
      <c r="BJ592" s="97" t="s">
        <v>531</v>
      </c>
      <c r="BK592" s="127">
        <v>17525.82</v>
      </c>
    </row>
    <row r="593" spans="1:63" x14ac:dyDescent="0.25">
      <c r="B593" s="121">
        <v>45070505</v>
      </c>
      <c r="C593" s="152" t="s">
        <v>532</v>
      </c>
      <c r="D593" s="123">
        <v>41729.29</v>
      </c>
      <c r="E593" s="123">
        <v>4685.2299999999996</v>
      </c>
      <c r="F593" s="123">
        <v>7786.09</v>
      </c>
      <c r="G593" s="123">
        <v>7939.56</v>
      </c>
      <c r="H593" s="123">
        <v>9660.2999999999993</v>
      </c>
      <c r="I593" s="123">
        <v>10260.299999999999</v>
      </c>
      <c r="J593" s="123">
        <v>12198.09</v>
      </c>
      <c r="K593" s="123">
        <v>15501.58</v>
      </c>
      <c r="L593" s="123">
        <v>19827.68</v>
      </c>
      <c r="M593" s="123">
        <v>22458.25</v>
      </c>
      <c r="N593" s="123">
        <v>24595.19</v>
      </c>
      <c r="O593" s="123">
        <v>25655.759999999998</v>
      </c>
      <c r="P593" s="123">
        <v>27835.360000000001</v>
      </c>
      <c r="Q593" s="123">
        <v>1574.62</v>
      </c>
      <c r="R593" s="123">
        <v>3985.41</v>
      </c>
      <c r="S593" s="123">
        <v>5433.01</v>
      </c>
      <c r="T593" s="123">
        <v>6101.98</v>
      </c>
      <c r="U593" s="123">
        <v>7640.93</v>
      </c>
      <c r="V593" s="123">
        <v>18275.02</v>
      </c>
      <c r="W593" s="123">
        <v>20000.98</v>
      </c>
      <c r="X593" s="123">
        <v>15940.3</v>
      </c>
      <c r="Y593" s="123">
        <v>15985.55</v>
      </c>
      <c r="Z593" s="123">
        <v>14982.09</v>
      </c>
      <c r="AA593" s="123">
        <v>17239.310000000001</v>
      </c>
      <c r="AB593" s="123">
        <v>8913.07</v>
      </c>
      <c r="AC593" s="124">
        <v>1785.02</v>
      </c>
      <c r="AD593" s="124">
        <v>5026.62</v>
      </c>
      <c r="AE593" s="124">
        <v>10315.540000000001</v>
      </c>
      <c r="AF593" s="124">
        <v>10045.290000000001</v>
      </c>
      <c r="AG593" s="124">
        <v>11492.19</v>
      </c>
      <c r="AH593" s="124">
        <v>15332.95</v>
      </c>
      <c r="AI593" s="124">
        <v>16813.439999999999</v>
      </c>
      <c r="AJ593" s="124">
        <v>24363.94</v>
      </c>
      <c r="AK593" s="124">
        <v>26918.05</v>
      </c>
      <c r="AL593" s="124">
        <v>32721.19</v>
      </c>
      <c r="AM593" s="124">
        <v>35210.51</v>
      </c>
      <c r="AN593" s="124">
        <v>44913.53</v>
      </c>
      <c r="AO593" s="125">
        <v>2816.96</v>
      </c>
      <c r="AP593" s="125">
        <v>5150.26</v>
      </c>
      <c r="AQ593" s="125">
        <v>13059.49</v>
      </c>
      <c r="AR593" s="125">
        <v>16871.29</v>
      </c>
      <c r="AS593" s="125">
        <v>28628.68</v>
      </c>
      <c r="AT593" s="125">
        <v>32353.62</v>
      </c>
      <c r="AU593" s="125">
        <v>35876.300000000003</v>
      </c>
      <c r="AV593" s="125">
        <v>39174.22</v>
      </c>
      <c r="AW593" s="125">
        <v>45407.96</v>
      </c>
      <c r="AX593" s="125">
        <v>47941.06</v>
      </c>
      <c r="AY593" s="126"/>
      <c r="AZ593" s="126"/>
      <c r="BA593" s="126"/>
      <c r="BB593" s="126"/>
      <c r="BC593" s="126"/>
      <c r="BD593" s="126"/>
      <c r="BE593" s="126"/>
      <c r="BF593" s="157">
        <v>45070505</v>
      </c>
      <c r="BG593" s="97" t="s">
        <v>532</v>
      </c>
      <c r="BH593" s="127">
        <v>15332.95</v>
      </c>
      <c r="BI593" s="127">
        <v>45070505</v>
      </c>
      <c r="BJ593" s="97" t="s">
        <v>532</v>
      </c>
      <c r="BK593" s="127">
        <v>16813.439999999999</v>
      </c>
    </row>
    <row r="594" spans="1:63" s="113" customFormat="1" x14ac:dyDescent="0.25">
      <c r="A594" s="97"/>
      <c r="B594" s="121">
        <v>45070510</v>
      </c>
      <c r="C594" s="152" t="s">
        <v>533</v>
      </c>
      <c r="D594" s="123">
        <v>2615.87</v>
      </c>
      <c r="E594" s="128"/>
      <c r="F594" s="123">
        <v>139.68</v>
      </c>
      <c r="G594" s="123">
        <v>139.68</v>
      </c>
      <c r="H594" s="123">
        <v>279.99</v>
      </c>
      <c r="I594" s="123">
        <v>467.5</v>
      </c>
      <c r="J594" s="123">
        <v>581.17999999999995</v>
      </c>
      <c r="K594" s="123">
        <v>598</v>
      </c>
      <c r="L594" s="123">
        <v>809.09</v>
      </c>
      <c r="M594" s="123">
        <v>944.03</v>
      </c>
      <c r="N594" s="123">
        <v>944.03</v>
      </c>
      <c r="O594" s="123">
        <v>1150</v>
      </c>
      <c r="P594" s="123">
        <v>1249.8900000000001</v>
      </c>
      <c r="Q594" s="128"/>
      <c r="R594" s="123">
        <v>139.35</v>
      </c>
      <c r="S594" s="123">
        <v>139.35</v>
      </c>
      <c r="T594" s="123">
        <v>139.35</v>
      </c>
      <c r="U594" s="123">
        <v>139.35</v>
      </c>
      <c r="V594" s="123">
        <v>621.25</v>
      </c>
      <c r="W594" s="123">
        <v>942.83</v>
      </c>
      <c r="X594" s="123">
        <v>1162.43</v>
      </c>
      <c r="Y594" s="123">
        <v>1058.5899999999999</v>
      </c>
      <c r="Z594" s="123">
        <v>770.89</v>
      </c>
      <c r="AA594" s="123">
        <v>808.08</v>
      </c>
      <c r="AB594" s="123">
        <v>1636.26</v>
      </c>
      <c r="AC594" s="124">
        <v>31.59</v>
      </c>
      <c r="AD594" s="124">
        <v>120.62</v>
      </c>
      <c r="AE594" s="124">
        <v>307.23</v>
      </c>
      <c r="AF594" s="124">
        <v>402.55</v>
      </c>
      <c r="AG594" s="124">
        <v>528.84</v>
      </c>
      <c r="AH594" s="124">
        <v>103.59</v>
      </c>
      <c r="AI594" s="124">
        <v>655.01</v>
      </c>
      <c r="AJ594" s="124">
        <v>909.66</v>
      </c>
      <c r="AK594" s="124">
        <v>1031.2</v>
      </c>
      <c r="AL594" s="124">
        <v>1193.52</v>
      </c>
      <c r="AM594" s="124">
        <v>1233.6600000000001</v>
      </c>
      <c r="AN594" s="124">
        <v>1609.92</v>
      </c>
      <c r="AO594" s="125">
        <v>9.4700000000000006</v>
      </c>
      <c r="AP594" s="125">
        <v>40.31</v>
      </c>
      <c r="AQ594" s="125">
        <v>522.01</v>
      </c>
      <c r="AR594" s="125">
        <v>549.14</v>
      </c>
      <c r="AS594" s="125">
        <v>616.32000000000005</v>
      </c>
      <c r="AT594" s="125">
        <v>631.76</v>
      </c>
      <c r="AU594" s="125">
        <v>633.12</v>
      </c>
      <c r="AV594" s="125">
        <v>633.12</v>
      </c>
      <c r="AW594" s="125">
        <v>1865.62</v>
      </c>
      <c r="AX594" s="125">
        <v>1865.62</v>
      </c>
      <c r="AY594" s="126"/>
      <c r="AZ594" s="126"/>
      <c r="BA594" s="126"/>
      <c r="BB594" s="126"/>
      <c r="BC594" s="126"/>
      <c r="BD594" s="126"/>
      <c r="BE594" s="126"/>
      <c r="BF594" s="157">
        <v>45070510</v>
      </c>
      <c r="BG594" s="97" t="s">
        <v>533</v>
      </c>
      <c r="BH594" s="127">
        <v>103.59</v>
      </c>
      <c r="BI594" s="127">
        <v>45070510</v>
      </c>
      <c r="BJ594" s="97" t="s">
        <v>533</v>
      </c>
      <c r="BK594" s="127">
        <v>655.01</v>
      </c>
    </row>
    <row r="595" spans="1:63" s="113" customFormat="1" x14ac:dyDescent="0.25">
      <c r="A595" s="97"/>
      <c r="B595" s="121">
        <v>45070515</v>
      </c>
      <c r="C595" s="152" t="s">
        <v>534</v>
      </c>
      <c r="D595" s="128"/>
      <c r="E595" s="128"/>
      <c r="F595" s="128"/>
      <c r="G595" s="128"/>
      <c r="H595" s="128"/>
      <c r="I595" s="128"/>
      <c r="J595" s="128"/>
      <c r="K595" s="123">
        <v>205.3</v>
      </c>
      <c r="L595" s="123">
        <v>205.3</v>
      </c>
      <c r="M595" s="123">
        <v>205.3</v>
      </c>
      <c r="N595" s="123">
        <v>205.3</v>
      </c>
      <c r="O595" s="123">
        <v>205.3</v>
      </c>
      <c r="P595" s="123">
        <v>227.34</v>
      </c>
      <c r="Q595" s="128"/>
      <c r="R595" s="128"/>
      <c r="S595" s="128"/>
      <c r="T595" s="123">
        <v>34.51</v>
      </c>
      <c r="U595" s="123">
        <v>34.51</v>
      </c>
      <c r="V595" s="123">
        <v>34.51</v>
      </c>
      <c r="W595" s="123">
        <v>42.55</v>
      </c>
      <c r="X595" s="123">
        <v>56.49</v>
      </c>
      <c r="Y595" s="123">
        <v>56.49</v>
      </c>
      <c r="Z595" s="123">
        <v>64.489999999999995</v>
      </c>
      <c r="AA595" s="123">
        <v>101.58</v>
      </c>
      <c r="AB595" s="123">
        <v>114.88</v>
      </c>
      <c r="AC595" s="124">
        <v>13.09</v>
      </c>
      <c r="AD595" s="124">
        <v>19.670000000000002</v>
      </c>
      <c r="AE595" s="124">
        <v>24.79</v>
      </c>
      <c r="AF595" s="124">
        <v>24.79</v>
      </c>
      <c r="AG595" s="124">
        <v>24.79</v>
      </c>
      <c r="AH595" s="124">
        <v>54.34</v>
      </c>
      <c r="AI595" s="124">
        <v>57.37</v>
      </c>
      <c r="AJ595" s="124">
        <v>157.56</v>
      </c>
      <c r="AK595" s="124">
        <v>316.87</v>
      </c>
      <c r="AL595" s="124">
        <v>399</v>
      </c>
      <c r="AM595" s="124">
        <v>416.75</v>
      </c>
      <c r="AN595" s="124">
        <v>530.54999999999995</v>
      </c>
      <c r="AO595" s="125">
        <v>0</v>
      </c>
      <c r="AP595" s="125">
        <v>0</v>
      </c>
      <c r="AQ595" s="125">
        <v>0</v>
      </c>
      <c r="AR595" s="125">
        <v>0</v>
      </c>
      <c r="AS595" s="125">
        <v>0</v>
      </c>
      <c r="AT595" s="125">
        <v>0</v>
      </c>
      <c r="AU595" s="125">
        <v>0</v>
      </c>
      <c r="AV595" s="125">
        <v>0</v>
      </c>
      <c r="AW595" s="125">
        <v>0</v>
      </c>
      <c r="AX595" s="125">
        <v>0</v>
      </c>
      <c r="AY595" s="126"/>
      <c r="AZ595" s="126"/>
      <c r="BA595" s="126"/>
      <c r="BB595" s="126"/>
      <c r="BC595" s="126"/>
      <c r="BD595" s="126"/>
      <c r="BE595" s="126"/>
      <c r="BF595" s="157">
        <v>45070515</v>
      </c>
      <c r="BG595" s="97" t="s">
        <v>534</v>
      </c>
      <c r="BH595" s="127">
        <v>54.34</v>
      </c>
      <c r="BI595" s="127">
        <v>45070515</v>
      </c>
      <c r="BJ595" s="97" t="s">
        <v>534</v>
      </c>
      <c r="BK595" s="127">
        <v>57.37</v>
      </c>
    </row>
    <row r="596" spans="1:63" x14ac:dyDescent="0.25">
      <c r="B596" s="121">
        <v>450715</v>
      </c>
      <c r="C596" s="152" t="s">
        <v>535</v>
      </c>
      <c r="D596" s="123">
        <v>303428.88</v>
      </c>
      <c r="E596" s="123">
        <v>29264.15</v>
      </c>
      <c r="F596" s="123">
        <v>47731.24</v>
      </c>
      <c r="G596" s="123">
        <v>68697.89</v>
      </c>
      <c r="H596" s="123">
        <v>83098.37</v>
      </c>
      <c r="I596" s="123">
        <v>97790.54</v>
      </c>
      <c r="J596" s="123">
        <v>116479.05</v>
      </c>
      <c r="K596" s="123">
        <v>126473.23</v>
      </c>
      <c r="L596" s="123">
        <v>149293.12</v>
      </c>
      <c r="M596" s="123">
        <v>165474.66</v>
      </c>
      <c r="N596" s="123">
        <v>176281.12</v>
      </c>
      <c r="O596" s="123">
        <v>187501.47</v>
      </c>
      <c r="P596" s="123">
        <v>195622.05</v>
      </c>
      <c r="Q596" s="123">
        <v>8223.51</v>
      </c>
      <c r="R596" s="123">
        <v>15309.88</v>
      </c>
      <c r="S596" s="123">
        <v>32589.61</v>
      </c>
      <c r="T596" s="123">
        <v>37072.400000000001</v>
      </c>
      <c r="U596" s="123">
        <v>57087.519999999997</v>
      </c>
      <c r="V596" s="123">
        <v>66868.149999999994</v>
      </c>
      <c r="W596" s="123">
        <v>74713.97</v>
      </c>
      <c r="X596" s="123">
        <v>85611.42</v>
      </c>
      <c r="Y596" s="123">
        <v>98087.88</v>
      </c>
      <c r="Z596" s="123">
        <v>109065.23</v>
      </c>
      <c r="AA596" s="123">
        <v>119432.33</v>
      </c>
      <c r="AB596" s="123">
        <v>132572.63</v>
      </c>
      <c r="AC596" s="124">
        <v>9234.7900000000009</v>
      </c>
      <c r="AD596" s="124">
        <v>24352.27</v>
      </c>
      <c r="AE596" s="124">
        <v>35051.910000000003</v>
      </c>
      <c r="AF596" s="124">
        <v>44855.94</v>
      </c>
      <c r="AG596" s="124">
        <v>56075.03</v>
      </c>
      <c r="AH596" s="124">
        <v>63793.7</v>
      </c>
      <c r="AI596" s="124">
        <v>77770.149999999994</v>
      </c>
      <c r="AJ596" s="124">
        <v>88158.32</v>
      </c>
      <c r="AK596" s="124">
        <v>100359.25</v>
      </c>
      <c r="AL596" s="124">
        <v>111881.06</v>
      </c>
      <c r="AM596" s="124">
        <v>125885.32</v>
      </c>
      <c r="AN596" s="124">
        <v>140372.04999999999</v>
      </c>
      <c r="AO596" s="125">
        <v>10207.39</v>
      </c>
      <c r="AP596" s="125">
        <v>28355.37</v>
      </c>
      <c r="AQ596" s="125">
        <v>37093.360000000001</v>
      </c>
      <c r="AR596" s="125">
        <v>54635.35</v>
      </c>
      <c r="AS596" s="125">
        <v>67619.740000000005</v>
      </c>
      <c r="AT596" s="125">
        <v>83260.88</v>
      </c>
      <c r="AU596" s="125">
        <v>95727.8</v>
      </c>
      <c r="AV596" s="125">
        <v>109995.09</v>
      </c>
      <c r="AW596" s="125">
        <v>127085.91</v>
      </c>
      <c r="AX596" s="125">
        <v>137596.82</v>
      </c>
      <c r="AY596" s="126"/>
      <c r="AZ596" s="126"/>
      <c r="BA596" s="126"/>
      <c r="BB596" s="126"/>
      <c r="BC596" s="126"/>
      <c r="BD596" s="126"/>
      <c r="BE596" s="126"/>
      <c r="BF596" s="157">
        <v>450715</v>
      </c>
      <c r="BG596" s="97" t="s">
        <v>535</v>
      </c>
      <c r="BH596" s="127">
        <v>63793.7</v>
      </c>
      <c r="BI596" s="127">
        <v>450715</v>
      </c>
      <c r="BJ596" s="97" t="s">
        <v>535</v>
      </c>
      <c r="BK596" s="127">
        <v>77770.149999999994</v>
      </c>
    </row>
    <row r="597" spans="1:63" x14ac:dyDescent="0.25">
      <c r="B597" s="121">
        <v>45071505</v>
      </c>
      <c r="C597" s="152" t="s">
        <v>536</v>
      </c>
      <c r="D597" s="123">
        <v>4061.63</v>
      </c>
      <c r="E597" s="123">
        <v>235.87</v>
      </c>
      <c r="F597" s="123">
        <v>2351.4299999999998</v>
      </c>
      <c r="G597" s="123">
        <v>3013.67</v>
      </c>
      <c r="H597" s="123">
        <v>3464.52</v>
      </c>
      <c r="I597" s="123">
        <v>3534.52</v>
      </c>
      <c r="J597" s="123">
        <v>4154.42</v>
      </c>
      <c r="K597" s="123">
        <v>4517.42</v>
      </c>
      <c r="L597" s="123">
        <v>4947.32</v>
      </c>
      <c r="M597" s="123">
        <v>6542.09</v>
      </c>
      <c r="N597" s="123">
        <v>8802.59</v>
      </c>
      <c r="O597" s="123">
        <v>9648.06</v>
      </c>
      <c r="P597" s="123">
        <v>10728.21</v>
      </c>
      <c r="Q597" s="123">
        <v>661.71</v>
      </c>
      <c r="R597" s="123">
        <v>1121.69</v>
      </c>
      <c r="S597" s="123">
        <v>2963.32</v>
      </c>
      <c r="T597" s="123">
        <v>4362.6000000000004</v>
      </c>
      <c r="U597" s="123">
        <v>10764.81</v>
      </c>
      <c r="V597" s="123">
        <v>12211.39</v>
      </c>
      <c r="W597" s="123">
        <v>14470.75</v>
      </c>
      <c r="X597" s="123">
        <v>15963.66</v>
      </c>
      <c r="Y597" s="123">
        <v>18232.12</v>
      </c>
      <c r="Z597" s="123">
        <v>19692.12</v>
      </c>
      <c r="AA597" s="123">
        <v>20107.12</v>
      </c>
      <c r="AB597" s="123">
        <v>20631.05</v>
      </c>
      <c r="AC597" s="124">
        <v>1416.75</v>
      </c>
      <c r="AD597" s="124">
        <v>4981.6899999999996</v>
      </c>
      <c r="AE597" s="124">
        <v>6858.72</v>
      </c>
      <c r="AF597" s="124">
        <v>9081.1200000000008</v>
      </c>
      <c r="AG597" s="124">
        <v>10121.120000000001</v>
      </c>
      <c r="AH597" s="124">
        <v>11092.44</v>
      </c>
      <c r="AI597" s="124">
        <v>13909.44</v>
      </c>
      <c r="AJ597" s="124">
        <v>14954.69</v>
      </c>
      <c r="AK597" s="124">
        <v>16495.490000000002</v>
      </c>
      <c r="AL597" s="124">
        <v>17340</v>
      </c>
      <c r="AM597" s="124">
        <v>21375.59</v>
      </c>
      <c r="AN597" s="124">
        <v>23108.17</v>
      </c>
      <c r="AO597" s="125">
        <v>1782.28</v>
      </c>
      <c r="AP597" s="125">
        <v>5368.1</v>
      </c>
      <c r="AQ597" s="125">
        <v>6672.81</v>
      </c>
      <c r="AR597" s="125">
        <v>10199.379999999999</v>
      </c>
      <c r="AS597" s="125">
        <v>11703.91</v>
      </c>
      <c r="AT597" s="125">
        <v>15599.41</v>
      </c>
      <c r="AU597" s="125">
        <v>18236.37</v>
      </c>
      <c r="AV597" s="125">
        <v>19586.37</v>
      </c>
      <c r="AW597" s="125">
        <v>23347.22</v>
      </c>
      <c r="AX597" s="125">
        <v>23812.22</v>
      </c>
      <c r="AY597" s="126"/>
      <c r="AZ597" s="126"/>
      <c r="BA597" s="126"/>
      <c r="BB597" s="126"/>
      <c r="BC597" s="126"/>
      <c r="BD597" s="126"/>
      <c r="BE597" s="126"/>
      <c r="BF597" s="157">
        <v>45071505</v>
      </c>
      <c r="BG597" s="97" t="s">
        <v>537</v>
      </c>
      <c r="BH597" s="127">
        <v>11092.44</v>
      </c>
      <c r="BI597" s="127">
        <v>45071505</v>
      </c>
      <c r="BJ597" s="97" t="s">
        <v>537</v>
      </c>
      <c r="BK597" s="127">
        <v>13909.44</v>
      </c>
    </row>
    <row r="598" spans="1:63" x14ac:dyDescent="0.25">
      <c r="B598" s="121">
        <v>45071510</v>
      </c>
      <c r="C598" s="152" t="s">
        <v>538</v>
      </c>
      <c r="D598" s="123">
        <v>19393.060000000001</v>
      </c>
      <c r="E598" s="123">
        <v>97.84</v>
      </c>
      <c r="F598" s="123">
        <v>182.14</v>
      </c>
      <c r="G598" s="123">
        <v>1190.72</v>
      </c>
      <c r="H598" s="123">
        <v>1574.4</v>
      </c>
      <c r="I598" s="123">
        <v>2177.67</v>
      </c>
      <c r="J598" s="123">
        <v>2387.5100000000002</v>
      </c>
      <c r="K598" s="123">
        <v>2906.95</v>
      </c>
      <c r="L598" s="123">
        <v>3857.9</v>
      </c>
      <c r="M598" s="123">
        <v>5486.39</v>
      </c>
      <c r="N598" s="123">
        <v>5531.39</v>
      </c>
      <c r="O598" s="123">
        <v>6931.58</v>
      </c>
      <c r="P598" s="123">
        <v>7641.25</v>
      </c>
      <c r="Q598" s="123">
        <v>1623.63</v>
      </c>
      <c r="R598" s="123">
        <v>1623.63</v>
      </c>
      <c r="S598" s="123">
        <v>2264.06</v>
      </c>
      <c r="T598" s="123">
        <v>2513.96</v>
      </c>
      <c r="U598" s="123">
        <v>2654.56</v>
      </c>
      <c r="V598" s="123">
        <v>3427.14</v>
      </c>
      <c r="W598" s="123">
        <v>3679.17</v>
      </c>
      <c r="X598" s="123">
        <v>3963.07</v>
      </c>
      <c r="Y598" s="123">
        <v>3981.22</v>
      </c>
      <c r="Z598" s="123">
        <v>4021.72</v>
      </c>
      <c r="AA598" s="123">
        <v>4993.21</v>
      </c>
      <c r="AB598" s="123">
        <v>5940.69</v>
      </c>
      <c r="AC598" s="124">
        <v>77.8</v>
      </c>
      <c r="AD598" s="124">
        <v>745.47</v>
      </c>
      <c r="AE598" s="124">
        <v>1497.1</v>
      </c>
      <c r="AF598" s="124">
        <v>2038.07</v>
      </c>
      <c r="AG598" s="124">
        <v>2604.02</v>
      </c>
      <c r="AH598" s="124">
        <v>2604.02</v>
      </c>
      <c r="AI598" s="124">
        <v>4294.57</v>
      </c>
      <c r="AJ598" s="124">
        <v>4870.8100000000004</v>
      </c>
      <c r="AK598" s="124">
        <v>5096.91</v>
      </c>
      <c r="AL598" s="124">
        <v>8282.7999999999993</v>
      </c>
      <c r="AM598" s="124">
        <v>9274.9599999999991</v>
      </c>
      <c r="AN598" s="124">
        <v>9761.48</v>
      </c>
      <c r="AO598" s="125">
        <v>1749.71</v>
      </c>
      <c r="AP598" s="125">
        <v>3716.7</v>
      </c>
      <c r="AQ598" s="125">
        <v>5893.65</v>
      </c>
      <c r="AR598" s="125">
        <v>7982.11</v>
      </c>
      <c r="AS598" s="125">
        <v>10247.11</v>
      </c>
      <c r="AT598" s="125">
        <v>12835.39</v>
      </c>
      <c r="AU598" s="125">
        <v>13532.07</v>
      </c>
      <c r="AV598" s="125">
        <v>16115.67</v>
      </c>
      <c r="AW598" s="125">
        <v>18783.46</v>
      </c>
      <c r="AX598" s="125">
        <v>19174.97</v>
      </c>
      <c r="AY598" s="126"/>
      <c r="AZ598" s="126"/>
      <c r="BA598" s="126"/>
      <c r="BB598" s="126"/>
      <c r="BC598" s="126"/>
      <c r="BD598" s="126"/>
      <c r="BE598" s="126"/>
      <c r="BF598" s="157">
        <v>45071510</v>
      </c>
      <c r="BG598" s="97" t="s">
        <v>538</v>
      </c>
      <c r="BH598" s="127">
        <v>2604.02</v>
      </c>
      <c r="BI598" s="127">
        <v>45071510</v>
      </c>
      <c r="BJ598" s="97" t="s">
        <v>538</v>
      </c>
      <c r="BK598" s="127">
        <v>4294.57</v>
      </c>
    </row>
    <row r="599" spans="1:63" x14ac:dyDescent="0.25">
      <c r="B599" s="121">
        <v>45071515</v>
      </c>
      <c r="C599" s="152" t="s">
        <v>539</v>
      </c>
      <c r="D599" s="123">
        <v>2929.85</v>
      </c>
      <c r="E599" s="123">
        <v>32</v>
      </c>
      <c r="F599" s="123">
        <v>32</v>
      </c>
      <c r="G599" s="123">
        <v>342.16</v>
      </c>
      <c r="H599" s="123">
        <v>441.27</v>
      </c>
      <c r="I599" s="123">
        <v>441.27</v>
      </c>
      <c r="J599" s="123">
        <v>441.27</v>
      </c>
      <c r="K599" s="123">
        <v>441.27</v>
      </c>
      <c r="L599" s="123">
        <v>441.27</v>
      </c>
      <c r="M599" s="123">
        <v>441.27</v>
      </c>
      <c r="N599" s="123">
        <v>441.27</v>
      </c>
      <c r="O599" s="123">
        <v>1027.23</v>
      </c>
      <c r="P599" s="123">
        <v>1027.23</v>
      </c>
      <c r="Q599" s="128"/>
      <c r="R599" s="128"/>
      <c r="S599" s="128"/>
      <c r="T599" s="128"/>
      <c r="U599" s="123">
        <v>495</v>
      </c>
      <c r="V599" s="123">
        <v>495</v>
      </c>
      <c r="W599" s="123">
        <v>495</v>
      </c>
      <c r="X599" s="123">
        <v>1108.79</v>
      </c>
      <c r="Y599" s="123">
        <v>1118.17</v>
      </c>
      <c r="Z599" s="123">
        <v>1944.53</v>
      </c>
      <c r="AA599" s="123">
        <v>2332.67</v>
      </c>
      <c r="AB599" s="123">
        <v>2504.37</v>
      </c>
      <c r="AC599" s="124">
        <v>1663.25</v>
      </c>
      <c r="AD599" s="124">
        <v>1732.34</v>
      </c>
      <c r="AE599" s="124">
        <v>1795.88</v>
      </c>
      <c r="AF599" s="124">
        <v>2092.1799999999998</v>
      </c>
      <c r="AG599" s="124">
        <v>2571.4499999999998</v>
      </c>
      <c r="AH599" s="124">
        <v>2664.54</v>
      </c>
      <c r="AI599" s="124">
        <v>2710.81</v>
      </c>
      <c r="AJ599" s="124">
        <v>2889.54</v>
      </c>
      <c r="AK599" s="124">
        <v>3650.94</v>
      </c>
      <c r="AL599" s="124">
        <v>3671.37</v>
      </c>
      <c r="AM599" s="124">
        <v>3978.67</v>
      </c>
      <c r="AN599" s="124">
        <v>4181.6000000000004</v>
      </c>
      <c r="AO599" s="125">
        <v>2150</v>
      </c>
      <c r="AP599" s="125">
        <v>2381.7399999999998</v>
      </c>
      <c r="AQ599" s="125">
        <v>2410.4299999999998</v>
      </c>
      <c r="AR599" s="125">
        <v>2653.05</v>
      </c>
      <c r="AS599" s="125">
        <v>2653.05</v>
      </c>
      <c r="AT599" s="125">
        <v>2701.96</v>
      </c>
      <c r="AU599" s="125">
        <v>2851.96</v>
      </c>
      <c r="AV599" s="125">
        <v>2871.16</v>
      </c>
      <c r="AW599" s="125">
        <v>2903.16</v>
      </c>
      <c r="AX599" s="125">
        <v>3053.16</v>
      </c>
      <c r="AY599" s="126"/>
      <c r="AZ599" s="126"/>
      <c r="BA599" s="126"/>
      <c r="BB599" s="126"/>
      <c r="BC599" s="126"/>
      <c r="BD599" s="126"/>
      <c r="BE599" s="126"/>
      <c r="BF599" s="157">
        <v>45071515</v>
      </c>
      <c r="BG599" s="97" t="s">
        <v>539</v>
      </c>
      <c r="BH599" s="127">
        <v>2664.54</v>
      </c>
      <c r="BI599" s="127">
        <v>45071515</v>
      </c>
      <c r="BJ599" s="97" t="s">
        <v>539</v>
      </c>
      <c r="BK599" s="127">
        <v>2710.81</v>
      </c>
    </row>
    <row r="600" spans="1:63" x14ac:dyDescent="0.25">
      <c r="B600" s="121">
        <v>45071520</v>
      </c>
      <c r="C600" s="152" t="s">
        <v>540</v>
      </c>
      <c r="D600" s="123">
        <v>99361.23</v>
      </c>
      <c r="E600" s="123">
        <v>12617.69</v>
      </c>
      <c r="F600" s="123">
        <v>19728.009999999998</v>
      </c>
      <c r="G600" s="123">
        <v>27710.7</v>
      </c>
      <c r="H600" s="123">
        <v>35937.33</v>
      </c>
      <c r="I600" s="123">
        <v>43799.09</v>
      </c>
      <c r="J600" s="123">
        <v>51844.66</v>
      </c>
      <c r="K600" s="123">
        <v>57698.26</v>
      </c>
      <c r="L600" s="123">
        <v>72917.91</v>
      </c>
      <c r="M600" s="123">
        <v>80396.149999999994</v>
      </c>
      <c r="N600" s="123">
        <v>87210.42</v>
      </c>
      <c r="O600" s="123">
        <v>93106.12</v>
      </c>
      <c r="P600" s="123">
        <v>97768.95</v>
      </c>
      <c r="Q600" s="123">
        <v>4270.24</v>
      </c>
      <c r="R600" s="123">
        <v>8998.7000000000007</v>
      </c>
      <c r="S600" s="123">
        <v>22266.37</v>
      </c>
      <c r="T600" s="123">
        <v>23529.98</v>
      </c>
      <c r="U600" s="123">
        <v>34887.29</v>
      </c>
      <c r="V600" s="123">
        <v>41148.76</v>
      </c>
      <c r="W600" s="123">
        <v>45183.19</v>
      </c>
      <c r="X600" s="123">
        <v>52160.04</v>
      </c>
      <c r="Y600" s="123">
        <v>60830.51</v>
      </c>
      <c r="Z600" s="123">
        <v>67971</v>
      </c>
      <c r="AA600" s="123">
        <v>75053.47</v>
      </c>
      <c r="AB600" s="123">
        <v>84974.79</v>
      </c>
      <c r="AC600" s="124">
        <v>4566.99</v>
      </c>
      <c r="AD600" s="124">
        <v>13270.11</v>
      </c>
      <c r="AE600" s="124">
        <v>19767.55</v>
      </c>
      <c r="AF600" s="124">
        <v>26079.03</v>
      </c>
      <c r="AG600" s="124">
        <v>32602.9</v>
      </c>
      <c r="AH600" s="124">
        <v>38847.160000000003</v>
      </c>
      <c r="AI600" s="124">
        <v>45074.12</v>
      </c>
      <c r="AJ600" s="124">
        <v>52152.07</v>
      </c>
      <c r="AK600" s="124">
        <v>58623.55</v>
      </c>
      <c r="AL600" s="124">
        <v>65234.53</v>
      </c>
      <c r="AM600" s="124">
        <v>70708.070000000007</v>
      </c>
      <c r="AN600" s="124">
        <v>81128.740000000005</v>
      </c>
      <c r="AO600" s="125">
        <v>2886.71</v>
      </c>
      <c r="AP600" s="125">
        <v>12884.21</v>
      </c>
      <c r="AQ600" s="125">
        <v>15770.92</v>
      </c>
      <c r="AR600" s="125">
        <v>25114.33</v>
      </c>
      <c r="AS600" s="125">
        <v>31822.37</v>
      </c>
      <c r="AT600" s="125">
        <v>38589.89</v>
      </c>
      <c r="AU600" s="125">
        <v>45232.24</v>
      </c>
      <c r="AV600" s="125">
        <v>53154.78</v>
      </c>
      <c r="AW600" s="125">
        <v>61394.03</v>
      </c>
      <c r="AX600" s="125">
        <v>68451.7</v>
      </c>
      <c r="AY600" s="126"/>
      <c r="AZ600" s="126"/>
      <c r="BA600" s="126"/>
      <c r="BB600" s="126"/>
      <c r="BC600" s="126"/>
      <c r="BD600" s="126"/>
      <c r="BE600" s="126"/>
      <c r="BF600" s="157">
        <v>45071520</v>
      </c>
      <c r="BG600" s="97" t="s">
        <v>540</v>
      </c>
      <c r="BH600" s="127">
        <v>38847.160000000003</v>
      </c>
      <c r="BI600" s="127">
        <v>45071520</v>
      </c>
      <c r="BJ600" s="97" t="s">
        <v>540</v>
      </c>
      <c r="BK600" s="127">
        <v>45074.12</v>
      </c>
    </row>
    <row r="601" spans="1:63" x14ac:dyDescent="0.25">
      <c r="B601" s="121">
        <v>45071525</v>
      </c>
      <c r="C601" s="152" t="s">
        <v>541</v>
      </c>
      <c r="D601" s="123">
        <v>12435.51</v>
      </c>
      <c r="E601" s="123">
        <v>2864.21</v>
      </c>
      <c r="F601" s="123">
        <v>1174.6400000000001</v>
      </c>
      <c r="G601" s="123">
        <v>1542.57</v>
      </c>
      <c r="H601" s="123">
        <v>2002.58</v>
      </c>
      <c r="I601" s="123">
        <v>2583.5100000000002</v>
      </c>
      <c r="J601" s="123">
        <v>2951.44</v>
      </c>
      <c r="K601" s="123">
        <v>3319.37</v>
      </c>
      <c r="L601" s="123">
        <v>3687.3</v>
      </c>
      <c r="M601" s="123">
        <v>4055.23</v>
      </c>
      <c r="N601" s="123">
        <v>4423.16</v>
      </c>
      <c r="O601" s="123">
        <v>4791.09</v>
      </c>
      <c r="P601" s="123">
        <v>5159.0200000000004</v>
      </c>
      <c r="Q601" s="123">
        <v>367.93</v>
      </c>
      <c r="R601" s="123">
        <v>965.86</v>
      </c>
      <c r="S601" s="123">
        <v>1195.8599999999999</v>
      </c>
      <c r="T601" s="123">
        <v>1425.86</v>
      </c>
      <c r="U601" s="123">
        <v>1655.86</v>
      </c>
      <c r="V601" s="123">
        <v>1655.86</v>
      </c>
      <c r="W601" s="123">
        <v>1655.86</v>
      </c>
      <c r="X601" s="123">
        <v>1885.86</v>
      </c>
      <c r="Y601" s="123">
        <v>2115.86</v>
      </c>
      <c r="Z601" s="123">
        <v>2345.86</v>
      </c>
      <c r="AA601" s="123">
        <v>2575.86</v>
      </c>
      <c r="AB601" s="123">
        <v>2805.86</v>
      </c>
      <c r="AC601" s="124">
        <v>230</v>
      </c>
      <c r="AD601" s="124">
        <v>476.99</v>
      </c>
      <c r="AE601" s="124">
        <v>706.99</v>
      </c>
      <c r="AF601" s="124">
        <v>959.87</v>
      </c>
      <c r="AG601" s="124">
        <v>1189.8699999999999</v>
      </c>
      <c r="AH601" s="124">
        <v>1419.87</v>
      </c>
      <c r="AI601" s="124">
        <v>1649.87</v>
      </c>
      <c r="AJ601" s="124">
        <v>1879.87</v>
      </c>
      <c r="AK601" s="124">
        <v>2109.87</v>
      </c>
      <c r="AL601" s="124">
        <v>2339.87</v>
      </c>
      <c r="AM601" s="124">
        <v>2569.87</v>
      </c>
      <c r="AN601" s="124">
        <v>2799.87</v>
      </c>
      <c r="AO601" s="125">
        <v>230</v>
      </c>
      <c r="AP601" s="125">
        <v>460</v>
      </c>
      <c r="AQ601" s="125">
        <v>690</v>
      </c>
      <c r="AR601" s="125">
        <v>920</v>
      </c>
      <c r="AS601" s="125">
        <v>1150</v>
      </c>
      <c r="AT601" s="125">
        <v>1380</v>
      </c>
      <c r="AU601" s="125">
        <v>1610</v>
      </c>
      <c r="AV601" s="125">
        <v>1891.02</v>
      </c>
      <c r="AW601" s="125">
        <v>2121.02</v>
      </c>
      <c r="AX601" s="125">
        <v>2402.04</v>
      </c>
      <c r="AY601" s="126"/>
      <c r="AZ601" s="126"/>
      <c r="BA601" s="126"/>
      <c r="BB601" s="126"/>
      <c r="BC601" s="126"/>
      <c r="BD601" s="126"/>
      <c r="BE601" s="126"/>
      <c r="BF601" s="157">
        <v>45071525</v>
      </c>
      <c r="BG601" s="97" t="s">
        <v>541</v>
      </c>
      <c r="BH601" s="127">
        <v>1419.87</v>
      </c>
      <c r="BI601" s="127">
        <v>45071525</v>
      </c>
      <c r="BJ601" s="97" t="s">
        <v>541</v>
      </c>
      <c r="BK601" s="127">
        <v>1649.87</v>
      </c>
    </row>
    <row r="602" spans="1:63" x14ac:dyDescent="0.25">
      <c r="B602" s="121">
        <v>45071530</v>
      </c>
      <c r="C602" s="152" t="s">
        <v>542</v>
      </c>
      <c r="D602" s="123">
        <v>165247.6</v>
      </c>
      <c r="E602" s="123">
        <v>13416.54</v>
      </c>
      <c r="F602" s="123">
        <v>24263.02</v>
      </c>
      <c r="G602" s="123">
        <v>34898.07</v>
      </c>
      <c r="H602" s="123">
        <v>39678.269999999997</v>
      </c>
      <c r="I602" s="123">
        <v>45254.48</v>
      </c>
      <c r="J602" s="123">
        <v>54699.75</v>
      </c>
      <c r="K602" s="123">
        <v>57589.96</v>
      </c>
      <c r="L602" s="123">
        <v>63441.42</v>
      </c>
      <c r="M602" s="123">
        <v>68553.53</v>
      </c>
      <c r="N602" s="123">
        <v>69872.289999999994</v>
      </c>
      <c r="O602" s="123">
        <v>71997.39</v>
      </c>
      <c r="P602" s="123">
        <v>73297.39</v>
      </c>
      <c r="Q602" s="123">
        <v>1300</v>
      </c>
      <c r="R602" s="123">
        <v>2600</v>
      </c>
      <c r="S602" s="123">
        <v>3900</v>
      </c>
      <c r="T602" s="123">
        <v>5240</v>
      </c>
      <c r="U602" s="123">
        <v>6630</v>
      </c>
      <c r="V602" s="123">
        <v>7930</v>
      </c>
      <c r="W602" s="123">
        <v>9230</v>
      </c>
      <c r="X602" s="123">
        <v>10530</v>
      </c>
      <c r="Y602" s="123">
        <v>11810</v>
      </c>
      <c r="Z602" s="123">
        <v>13090</v>
      </c>
      <c r="AA602" s="123">
        <v>14370</v>
      </c>
      <c r="AB602" s="123">
        <v>15715.87</v>
      </c>
      <c r="AC602" s="124">
        <v>1280</v>
      </c>
      <c r="AD602" s="124">
        <v>3145.67</v>
      </c>
      <c r="AE602" s="124">
        <v>4425.67</v>
      </c>
      <c r="AF602" s="124">
        <v>4605.67</v>
      </c>
      <c r="AG602" s="124">
        <v>6985.67</v>
      </c>
      <c r="AH602" s="124">
        <v>7165.67</v>
      </c>
      <c r="AI602" s="124">
        <v>10131.34</v>
      </c>
      <c r="AJ602" s="124">
        <v>11411.34</v>
      </c>
      <c r="AK602" s="124">
        <v>14382.49</v>
      </c>
      <c r="AL602" s="124">
        <v>15012.49</v>
      </c>
      <c r="AM602" s="124">
        <v>17978.16</v>
      </c>
      <c r="AN602" s="124">
        <v>19392.189999999999</v>
      </c>
      <c r="AO602" s="125">
        <v>1408.69</v>
      </c>
      <c r="AP602" s="125">
        <v>3544.62</v>
      </c>
      <c r="AQ602" s="125">
        <v>5655.55</v>
      </c>
      <c r="AR602" s="125">
        <v>7766.48</v>
      </c>
      <c r="AS602" s="125">
        <v>10043.299999999999</v>
      </c>
      <c r="AT602" s="125">
        <v>12154.23</v>
      </c>
      <c r="AU602" s="125">
        <v>14265.16</v>
      </c>
      <c r="AV602" s="125">
        <v>16376.09</v>
      </c>
      <c r="AW602" s="125">
        <v>18537.02</v>
      </c>
      <c r="AX602" s="125">
        <v>20702.73</v>
      </c>
      <c r="AY602" s="126"/>
      <c r="AZ602" s="126"/>
      <c r="BA602" s="126"/>
      <c r="BB602" s="126"/>
      <c r="BC602" s="126"/>
      <c r="BD602" s="126"/>
      <c r="BE602" s="126"/>
      <c r="BF602" s="157">
        <v>45071530</v>
      </c>
      <c r="BG602" s="97" t="s">
        <v>542</v>
      </c>
      <c r="BH602" s="127">
        <v>7165.67</v>
      </c>
      <c r="BI602" s="127">
        <v>45071530</v>
      </c>
      <c r="BJ602" s="97" t="s">
        <v>542</v>
      </c>
      <c r="BK602" s="127">
        <v>10131.34</v>
      </c>
    </row>
    <row r="603" spans="1:63" x14ac:dyDescent="0.25">
      <c r="B603" s="121">
        <v>450790</v>
      </c>
      <c r="C603" s="152" t="s">
        <v>249</v>
      </c>
      <c r="D603" s="123">
        <v>48141.47</v>
      </c>
      <c r="E603" s="123">
        <v>1379.28</v>
      </c>
      <c r="F603" s="123">
        <v>3358.93</v>
      </c>
      <c r="G603" s="123">
        <v>9624.89</v>
      </c>
      <c r="H603" s="123">
        <v>15538.22</v>
      </c>
      <c r="I603" s="123">
        <v>21885.97</v>
      </c>
      <c r="J603" s="123">
        <v>27639.42</v>
      </c>
      <c r="K603" s="123">
        <v>34357.69</v>
      </c>
      <c r="L603" s="123">
        <v>44361.13</v>
      </c>
      <c r="M603" s="123">
        <v>53460.7</v>
      </c>
      <c r="N603" s="123">
        <v>60649.64</v>
      </c>
      <c r="O603" s="123">
        <v>66402.87</v>
      </c>
      <c r="P603" s="123">
        <v>73623.179999999993</v>
      </c>
      <c r="Q603" s="123">
        <v>1473.79</v>
      </c>
      <c r="R603" s="123">
        <v>7989.49</v>
      </c>
      <c r="S603" s="123">
        <v>8922.6</v>
      </c>
      <c r="T603" s="123">
        <v>9180.9</v>
      </c>
      <c r="U603" s="123">
        <v>16998.18</v>
      </c>
      <c r="V603" s="123">
        <v>24547.23</v>
      </c>
      <c r="W603" s="123">
        <v>31212.95</v>
      </c>
      <c r="X603" s="123">
        <v>38568.04</v>
      </c>
      <c r="Y603" s="123">
        <v>46820.88</v>
      </c>
      <c r="Z603" s="123">
        <v>54783.45</v>
      </c>
      <c r="AA603" s="123">
        <v>62800.54</v>
      </c>
      <c r="AB603" s="123">
        <v>13986.37</v>
      </c>
      <c r="AC603" s="124">
        <v>4999.04</v>
      </c>
      <c r="AD603" s="124">
        <v>10090.08</v>
      </c>
      <c r="AE603" s="124">
        <v>16247.74</v>
      </c>
      <c r="AF603" s="124">
        <v>21364.22</v>
      </c>
      <c r="AG603" s="124">
        <v>26392.53</v>
      </c>
      <c r="AH603" s="124">
        <v>31450.47</v>
      </c>
      <c r="AI603" s="124">
        <v>36390.86</v>
      </c>
      <c r="AJ603" s="124">
        <v>41427.339999999997</v>
      </c>
      <c r="AK603" s="124">
        <v>46816.84</v>
      </c>
      <c r="AL603" s="124">
        <v>51818.14</v>
      </c>
      <c r="AM603" s="124">
        <v>56999.26</v>
      </c>
      <c r="AN603" s="124">
        <v>69468.89</v>
      </c>
      <c r="AO603" s="125">
        <v>767.12</v>
      </c>
      <c r="AP603" s="125">
        <v>1230.69</v>
      </c>
      <c r="AQ603" s="125">
        <v>2181.0700000000002</v>
      </c>
      <c r="AR603" s="125">
        <v>2483.4</v>
      </c>
      <c r="AS603" s="125">
        <v>2620.4899999999998</v>
      </c>
      <c r="AT603" s="125">
        <v>2933.49</v>
      </c>
      <c r="AU603" s="125">
        <v>3168</v>
      </c>
      <c r="AV603" s="125">
        <v>3436.46</v>
      </c>
      <c r="AW603" s="125">
        <v>3706.62</v>
      </c>
      <c r="AX603" s="125">
        <v>4014.08</v>
      </c>
      <c r="AY603" s="126"/>
      <c r="AZ603" s="126"/>
      <c r="BA603" s="126"/>
      <c r="BB603" s="126"/>
      <c r="BC603" s="126"/>
      <c r="BD603" s="126"/>
      <c r="BE603" s="126"/>
      <c r="BF603" s="157">
        <v>450790</v>
      </c>
      <c r="BG603" s="97" t="s">
        <v>249</v>
      </c>
      <c r="BH603" s="127">
        <v>31450.47</v>
      </c>
      <c r="BI603" s="127">
        <v>450790</v>
      </c>
      <c r="BJ603" s="97" t="s">
        <v>249</v>
      </c>
      <c r="BK603" s="127">
        <v>36390.86</v>
      </c>
    </row>
    <row r="604" spans="1:63" x14ac:dyDescent="0.25">
      <c r="B604" s="121">
        <v>45079005</v>
      </c>
      <c r="C604" s="152" t="s">
        <v>543</v>
      </c>
      <c r="D604" s="123">
        <v>76.53</v>
      </c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3">
        <v>14.5</v>
      </c>
      <c r="X604" s="123">
        <v>64.5</v>
      </c>
      <c r="Y604" s="123">
        <v>69.3</v>
      </c>
      <c r="Z604" s="123">
        <v>116.24</v>
      </c>
      <c r="AA604" s="123">
        <v>265.58</v>
      </c>
      <c r="AB604" s="123">
        <v>402.97</v>
      </c>
      <c r="AC604" s="124">
        <v>0.56000000000000005</v>
      </c>
      <c r="AD604" s="124">
        <v>11.69</v>
      </c>
      <c r="AE604" s="124">
        <v>20.69</v>
      </c>
      <c r="AF604" s="124">
        <v>85.91</v>
      </c>
      <c r="AG604" s="124">
        <v>124.49</v>
      </c>
      <c r="AH604" s="124">
        <v>150</v>
      </c>
      <c r="AI604" s="124">
        <v>218.35</v>
      </c>
      <c r="AJ604" s="124">
        <v>294.88</v>
      </c>
      <c r="AK604" s="124">
        <v>602.30999999999995</v>
      </c>
      <c r="AL604" s="124">
        <v>760.6</v>
      </c>
      <c r="AM604" s="124">
        <v>992.16</v>
      </c>
      <c r="AN604" s="124">
        <v>1320.43</v>
      </c>
      <c r="AO604" s="125">
        <v>474.62</v>
      </c>
      <c r="AP604" s="125">
        <v>696.75</v>
      </c>
      <c r="AQ604" s="125">
        <v>1118.3499999999999</v>
      </c>
      <c r="AR604" s="125">
        <v>1121.3699999999999</v>
      </c>
      <c r="AS604" s="125">
        <v>1125.96</v>
      </c>
      <c r="AT604" s="125">
        <v>1316.1</v>
      </c>
      <c r="AU604" s="125">
        <v>1388.73</v>
      </c>
      <c r="AV604" s="125">
        <v>1443.19</v>
      </c>
      <c r="AW604" s="125">
        <v>1479.04</v>
      </c>
      <c r="AX604" s="125">
        <v>1482.63</v>
      </c>
      <c r="AY604" s="126"/>
      <c r="AZ604" s="126"/>
      <c r="BA604" s="126"/>
      <c r="BB604" s="126"/>
      <c r="BC604" s="126"/>
      <c r="BD604" s="126"/>
      <c r="BE604" s="126"/>
      <c r="BF604" s="157">
        <v>45079005</v>
      </c>
      <c r="BG604" s="97" t="s">
        <v>543</v>
      </c>
      <c r="BH604" s="127">
        <v>150</v>
      </c>
      <c r="BI604" s="127">
        <v>45079005</v>
      </c>
      <c r="BJ604" s="97" t="s">
        <v>543</v>
      </c>
      <c r="BK604" s="127">
        <v>218.35</v>
      </c>
    </row>
    <row r="605" spans="1:63" x14ac:dyDescent="0.25">
      <c r="B605" s="121">
        <v>45079010</v>
      </c>
      <c r="C605" s="152" t="s">
        <v>544</v>
      </c>
      <c r="D605" s="123">
        <v>48064.94</v>
      </c>
      <c r="E605" s="123">
        <v>1379.28</v>
      </c>
      <c r="F605" s="123">
        <v>3358.93</v>
      </c>
      <c r="G605" s="123">
        <v>9624.89</v>
      </c>
      <c r="H605" s="123">
        <v>15538.22</v>
      </c>
      <c r="I605" s="123">
        <v>21885.97</v>
      </c>
      <c r="J605" s="123">
        <v>27639.42</v>
      </c>
      <c r="K605" s="123">
        <v>34357.69</v>
      </c>
      <c r="L605" s="123">
        <v>44361.13</v>
      </c>
      <c r="M605" s="123">
        <v>53460.7</v>
      </c>
      <c r="N605" s="123">
        <v>60649.64</v>
      </c>
      <c r="O605" s="123">
        <v>66402.87</v>
      </c>
      <c r="P605" s="123">
        <v>73623.179999999993</v>
      </c>
      <c r="Q605" s="123">
        <v>1473.79</v>
      </c>
      <c r="R605" s="123">
        <v>7989.49</v>
      </c>
      <c r="S605" s="123">
        <v>8922.6</v>
      </c>
      <c r="T605" s="123">
        <v>9180.9</v>
      </c>
      <c r="U605" s="123">
        <v>16998.18</v>
      </c>
      <c r="V605" s="123">
        <v>24547.23</v>
      </c>
      <c r="W605" s="123">
        <v>31198.45</v>
      </c>
      <c r="X605" s="123">
        <v>38503.54</v>
      </c>
      <c r="Y605" s="123">
        <v>46751.58</v>
      </c>
      <c r="Z605" s="123">
        <v>54667.21</v>
      </c>
      <c r="AA605" s="123">
        <v>62534.96</v>
      </c>
      <c r="AB605" s="123">
        <v>13583.4</v>
      </c>
      <c r="AC605" s="124">
        <v>4998.4799999999996</v>
      </c>
      <c r="AD605" s="124">
        <v>10078.39</v>
      </c>
      <c r="AE605" s="124">
        <v>16227.05</v>
      </c>
      <c r="AF605" s="124">
        <v>21278.31</v>
      </c>
      <c r="AG605" s="124">
        <v>26268.04</v>
      </c>
      <c r="AH605" s="124">
        <v>31300.47</v>
      </c>
      <c r="AI605" s="124">
        <v>36172.51</v>
      </c>
      <c r="AJ605" s="124">
        <v>41132.46</v>
      </c>
      <c r="AK605" s="124">
        <v>46214.53</v>
      </c>
      <c r="AL605" s="124">
        <v>51057.54</v>
      </c>
      <c r="AM605" s="124">
        <v>56007.1</v>
      </c>
      <c r="AN605" s="124">
        <v>68148.460000000006</v>
      </c>
      <c r="AO605" s="125">
        <v>292.5</v>
      </c>
      <c r="AP605" s="125">
        <v>533.94000000000005</v>
      </c>
      <c r="AQ605" s="125">
        <v>1062.72</v>
      </c>
      <c r="AR605" s="125">
        <v>1362.03</v>
      </c>
      <c r="AS605" s="125">
        <v>1494.53</v>
      </c>
      <c r="AT605" s="125">
        <v>1617.39</v>
      </c>
      <c r="AU605" s="125">
        <v>1779.27</v>
      </c>
      <c r="AV605" s="125">
        <v>1993.27</v>
      </c>
      <c r="AW605" s="125">
        <v>2227.58</v>
      </c>
      <c r="AX605" s="125">
        <v>2531.4499999999998</v>
      </c>
      <c r="AY605" s="126"/>
      <c r="AZ605" s="126"/>
      <c r="BA605" s="126"/>
      <c r="BB605" s="126"/>
      <c r="BC605" s="126"/>
      <c r="BD605" s="126"/>
      <c r="BE605" s="126"/>
      <c r="BF605" s="157">
        <v>45079010</v>
      </c>
      <c r="BG605" s="97" t="s">
        <v>544</v>
      </c>
      <c r="BH605" s="127">
        <v>31300.47</v>
      </c>
      <c r="BI605" s="127">
        <v>45079010</v>
      </c>
      <c r="BJ605" s="97" t="s">
        <v>544</v>
      </c>
      <c r="BK605" s="127">
        <v>36172.51</v>
      </c>
    </row>
    <row r="606" spans="1:63" x14ac:dyDescent="0.25">
      <c r="B606" s="121">
        <v>46</v>
      </c>
      <c r="C606" s="152" t="s">
        <v>545</v>
      </c>
      <c r="D606" s="123">
        <v>2798.95</v>
      </c>
      <c r="E606" s="128"/>
      <c r="F606" s="123">
        <v>4267.71</v>
      </c>
      <c r="G606" s="123">
        <v>4267.71</v>
      </c>
      <c r="H606" s="123">
        <v>4267.71</v>
      </c>
      <c r="I606" s="123">
        <v>8757.42</v>
      </c>
      <c r="J606" s="123">
        <v>8757.42</v>
      </c>
      <c r="K606" s="123">
        <v>8757.42</v>
      </c>
      <c r="L606" s="123">
        <v>8757.42</v>
      </c>
      <c r="M606" s="123">
        <v>8757.42</v>
      </c>
      <c r="N606" s="123">
        <v>8757.42</v>
      </c>
      <c r="O606" s="123">
        <v>8757.42</v>
      </c>
      <c r="P606" s="123">
        <v>89512.5</v>
      </c>
      <c r="Q606" s="128"/>
      <c r="R606" s="123">
        <v>882.14</v>
      </c>
      <c r="S606" s="123">
        <v>882.14</v>
      </c>
      <c r="T606" s="123">
        <v>882.14</v>
      </c>
      <c r="U606" s="123">
        <v>882.14</v>
      </c>
      <c r="V606" s="123">
        <v>882.14</v>
      </c>
      <c r="W606" s="123">
        <v>882.14</v>
      </c>
      <c r="X606" s="123">
        <v>882.14</v>
      </c>
      <c r="Y606" s="123">
        <v>882.14</v>
      </c>
      <c r="Z606" s="123">
        <v>882.14</v>
      </c>
      <c r="AA606" s="123">
        <v>882.14</v>
      </c>
      <c r="AB606" s="123">
        <v>882.14</v>
      </c>
      <c r="AC606" s="129"/>
      <c r="AD606" s="129"/>
      <c r="AE606" s="129"/>
      <c r="AF606" s="129"/>
      <c r="AG606" s="129"/>
      <c r="AH606" s="129"/>
      <c r="AI606" s="129"/>
      <c r="AJ606" s="124">
        <v>0</v>
      </c>
      <c r="AK606" s="124">
        <v>0</v>
      </c>
      <c r="AL606" s="124">
        <v>0</v>
      </c>
      <c r="AM606" s="124">
        <v>0</v>
      </c>
      <c r="AN606" s="124">
        <v>0</v>
      </c>
      <c r="AO606" s="125">
        <v>0</v>
      </c>
      <c r="AP606" s="125">
        <v>0</v>
      </c>
      <c r="AQ606" s="125">
        <v>0</v>
      </c>
      <c r="AR606" s="125">
        <v>0</v>
      </c>
      <c r="AS606" s="125">
        <v>0</v>
      </c>
      <c r="AT606" s="125">
        <v>0</v>
      </c>
      <c r="AU606" s="125">
        <v>0</v>
      </c>
      <c r="AV606" s="125">
        <v>0</v>
      </c>
      <c r="AW606" s="125">
        <v>0</v>
      </c>
      <c r="AX606" s="125">
        <v>0</v>
      </c>
      <c r="AY606" s="126"/>
      <c r="AZ606" s="126"/>
      <c r="BA606" s="126"/>
      <c r="BB606" s="126"/>
      <c r="BC606" s="126"/>
      <c r="BD606" s="126"/>
      <c r="BE606" s="126"/>
      <c r="BF606" s="158"/>
    </row>
    <row r="607" spans="1:63" x14ac:dyDescent="0.25">
      <c r="B607" s="121">
        <v>4602</v>
      </c>
      <c r="C607" s="152" t="s">
        <v>546</v>
      </c>
      <c r="D607" s="123">
        <v>2798.95</v>
      </c>
      <c r="E607" s="128"/>
      <c r="F607" s="123">
        <v>4267.71</v>
      </c>
      <c r="G607" s="123">
        <v>4267.71</v>
      </c>
      <c r="H607" s="123">
        <v>4267.71</v>
      </c>
      <c r="I607" s="123">
        <v>8757.42</v>
      </c>
      <c r="J607" s="123">
        <v>8757.42</v>
      </c>
      <c r="K607" s="123">
        <v>8757.42</v>
      </c>
      <c r="L607" s="123">
        <v>8757.42</v>
      </c>
      <c r="M607" s="123">
        <v>8757.42</v>
      </c>
      <c r="N607" s="123">
        <v>8757.42</v>
      </c>
      <c r="O607" s="123">
        <v>8757.42</v>
      </c>
      <c r="P607" s="123">
        <v>8757.42</v>
      </c>
      <c r="Q607" s="128"/>
      <c r="R607" s="123">
        <v>882.14</v>
      </c>
      <c r="S607" s="123">
        <v>882.14</v>
      </c>
      <c r="T607" s="123">
        <v>882.14</v>
      </c>
      <c r="U607" s="123">
        <v>882.14</v>
      </c>
      <c r="V607" s="123">
        <v>882.14</v>
      </c>
      <c r="W607" s="123">
        <v>882.14</v>
      </c>
      <c r="X607" s="123">
        <v>882.14</v>
      </c>
      <c r="Y607" s="123">
        <v>882.14</v>
      </c>
      <c r="Z607" s="123">
        <v>882.14</v>
      </c>
      <c r="AA607" s="123">
        <v>882.14</v>
      </c>
      <c r="AB607" s="123">
        <v>882.14</v>
      </c>
      <c r="AC607" s="129"/>
      <c r="AD607" s="129"/>
      <c r="AE607" s="129"/>
      <c r="AF607" s="129"/>
      <c r="AG607" s="129"/>
      <c r="AH607" s="129"/>
      <c r="AI607" s="129"/>
      <c r="AJ607" s="124">
        <v>0</v>
      </c>
      <c r="AK607" s="124">
        <v>0</v>
      </c>
      <c r="AL607" s="124">
        <v>0</v>
      </c>
      <c r="AM607" s="124">
        <v>0</v>
      </c>
      <c r="AN607" s="124">
        <v>0</v>
      </c>
      <c r="AO607" s="125">
        <v>0</v>
      </c>
      <c r="AP607" s="125">
        <v>0</v>
      </c>
      <c r="AQ607" s="125">
        <v>0</v>
      </c>
      <c r="AR607" s="125">
        <v>0</v>
      </c>
      <c r="AS607" s="125">
        <v>0</v>
      </c>
      <c r="AT607" s="125">
        <v>0</v>
      </c>
      <c r="AU607" s="125">
        <v>0</v>
      </c>
      <c r="AV607" s="125">
        <v>0</v>
      </c>
      <c r="AW607" s="125">
        <v>0</v>
      </c>
      <c r="AX607" s="125">
        <v>0</v>
      </c>
      <c r="AY607" s="126"/>
      <c r="AZ607" s="126"/>
      <c r="BA607" s="126"/>
      <c r="BB607" s="126"/>
      <c r="BC607" s="126"/>
      <c r="BD607" s="126"/>
      <c r="BE607" s="126"/>
      <c r="BF607" s="158"/>
    </row>
    <row r="608" spans="1:63" x14ac:dyDescent="0.25">
      <c r="B608" s="121">
        <v>4690</v>
      </c>
      <c r="C608" s="152" t="s">
        <v>219</v>
      </c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3">
        <v>80755.08</v>
      </c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  <c r="AA608" s="128"/>
      <c r="AB608" s="128"/>
      <c r="AC608" s="129"/>
      <c r="AD608" s="129"/>
      <c r="AE608" s="129"/>
      <c r="AF608" s="129"/>
      <c r="AG608" s="129"/>
      <c r="AH608" s="129"/>
      <c r="AI608" s="129"/>
      <c r="AJ608" s="124">
        <v>0</v>
      </c>
      <c r="AK608" s="124">
        <v>0</v>
      </c>
      <c r="AL608" s="124">
        <v>0</v>
      </c>
      <c r="AM608" s="124">
        <v>0</v>
      </c>
      <c r="AN608" s="124">
        <v>0</v>
      </c>
      <c r="AO608" s="125">
        <v>0</v>
      </c>
      <c r="AP608" s="125">
        <v>0</v>
      </c>
      <c r="AQ608" s="125">
        <v>0</v>
      </c>
      <c r="AR608" s="125">
        <v>0</v>
      </c>
      <c r="AS608" s="125">
        <v>0</v>
      </c>
      <c r="AT608" s="125">
        <v>0</v>
      </c>
      <c r="AU608" s="125">
        <v>0</v>
      </c>
      <c r="AV608" s="125">
        <v>0</v>
      </c>
      <c r="AW608" s="125">
        <v>0</v>
      </c>
      <c r="AX608" s="125">
        <v>0</v>
      </c>
      <c r="AY608" s="126"/>
      <c r="AZ608" s="126"/>
      <c r="BA608" s="126"/>
      <c r="BB608" s="126"/>
      <c r="BC608" s="126"/>
      <c r="BD608" s="126"/>
      <c r="BE608" s="126"/>
      <c r="BF608" s="158"/>
    </row>
    <row r="609" spans="1:63" x14ac:dyDescent="0.25">
      <c r="B609" s="121">
        <v>47</v>
      </c>
      <c r="C609" s="152" t="s">
        <v>547</v>
      </c>
      <c r="D609" s="123">
        <v>70913.119999999995</v>
      </c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3">
        <v>18795.13</v>
      </c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  <c r="AA609" s="128"/>
      <c r="AB609" s="128"/>
      <c r="AC609" s="124">
        <v>2025.73</v>
      </c>
      <c r="AD609" s="124">
        <v>4172.3599999999997</v>
      </c>
      <c r="AE609" s="124">
        <v>6093.99</v>
      </c>
      <c r="AF609" s="124">
        <v>7398.34</v>
      </c>
      <c r="AG609" s="124">
        <v>8605.2900000000009</v>
      </c>
      <c r="AH609" s="124">
        <v>13718.72</v>
      </c>
      <c r="AI609" s="124">
        <v>22751.23</v>
      </c>
      <c r="AJ609" s="124">
        <v>28434.93</v>
      </c>
      <c r="AK609" s="124">
        <v>36025.96</v>
      </c>
      <c r="AL609" s="124">
        <v>41618.089999999997</v>
      </c>
      <c r="AM609" s="124">
        <v>42977.5</v>
      </c>
      <c r="AN609" s="124">
        <v>44336.91</v>
      </c>
      <c r="AO609" s="125">
        <v>1359.41</v>
      </c>
      <c r="AP609" s="125">
        <v>2718.82</v>
      </c>
      <c r="AQ609" s="125">
        <v>4078.23</v>
      </c>
      <c r="AR609" s="125">
        <v>5437.64</v>
      </c>
      <c r="AS609" s="125">
        <v>6797.05</v>
      </c>
      <c r="AT609" s="125">
        <v>8156.46</v>
      </c>
      <c r="AU609" s="125">
        <v>45031.22</v>
      </c>
      <c r="AV609" s="125">
        <v>117243.43</v>
      </c>
      <c r="AW609" s="125">
        <v>170436.4</v>
      </c>
      <c r="AX609" s="125">
        <v>240724.24</v>
      </c>
      <c r="AY609" s="126"/>
      <c r="AZ609" s="126"/>
      <c r="BA609" s="126"/>
      <c r="BB609" s="126"/>
      <c r="BC609" s="126"/>
      <c r="BD609" s="126"/>
      <c r="BE609" s="126"/>
      <c r="BF609" s="157">
        <v>47</v>
      </c>
      <c r="BG609" s="97" t="s">
        <v>547</v>
      </c>
      <c r="BH609" s="127">
        <v>13718.72</v>
      </c>
      <c r="BI609" s="127">
        <v>47</v>
      </c>
      <c r="BJ609" s="97" t="s">
        <v>547</v>
      </c>
      <c r="BK609" s="127">
        <v>22751.23</v>
      </c>
    </row>
    <row r="610" spans="1:63" x14ac:dyDescent="0.25">
      <c r="B610" s="121">
        <v>4701</v>
      </c>
      <c r="C610" s="152" t="s">
        <v>548</v>
      </c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  <c r="AA610" s="128"/>
      <c r="AB610" s="128"/>
      <c r="AC610" s="129"/>
      <c r="AD610" s="129"/>
      <c r="AE610" s="129"/>
      <c r="AF610" s="124">
        <v>1304.3499999999999</v>
      </c>
      <c r="AG610" s="124">
        <v>1304.3499999999999</v>
      </c>
      <c r="AH610" s="124">
        <v>1304.3499999999999</v>
      </c>
      <c r="AI610" s="124">
        <v>8409.18</v>
      </c>
      <c r="AJ610" s="124">
        <v>14092.88</v>
      </c>
      <c r="AK610" s="124">
        <v>14092.88</v>
      </c>
      <c r="AL610" s="124">
        <v>16040.84</v>
      </c>
      <c r="AM610" s="124">
        <v>16040.84</v>
      </c>
      <c r="AN610" s="124">
        <v>16040.84</v>
      </c>
      <c r="AO610" s="125">
        <v>0</v>
      </c>
      <c r="AP610" s="125">
        <v>0</v>
      </c>
      <c r="AQ610" s="125">
        <v>0</v>
      </c>
      <c r="AR610" s="125">
        <v>0</v>
      </c>
      <c r="AS610" s="125">
        <v>0</v>
      </c>
      <c r="AT610" s="125">
        <v>0</v>
      </c>
      <c r="AU610" s="125">
        <v>0</v>
      </c>
      <c r="AV610" s="125">
        <v>0</v>
      </c>
      <c r="AW610" s="125">
        <v>0</v>
      </c>
      <c r="AX610" s="125">
        <v>0</v>
      </c>
      <c r="AY610" s="126"/>
      <c r="AZ610" s="126"/>
      <c r="BA610" s="126"/>
      <c r="BB610" s="126"/>
      <c r="BC610" s="126"/>
      <c r="BD610" s="126"/>
      <c r="BE610" s="126"/>
      <c r="BF610" s="157">
        <v>4701</v>
      </c>
      <c r="BG610" s="97" t="s">
        <v>548</v>
      </c>
      <c r="BH610" s="127">
        <v>1304.3499999999999</v>
      </c>
      <c r="BI610" s="127">
        <v>4701</v>
      </c>
      <c r="BJ610" s="97" t="s">
        <v>548</v>
      </c>
      <c r="BK610" s="127">
        <v>8409.18</v>
      </c>
    </row>
    <row r="611" spans="1:63" x14ac:dyDescent="0.25">
      <c r="B611" s="121">
        <v>4703</v>
      </c>
      <c r="C611" s="152" t="s">
        <v>549</v>
      </c>
      <c r="D611" s="123">
        <v>5.32</v>
      </c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  <c r="AA611" s="128"/>
      <c r="AB611" s="128"/>
      <c r="AC611" s="124">
        <v>634.26</v>
      </c>
      <c r="AD611" s="124">
        <v>634.26</v>
      </c>
      <c r="AE611" s="124">
        <v>634.26</v>
      </c>
      <c r="AF611" s="124">
        <v>634.26</v>
      </c>
      <c r="AG611" s="124">
        <v>634.26</v>
      </c>
      <c r="AH611" s="124">
        <v>634.26</v>
      </c>
      <c r="AI611" s="124">
        <v>634.26</v>
      </c>
      <c r="AJ611" s="124">
        <v>634.26</v>
      </c>
      <c r="AK611" s="124">
        <v>634.26</v>
      </c>
      <c r="AL611" s="124">
        <v>634.26</v>
      </c>
      <c r="AM611" s="124">
        <v>634.26</v>
      </c>
      <c r="AN611" s="124">
        <v>634.26</v>
      </c>
      <c r="AO611" s="125">
        <v>0</v>
      </c>
      <c r="AP611" s="125">
        <v>0</v>
      </c>
      <c r="AQ611" s="125">
        <v>0</v>
      </c>
      <c r="AR611" s="125">
        <v>0</v>
      </c>
      <c r="AS611" s="125">
        <v>0</v>
      </c>
      <c r="AT611" s="125">
        <v>0</v>
      </c>
      <c r="AU611" s="125">
        <v>0</v>
      </c>
      <c r="AV611" s="125">
        <v>0</v>
      </c>
      <c r="AW611" s="125">
        <v>0</v>
      </c>
      <c r="AX611" s="125">
        <v>0</v>
      </c>
      <c r="AY611" s="126"/>
      <c r="AZ611" s="126"/>
      <c r="BA611" s="126"/>
      <c r="BB611" s="126"/>
      <c r="BC611" s="126"/>
      <c r="BD611" s="126"/>
      <c r="BE611" s="126"/>
      <c r="BF611" s="157">
        <v>4703</v>
      </c>
      <c r="BG611" s="97" t="s">
        <v>549</v>
      </c>
      <c r="BH611" s="127">
        <v>634.26</v>
      </c>
      <c r="BI611" s="127">
        <v>4703</v>
      </c>
      <c r="BJ611" s="97" t="s">
        <v>549</v>
      </c>
      <c r="BK611" s="127">
        <v>634.26</v>
      </c>
    </row>
    <row r="612" spans="1:63" x14ac:dyDescent="0.25">
      <c r="B612" s="121">
        <v>470315</v>
      </c>
      <c r="C612" s="152" t="s">
        <v>550</v>
      </c>
      <c r="D612" s="123">
        <v>5.32</v>
      </c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  <c r="AA612" s="128"/>
      <c r="AB612" s="128"/>
      <c r="AC612" s="124">
        <v>319.22000000000003</v>
      </c>
      <c r="AD612" s="124">
        <v>319.22000000000003</v>
      </c>
      <c r="AE612" s="124">
        <v>319.22000000000003</v>
      </c>
      <c r="AF612" s="124">
        <v>319.22000000000003</v>
      </c>
      <c r="AG612" s="124">
        <v>319.22000000000003</v>
      </c>
      <c r="AH612" s="124">
        <v>319.22000000000003</v>
      </c>
      <c r="AI612" s="124">
        <v>319.22000000000003</v>
      </c>
      <c r="AJ612" s="124">
        <v>319.22000000000003</v>
      </c>
      <c r="AK612" s="124">
        <v>319.22000000000003</v>
      </c>
      <c r="AL612" s="124">
        <v>319.22000000000003</v>
      </c>
      <c r="AM612" s="124">
        <v>319.22000000000003</v>
      </c>
      <c r="AN612" s="124">
        <v>319.22000000000003</v>
      </c>
      <c r="AO612" s="125">
        <v>0</v>
      </c>
      <c r="AP612" s="125">
        <v>0</v>
      </c>
      <c r="AQ612" s="125">
        <v>0</v>
      </c>
      <c r="AR612" s="125">
        <v>0</v>
      </c>
      <c r="AS612" s="125">
        <v>0</v>
      </c>
      <c r="AT612" s="125">
        <v>0</v>
      </c>
      <c r="AU612" s="125">
        <v>0</v>
      </c>
      <c r="AV612" s="125">
        <v>0</v>
      </c>
      <c r="AW612" s="125">
        <v>0</v>
      </c>
      <c r="AX612" s="125">
        <v>0</v>
      </c>
      <c r="AY612" s="126"/>
      <c r="AZ612" s="126"/>
      <c r="BA612" s="126"/>
      <c r="BB612" s="126"/>
      <c r="BC612" s="126"/>
      <c r="BD612" s="126"/>
      <c r="BE612" s="126"/>
      <c r="BF612" s="157">
        <v>470315</v>
      </c>
      <c r="BG612" s="97" t="s">
        <v>551</v>
      </c>
      <c r="BH612" s="127">
        <v>319.22000000000003</v>
      </c>
      <c r="BI612" s="127">
        <v>470315</v>
      </c>
      <c r="BJ612" s="97" t="s">
        <v>551</v>
      </c>
      <c r="BK612" s="127">
        <v>319.22000000000003</v>
      </c>
    </row>
    <row r="613" spans="1:63" x14ac:dyDescent="0.25">
      <c r="B613" s="121">
        <v>470335</v>
      </c>
      <c r="C613" s="152" t="s">
        <v>552</v>
      </c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  <c r="AA613" s="128"/>
      <c r="AB613" s="128"/>
      <c r="AC613" s="124">
        <v>315.04000000000002</v>
      </c>
      <c r="AD613" s="124">
        <v>315.04000000000002</v>
      </c>
      <c r="AE613" s="124">
        <v>315.04000000000002</v>
      </c>
      <c r="AF613" s="124">
        <v>315.04000000000002</v>
      </c>
      <c r="AG613" s="124">
        <v>315.04000000000002</v>
      </c>
      <c r="AH613" s="124">
        <v>315.04000000000002</v>
      </c>
      <c r="AI613" s="124">
        <v>315.04000000000002</v>
      </c>
      <c r="AJ613" s="124">
        <v>315.04000000000002</v>
      </c>
      <c r="AK613" s="124">
        <v>315.04000000000002</v>
      </c>
      <c r="AL613" s="124">
        <v>315.04000000000002</v>
      </c>
      <c r="AM613" s="124">
        <v>315.04000000000002</v>
      </c>
      <c r="AN613" s="124">
        <v>315.04000000000002</v>
      </c>
      <c r="AO613" s="125">
        <v>0</v>
      </c>
      <c r="AP613" s="125">
        <v>0</v>
      </c>
      <c r="AQ613" s="125">
        <v>0</v>
      </c>
      <c r="AR613" s="125">
        <v>0</v>
      </c>
      <c r="AS613" s="125">
        <v>0</v>
      </c>
      <c r="AT613" s="125">
        <v>0</v>
      </c>
      <c r="AU613" s="125">
        <v>0</v>
      </c>
      <c r="AV613" s="125">
        <v>0</v>
      </c>
      <c r="AW613" s="125">
        <v>0</v>
      </c>
      <c r="AX613" s="125">
        <v>0</v>
      </c>
      <c r="AY613" s="126"/>
      <c r="AZ613" s="126"/>
      <c r="BA613" s="126"/>
      <c r="BB613" s="126"/>
      <c r="BC613" s="126"/>
      <c r="BD613" s="126"/>
      <c r="BE613" s="126"/>
      <c r="BF613" s="157">
        <v>470335</v>
      </c>
      <c r="BG613" s="97" t="s">
        <v>552</v>
      </c>
      <c r="BH613" s="127">
        <v>315.04000000000002</v>
      </c>
      <c r="BI613" s="127">
        <v>470335</v>
      </c>
      <c r="BJ613" s="97" t="s">
        <v>552</v>
      </c>
      <c r="BK613" s="127">
        <v>315.04000000000002</v>
      </c>
    </row>
    <row r="614" spans="1:63" x14ac:dyDescent="0.25">
      <c r="B614" s="121">
        <v>4790</v>
      </c>
      <c r="C614" s="152" t="s">
        <v>249</v>
      </c>
      <c r="D614" s="123">
        <v>70907.8</v>
      </c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3">
        <v>18795.13</v>
      </c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  <c r="AA614" s="128"/>
      <c r="AB614" s="128"/>
      <c r="AC614" s="124">
        <v>1391.47</v>
      </c>
      <c r="AD614" s="124">
        <v>3538.1</v>
      </c>
      <c r="AE614" s="124">
        <v>5459.73</v>
      </c>
      <c r="AF614" s="124">
        <v>5459.73</v>
      </c>
      <c r="AG614" s="124">
        <v>6666.68</v>
      </c>
      <c r="AH614" s="124">
        <v>11780.11</v>
      </c>
      <c r="AI614" s="124">
        <v>13707.79</v>
      </c>
      <c r="AJ614" s="124">
        <v>13707.79</v>
      </c>
      <c r="AK614" s="124">
        <v>21298.82</v>
      </c>
      <c r="AL614" s="124">
        <v>24942.99</v>
      </c>
      <c r="AM614" s="124">
        <v>26302.400000000001</v>
      </c>
      <c r="AN614" s="124">
        <v>27661.81</v>
      </c>
      <c r="AO614" s="125">
        <v>1359.41</v>
      </c>
      <c r="AP614" s="125">
        <v>2718.82</v>
      </c>
      <c r="AQ614" s="125">
        <v>4078.23</v>
      </c>
      <c r="AR614" s="125">
        <v>5437.64</v>
      </c>
      <c r="AS614" s="125">
        <v>6797.05</v>
      </c>
      <c r="AT614" s="125">
        <v>8156.46</v>
      </c>
      <c r="AU614" s="125">
        <v>45031.22</v>
      </c>
      <c r="AV614" s="125">
        <v>117243.43</v>
      </c>
      <c r="AW614" s="125">
        <v>170436.4</v>
      </c>
      <c r="AX614" s="125">
        <v>240724.24</v>
      </c>
      <c r="AY614" s="126"/>
      <c r="AZ614" s="126"/>
      <c r="BA614" s="126"/>
      <c r="BB614" s="126"/>
      <c r="BC614" s="126"/>
      <c r="BD614" s="126"/>
      <c r="BE614" s="126"/>
      <c r="BF614" s="157">
        <v>4790</v>
      </c>
      <c r="BG614" s="97" t="s">
        <v>249</v>
      </c>
      <c r="BH614" s="127">
        <v>11780.11</v>
      </c>
      <c r="BI614" s="127">
        <v>4790</v>
      </c>
      <c r="BJ614" s="97" t="s">
        <v>249</v>
      </c>
      <c r="BK614" s="127">
        <v>13707.79</v>
      </c>
    </row>
    <row r="615" spans="1:63" x14ac:dyDescent="0.25">
      <c r="B615" s="121">
        <v>48</v>
      </c>
      <c r="C615" s="152" t="s">
        <v>553</v>
      </c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3">
        <v>65096.42</v>
      </c>
      <c r="U615" s="123">
        <v>16942.55</v>
      </c>
      <c r="V615" s="128"/>
      <c r="W615" s="128"/>
      <c r="X615" s="128"/>
      <c r="Y615" s="128"/>
      <c r="Z615" s="128"/>
      <c r="AA615" s="128"/>
      <c r="AB615" s="123">
        <v>46657.95</v>
      </c>
      <c r="AC615" s="124">
        <v>2080.61</v>
      </c>
      <c r="AD615" s="129"/>
      <c r="AE615" s="129"/>
      <c r="AF615" s="129"/>
      <c r="AG615" s="129"/>
      <c r="AH615" s="129"/>
      <c r="AI615" s="129"/>
      <c r="AJ615" s="124">
        <v>0</v>
      </c>
      <c r="AK615" s="124">
        <v>0</v>
      </c>
      <c r="AL615" s="124">
        <v>0</v>
      </c>
      <c r="AM615" s="124">
        <v>0</v>
      </c>
      <c r="AN615" s="124">
        <v>0</v>
      </c>
      <c r="AO615" s="125">
        <v>0</v>
      </c>
      <c r="AP615" s="125">
        <v>0</v>
      </c>
      <c r="AQ615" s="125">
        <v>0</v>
      </c>
      <c r="AR615" s="125">
        <v>0</v>
      </c>
      <c r="AS615" s="125">
        <v>0</v>
      </c>
      <c r="AT615" s="125">
        <v>0</v>
      </c>
      <c r="AU615" s="125">
        <v>0</v>
      </c>
      <c r="AV615" s="125">
        <v>0</v>
      </c>
      <c r="AW615" s="125">
        <v>0</v>
      </c>
      <c r="AX615" s="125">
        <v>0</v>
      </c>
      <c r="AY615" s="126"/>
      <c r="AZ615" s="126"/>
      <c r="BA615" s="126"/>
      <c r="BB615" s="126"/>
      <c r="BC615" s="126"/>
      <c r="BD615" s="126"/>
      <c r="BE615" s="126"/>
      <c r="BF615" s="158"/>
    </row>
    <row r="616" spans="1:63" x14ac:dyDescent="0.25">
      <c r="B616" s="121">
        <v>4810</v>
      </c>
      <c r="C616" s="152" t="s">
        <v>554</v>
      </c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3">
        <v>26936.45</v>
      </c>
      <c r="U616" s="123">
        <v>7010.7099999999991</v>
      </c>
      <c r="V616" s="128"/>
      <c r="W616" s="128"/>
      <c r="X616" s="128"/>
      <c r="Y616" s="128"/>
      <c r="Z616" s="128"/>
      <c r="AA616" s="128"/>
      <c r="AB616" s="123">
        <v>9368.11</v>
      </c>
      <c r="AC616" s="124">
        <v>860.94</v>
      </c>
      <c r="AD616" s="129"/>
      <c r="AE616" s="129"/>
      <c r="AF616" s="129"/>
      <c r="AG616" s="129"/>
      <c r="AH616" s="129"/>
      <c r="AI616" s="129"/>
      <c r="AJ616" s="124">
        <v>0</v>
      </c>
      <c r="AK616" s="124">
        <v>0</v>
      </c>
      <c r="AL616" s="124">
        <v>0</v>
      </c>
      <c r="AM616" s="124">
        <v>0</v>
      </c>
      <c r="AN616" s="124">
        <v>0</v>
      </c>
      <c r="AO616" s="125">
        <v>0</v>
      </c>
      <c r="AP616" s="125">
        <v>0</v>
      </c>
      <c r="AQ616" s="125">
        <v>0</v>
      </c>
      <c r="AR616" s="125">
        <v>0</v>
      </c>
      <c r="AS616" s="125">
        <v>0</v>
      </c>
      <c r="AT616" s="125">
        <v>0</v>
      </c>
      <c r="AU616" s="125">
        <v>0</v>
      </c>
      <c r="AV616" s="125">
        <v>0</v>
      </c>
      <c r="AW616" s="125">
        <v>0</v>
      </c>
      <c r="AX616" s="125">
        <v>0</v>
      </c>
      <c r="AY616" s="126"/>
      <c r="AZ616" s="126"/>
      <c r="BA616" s="126"/>
      <c r="BB616" s="126"/>
      <c r="BC616" s="126"/>
      <c r="BD616" s="126"/>
      <c r="BE616" s="126"/>
      <c r="BF616" s="158"/>
    </row>
    <row r="617" spans="1:63" x14ac:dyDescent="0.25">
      <c r="B617" s="121">
        <v>4815</v>
      </c>
      <c r="C617" s="152" t="s">
        <v>332</v>
      </c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3">
        <v>38159.97</v>
      </c>
      <c r="U617" s="123">
        <v>9931.84</v>
      </c>
      <c r="V617" s="128"/>
      <c r="W617" s="128"/>
      <c r="X617" s="128"/>
      <c r="Y617" s="128"/>
      <c r="Z617" s="128"/>
      <c r="AA617" s="128"/>
      <c r="AB617" s="123">
        <v>37289.839999999997</v>
      </c>
      <c r="AC617" s="124">
        <v>1219.67</v>
      </c>
      <c r="AD617" s="129"/>
      <c r="AE617" s="129"/>
      <c r="AF617" s="129"/>
      <c r="AG617" s="129"/>
      <c r="AH617" s="129"/>
      <c r="AI617" s="129"/>
      <c r="AJ617" s="124">
        <v>0</v>
      </c>
      <c r="AK617" s="124">
        <v>0</v>
      </c>
      <c r="AL617" s="124">
        <v>0</v>
      </c>
      <c r="AM617" s="124">
        <v>0</v>
      </c>
      <c r="AN617" s="124">
        <v>0</v>
      </c>
      <c r="AO617" s="125">
        <v>0</v>
      </c>
      <c r="AP617" s="125">
        <v>0</v>
      </c>
      <c r="AQ617" s="125">
        <v>0</v>
      </c>
      <c r="AR617" s="125">
        <v>0</v>
      </c>
      <c r="AS617" s="125">
        <v>0</v>
      </c>
      <c r="AT617" s="125">
        <v>0</v>
      </c>
      <c r="AU617" s="125">
        <v>0</v>
      </c>
      <c r="AV617" s="125">
        <v>0</v>
      </c>
      <c r="AW617" s="125">
        <v>0</v>
      </c>
      <c r="AX617" s="125">
        <v>0</v>
      </c>
      <c r="AY617" s="126"/>
      <c r="AZ617" s="126"/>
      <c r="BA617" s="126"/>
      <c r="BB617" s="126"/>
      <c r="BC617" s="126"/>
      <c r="BD617" s="126"/>
      <c r="BE617" s="126"/>
      <c r="BF617" s="158"/>
    </row>
    <row r="618" spans="1:63" x14ac:dyDescent="0.25">
      <c r="B618" s="121">
        <v>5</v>
      </c>
      <c r="C618" s="152" t="s">
        <v>555</v>
      </c>
      <c r="D618" s="123">
        <v>3347554.23</v>
      </c>
      <c r="E618" s="123">
        <v>321867.88</v>
      </c>
      <c r="F618" s="123">
        <v>655829.44999999995</v>
      </c>
      <c r="G618" s="123">
        <v>1076366.3500000001</v>
      </c>
      <c r="H618" s="123">
        <v>1442477.35</v>
      </c>
      <c r="I618" s="123">
        <v>1788667.31</v>
      </c>
      <c r="J618" s="123">
        <v>2109985.34</v>
      </c>
      <c r="K618" s="123">
        <v>2474704.8199999998</v>
      </c>
      <c r="L618" s="123">
        <v>2922389.66</v>
      </c>
      <c r="M618" s="123">
        <v>3336611.8399999999</v>
      </c>
      <c r="N618" s="123">
        <v>3711679.74</v>
      </c>
      <c r="O618" s="123">
        <v>4074963.53</v>
      </c>
      <c r="P618" s="123">
        <v>4773614.91</v>
      </c>
      <c r="Q618" s="123">
        <v>334032.28999999998</v>
      </c>
      <c r="R618" s="123">
        <v>719455.3</v>
      </c>
      <c r="S618" s="123">
        <v>1124408.6000000001</v>
      </c>
      <c r="T618" s="123">
        <v>1859174.64</v>
      </c>
      <c r="U618" s="123">
        <v>2296762.09</v>
      </c>
      <c r="V618" s="123">
        <v>2716991.86</v>
      </c>
      <c r="W618" s="123">
        <v>3146485.96</v>
      </c>
      <c r="X618" s="123">
        <v>3583002.19</v>
      </c>
      <c r="Y618" s="123">
        <v>3995375.3</v>
      </c>
      <c r="Z618" s="123">
        <v>4345796.6399999997</v>
      </c>
      <c r="AA618" s="123">
        <v>4843473.32</v>
      </c>
      <c r="AB618" s="123">
        <v>5530947.5499999998</v>
      </c>
      <c r="AC618" s="124">
        <v>469660.57</v>
      </c>
      <c r="AD618" s="124">
        <v>859596.67</v>
      </c>
      <c r="AE618" s="124">
        <v>1240409.98</v>
      </c>
      <c r="AF618" s="124">
        <v>1675316.68</v>
      </c>
      <c r="AG618" s="124">
        <v>2089769.77</v>
      </c>
      <c r="AH618" s="124">
        <v>2524576.81</v>
      </c>
      <c r="AI618" s="124">
        <v>2998364.98</v>
      </c>
      <c r="AJ618" s="124">
        <v>3457509.63</v>
      </c>
      <c r="AK618" s="124">
        <v>3940982.51</v>
      </c>
      <c r="AL618" s="124">
        <v>4352257.8</v>
      </c>
      <c r="AM618" s="124">
        <v>4894282.66</v>
      </c>
      <c r="AN618" s="124">
        <v>5846223.8499999996</v>
      </c>
      <c r="AO618" s="125">
        <v>746133.54</v>
      </c>
      <c r="AP618" s="125">
        <v>1635881.86</v>
      </c>
      <c r="AQ618" s="125">
        <v>2453072.4700000002</v>
      </c>
      <c r="AR618" s="125">
        <v>3225374.92</v>
      </c>
      <c r="AS618" s="125">
        <v>4063895.13</v>
      </c>
      <c r="AT618" s="125">
        <v>4830248.8499999996</v>
      </c>
      <c r="AU618" s="125">
        <v>5772280.8600000003</v>
      </c>
      <c r="AV618" s="125">
        <v>6692920.1600000001</v>
      </c>
      <c r="AW618" s="125">
        <v>7606768.2400000002</v>
      </c>
      <c r="AX618" s="125">
        <v>8681417.6799999997</v>
      </c>
      <c r="AY618" s="126"/>
      <c r="AZ618" s="126"/>
      <c r="BA618" s="126"/>
      <c r="BB618" s="126"/>
      <c r="BC618" s="126"/>
      <c r="BD618" s="126"/>
      <c r="BE618" s="126"/>
      <c r="BF618" s="157">
        <v>5</v>
      </c>
      <c r="BG618" s="97" t="s">
        <v>555</v>
      </c>
      <c r="BH618" s="127">
        <v>2524576.81</v>
      </c>
      <c r="BI618" s="127">
        <v>5</v>
      </c>
      <c r="BJ618" s="97" t="s">
        <v>555</v>
      </c>
      <c r="BK618" s="127">
        <v>2998364.98</v>
      </c>
    </row>
    <row r="619" spans="1:63" x14ac:dyDescent="0.25">
      <c r="B619" s="121">
        <v>51</v>
      </c>
      <c r="C619" s="152" t="s">
        <v>556</v>
      </c>
      <c r="D619" s="123">
        <v>2565125.9700000002</v>
      </c>
      <c r="E619" s="123">
        <v>268618.18</v>
      </c>
      <c r="F619" s="123">
        <v>508421.32</v>
      </c>
      <c r="G619" s="123">
        <v>786189.43</v>
      </c>
      <c r="H619" s="123">
        <v>1058750.22</v>
      </c>
      <c r="I619" s="123">
        <v>1344954.9</v>
      </c>
      <c r="J619" s="123">
        <v>1636933.64</v>
      </c>
      <c r="K619" s="123">
        <v>1949203.23</v>
      </c>
      <c r="L619" s="123">
        <v>2254227.4300000002</v>
      </c>
      <c r="M619" s="123">
        <v>2557515.69</v>
      </c>
      <c r="N619" s="123">
        <v>2868503.49</v>
      </c>
      <c r="O619" s="123">
        <v>3184399.81</v>
      </c>
      <c r="P619" s="123">
        <v>3561492.32</v>
      </c>
      <c r="Q619" s="123">
        <v>302679.28999999998</v>
      </c>
      <c r="R619" s="123">
        <v>582371.98</v>
      </c>
      <c r="S619" s="123">
        <v>923247.88</v>
      </c>
      <c r="T619" s="123">
        <v>1244415.17</v>
      </c>
      <c r="U619" s="123">
        <v>1632872.62</v>
      </c>
      <c r="V619" s="123">
        <v>1961469.6</v>
      </c>
      <c r="W619" s="123">
        <v>2293380.81</v>
      </c>
      <c r="X619" s="123">
        <v>2632043.6</v>
      </c>
      <c r="Y619" s="123">
        <v>2942195.97</v>
      </c>
      <c r="Z619" s="123">
        <v>3193248.08</v>
      </c>
      <c r="AA619" s="123">
        <v>3570897.49</v>
      </c>
      <c r="AB619" s="123">
        <v>3859903.75</v>
      </c>
      <c r="AC619" s="124">
        <v>281980.63</v>
      </c>
      <c r="AD619" s="124">
        <v>545976.34</v>
      </c>
      <c r="AE619" s="124">
        <v>821810.36</v>
      </c>
      <c r="AF619" s="124">
        <v>1127150.18</v>
      </c>
      <c r="AG619" s="124">
        <v>1395997.6</v>
      </c>
      <c r="AH619" s="124">
        <v>1697307.07</v>
      </c>
      <c r="AI619" s="124">
        <v>2029290.53</v>
      </c>
      <c r="AJ619" s="124">
        <v>2333727.77</v>
      </c>
      <c r="AK619" s="124">
        <v>2654344.11</v>
      </c>
      <c r="AL619" s="124">
        <v>2943942.66</v>
      </c>
      <c r="AM619" s="124">
        <v>3316276.68</v>
      </c>
      <c r="AN619" s="124">
        <v>3681370.53</v>
      </c>
      <c r="AO619" s="125">
        <v>366974.75</v>
      </c>
      <c r="AP619" s="125">
        <v>715934.99</v>
      </c>
      <c r="AQ619" s="125">
        <v>1140389.3899999999</v>
      </c>
      <c r="AR619" s="125">
        <v>1564621.59</v>
      </c>
      <c r="AS619" s="125">
        <v>2070958.31</v>
      </c>
      <c r="AT619" s="125">
        <v>2533203.7400000002</v>
      </c>
      <c r="AU619" s="125">
        <v>3061382.83</v>
      </c>
      <c r="AV619" s="125">
        <v>3598050.45</v>
      </c>
      <c r="AW619" s="125">
        <v>4161981.52</v>
      </c>
      <c r="AX619" s="125">
        <v>4828011.5199999996</v>
      </c>
      <c r="AY619" s="126"/>
      <c r="AZ619" s="126"/>
      <c r="BA619" s="126"/>
      <c r="BB619" s="126"/>
      <c r="BC619" s="126"/>
      <c r="BD619" s="126"/>
      <c r="BE619" s="126"/>
      <c r="BF619" s="157">
        <v>51</v>
      </c>
      <c r="BG619" s="97" t="s">
        <v>556</v>
      </c>
      <c r="BH619" s="127">
        <v>1697307.07</v>
      </c>
      <c r="BI619" s="127">
        <v>51</v>
      </c>
      <c r="BJ619" s="97" t="s">
        <v>556</v>
      </c>
      <c r="BK619" s="127">
        <v>2029290.53</v>
      </c>
    </row>
    <row r="620" spans="1:63" x14ac:dyDescent="0.25">
      <c r="B620" s="121">
        <v>5101</v>
      </c>
      <c r="C620" s="152" t="s">
        <v>557</v>
      </c>
      <c r="D620" s="123">
        <v>2994.82</v>
      </c>
      <c r="E620" s="123">
        <v>259.12</v>
      </c>
      <c r="F620" s="123">
        <v>497.27</v>
      </c>
      <c r="G620" s="123">
        <v>749.97</v>
      </c>
      <c r="H620" s="123">
        <v>917.99</v>
      </c>
      <c r="I620" s="123">
        <v>956.2</v>
      </c>
      <c r="J620" s="123">
        <v>1007.13</v>
      </c>
      <c r="K620" s="123">
        <v>1031.27</v>
      </c>
      <c r="L620" s="123">
        <v>1083.31</v>
      </c>
      <c r="M620" s="123">
        <v>1138.01</v>
      </c>
      <c r="N620" s="123">
        <v>1188.3800000000001</v>
      </c>
      <c r="O620" s="123">
        <v>1267.6099999999999</v>
      </c>
      <c r="P620" s="123">
        <v>1331.94</v>
      </c>
      <c r="Q620" s="123">
        <v>14.34</v>
      </c>
      <c r="R620" s="123">
        <v>24.42</v>
      </c>
      <c r="S620" s="123">
        <v>29.38</v>
      </c>
      <c r="T620" s="123">
        <v>35.92</v>
      </c>
      <c r="U620" s="123">
        <v>46.44</v>
      </c>
      <c r="V620" s="123">
        <v>59.84</v>
      </c>
      <c r="W620" s="123">
        <v>63.3</v>
      </c>
      <c r="X620" s="123">
        <v>76.05</v>
      </c>
      <c r="Y620" s="123">
        <v>85.63</v>
      </c>
      <c r="Z620" s="123">
        <v>95.66</v>
      </c>
      <c r="AA620" s="123">
        <v>114.41</v>
      </c>
      <c r="AB620" s="123">
        <v>127.09</v>
      </c>
      <c r="AC620" s="124">
        <v>8.33</v>
      </c>
      <c r="AD620" s="124">
        <v>21.75</v>
      </c>
      <c r="AE620" s="124">
        <v>32.799999999999997</v>
      </c>
      <c r="AF620" s="124">
        <v>43.91</v>
      </c>
      <c r="AG620" s="124">
        <v>57.17</v>
      </c>
      <c r="AH620" s="124">
        <v>68.75</v>
      </c>
      <c r="AI620" s="124">
        <v>98.94</v>
      </c>
      <c r="AJ620" s="124">
        <v>405.46</v>
      </c>
      <c r="AK620" s="124">
        <v>1469.77</v>
      </c>
      <c r="AL620" s="124">
        <v>1672.69</v>
      </c>
      <c r="AM620" s="124">
        <v>1816.35</v>
      </c>
      <c r="AN620" s="124">
        <v>3164.05</v>
      </c>
      <c r="AO620" s="125">
        <v>770.05</v>
      </c>
      <c r="AP620" s="125">
        <v>954.12</v>
      </c>
      <c r="AQ620" s="125">
        <v>1172.7</v>
      </c>
      <c r="AR620" s="125">
        <v>2287.17</v>
      </c>
      <c r="AS620" s="125">
        <v>4008.05</v>
      </c>
      <c r="AT620" s="125">
        <v>4913.99</v>
      </c>
      <c r="AU620" s="125">
        <v>5372.81</v>
      </c>
      <c r="AV620" s="125">
        <v>5840.86</v>
      </c>
      <c r="AW620" s="125">
        <v>6325.22</v>
      </c>
      <c r="AX620" s="125">
        <v>6724.44</v>
      </c>
      <c r="AY620" s="126"/>
      <c r="AZ620" s="126"/>
      <c r="BA620" s="126"/>
      <c r="BB620" s="126"/>
      <c r="BC620" s="126"/>
      <c r="BD620" s="126"/>
      <c r="BE620" s="126"/>
      <c r="BF620" s="157">
        <v>5101</v>
      </c>
      <c r="BG620" s="97" t="s">
        <v>557</v>
      </c>
      <c r="BH620" s="127">
        <v>68.75</v>
      </c>
      <c r="BI620" s="127">
        <v>5101</v>
      </c>
      <c r="BJ620" s="97" t="s">
        <v>557</v>
      </c>
      <c r="BK620" s="127">
        <v>98.94</v>
      </c>
    </row>
    <row r="621" spans="1:63" x14ac:dyDescent="0.25">
      <c r="A621" s="113"/>
      <c r="B621" s="121">
        <v>510110</v>
      </c>
      <c r="C621" s="152" t="s">
        <v>558</v>
      </c>
      <c r="D621" s="123">
        <v>2994.82</v>
      </c>
      <c r="E621" s="123">
        <v>259.12</v>
      </c>
      <c r="F621" s="123">
        <v>497.27</v>
      </c>
      <c r="G621" s="123">
        <v>749.97</v>
      </c>
      <c r="H621" s="123">
        <v>917.99</v>
      </c>
      <c r="I621" s="123">
        <v>956.2</v>
      </c>
      <c r="J621" s="123">
        <v>1007.13</v>
      </c>
      <c r="K621" s="123">
        <v>1031.27</v>
      </c>
      <c r="L621" s="123">
        <v>1083.31</v>
      </c>
      <c r="M621" s="123">
        <v>1138.01</v>
      </c>
      <c r="N621" s="123">
        <v>1188.3800000000001</v>
      </c>
      <c r="O621" s="123">
        <v>1267.6099999999999</v>
      </c>
      <c r="P621" s="123">
        <v>1331.94</v>
      </c>
      <c r="Q621" s="123">
        <v>14.34</v>
      </c>
      <c r="R621" s="123">
        <v>24.42</v>
      </c>
      <c r="S621" s="123">
        <v>29.38</v>
      </c>
      <c r="T621" s="123">
        <v>35.92</v>
      </c>
      <c r="U621" s="123">
        <v>46.44</v>
      </c>
      <c r="V621" s="123">
        <v>59.84</v>
      </c>
      <c r="W621" s="123">
        <v>63.3</v>
      </c>
      <c r="X621" s="123">
        <v>76.05</v>
      </c>
      <c r="Y621" s="123">
        <v>85.63</v>
      </c>
      <c r="Z621" s="123">
        <v>95.66</v>
      </c>
      <c r="AA621" s="123">
        <v>114.41</v>
      </c>
      <c r="AB621" s="123">
        <v>127.09</v>
      </c>
      <c r="AC621" s="124">
        <v>8.33</v>
      </c>
      <c r="AD621" s="124">
        <v>21.75</v>
      </c>
      <c r="AE621" s="124">
        <v>32.799999999999997</v>
      </c>
      <c r="AF621" s="124">
        <v>43.91</v>
      </c>
      <c r="AG621" s="124">
        <v>57.17</v>
      </c>
      <c r="AH621" s="124">
        <v>68.75</v>
      </c>
      <c r="AI621" s="124">
        <v>98.94</v>
      </c>
      <c r="AJ621" s="124">
        <v>405.46</v>
      </c>
      <c r="AK621" s="124">
        <v>1469.77</v>
      </c>
      <c r="AL621" s="124">
        <v>1672.69</v>
      </c>
      <c r="AM621" s="124">
        <v>1816.35</v>
      </c>
      <c r="AN621" s="124">
        <v>3164.05</v>
      </c>
      <c r="AO621" s="125">
        <v>770.05</v>
      </c>
      <c r="AP621" s="125">
        <v>954.12</v>
      </c>
      <c r="AQ621" s="125">
        <v>1172.7</v>
      </c>
      <c r="AR621" s="125">
        <v>2287.17</v>
      </c>
      <c r="AS621" s="125">
        <v>4008.05</v>
      </c>
      <c r="AT621" s="125">
        <v>4913.99</v>
      </c>
      <c r="AU621" s="125">
        <v>5372.81</v>
      </c>
      <c r="AV621" s="125">
        <v>5840.86</v>
      </c>
      <c r="AW621" s="125">
        <v>6325.22</v>
      </c>
      <c r="AX621" s="125">
        <v>6724.44</v>
      </c>
      <c r="AY621" s="126"/>
      <c r="AZ621" s="126"/>
      <c r="BA621" s="126"/>
      <c r="BB621" s="126"/>
      <c r="BC621" s="126"/>
      <c r="BD621" s="126"/>
      <c r="BE621" s="126"/>
      <c r="BF621" s="157">
        <v>510110</v>
      </c>
      <c r="BG621" s="97" t="s">
        <v>558</v>
      </c>
      <c r="BH621" s="127">
        <v>68.75</v>
      </c>
      <c r="BI621" s="127">
        <v>510110</v>
      </c>
      <c r="BJ621" s="97" t="s">
        <v>558</v>
      </c>
      <c r="BK621" s="127">
        <v>98.94</v>
      </c>
    </row>
    <row r="622" spans="1:63" x14ac:dyDescent="0.25">
      <c r="B622" s="121">
        <v>5103</v>
      </c>
      <c r="C622" s="152" t="s">
        <v>559</v>
      </c>
      <c r="D622" s="123">
        <v>80342.12</v>
      </c>
      <c r="E622" s="123">
        <v>8988.51</v>
      </c>
      <c r="F622" s="123">
        <v>16939.23</v>
      </c>
      <c r="G622" s="123">
        <v>25192.880000000001</v>
      </c>
      <c r="H622" s="123">
        <v>30827.9</v>
      </c>
      <c r="I622" s="123">
        <v>38010.1</v>
      </c>
      <c r="J622" s="123">
        <v>43785.26</v>
      </c>
      <c r="K622" s="123">
        <v>48704.67</v>
      </c>
      <c r="L622" s="123">
        <v>55749.66</v>
      </c>
      <c r="M622" s="123">
        <v>64904.02</v>
      </c>
      <c r="N622" s="123">
        <v>76085.440000000002</v>
      </c>
      <c r="O622" s="123">
        <v>89885.38</v>
      </c>
      <c r="P622" s="123">
        <v>99275.49</v>
      </c>
      <c r="Q622" s="123">
        <v>6878.61</v>
      </c>
      <c r="R622" s="123">
        <v>11938.79</v>
      </c>
      <c r="S622" s="123">
        <v>16111.76</v>
      </c>
      <c r="T622" s="123">
        <v>18171.05</v>
      </c>
      <c r="U622" s="123">
        <v>21970.01</v>
      </c>
      <c r="V622" s="123">
        <v>22373.25</v>
      </c>
      <c r="W622" s="123">
        <v>28458.12</v>
      </c>
      <c r="X622" s="123">
        <v>29082.41</v>
      </c>
      <c r="Y622" s="123">
        <v>29606.02</v>
      </c>
      <c r="Z622" s="123">
        <v>35910.47</v>
      </c>
      <c r="AA622" s="123">
        <v>36569.79</v>
      </c>
      <c r="AB622" s="123">
        <v>56349.46</v>
      </c>
      <c r="AC622" s="124">
        <v>23131.16</v>
      </c>
      <c r="AD622" s="124">
        <v>44364.89</v>
      </c>
      <c r="AE622" s="124">
        <v>67971.22</v>
      </c>
      <c r="AF622" s="124">
        <v>95845.15</v>
      </c>
      <c r="AG622" s="124">
        <v>120950.07</v>
      </c>
      <c r="AH622" s="124">
        <v>146635.28</v>
      </c>
      <c r="AI622" s="124">
        <v>174293.52</v>
      </c>
      <c r="AJ622" s="124">
        <v>196864.23</v>
      </c>
      <c r="AK622" s="124">
        <v>221657.94</v>
      </c>
      <c r="AL622" s="124">
        <v>249111.11</v>
      </c>
      <c r="AM622" s="124">
        <v>276653.02</v>
      </c>
      <c r="AN622" s="124">
        <v>303861.93</v>
      </c>
      <c r="AO622" s="125">
        <v>28769.91</v>
      </c>
      <c r="AP622" s="125">
        <v>55934.080000000002</v>
      </c>
      <c r="AQ622" s="125">
        <v>90324.79</v>
      </c>
      <c r="AR622" s="125">
        <v>122713.74</v>
      </c>
      <c r="AS622" s="125">
        <v>153470.23000000001</v>
      </c>
      <c r="AT622" s="125">
        <v>181038.75</v>
      </c>
      <c r="AU622" s="125">
        <v>209314.87</v>
      </c>
      <c r="AV622" s="125">
        <v>237791.08</v>
      </c>
      <c r="AW622" s="125">
        <v>265357.67</v>
      </c>
      <c r="AX622" s="125">
        <v>295674.48</v>
      </c>
      <c r="AY622" s="126"/>
      <c r="AZ622" s="126"/>
      <c r="BA622" s="126"/>
      <c r="BB622" s="126"/>
      <c r="BC622" s="126"/>
      <c r="BD622" s="126"/>
      <c r="BE622" s="126"/>
      <c r="BF622" s="157">
        <v>5103</v>
      </c>
      <c r="BG622" s="97" t="s">
        <v>559</v>
      </c>
      <c r="BH622" s="127">
        <v>146635.28</v>
      </c>
      <c r="BI622" s="127">
        <v>5103</v>
      </c>
      <c r="BJ622" s="97" t="s">
        <v>559</v>
      </c>
      <c r="BK622" s="127">
        <v>174293.52</v>
      </c>
    </row>
    <row r="623" spans="1:63" x14ac:dyDescent="0.25">
      <c r="B623" s="121">
        <v>510310</v>
      </c>
      <c r="C623" s="152" t="s">
        <v>190</v>
      </c>
      <c r="D623" s="123">
        <v>57376.97</v>
      </c>
      <c r="E623" s="123">
        <v>7487.95</v>
      </c>
      <c r="F623" s="123">
        <v>14894.93</v>
      </c>
      <c r="G623" s="123">
        <v>22524.28</v>
      </c>
      <c r="H623" s="123">
        <v>27541.53</v>
      </c>
      <c r="I623" s="123">
        <v>34099.43</v>
      </c>
      <c r="J623" s="123">
        <v>39270.43</v>
      </c>
      <c r="K623" s="123">
        <v>43578.74</v>
      </c>
      <c r="L623" s="123">
        <v>49999.43</v>
      </c>
      <c r="M623" s="123">
        <v>58549.63</v>
      </c>
      <c r="N623" s="123">
        <v>69106.759999999995</v>
      </c>
      <c r="O623" s="123">
        <v>82302.539999999994</v>
      </c>
      <c r="P623" s="123">
        <v>91068.35</v>
      </c>
      <c r="Q623" s="123">
        <v>6314.73</v>
      </c>
      <c r="R623" s="123">
        <v>10811.04</v>
      </c>
      <c r="S623" s="123">
        <v>14399.99</v>
      </c>
      <c r="T623" s="123">
        <v>15855.12</v>
      </c>
      <c r="U623" s="123">
        <v>19090.189999999999</v>
      </c>
      <c r="V623" s="123">
        <v>18889.27</v>
      </c>
      <c r="W623" s="123">
        <v>24349.85</v>
      </c>
      <c r="X623" s="123">
        <v>24349.85</v>
      </c>
      <c r="Y623" s="123">
        <v>24349.85</v>
      </c>
      <c r="Z623" s="123">
        <v>30654.3</v>
      </c>
      <c r="AA623" s="123">
        <v>31313.62</v>
      </c>
      <c r="AB623" s="123">
        <v>50763.73</v>
      </c>
      <c r="AC623" s="124">
        <v>20873.48</v>
      </c>
      <c r="AD623" s="124">
        <v>42107.21</v>
      </c>
      <c r="AE623" s="124">
        <v>65713.539999999994</v>
      </c>
      <c r="AF623" s="124">
        <v>91854.04</v>
      </c>
      <c r="AG623" s="124">
        <v>116958.96</v>
      </c>
      <c r="AH623" s="124">
        <v>142644.17000000001</v>
      </c>
      <c r="AI623" s="124">
        <v>168992.51</v>
      </c>
      <c r="AJ623" s="124">
        <v>190835.5</v>
      </c>
      <c r="AK623" s="124">
        <v>214428.47</v>
      </c>
      <c r="AL623" s="124">
        <v>241881.64</v>
      </c>
      <c r="AM623" s="124">
        <v>268695.83</v>
      </c>
      <c r="AN623" s="124">
        <v>295904.74</v>
      </c>
      <c r="AO623" s="125">
        <v>27460.01</v>
      </c>
      <c r="AP623" s="125">
        <v>54624.18</v>
      </c>
      <c r="AQ623" s="125">
        <v>89014.89</v>
      </c>
      <c r="AR623" s="125">
        <v>121403.84</v>
      </c>
      <c r="AS623" s="125">
        <v>152160.32999999999</v>
      </c>
      <c r="AT623" s="125">
        <v>179728.85</v>
      </c>
      <c r="AU623" s="125">
        <v>208004.97</v>
      </c>
      <c r="AV623" s="125">
        <v>236481.18</v>
      </c>
      <c r="AW623" s="125">
        <v>264047.77</v>
      </c>
      <c r="AX623" s="125">
        <v>273299.24</v>
      </c>
      <c r="AY623" s="126"/>
      <c r="AZ623" s="126"/>
      <c r="BA623" s="126"/>
      <c r="BB623" s="126"/>
      <c r="BC623" s="126"/>
      <c r="BD623" s="126"/>
      <c r="BE623" s="126"/>
      <c r="BF623" s="157">
        <v>510310</v>
      </c>
      <c r="BG623" s="97" t="s">
        <v>190</v>
      </c>
      <c r="BH623" s="127">
        <v>142644.17000000001</v>
      </c>
      <c r="BI623" s="127">
        <v>510310</v>
      </c>
      <c r="BJ623" s="97" t="s">
        <v>190</v>
      </c>
      <c r="BK623" s="127">
        <v>168992.51</v>
      </c>
    </row>
    <row r="624" spans="1:63" x14ac:dyDescent="0.25">
      <c r="B624" s="121">
        <v>510315</v>
      </c>
      <c r="C624" s="152" t="s">
        <v>560</v>
      </c>
      <c r="D624" s="123">
        <v>9488.5499999999993</v>
      </c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  <c r="AA624" s="128"/>
      <c r="AB624" s="128"/>
      <c r="AC624" s="129"/>
      <c r="AD624" s="129"/>
      <c r="AE624" s="129"/>
      <c r="AF624" s="129"/>
      <c r="AG624" s="129"/>
      <c r="AH624" s="129"/>
      <c r="AI624" s="129"/>
      <c r="AJ624" s="124">
        <v>0</v>
      </c>
      <c r="AK624" s="124">
        <v>0</v>
      </c>
      <c r="AL624" s="124">
        <v>0</v>
      </c>
      <c r="AM624" s="124">
        <v>0</v>
      </c>
      <c r="AN624" s="124">
        <v>0</v>
      </c>
      <c r="AO624" s="125">
        <v>0</v>
      </c>
      <c r="AP624" s="125">
        <v>0</v>
      </c>
      <c r="AQ624" s="125">
        <v>0</v>
      </c>
      <c r="AR624" s="125">
        <v>0</v>
      </c>
      <c r="AS624" s="125">
        <v>0</v>
      </c>
      <c r="AT624" s="125">
        <v>0</v>
      </c>
      <c r="AU624" s="125">
        <v>0</v>
      </c>
      <c r="AV624" s="125">
        <v>0</v>
      </c>
      <c r="AW624" s="125">
        <v>0</v>
      </c>
      <c r="AX624" s="125">
        <v>0</v>
      </c>
      <c r="AY624" s="126"/>
      <c r="AZ624" s="126"/>
      <c r="BA624" s="126"/>
      <c r="BB624" s="126"/>
      <c r="BC624" s="126"/>
      <c r="BD624" s="126"/>
      <c r="BE624" s="126"/>
      <c r="BF624" s="158"/>
    </row>
    <row r="625" spans="2:63" x14ac:dyDescent="0.25">
      <c r="B625" s="121">
        <v>510320</v>
      </c>
      <c r="C625" s="152" t="s">
        <v>108</v>
      </c>
      <c r="D625" s="123">
        <v>13476.6</v>
      </c>
      <c r="E625" s="123">
        <v>1500.56</v>
      </c>
      <c r="F625" s="123">
        <v>2044.3</v>
      </c>
      <c r="G625" s="123">
        <v>2668.6</v>
      </c>
      <c r="H625" s="123">
        <v>3286.37</v>
      </c>
      <c r="I625" s="123">
        <v>3910.67</v>
      </c>
      <c r="J625" s="123">
        <v>4514.83</v>
      </c>
      <c r="K625" s="123">
        <v>5125.93</v>
      </c>
      <c r="L625" s="123">
        <v>5750.23</v>
      </c>
      <c r="M625" s="123">
        <v>6354.39</v>
      </c>
      <c r="N625" s="123">
        <v>6978.68</v>
      </c>
      <c r="O625" s="123">
        <v>7582.84</v>
      </c>
      <c r="P625" s="123">
        <v>8207.14</v>
      </c>
      <c r="Q625" s="123">
        <v>563.88</v>
      </c>
      <c r="R625" s="123">
        <v>1127.75</v>
      </c>
      <c r="S625" s="123">
        <v>1711.77</v>
      </c>
      <c r="T625" s="123">
        <v>2315.9299999999998</v>
      </c>
      <c r="U625" s="123">
        <v>2879.82</v>
      </c>
      <c r="V625" s="123">
        <v>3483.98</v>
      </c>
      <c r="W625" s="123">
        <v>4108.2700000000004</v>
      </c>
      <c r="X625" s="123">
        <v>4732.5600000000004</v>
      </c>
      <c r="Y625" s="123">
        <v>5256.17</v>
      </c>
      <c r="Z625" s="123">
        <v>5256.17</v>
      </c>
      <c r="AA625" s="123">
        <v>5256.17</v>
      </c>
      <c r="AB625" s="123">
        <v>5585.73</v>
      </c>
      <c r="AC625" s="124">
        <v>2257.6799999999998</v>
      </c>
      <c r="AD625" s="124">
        <v>2257.6799999999998</v>
      </c>
      <c r="AE625" s="124">
        <v>2257.6799999999998</v>
      </c>
      <c r="AF625" s="124">
        <v>3991.11</v>
      </c>
      <c r="AG625" s="124">
        <v>3991.11</v>
      </c>
      <c r="AH625" s="124">
        <v>3991.11</v>
      </c>
      <c r="AI625" s="124">
        <v>5301.01</v>
      </c>
      <c r="AJ625" s="124">
        <v>6028.73</v>
      </c>
      <c r="AK625" s="124">
        <v>7229.47</v>
      </c>
      <c r="AL625" s="124">
        <v>7229.47</v>
      </c>
      <c r="AM625" s="124">
        <v>7957.19</v>
      </c>
      <c r="AN625" s="124">
        <v>7957.19</v>
      </c>
      <c r="AO625" s="125">
        <v>1309.9000000000001</v>
      </c>
      <c r="AP625" s="125">
        <v>1309.9000000000001</v>
      </c>
      <c r="AQ625" s="125">
        <v>1309.9000000000001</v>
      </c>
      <c r="AR625" s="125">
        <v>1309.9000000000001</v>
      </c>
      <c r="AS625" s="125">
        <v>1309.9000000000001</v>
      </c>
      <c r="AT625" s="125">
        <v>1309.9000000000001</v>
      </c>
      <c r="AU625" s="125">
        <v>1309.9000000000001</v>
      </c>
      <c r="AV625" s="125">
        <v>1309.9000000000001</v>
      </c>
      <c r="AW625" s="125">
        <v>1309.9000000000001</v>
      </c>
      <c r="AX625" s="125">
        <v>22375.24</v>
      </c>
      <c r="AY625" s="126"/>
      <c r="AZ625" s="126"/>
      <c r="BA625" s="126"/>
      <c r="BB625" s="126"/>
      <c r="BC625" s="126"/>
      <c r="BD625" s="126"/>
      <c r="BE625" s="126"/>
      <c r="BF625" s="157">
        <v>510320</v>
      </c>
      <c r="BG625" s="97" t="s">
        <v>108</v>
      </c>
      <c r="BH625" s="127">
        <v>3991.11</v>
      </c>
      <c r="BI625" s="127">
        <v>510320</v>
      </c>
      <c r="BJ625" s="97" t="s">
        <v>108</v>
      </c>
      <c r="BK625" s="127">
        <v>5301.01</v>
      </c>
    </row>
    <row r="626" spans="2:63" x14ac:dyDescent="0.25">
      <c r="B626" s="121">
        <v>5104</v>
      </c>
      <c r="C626" s="152" t="s">
        <v>561</v>
      </c>
      <c r="D626" s="123">
        <v>2480853.7400000002</v>
      </c>
      <c r="E626" s="123">
        <v>259370.55</v>
      </c>
      <c r="F626" s="123">
        <v>490984.82</v>
      </c>
      <c r="G626" s="123">
        <v>760246.58</v>
      </c>
      <c r="H626" s="123">
        <v>1027004.33</v>
      </c>
      <c r="I626" s="123">
        <v>1305988.6000000001</v>
      </c>
      <c r="J626" s="123">
        <v>1592141.25</v>
      </c>
      <c r="K626" s="123">
        <v>1899467.29</v>
      </c>
      <c r="L626" s="123">
        <v>2197394.46</v>
      </c>
      <c r="M626" s="123">
        <v>2491473.66</v>
      </c>
      <c r="N626" s="123">
        <v>2791229.67</v>
      </c>
      <c r="O626" s="123">
        <v>3093246.82</v>
      </c>
      <c r="P626" s="123">
        <v>3415604.43</v>
      </c>
      <c r="Q626" s="123">
        <v>295786.34000000003</v>
      </c>
      <c r="R626" s="123">
        <v>569922.32999999996</v>
      </c>
      <c r="S626" s="123">
        <v>906620.3</v>
      </c>
      <c r="T626" s="123">
        <v>1225721.76</v>
      </c>
      <c r="U626" s="123">
        <v>1552455.09</v>
      </c>
      <c r="V626" s="123">
        <v>1868145.98</v>
      </c>
      <c r="W626" s="123">
        <v>2182008.96</v>
      </c>
      <c r="X626" s="123">
        <v>2507599.81</v>
      </c>
      <c r="Y626" s="123">
        <v>2805380.9</v>
      </c>
      <c r="Z626" s="123">
        <v>3037512.49</v>
      </c>
      <c r="AA626" s="123">
        <v>3402278.45</v>
      </c>
      <c r="AB626" s="123">
        <v>3659056.06</v>
      </c>
      <c r="AC626" s="124">
        <v>246096.14</v>
      </c>
      <c r="AD626" s="124">
        <v>477455.48</v>
      </c>
      <c r="AE626" s="124">
        <v>718511.59</v>
      </c>
      <c r="AF626" s="124">
        <v>983799.62</v>
      </c>
      <c r="AG626" s="124">
        <v>1215110.3</v>
      </c>
      <c r="AH626" s="124">
        <v>1478963.35</v>
      </c>
      <c r="AI626" s="124">
        <v>1768983.71</v>
      </c>
      <c r="AJ626" s="124">
        <v>2037463.77</v>
      </c>
      <c r="AK626" s="124">
        <v>2318804.7000000002</v>
      </c>
      <c r="AL626" s="124">
        <v>2568398.09</v>
      </c>
      <c r="AM626" s="124">
        <v>2901414.07</v>
      </c>
      <c r="AN626" s="124">
        <v>3225719.55</v>
      </c>
      <c r="AO626" s="125">
        <v>325457.13</v>
      </c>
      <c r="AP626" s="125">
        <v>636320.11</v>
      </c>
      <c r="AQ626" s="125">
        <v>1013953.51</v>
      </c>
      <c r="AR626" s="125">
        <v>1392387.92</v>
      </c>
      <c r="AS626" s="125">
        <v>1853037.86</v>
      </c>
      <c r="AT626" s="125">
        <v>2273870.2200000002</v>
      </c>
      <c r="AU626" s="125">
        <v>2759714.21</v>
      </c>
      <c r="AV626" s="125">
        <v>3253251.28</v>
      </c>
      <c r="AW626" s="125">
        <v>3774840.6</v>
      </c>
      <c r="AX626" s="125">
        <v>4396873.28</v>
      </c>
      <c r="AY626" s="126"/>
      <c r="AZ626" s="126"/>
      <c r="BA626" s="126"/>
      <c r="BB626" s="126"/>
      <c r="BC626" s="126"/>
      <c r="BD626" s="126"/>
      <c r="BE626" s="126"/>
      <c r="BF626" s="157">
        <v>5104</v>
      </c>
      <c r="BG626" s="97" t="s">
        <v>561</v>
      </c>
      <c r="BH626" s="127">
        <v>1478963.35</v>
      </c>
      <c r="BI626" s="127">
        <v>5104</v>
      </c>
      <c r="BJ626" s="97" t="s">
        <v>561</v>
      </c>
      <c r="BK626" s="127">
        <v>1768983.71</v>
      </c>
    </row>
    <row r="627" spans="2:63" x14ac:dyDescent="0.25">
      <c r="B627" s="121">
        <v>510405</v>
      </c>
      <c r="C627" s="152" t="s">
        <v>192</v>
      </c>
      <c r="D627" s="123">
        <v>83633.72</v>
      </c>
      <c r="E627" s="123">
        <v>5237.54</v>
      </c>
      <c r="F627" s="123">
        <v>10501.48</v>
      </c>
      <c r="G627" s="123">
        <v>19089.75</v>
      </c>
      <c r="H627" s="123">
        <v>30789.919999999998</v>
      </c>
      <c r="I627" s="123">
        <v>43545.42</v>
      </c>
      <c r="J627" s="123">
        <v>57390.75</v>
      </c>
      <c r="K627" s="123">
        <v>69718.039999999994</v>
      </c>
      <c r="L627" s="123">
        <v>84358.33</v>
      </c>
      <c r="M627" s="123">
        <v>97286.56</v>
      </c>
      <c r="N627" s="123">
        <v>110587.51</v>
      </c>
      <c r="O627" s="123">
        <v>121917.81</v>
      </c>
      <c r="P627" s="123">
        <v>137326.03</v>
      </c>
      <c r="Q627" s="123">
        <v>10520.44</v>
      </c>
      <c r="R627" s="123">
        <v>21169.95</v>
      </c>
      <c r="S627" s="123">
        <v>32851.919999999998</v>
      </c>
      <c r="T627" s="123">
        <v>43073.05</v>
      </c>
      <c r="U627" s="123">
        <v>53769.18</v>
      </c>
      <c r="V627" s="123">
        <v>63722.92</v>
      </c>
      <c r="W627" s="123">
        <v>72960.91</v>
      </c>
      <c r="X627" s="123">
        <v>81504.58</v>
      </c>
      <c r="Y627" s="123">
        <v>88722.06</v>
      </c>
      <c r="Z627" s="123">
        <v>94748.17</v>
      </c>
      <c r="AA627" s="123">
        <v>101234.39</v>
      </c>
      <c r="AB627" s="123">
        <v>106572.68</v>
      </c>
      <c r="AC627" s="124">
        <v>5765.05</v>
      </c>
      <c r="AD627" s="124">
        <v>11743.39</v>
      </c>
      <c r="AE627" s="124">
        <v>17782.5</v>
      </c>
      <c r="AF627" s="124">
        <v>23578.79</v>
      </c>
      <c r="AG627" s="124">
        <v>31002.23</v>
      </c>
      <c r="AH627" s="124">
        <v>37742.49</v>
      </c>
      <c r="AI627" s="124">
        <v>43934.94</v>
      </c>
      <c r="AJ627" s="124">
        <v>50341.82</v>
      </c>
      <c r="AK627" s="124">
        <v>57353.65</v>
      </c>
      <c r="AL627" s="124">
        <v>64323.64</v>
      </c>
      <c r="AM627" s="124">
        <v>70600.59</v>
      </c>
      <c r="AN627" s="124">
        <v>77078.75</v>
      </c>
      <c r="AO627" s="125">
        <v>4731.1400000000003</v>
      </c>
      <c r="AP627" s="125">
        <v>12452.92</v>
      </c>
      <c r="AQ627" s="125">
        <v>18975.22</v>
      </c>
      <c r="AR627" s="125">
        <v>22452.84</v>
      </c>
      <c r="AS627" s="125">
        <v>25155.27</v>
      </c>
      <c r="AT627" s="125">
        <v>29754.55</v>
      </c>
      <c r="AU627" s="125">
        <v>33950.17</v>
      </c>
      <c r="AV627" s="125">
        <v>38104.29</v>
      </c>
      <c r="AW627" s="125">
        <v>45555.58</v>
      </c>
      <c r="AX627" s="125">
        <v>50994.19</v>
      </c>
      <c r="AY627" s="126"/>
      <c r="AZ627" s="126"/>
      <c r="BA627" s="126"/>
      <c r="BB627" s="126"/>
      <c r="BC627" s="126"/>
      <c r="BD627" s="126"/>
      <c r="BE627" s="126"/>
      <c r="BF627" s="157">
        <v>510405</v>
      </c>
      <c r="BG627" s="97" t="s">
        <v>192</v>
      </c>
      <c r="BH627" s="127">
        <v>37742.49</v>
      </c>
      <c r="BI627" s="127">
        <v>510405</v>
      </c>
      <c r="BJ627" s="97" t="s">
        <v>192</v>
      </c>
      <c r="BK627" s="127">
        <v>43934.94</v>
      </c>
    </row>
    <row r="628" spans="2:63" x14ac:dyDescent="0.25">
      <c r="B628" s="121">
        <v>510410</v>
      </c>
      <c r="C628" s="152" t="s">
        <v>193</v>
      </c>
      <c r="D628" s="123">
        <v>1556438.79</v>
      </c>
      <c r="E628" s="123">
        <v>180677.03</v>
      </c>
      <c r="F628" s="123">
        <v>357311.37</v>
      </c>
      <c r="G628" s="123">
        <v>556979.21</v>
      </c>
      <c r="H628" s="123">
        <v>746626.89</v>
      </c>
      <c r="I628" s="123">
        <v>943656.35</v>
      </c>
      <c r="J628" s="123">
        <v>1134676.47</v>
      </c>
      <c r="K628" s="123">
        <v>1333510.1599999999</v>
      </c>
      <c r="L628" s="123">
        <v>1522483.73</v>
      </c>
      <c r="M628" s="123">
        <v>1694716.09</v>
      </c>
      <c r="N628" s="123">
        <v>1865875.2</v>
      </c>
      <c r="O628" s="123">
        <v>2033812.69</v>
      </c>
      <c r="P628" s="123">
        <v>2208537.66</v>
      </c>
      <c r="Q628" s="123">
        <v>154890.53</v>
      </c>
      <c r="R628" s="123">
        <v>307710.34000000003</v>
      </c>
      <c r="S628" s="123">
        <v>483009.29</v>
      </c>
      <c r="T628" s="123">
        <v>653469.04</v>
      </c>
      <c r="U628" s="123">
        <v>819266.76</v>
      </c>
      <c r="V628" s="123">
        <v>976104.56</v>
      </c>
      <c r="W628" s="123">
        <v>1134522.17</v>
      </c>
      <c r="X628" s="123">
        <v>1289699.51</v>
      </c>
      <c r="Y628" s="123">
        <v>1436259.25</v>
      </c>
      <c r="Z628" s="123">
        <v>1584337.3</v>
      </c>
      <c r="AA628" s="123">
        <v>1734466.08</v>
      </c>
      <c r="AB628" s="123">
        <v>1875133.99</v>
      </c>
      <c r="AC628" s="124">
        <v>147427.65</v>
      </c>
      <c r="AD628" s="124">
        <v>278514.38</v>
      </c>
      <c r="AE628" s="124">
        <v>415230.25</v>
      </c>
      <c r="AF628" s="124">
        <v>571816.82999999996</v>
      </c>
      <c r="AG628" s="124">
        <v>705407.23</v>
      </c>
      <c r="AH628" s="124">
        <v>835833.82</v>
      </c>
      <c r="AI628" s="124">
        <v>985896.8</v>
      </c>
      <c r="AJ628" s="124">
        <v>1124584.25</v>
      </c>
      <c r="AK628" s="124">
        <v>1273500.07</v>
      </c>
      <c r="AL628" s="124">
        <v>1423159.88</v>
      </c>
      <c r="AM628" s="124">
        <v>1592607.05</v>
      </c>
      <c r="AN628" s="124">
        <v>1790277.5</v>
      </c>
      <c r="AO628" s="125">
        <v>204411.18</v>
      </c>
      <c r="AP628" s="125">
        <v>391208.95</v>
      </c>
      <c r="AQ628" s="125">
        <v>597906.9</v>
      </c>
      <c r="AR628" s="125">
        <v>797520.58</v>
      </c>
      <c r="AS628" s="125">
        <v>998234.32</v>
      </c>
      <c r="AT628" s="125">
        <v>1214002.1100000001</v>
      </c>
      <c r="AU628" s="125">
        <v>1458081.68</v>
      </c>
      <c r="AV628" s="125">
        <v>1717531.01</v>
      </c>
      <c r="AW628" s="125">
        <v>1995149.39</v>
      </c>
      <c r="AX628" s="125">
        <v>2317691.42</v>
      </c>
      <c r="AY628" s="126"/>
      <c r="AZ628" s="126"/>
      <c r="BA628" s="126"/>
      <c r="BB628" s="126"/>
      <c r="BC628" s="126"/>
      <c r="BD628" s="126"/>
      <c r="BE628" s="126"/>
      <c r="BF628" s="157">
        <v>510410</v>
      </c>
      <c r="BG628" s="97" t="s">
        <v>193</v>
      </c>
      <c r="BH628" s="127">
        <v>835833.82</v>
      </c>
      <c r="BI628" s="127">
        <v>510410</v>
      </c>
      <c r="BJ628" s="97" t="s">
        <v>193</v>
      </c>
      <c r="BK628" s="127">
        <v>985896.8</v>
      </c>
    </row>
    <row r="629" spans="2:63" x14ac:dyDescent="0.25">
      <c r="B629" s="121">
        <v>510415</v>
      </c>
      <c r="C629" s="152" t="s">
        <v>562</v>
      </c>
      <c r="D629" s="123">
        <v>274.93</v>
      </c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  <c r="AA629" s="128"/>
      <c r="AB629" s="128"/>
      <c r="AC629" s="129"/>
      <c r="AD629" s="129"/>
      <c r="AE629" s="129"/>
      <c r="AF629" s="129"/>
      <c r="AG629" s="129"/>
      <c r="AH629" s="129"/>
      <c r="AI629" s="129"/>
      <c r="AJ629" s="124">
        <v>0</v>
      </c>
      <c r="AK629" s="124">
        <v>0</v>
      </c>
      <c r="AL629" s="124">
        <v>0</v>
      </c>
      <c r="AM629" s="124">
        <v>0</v>
      </c>
      <c r="AN629" s="124">
        <v>0</v>
      </c>
      <c r="AO629" s="125">
        <v>0</v>
      </c>
      <c r="AP629" s="125">
        <v>0</v>
      </c>
      <c r="AQ629" s="125">
        <v>0</v>
      </c>
      <c r="AR629" s="125">
        <v>0</v>
      </c>
      <c r="AS629" s="125">
        <v>0</v>
      </c>
      <c r="AT629" s="125">
        <v>0</v>
      </c>
      <c r="AU629" s="125">
        <v>0</v>
      </c>
      <c r="AV629" s="125">
        <v>0</v>
      </c>
      <c r="AW629" s="125">
        <v>0</v>
      </c>
      <c r="AX629" s="125">
        <v>0</v>
      </c>
      <c r="AY629" s="126"/>
      <c r="AZ629" s="126"/>
      <c r="BA629" s="126"/>
      <c r="BB629" s="126"/>
      <c r="BC629" s="126"/>
      <c r="BD629" s="126"/>
      <c r="BE629" s="126"/>
      <c r="BF629" s="158"/>
    </row>
    <row r="630" spans="2:63" x14ac:dyDescent="0.25">
      <c r="B630" s="121">
        <v>510420</v>
      </c>
      <c r="C630" s="152" t="s">
        <v>194</v>
      </c>
      <c r="D630" s="123">
        <v>123006.66</v>
      </c>
      <c r="E630" s="123">
        <v>13707.07</v>
      </c>
      <c r="F630" s="123">
        <v>25247.94</v>
      </c>
      <c r="G630" s="123">
        <v>39642.870000000003</v>
      </c>
      <c r="H630" s="123">
        <v>57930.61</v>
      </c>
      <c r="I630" s="123">
        <v>87460.05</v>
      </c>
      <c r="J630" s="123">
        <v>122273.86</v>
      </c>
      <c r="K630" s="123">
        <v>164678.21</v>
      </c>
      <c r="L630" s="123">
        <v>212344.52</v>
      </c>
      <c r="M630" s="123">
        <v>269801.95</v>
      </c>
      <c r="N630" s="123">
        <v>333632.01</v>
      </c>
      <c r="O630" s="123">
        <v>401953.57</v>
      </c>
      <c r="P630" s="123">
        <v>479653.68</v>
      </c>
      <c r="Q630" s="123">
        <v>77345.240000000005</v>
      </c>
      <c r="R630" s="123">
        <v>150869.23000000001</v>
      </c>
      <c r="S630" s="123">
        <v>246462.45</v>
      </c>
      <c r="T630" s="123">
        <v>338199.79</v>
      </c>
      <c r="U630" s="123">
        <v>435500.37</v>
      </c>
      <c r="V630" s="123">
        <v>528190.51</v>
      </c>
      <c r="W630" s="123">
        <v>620381.48</v>
      </c>
      <c r="X630" s="123">
        <v>724754.9</v>
      </c>
      <c r="Y630" s="123">
        <v>816797.35</v>
      </c>
      <c r="Z630" s="123">
        <v>905532.49</v>
      </c>
      <c r="AA630" s="123">
        <v>988154.96</v>
      </c>
      <c r="AB630" s="123">
        <v>1074116.17</v>
      </c>
      <c r="AC630" s="124">
        <v>78004.34</v>
      </c>
      <c r="AD630" s="124">
        <v>159014.46</v>
      </c>
      <c r="AE630" s="124">
        <v>241854.53</v>
      </c>
      <c r="AF630" s="124">
        <v>327977.75</v>
      </c>
      <c r="AG630" s="124">
        <v>409188.99</v>
      </c>
      <c r="AH630" s="124">
        <v>492923.35</v>
      </c>
      <c r="AI630" s="124">
        <v>570436.36</v>
      </c>
      <c r="AJ630" s="124">
        <v>640991.27</v>
      </c>
      <c r="AK630" s="124">
        <v>716140.54</v>
      </c>
      <c r="AL630" s="124">
        <v>791804.27</v>
      </c>
      <c r="AM630" s="124">
        <v>864420.06</v>
      </c>
      <c r="AN630" s="124">
        <v>937595.05</v>
      </c>
      <c r="AO630" s="125">
        <v>72337.960000000006</v>
      </c>
      <c r="AP630" s="125">
        <v>145152.65</v>
      </c>
      <c r="AQ630" s="125">
        <v>259042.96</v>
      </c>
      <c r="AR630" s="125">
        <v>389608.24</v>
      </c>
      <c r="AS630" s="125">
        <v>543956.73</v>
      </c>
      <c r="AT630" s="125">
        <v>701430.39</v>
      </c>
      <c r="AU630" s="125">
        <v>877139.83</v>
      </c>
      <c r="AV630" s="125">
        <v>1060916.1499999999</v>
      </c>
      <c r="AW630" s="125">
        <v>1254654.48</v>
      </c>
      <c r="AX630" s="125">
        <v>1470389.55</v>
      </c>
      <c r="AY630" s="126"/>
      <c r="AZ630" s="126"/>
      <c r="BA630" s="126"/>
      <c r="BB630" s="126"/>
      <c r="BC630" s="126"/>
      <c r="BD630" s="126"/>
      <c r="BE630" s="126"/>
      <c r="BF630" s="157">
        <v>510420</v>
      </c>
      <c r="BG630" s="97" t="s">
        <v>194</v>
      </c>
      <c r="BH630" s="127">
        <v>492923.35</v>
      </c>
      <c r="BI630" s="127">
        <v>510420</v>
      </c>
      <c r="BJ630" s="97" t="s">
        <v>194</v>
      </c>
      <c r="BK630" s="127">
        <v>570436.36</v>
      </c>
    </row>
    <row r="631" spans="2:63" x14ac:dyDescent="0.25">
      <c r="B631" s="121">
        <v>510430</v>
      </c>
      <c r="C631" s="152" t="s">
        <v>563</v>
      </c>
      <c r="D631" s="128"/>
      <c r="E631" s="128"/>
      <c r="F631" s="128"/>
      <c r="G631" s="128"/>
      <c r="H631" s="128"/>
      <c r="I631" s="128"/>
      <c r="J631" s="123">
        <v>5.87</v>
      </c>
      <c r="K631" s="123">
        <v>187.75</v>
      </c>
      <c r="L631" s="123">
        <v>367.59</v>
      </c>
      <c r="M631" s="123">
        <v>539.76</v>
      </c>
      <c r="N631" s="123">
        <v>715.57</v>
      </c>
      <c r="O631" s="123">
        <v>883.73</v>
      </c>
      <c r="P631" s="123">
        <v>1055.3499999999999</v>
      </c>
      <c r="Q631" s="123">
        <v>189.89</v>
      </c>
      <c r="R631" s="123">
        <v>422.62</v>
      </c>
      <c r="S631" s="123">
        <v>675.75</v>
      </c>
      <c r="T631" s="123">
        <v>737.78</v>
      </c>
      <c r="U631" s="123">
        <v>724.51</v>
      </c>
      <c r="V631" s="123">
        <v>1974.22</v>
      </c>
      <c r="W631" s="123">
        <v>2912.45</v>
      </c>
      <c r="X631" s="123">
        <v>4039.9</v>
      </c>
      <c r="Y631" s="123">
        <v>5556.28</v>
      </c>
      <c r="Z631" s="123">
        <v>6937.18</v>
      </c>
      <c r="AA631" s="123">
        <v>8746.2099999999991</v>
      </c>
      <c r="AB631" s="123">
        <v>10734.33</v>
      </c>
      <c r="AC631" s="124">
        <v>3232.6</v>
      </c>
      <c r="AD631" s="124">
        <v>5289.7</v>
      </c>
      <c r="AE631" s="124">
        <v>8627.67</v>
      </c>
      <c r="AF631" s="124">
        <v>11896.14</v>
      </c>
      <c r="AG631" s="124">
        <v>13978.54</v>
      </c>
      <c r="AH631" s="124">
        <v>15253.07</v>
      </c>
      <c r="AI631" s="124">
        <v>18069.689999999999</v>
      </c>
      <c r="AJ631" s="124">
        <v>24305.55</v>
      </c>
      <c r="AK631" s="124">
        <v>26624.85</v>
      </c>
      <c r="AL631" s="124">
        <v>29693.32</v>
      </c>
      <c r="AM631" s="124">
        <v>33151.800000000003</v>
      </c>
      <c r="AN631" s="124">
        <v>33882.769999999997</v>
      </c>
      <c r="AO631" s="125">
        <v>1312.81</v>
      </c>
      <c r="AP631" s="125">
        <v>4204.47</v>
      </c>
      <c r="AQ631" s="125">
        <v>5772.7</v>
      </c>
      <c r="AR631" s="125">
        <v>8746.82</v>
      </c>
      <c r="AS631" s="125">
        <v>11687.19</v>
      </c>
      <c r="AT631" s="125">
        <v>13167.47</v>
      </c>
      <c r="AU631" s="125">
        <v>17114.830000000002</v>
      </c>
      <c r="AV631" s="125">
        <v>20231.29</v>
      </c>
      <c r="AW631" s="125">
        <v>23778.77</v>
      </c>
      <c r="AX631" s="125">
        <v>27183.56</v>
      </c>
      <c r="AY631" s="126"/>
      <c r="AZ631" s="126"/>
      <c r="BA631" s="126"/>
      <c r="BB631" s="126"/>
      <c r="BC631" s="126"/>
      <c r="BD631" s="126"/>
      <c r="BE631" s="126"/>
      <c r="BF631" s="157">
        <v>510430</v>
      </c>
      <c r="BG631" s="97" t="s">
        <v>564</v>
      </c>
      <c r="BH631" s="127">
        <v>15253.07</v>
      </c>
      <c r="BI631" s="127">
        <v>510430</v>
      </c>
      <c r="BJ631" s="97" t="s">
        <v>564</v>
      </c>
      <c r="BK631" s="127">
        <v>18069.689999999999</v>
      </c>
    </row>
    <row r="632" spans="2:63" x14ac:dyDescent="0.25">
      <c r="B632" s="121">
        <v>510435</v>
      </c>
      <c r="C632" s="152" t="s">
        <v>565</v>
      </c>
      <c r="D632" s="123">
        <v>1689.93</v>
      </c>
      <c r="E632" s="123">
        <v>417.46</v>
      </c>
      <c r="F632" s="123">
        <v>790.1</v>
      </c>
      <c r="G632" s="123">
        <v>1183.5999999999999</v>
      </c>
      <c r="H632" s="123">
        <v>1617.38</v>
      </c>
      <c r="I632" s="123">
        <v>1987.89</v>
      </c>
      <c r="J632" s="123">
        <v>2288.14</v>
      </c>
      <c r="K632" s="123">
        <v>2564.77</v>
      </c>
      <c r="L632" s="123">
        <v>2828.8</v>
      </c>
      <c r="M632" s="123">
        <v>3074.49</v>
      </c>
      <c r="N632" s="123">
        <v>3312.86</v>
      </c>
      <c r="O632" s="123">
        <v>3533.32</v>
      </c>
      <c r="P632" s="123">
        <v>3745.3</v>
      </c>
      <c r="Q632" s="123">
        <v>198.52</v>
      </c>
      <c r="R632" s="123">
        <v>372.71</v>
      </c>
      <c r="S632" s="123">
        <v>543.72</v>
      </c>
      <c r="T632" s="123">
        <v>701.32</v>
      </c>
      <c r="U632" s="123">
        <v>411.67</v>
      </c>
      <c r="V632" s="123">
        <v>4491.78</v>
      </c>
      <c r="W632" s="123">
        <v>6888.03</v>
      </c>
      <c r="X632" s="123">
        <v>10058.06</v>
      </c>
      <c r="Y632" s="123">
        <v>15085.74</v>
      </c>
      <c r="Z632" s="123">
        <v>19695.669999999998</v>
      </c>
      <c r="AA632" s="123">
        <v>24048.89</v>
      </c>
      <c r="AB632" s="123">
        <v>28379.38</v>
      </c>
      <c r="AC632" s="124">
        <v>3639.52</v>
      </c>
      <c r="AD632" s="124">
        <v>8131.65</v>
      </c>
      <c r="AE632" s="124">
        <v>13749.25</v>
      </c>
      <c r="AF632" s="124">
        <v>20126.849999999999</v>
      </c>
      <c r="AG632" s="124">
        <v>22569.65</v>
      </c>
      <c r="AH632" s="124">
        <v>27970.48</v>
      </c>
      <c r="AI632" s="124">
        <v>31107.78</v>
      </c>
      <c r="AJ632" s="124">
        <v>35150.69</v>
      </c>
      <c r="AK632" s="124">
        <v>38760.620000000003</v>
      </c>
      <c r="AL632" s="124">
        <v>42370.81</v>
      </c>
      <c r="AM632" s="124">
        <v>45574.3</v>
      </c>
      <c r="AN632" s="124">
        <v>48304.83</v>
      </c>
      <c r="AO632" s="125">
        <v>3687.67</v>
      </c>
      <c r="AP632" s="125">
        <v>7173.02</v>
      </c>
      <c r="AQ632" s="125">
        <v>10750.72</v>
      </c>
      <c r="AR632" s="125">
        <v>14641.49</v>
      </c>
      <c r="AS632" s="125">
        <v>16487.71</v>
      </c>
      <c r="AT632" s="125">
        <v>19621.72</v>
      </c>
      <c r="AU632" s="125">
        <v>21282.74</v>
      </c>
      <c r="AV632" s="125">
        <v>24820.27</v>
      </c>
      <c r="AW632" s="125">
        <v>27092.46</v>
      </c>
      <c r="AX632" s="125">
        <v>28721.53</v>
      </c>
      <c r="AY632" s="126"/>
      <c r="AZ632" s="126"/>
      <c r="BA632" s="126"/>
      <c r="BB632" s="126"/>
      <c r="BC632" s="126"/>
      <c r="BD632" s="126"/>
      <c r="BE632" s="126"/>
      <c r="BF632" s="157">
        <v>510435</v>
      </c>
      <c r="BG632" s="97" t="s">
        <v>565</v>
      </c>
      <c r="BH632" s="127">
        <v>27970.48</v>
      </c>
      <c r="BI632" s="127">
        <v>510435</v>
      </c>
      <c r="BJ632" s="97" t="s">
        <v>565</v>
      </c>
      <c r="BK632" s="127">
        <v>31107.78</v>
      </c>
    </row>
    <row r="633" spans="2:63" x14ac:dyDescent="0.25">
      <c r="B633" s="121">
        <v>510450</v>
      </c>
      <c r="C633" s="152" t="s">
        <v>552</v>
      </c>
      <c r="D633" s="123">
        <v>126845.95</v>
      </c>
      <c r="E633" s="123">
        <v>11641.86</v>
      </c>
      <c r="F633" s="123">
        <v>7249.72</v>
      </c>
      <c r="G633" s="123">
        <v>8184.49</v>
      </c>
      <c r="H633" s="123">
        <v>11522.49</v>
      </c>
      <c r="I633" s="123">
        <v>5779.69</v>
      </c>
      <c r="J633" s="123">
        <v>9407.9500000000007</v>
      </c>
      <c r="K633" s="123">
        <v>16176.3</v>
      </c>
      <c r="L633" s="123">
        <v>14764.84</v>
      </c>
      <c r="M633" s="123">
        <v>20118.55</v>
      </c>
      <c r="N633" s="123">
        <v>24019.84</v>
      </c>
      <c r="O633" s="123">
        <v>30909.85</v>
      </c>
      <c r="P633" s="123">
        <v>36636.370000000003</v>
      </c>
      <c r="Q633" s="123">
        <v>4178.1000000000004</v>
      </c>
      <c r="R633" s="123">
        <v>-219.45</v>
      </c>
      <c r="S633" s="123">
        <v>4564.3599999999997</v>
      </c>
      <c r="T633" s="123">
        <v>3239.59</v>
      </c>
      <c r="U633" s="123">
        <v>7472.71</v>
      </c>
      <c r="V633" s="123">
        <v>11479.98</v>
      </c>
      <c r="W633" s="123">
        <v>15071.91</v>
      </c>
      <c r="X633" s="123">
        <v>21874.880000000001</v>
      </c>
      <c r="Y633" s="123">
        <v>27327.53</v>
      </c>
      <c r="Z633" s="123">
        <v>31948.76</v>
      </c>
      <c r="AA633" s="123">
        <v>48150.15</v>
      </c>
      <c r="AB633" s="123">
        <v>49943.63</v>
      </c>
      <c r="AC633" s="124">
        <v>5430.69</v>
      </c>
      <c r="AD633" s="124">
        <v>7889.44</v>
      </c>
      <c r="AE633" s="124">
        <v>10756.46</v>
      </c>
      <c r="AF633" s="124">
        <v>14719.99</v>
      </c>
      <c r="AG633" s="124">
        <v>15907.75</v>
      </c>
      <c r="AH633" s="124">
        <v>18350.580000000002</v>
      </c>
      <c r="AI633" s="124">
        <v>22741.83</v>
      </c>
      <c r="AJ633" s="124">
        <v>25558.53</v>
      </c>
      <c r="AK633" s="124">
        <v>28548.240000000002</v>
      </c>
      <c r="AL633" s="124">
        <v>31969.7</v>
      </c>
      <c r="AM633" s="124">
        <v>34691.360000000001</v>
      </c>
      <c r="AN633" s="124">
        <v>37840.04</v>
      </c>
      <c r="AO633" s="125">
        <v>-4883.75</v>
      </c>
      <c r="AP633" s="125">
        <v>-2718.99</v>
      </c>
      <c r="AQ633" s="125">
        <v>31.74</v>
      </c>
      <c r="AR633" s="125">
        <v>668.26</v>
      </c>
      <c r="AS633" s="125">
        <v>39063.21</v>
      </c>
      <c r="AT633" s="125">
        <v>40299.08</v>
      </c>
      <c r="AU633" s="125">
        <v>41709.519999999997</v>
      </c>
      <c r="AV633" s="125">
        <v>43172.21</v>
      </c>
      <c r="AW633" s="125">
        <v>44691.16</v>
      </c>
      <c r="AX633" s="125">
        <v>54891.26</v>
      </c>
      <c r="AY633" s="126"/>
      <c r="AZ633" s="126"/>
      <c r="BA633" s="126"/>
      <c r="BB633" s="126"/>
      <c r="BC633" s="126"/>
      <c r="BD633" s="126"/>
      <c r="BE633" s="126"/>
      <c r="BF633" s="157">
        <v>510450</v>
      </c>
      <c r="BG633" s="97" t="s">
        <v>552</v>
      </c>
      <c r="BH633" s="127">
        <v>18350.580000000002</v>
      </c>
      <c r="BI633" s="127">
        <v>510450</v>
      </c>
      <c r="BJ633" s="97" t="s">
        <v>552</v>
      </c>
      <c r="BK633" s="127">
        <v>22741.83</v>
      </c>
    </row>
    <row r="634" spans="2:63" x14ac:dyDescent="0.25">
      <c r="B634" s="121">
        <v>510455</v>
      </c>
      <c r="C634" s="152" t="s">
        <v>566</v>
      </c>
      <c r="D634" s="123">
        <v>588963.76</v>
      </c>
      <c r="E634" s="123">
        <v>47689.59</v>
      </c>
      <c r="F634" s="123">
        <v>89884.21</v>
      </c>
      <c r="G634" s="123">
        <v>135166.66</v>
      </c>
      <c r="H634" s="123">
        <v>178517.04</v>
      </c>
      <c r="I634" s="123">
        <v>223559.2</v>
      </c>
      <c r="J634" s="123">
        <v>266098.21000000002</v>
      </c>
      <c r="K634" s="123">
        <v>312632.06</v>
      </c>
      <c r="L634" s="123">
        <v>360246.65</v>
      </c>
      <c r="M634" s="123">
        <v>405936.26</v>
      </c>
      <c r="N634" s="123">
        <v>453086.68</v>
      </c>
      <c r="O634" s="123">
        <v>500235.85</v>
      </c>
      <c r="P634" s="123">
        <v>548650.04</v>
      </c>
      <c r="Q634" s="123">
        <v>48463.62</v>
      </c>
      <c r="R634" s="123">
        <v>89596.93</v>
      </c>
      <c r="S634" s="123">
        <v>138512.81</v>
      </c>
      <c r="T634" s="123">
        <v>186301.19</v>
      </c>
      <c r="U634" s="123">
        <v>235309.89</v>
      </c>
      <c r="V634" s="123">
        <v>282182.01</v>
      </c>
      <c r="W634" s="123">
        <v>329272.01</v>
      </c>
      <c r="X634" s="123">
        <v>375667.98</v>
      </c>
      <c r="Y634" s="123">
        <v>415632.69</v>
      </c>
      <c r="Z634" s="123">
        <v>394312.92</v>
      </c>
      <c r="AA634" s="123">
        <v>497477.77</v>
      </c>
      <c r="AB634" s="123">
        <v>514175.88</v>
      </c>
      <c r="AC634" s="124">
        <v>2596.29</v>
      </c>
      <c r="AD634" s="124">
        <v>6872.46</v>
      </c>
      <c r="AE634" s="124">
        <v>10510.93</v>
      </c>
      <c r="AF634" s="124">
        <v>13683.27</v>
      </c>
      <c r="AG634" s="124">
        <v>17055.91</v>
      </c>
      <c r="AH634" s="124">
        <v>50889.56</v>
      </c>
      <c r="AI634" s="124">
        <v>96796.31</v>
      </c>
      <c r="AJ634" s="124">
        <v>136531.66</v>
      </c>
      <c r="AK634" s="124">
        <v>177876.73</v>
      </c>
      <c r="AL634" s="124">
        <v>185076.47</v>
      </c>
      <c r="AM634" s="124">
        <v>260368.91</v>
      </c>
      <c r="AN634" s="124">
        <v>300740.61</v>
      </c>
      <c r="AO634" s="125">
        <v>43860.12</v>
      </c>
      <c r="AP634" s="125">
        <v>78847.09</v>
      </c>
      <c r="AQ634" s="125">
        <v>121473.27</v>
      </c>
      <c r="AR634" s="125">
        <v>158749.69</v>
      </c>
      <c r="AS634" s="125">
        <v>218453.43</v>
      </c>
      <c r="AT634" s="125">
        <v>255594.9</v>
      </c>
      <c r="AU634" s="125">
        <v>310435.44</v>
      </c>
      <c r="AV634" s="125">
        <v>348476.06</v>
      </c>
      <c r="AW634" s="125">
        <v>383918.76</v>
      </c>
      <c r="AX634" s="125">
        <v>447001.77</v>
      </c>
      <c r="AY634" s="126"/>
      <c r="AZ634" s="126"/>
      <c r="BA634" s="126"/>
      <c r="BB634" s="126"/>
      <c r="BC634" s="126"/>
      <c r="BD634" s="126"/>
      <c r="BE634" s="126"/>
      <c r="BF634" s="157">
        <v>510455</v>
      </c>
      <c r="BG634" s="97" t="s">
        <v>566</v>
      </c>
      <c r="BH634" s="127">
        <v>50889.56</v>
      </c>
      <c r="BI634" s="127">
        <v>510455</v>
      </c>
      <c r="BJ634" s="97" t="s">
        <v>566</v>
      </c>
      <c r="BK634" s="127">
        <v>96796.31</v>
      </c>
    </row>
    <row r="635" spans="2:63" x14ac:dyDescent="0.25">
      <c r="B635" s="121">
        <v>51045505</v>
      </c>
      <c r="C635" s="152" t="s">
        <v>567</v>
      </c>
      <c r="D635" s="123">
        <v>36836.050000000003</v>
      </c>
      <c r="E635" s="128"/>
      <c r="F635" s="123">
        <v>11.11</v>
      </c>
      <c r="G635" s="123">
        <v>11.11</v>
      </c>
      <c r="H635" s="123">
        <v>11.11</v>
      </c>
      <c r="I635" s="123">
        <v>16.52</v>
      </c>
      <c r="J635" s="123">
        <v>16.52</v>
      </c>
      <c r="K635" s="123">
        <v>16.52</v>
      </c>
      <c r="L635" s="123">
        <v>16.52</v>
      </c>
      <c r="M635" s="123">
        <v>977.68</v>
      </c>
      <c r="N635" s="123">
        <v>977.68</v>
      </c>
      <c r="O635" s="123">
        <v>977.68</v>
      </c>
      <c r="P635" s="123">
        <v>977.68</v>
      </c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  <c r="AA635" s="128"/>
      <c r="AB635" s="123">
        <v>447.89</v>
      </c>
      <c r="AC635" s="129"/>
      <c r="AD635" s="129"/>
      <c r="AE635" s="129"/>
      <c r="AF635" s="129"/>
      <c r="AG635" s="129"/>
      <c r="AH635" s="129"/>
      <c r="AI635" s="129"/>
      <c r="AJ635" s="124">
        <v>0</v>
      </c>
      <c r="AK635" s="124">
        <v>0</v>
      </c>
      <c r="AL635" s="124">
        <v>0</v>
      </c>
      <c r="AM635" s="124">
        <v>0</v>
      </c>
      <c r="AN635" s="124">
        <v>0</v>
      </c>
      <c r="AO635" s="125">
        <v>0</v>
      </c>
      <c r="AP635" s="125">
        <v>0</v>
      </c>
      <c r="AQ635" s="125">
        <v>0</v>
      </c>
      <c r="AR635" s="125">
        <v>0</v>
      </c>
      <c r="AS635" s="125">
        <v>0</v>
      </c>
      <c r="AT635" s="125">
        <v>0</v>
      </c>
      <c r="AU635" s="125">
        <v>0</v>
      </c>
      <c r="AV635" s="125">
        <v>0</v>
      </c>
      <c r="AW635" s="125">
        <v>0</v>
      </c>
      <c r="AX635" s="125">
        <v>0</v>
      </c>
      <c r="AY635" s="126"/>
      <c r="AZ635" s="126"/>
      <c r="BA635" s="126"/>
      <c r="BB635" s="126"/>
      <c r="BC635" s="126"/>
      <c r="BD635" s="126"/>
      <c r="BE635" s="126"/>
      <c r="BF635" s="158"/>
    </row>
    <row r="636" spans="2:63" x14ac:dyDescent="0.25">
      <c r="B636" s="121">
        <v>5104550505</v>
      </c>
      <c r="C636" s="152" t="s">
        <v>568</v>
      </c>
      <c r="D636" s="123">
        <v>36836.050000000003</v>
      </c>
      <c r="E636" s="128"/>
      <c r="F636" s="123">
        <v>11.11</v>
      </c>
      <c r="G636" s="123">
        <v>11.11</v>
      </c>
      <c r="H636" s="123">
        <v>11.11</v>
      </c>
      <c r="I636" s="123">
        <v>16.52</v>
      </c>
      <c r="J636" s="123">
        <v>16.52</v>
      </c>
      <c r="K636" s="123">
        <v>16.52</v>
      </c>
      <c r="L636" s="123">
        <v>16.52</v>
      </c>
      <c r="M636" s="123">
        <v>977.68</v>
      </c>
      <c r="N636" s="123">
        <v>977.68</v>
      </c>
      <c r="O636" s="123">
        <v>977.68</v>
      </c>
      <c r="P636" s="123">
        <v>977.68</v>
      </c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  <c r="AA636" s="128"/>
      <c r="AB636" s="123">
        <v>447.89</v>
      </c>
      <c r="AC636" s="129"/>
      <c r="AD636" s="129"/>
      <c r="AE636" s="129"/>
      <c r="AF636" s="129"/>
      <c r="AG636" s="129"/>
      <c r="AH636" s="129"/>
      <c r="AI636" s="129"/>
      <c r="AJ636" s="124">
        <v>0</v>
      </c>
      <c r="AK636" s="124">
        <v>0</v>
      </c>
      <c r="AL636" s="124">
        <v>0</v>
      </c>
      <c r="AM636" s="124">
        <v>0</v>
      </c>
      <c r="AN636" s="124">
        <v>0</v>
      </c>
      <c r="AO636" s="125">
        <v>0</v>
      </c>
      <c r="AP636" s="125">
        <v>0</v>
      </c>
      <c r="AQ636" s="125">
        <v>0</v>
      </c>
      <c r="AR636" s="125">
        <v>0</v>
      </c>
      <c r="AS636" s="125">
        <v>0</v>
      </c>
      <c r="AT636" s="125">
        <v>0</v>
      </c>
      <c r="AU636" s="125">
        <v>0</v>
      </c>
      <c r="AV636" s="125">
        <v>0</v>
      </c>
      <c r="AW636" s="125">
        <v>0</v>
      </c>
      <c r="AX636" s="125">
        <v>0</v>
      </c>
      <c r="AY636" s="126"/>
      <c r="AZ636" s="126"/>
      <c r="BA636" s="126"/>
      <c r="BB636" s="126"/>
      <c r="BC636" s="126"/>
      <c r="BD636" s="126"/>
      <c r="BE636" s="126"/>
      <c r="BF636" s="158"/>
    </row>
    <row r="637" spans="2:63" x14ac:dyDescent="0.25">
      <c r="B637" s="121">
        <v>51045510</v>
      </c>
      <c r="C637" s="152" t="s">
        <v>569</v>
      </c>
      <c r="D637" s="123">
        <v>552127.71</v>
      </c>
      <c r="E637" s="123">
        <v>47689.59</v>
      </c>
      <c r="F637" s="123">
        <v>89873.1</v>
      </c>
      <c r="G637" s="123">
        <v>135155.54999999999</v>
      </c>
      <c r="H637" s="123">
        <v>178505.93</v>
      </c>
      <c r="I637" s="123">
        <v>223542.68</v>
      </c>
      <c r="J637" s="123">
        <v>266081.69</v>
      </c>
      <c r="K637" s="123">
        <v>312615.53999999998</v>
      </c>
      <c r="L637" s="123">
        <v>360230.13</v>
      </c>
      <c r="M637" s="123">
        <v>404958.58</v>
      </c>
      <c r="N637" s="123">
        <v>452109</v>
      </c>
      <c r="O637" s="123">
        <v>499258.17</v>
      </c>
      <c r="P637" s="123">
        <v>547672.36</v>
      </c>
      <c r="Q637" s="123">
        <v>48463.62</v>
      </c>
      <c r="R637" s="123">
        <v>89596.93</v>
      </c>
      <c r="S637" s="123">
        <v>138512.81</v>
      </c>
      <c r="T637" s="123">
        <v>186301.19</v>
      </c>
      <c r="U637" s="123">
        <v>235309.89</v>
      </c>
      <c r="V637" s="123">
        <v>282182.01</v>
      </c>
      <c r="W637" s="123">
        <v>329272.01</v>
      </c>
      <c r="X637" s="123">
        <v>375667.98</v>
      </c>
      <c r="Y637" s="123">
        <v>415632.69</v>
      </c>
      <c r="Z637" s="123">
        <v>394312.92</v>
      </c>
      <c r="AA637" s="123">
        <v>497477.77</v>
      </c>
      <c r="AB637" s="123">
        <v>513727.99</v>
      </c>
      <c r="AC637" s="124">
        <v>2596.29</v>
      </c>
      <c r="AD637" s="124">
        <v>6872.46</v>
      </c>
      <c r="AE637" s="124">
        <v>10510.93</v>
      </c>
      <c r="AF637" s="124">
        <v>13683.27</v>
      </c>
      <c r="AG637" s="124">
        <v>17055.91</v>
      </c>
      <c r="AH637" s="124">
        <v>50889.56</v>
      </c>
      <c r="AI637" s="124">
        <v>96796.31</v>
      </c>
      <c r="AJ637" s="124">
        <v>136531.66</v>
      </c>
      <c r="AK637" s="124">
        <v>177876.73</v>
      </c>
      <c r="AL637" s="124">
        <v>185076.47</v>
      </c>
      <c r="AM637" s="124">
        <v>260368.91</v>
      </c>
      <c r="AN637" s="124">
        <v>300740.61</v>
      </c>
      <c r="AO637" s="125">
        <v>43860.12</v>
      </c>
      <c r="AP637" s="125">
        <v>78847.09</v>
      </c>
      <c r="AQ637" s="125">
        <v>121473.27</v>
      </c>
      <c r="AR637" s="125">
        <v>158749.69</v>
      </c>
      <c r="AS637" s="125">
        <v>218453.43</v>
      </c>
      <c r="AT637" s="125">
        <v>255594.9</v>
      </c>
      <c r="AU637" s="125">
        <v>310435.44</v>
      </c>
      <c r="AV637" s="125">
        <v>348476.06</v>
      </c>
      <c r="AW637" s="125">
        <v>383918.76</v>
      </c>
      <c r="AX637" s="125">
        <v>447001.77</v>
      </c>
      <c r="AY637" s="126"/>
      <c r="AZ637" s="126"/>
      <c r="BA637" s="126"/>
      <c r="BB637" s="126"/>
      <c r="BC637" s="126"/>
      <c r="BD637" s="126"/>
      <c r="BE637" s="126"/>
      <c r="BF637" s="157">
        <v>51045510</v>
      </c>
      <c r="BG637" s="97" t="s">
        <v>569</v>
      </c>
      <c r="BH637" s="127">
        <v>50889.56</v>
      </c>
      <c r="BI637" s="127">
        <v>51045510</v>
      </c>
      <c r="BJ637" s="97" t="s">
        <v>569</v>
      </c>
      <c r="BK637" s="127">
        <v>96796.31</v>
      </c>
    </row>
    <row r="638" spans="2:63" x14ac:dyDescent="0.25">
      <c r="B638" s="121">
        <v>5104551005</v>
      </c>
      <c r="C638" s="152" t="s">
        <v>568</v>
      </c>
      <c r="D638" s="123">
        <v>494789.81</v>
      </c>
      <c r="E638" s="123">
        <v>47689.59</v>
      </c>
      <c r="F638" s="123">
        <v>89873.1</v>
      </c>
      <c r="G638" s="123">
        <v>135218.56</v>
      </c>
      <c r="H638" s="123">
        <v>178568.94</v>
      </c>
      <c r="I638" s="123">
        <v>223605.69</v>
      </c>
      <c r="J638" s="123">
        <v>266144.7</v>
      </c>
      <c r="K638" s="123">
        <v>312615.53999999998</v>
      </c>
      <c r="L638" s="123">
        <v>360230.13</v>
      </c>
      <c r="M638" s="123">
        <v>404958.58</v>
      </c>
      <c r="N638" s="123">
        <v>454362.89</v>
      </c>
      <c r="O638" s="123">
        <v>501512.06</v>
      </c>
      <c r="P638" s="123">
        <v>547544.03</v>
      </c>
      <c r="Q638" s="123">
        <v>48463.62</v>
      </c>
      <c r="R638" s="123">
        <v>-104288.94</v>
      </c>
      <c r="S638" s="123">
        <v>-55373.06</v>
      </c>
      <c r="T638" s="123">
        <v>-7584.68</v>
      </c>
      <c r="U638" s="123">
        <v>41424.019999999997</v>
      </c>
      <c r="V638" s="123">
        <v>88296.14</v>
      </c>
      <c r="W638" s="123">
        <v>135386.14000000001</v>
      </c>
      <c r="X638" s="123">
        <v>181782.11</v>
      </c>
      <c r="Y638" s="123">
        <v>221746.82</v>
      </c>
      <c r="Z638" s="123">
        <v>200427.05</v>
      </c>
      <c r="AA638" s="123">
        <v>303591.90000000002</v>
      </c>
      <c r="AB638" s="123">
        <v>319842.12</v>
      </c>
      <c r="AC638" s="124">
        <v>7458.39</v>
      </c>
      <c r="AD638" s="124">
        <v>11734.56</v>
      </c>
      <c r="AE638" s="124">
        <v>15373.03</v>
      </c>
      <c r="AF638" s="124">
        <v>13683.27</v>
      </c>
      <c r="AG638" s="124">
        <v>17055.91</v>
      </c>
      <c r="AH638" s="124">
        <v>50889.56</v>
      </c>
      <c r="AI638" s="124">
        <v>96796.31</v>
      </c>
      <c r="AJ638" s="124">
        <v>136531.66</v>
      </c>
      <c r="AK638" s="124">
        <v>177876.73</v>
      </c>
      <c r="AL638" s="124">
        <v>185076.47</v>
      </c>
      <c r="AM638" s="124">
        <v>260368.91</v>
      </c>
      <c r="AN638" s="124">
        <v>300740.61</v>
      </c>
      <c r="AO638" s="125">
        <v>43860.12</v>
      </c>
      <c r="AP638" s="125">
        <v>78847.09</v>
      </c>
      <c r="AQ638" s="125">
        <v>121473.27</v>
      </c>
      <c r="AR638" s="125">
        <v>158749.69</v>
      </c>
      <c r="AS638" s="125">
        <v>218453.43</v>
      </c>
      <c r="AT638" s="125">
        <v>255594.9</v>
      </c>
      <c r="AU638" s="125">
        <v>310435.44</v>
      </c>
      <c r="AV638" s="125">
        <v>348476.06</v>
      </c>
      <c r="AW638" s="125">
        <v>383918.76</v>
      </c>
      <c r="AX638" s="125">
        <v>447001.77</v>
      </c>
      <c r="AY638" s="126"/>
      <c r="AZ638" s="126"/>
      <c r="BA638" s="126"/>
      <c r="BB638" s="126"/>
      <c r="BC638" s="126"/>
      <c r="BD638" s="126"/>
      <c r="BE638" s="126"/>
      <c r="BF638" s="157">
        <v>5104551005</v>
      </c>
      <c r="BG638" s="97" t="s">
        <v>568</v>
      </c>
      <c r="BH638" s="127">
        <v>50889.56</v>
      </c>
      <c r="BI638" s="127">
        <v>5104551005</v>
      </c>
      <c r="BJ638" s="97" t="s">
        <v>568</v>
      </c>
      <c r="BK638" s="127">
        <v>96796.31</v>
      </c>
    </row>
    <row r="639" spans="2:63" x14ac:dyDescent="0.25">
      <c r="B639" s="121">
        <v>5104551015</v>
      </c>
      <c r="C639" s="152" t="s">
        <v>570</v>
      </c>
      <c r="D639" s="123">
        <v>57337.9</v>
      </c>
      <c r="E639" s="128"/>
      <c r="F639" s="128"/>
      <c r="G639" s="123">
        <v>-63.01</v>
      </c>
      <c r="H639" s="123">
        <v>-63.01</v>
      </c>
      <c r="I639" s="123">
        <v>-63.01</v>
      </c>
      <c r="J639" s="123">
        <v>-63.01</v>
      </c>
      <c r="K639" s="128"/>
      <c r="L639" s="128"/>
      <c r="M639" s="128"/>
      <c r="N639" s="123">
        <v>-2253.89</v>
      </c>
      <c r="O639" s="123">
        <v>-2253.89</v>
      </c>
      <c r="P639" s="123">
        <v>128.33000000000001</v>
      </c>
      <c r="Q639" s="128"/>
      <c r="R639" s="123">
        <v>193885.87</v>
      </c>
      <c r="S639" s="123">
        <v>193885.87</v>
      </c>
      <c r="T639" s="123">
        <v>193885.87</v>
      </c>
      <c r="U639" s="123">
        <v>193885.87</v>
      </c>
      <c r="V639" s="123">
        <v>193885.87</v>
      </c>
      <c r="W639" s="123">
        <v>193885.87</v>
      </c>
      <c r="X639" s="123">
        <v>193885.87</v>
      </c>
      <c r="Y639" s="123">
        <v>193885.87</v>
      </c>
      <c r="Z639" s="123">
        <v>193885.87</v>
      </c>
      <c r="AA639" s="123">
        <v>193885.87</v>
      </c>
      <c r="AB639" s="123">
        <v>193885.87</v>
      </c>
      <c r="AC639" s="124">
        <v>-4862.1000000000004</v>
      </c>
      <c r="AD639" s="124">
        <v>-4862.1000000000004</v>
      </c>
      <c r="AE639" s="124">
        <v>-4862.1000000000004</v>
      </c>
      <c r="AF639" s="129"/>
      <c r="AG639" s="129"/>
      <c r="AH639" s="129"/>
      <c r="AI639" s="129"/>
      <c r="AJ639" s="124">
        <v>0</v>
      </c>
      <c r="AK639" s="124">
        <v>0</v>
      </c>
      <c r="AL639" s="124">
        <v>0</v>
      </c>
      <c r="AM639" s="124">
        <v>0</v>
      </c>
      <c r="AN639" s="124">
        <v>0</v>
      </c>
      <c r="AO639" s="125">
        <v>0</v>
      </c>
      <c r="AP639" s="125">
        <v>0</v>
      </c>
      <c r="AQ639" s="125">
        <v>0</v>
      </c>
      <c r="AR639" s="125">
        <v>0</v>
      </c>
      <c r="AS639" s="125">
        <v>0</v>
      </c>
      <c r="AT639" s="125">
        <v>0</v>
      </c>
      <c r="AU639" s="125">
        <v>0</v>
      </c>
      <c r="AV639" s="125">
        <v>0</v>
      </c>
      <c r="AW639" s="125">
        <v>0</v>
      </c>
      <c r="AX639" s="125">
        <v>0</v>
      </c>
      <c r="AY639" s="126"/>
      <c r="AZ639" s="126"/>
      <c r="BA639" s="126"/>
      <c r="BB639" s="126"/>
      <c r="BC639" s="126"/>
      <c r="BD639" s="126"/>
      <c r="BE639" s="126"/>
      <c r="BF639" s="158"/>
    </row>
    <row r="640" spans="2:63" x14ac:dyDescent="0.25">
      <c r="B640" s="121">
        <v>5190</v>
      </c>
      <c r="C640" s="152" t="s">
        <v>571</v>
      </c>
      <c r="D640" s="123">
        <v>935.29</v>
      </c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3">
        <v>45280.46</v>
      </c>
      <c r="Q640" s="128"/>
      <c r="R640" s="123">
        <v>486.44</v>
      </c>
      <c r="S640" s="123">
        <v>486.44</v>
      </c>
      <c r="T640" s="123">
        <v>486.44</v>
      </c>
      <c r="U640" s="123">
        <v>58401.08</v>
      </c>
      <c r="V640" s="123">
        <v>70890.53</v>
      </c>
      <c r="W640" s="123">
        <v>82850.429999999993</v>
      </c>
      <c r="X640" s="123">
        <v>95285.33</v>
      </c>
      <c r="Y640" s="123">
        <v>107123.42</v>
      </c>
      <c r="Z640" s="123">
        <v>119729.46</v>
      </c>
      <c r="AA640" s="123">
        <v>131934.84</v>
      </c>
      <c r="AB640" s="123">
        <v>144371.14000000001</v>
      </c>
      <c r="AC640" s="124">
        <v>12745</v>
      </c>
      <c r="AD640" s="124">
        <v>24134.22</v>
      </c>
      <c r="AE640" s="124">
        <v>35294.75</v>
      </c>
      <c r="AF640" s="124">
        <v>47461.5</v>
      </c>
      <c r="AG640" s="124">
        <v>59880.06</v>
      </c>
      <c r="AH640" s="124">
        <v>71639.69</v>
      </c>
      <c r="AI640" s="124">
        <v>85914.36</v>
      </c>
      <c r="AJ640" s="124">
        <v>98994.31</v>
      </c>
      <c r="AK640" s="124">
        <v>112411.7</v>
      </c>
      <c r="AL640" s="124">
        <v>124760.77</v>
      </c>
      <c r="AM640" s="124">
        <v>136393.24</v>
      </c>
      <c r="AN640" s="124">
        <v>148625</v>
      </c>
      <c r="AO640" s="125">
        <v>11977.66</v>
      </c>
      <c r="AP640" s="125">
        <v>22726.68</v>
      </c>
      <c r="AQ640" s="125">
        <v>34938.39</v>
      </c>
      <c r="AR640" s="125">
        <v>47232.76</v>
      </c>
      <c r="AS640" s="125">
        <v>60442.17</v>
      </c>
      <c r="AT640" s="125">
        <v>73380.78</v>
      </c>
      <c r="AU640" s="125">
        <v>86980.94</v>
      </c>
      <c r="AV640" s="125">
        <v>101167.23</v>
      </c>
      <c r="AW640" s="125">
        <v>115175.74</v>
      </c>
      <c r="AX640" s="125">
        <v>128739.32</v>
      </c>
      <c r="AY640" s="126"/>
      <c r="AZ640" s="126"/>
      <c r="BA640" s="126"/>
      <c r="BB640" s="126"/>
      <c r="BC640" s="126"/>
      <c r="BD640" s="126"/>
      <c r="BE640" s="126"/>
      <c r="BF640" s="157">
        <v>5190</v>
      </c>
      <c r="BG640" s="97" t="s">
        <v>571</v>
      </c>
      <c r="BH640" s="127">
        <v>71639.69</v>
      </c>
      <c r="BI640" s="127">
        <v>5190</v>
      </c>
      <c r="BJ640" s="97" t="s">
        <v>571</v>
      </c>
      <c r="BK640" s="127">
        <v>85914.36</v>
      </c>
    </row>
    <row r="641" spans="2:63" x14ac:dyDescent="0.25">
      <c r="B641" s="121">
        <v>519090</v>
      </c>
      <c r="C641" s="152" t="s">
        <v>249</v>
      </c>
      <c r="D641" s="123">
        <v>935.29</v>
      </c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3">
        <v>45280.46</v>
      </c>
      <c r="Q641" s="128"/>
      <c r="R641" s="123">
        <v>486.44</v>
      </c>
      <c r="S641" s="123">
        <v>486.44</v>
      </c>
      <c r="T641" s="123">
        <v>486.44</v>
      </c>
      <c r="U641" s="123">
        <v>58401.08</v>
      </c>
      <c r="V641" s="123">
        <v>70890.53</v>
      </c>
      <c r="W641" s="123">
        <v>82850.429999999993</v>
      </c>
      <c r="X641" s="123">
        <v>95285.33</v>
      </c>
      <c r="Y641" s="123">
        <v>107123.42</v>
      </c>
      <c r="Z641" s="123">
        <v>119729.46</v>
      </c>
      <c r="AA641" s="123">
        <v>131934.84</v>
      </c>
      <c r="AB641" s="123">
        <v>144371.14000000001</v>
      </c>
      <c r="AC641" s="124">
        <v>12745</v>
      </c>
      <c r="AD641" s="124">
        <v>24134.22</v>
      </c>
      <c r="AE641" s="124">
        <v>35294.75</v>
      </c>
      <c r="AF641" s="124">
        <v>47461.5</v>
      </c>
      <c r="AG641" s="124">
        <v>59880.06</v>
      </c>
      <c r="AH641" s="124">
        <v>71639.69</v>
      </c>
      <c r="AI641" s="124">
        <v>85914.36</v>
      </c>
      <c r="AJ641" s="124">
        <v>98994.31</v>
      </c>
      <c r="AK641" s="124">
        <v>112411.7</v>
      </c>
      <c r="AL641" s="124">
        <v>124760.77</v>
      </c>
      <c r="AM641" s="124">
        <v>136393.24</v>
      </c>
      <c r="AN641" s="124">
        <v>148625</v>
      </c>
      <c r="AO641" s="125">
        <v>11977.66</v>
      </c>
      <c r="AP641" s="125">
        <v>22726.68</v>
      </c>
      <c r="AQ641" s="125">
        <v>34938.39</v>
      </c>
      <c r="AR641" s="125">
        <v>47232.76</v>
      </c>
      <c r="AS641" s="125">
        <v>60442.17</v>
      </c>
      <c r="AT641" s="125">
        <v>73380.78</v>
      </c>
      <c r="AU641" s="125">
        <v>86980.94</v>
      </c>
      <c r="AV641" s="125">
        <v>101167.23</v>
      </c>
      <c r="AW641" s="125">
        <v>115175.74</v>
      </c>
      <c r="AX641" s="125">
        <v>128739.32</v>
      </c>
      <c r="AY641" s="126"/>
      <c r="AZ641" s="126"/>
      <c r="BA641" s="126"/>
      <c r="BB641" s="126"/>
      <c r="BC641" s="126"/>
      <c r="BD641" s="126"/>
      <c r="BE641" s="126"/>
      <c r="BF641" s="157">
        <v>519090</v>
      </c>
      <c r="BG641" s="97" t="s">
        <v>249</v>
      </c>
      <c r="BH641" s="127">
        <v>71639.69</v>
      </c>
      <c r="BI641" s="127">
        <v>519090</v>
      </c>
      <c r="BJ641" s="97" t="s">
        <v>249</v>
      </c>
      <c r="BK641" s="127">
        <v>85914.36</v>
      </c>
    </row>
    <row r="642" spans="2:63" x14ac:dyDescent="0.25">
      <c r="B642" s="121">
        <v>52</v>
      </c>
      <c r="C642" s="152" t="s">
        <v>572</v>
      </c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  <c r="AA642" s="128"/>
      <c r="AB642" s="128"/>
      <c r="AC642" s="129"/>
      <c r="AD642" s="124">
        <v>1205.3599999999999</v>
      </c>
      <c r="AE642" s="124">
        <v>1205.3599999999999</v>
      </c>
      <c r="AF642" s="124">
        <v>1205.3599999999999</v>
      </c>
      <c r="AG642" s="124">
        <v>1205.3599999999999</v>
      </c>
      <c r="AH642" s="124">
        <v>1205.3599999999999</v>
      </c>
      <c r="AI642" s="124">
        <v>1205.3599999999999</v>
      </c>
      <c r="AJ642" s="124">
        <v>1205.3599999999999</v>
      </c>
      <c r="AK642" s="124">
        <v>1205.3599999999999</v>
      </c>
      <c r="AL642" s="124">
        <v>1205.3599999999999</v>
      </c>
      <c r="AM642" s="124">
        <v>1205.3599999999999</v>
      </c>
      <c r="AN642" s="124">
        <v>1205.3599999999999</v>
      </c>
      <c r="AO642" s="125">
        <v>0</v>
      </c>
      <c r="AP642" s="125">
        <v>0</v>
      </c>
      <c r="AQ642" s="125">
        <v>0</v>
      </c>
      <c r="AR642" s="125">
        <v>0</v>
      </c>
      <c r="AS642" s="125">
        <v>0</v>
      </c>
      <c r="AT642" s="125">
        <v>0</v>
      </c>
      <c r="AU642" s="125">
        <v>0</v>
      </c>
      <c r="AV642" s="125">
        <v>0</v>
      </c>
      <c r="AW642" s="125">
        <v>0</v>
      </c>
      <c r="AX642" s="125">
        <v>0</v>
      </c>
      <c r="AY642" s="126"/>
      <c r="AZ642" s="126"/>
      <c r="BA642" s="126"/>
      <c r="BB642" s="126"/>
      <c r="BC642" s="126"/>
      <c r="BD642" s="126"/>
      <c r="BE642" s="126"/>
      <c r="BF642" s="157">
        <v>52</v>
      </c>
      <c r="BG642" s="97" t="s">
        <v>572</v>
      </c>
      <c r="BH642" s="127">
        <v>1205.3599999999999</v>
      </c>
      <c r="BI642" s="127">
        <v>52</v>
      </c>
      <c r="BJ642" s="97" t="s">
        <v>572</v>
      </c>
      <c r="BK642" s="127">
        <v>1205.3599999999999</v>
      </c>
    </row>
    <row r="643" spans="2:63" x14ac:dyDescent="0.25">
      <c r="B643" s="121">
        <v>5290</v>
      </c>
      <c r="C643" s="152" t="s">
        <v>219</v>
      </c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  <c r="AA643" s="128"/>
      <c r="AB643" s="128"/>
      <c r="AC643" s="129"/>
      <c r="AD643" s="124">
        <v>1205.3599999999999</v>
      </c>
      <c r="AE643" s="124">
        <v>1205.3599999999999</v>
      </c>
      <c r="AF643" s="124">
        <v>1205.3599999999999</v>
      </c>
      <c r="AG643" s="124">
        <v>1205.3599999999999</v>
      </c>
      <c r="AH643" s="124">
        <v>1205.3599999999999</v>
      </c>
      <c r="AI643" s="124">
        <v>1205.3599999999999</v>
      </c>
      <c r="AJ643" s="124">
        <v>1205.3599999999999</v>
      </c>
      <c r="AK643" s="124">
        <v>1205.3599999999999</v>
      </c>
      <c r="AL643" s="124">
        <v>1205.3599999999999</v>
      </c>
      <c r="AM643" s="124">
        <v>1205.3599999999999</v>
      </c>
      <c r="AN643" s="124">
        <v>1205.3599999999999</v>
      </c>
      <c r="AO643" s="125">
        <v>0</v>
      </c>
      <c r="AP643" s="125">
        <v>0</v>
      </c>
      <c r="AQ643" s="125">
        <v>0</v>
      </c>
      <c r="AR643" s="125">
        <v>0</v>
      </c>
      <c r="AS643" s="125">
        <v>0</v>
      </c>
      <c r="AT643" s="125">
        <v>0</v>
      </c>
      <c r="AU643" s="125">
        <v>0</v>
      </c>
      <c r="AV643" s="125">
        <v>0</v>
      </c>
      <c r="AW643" s="125">
        <v>0</v>
      </c>
      <c r="AX643" s="125">
        <v>0</v>
      </c>
      <c r="AY643" s="126"/>
      <c r="AZ643" s="126"/>
      <c r="BA643" s="126"/>
      <c r="BB643" s="126"/>
      <c r="BC643" s="126"/>
      <c r="BD643" s="126"/>
      <c r="BE643" s="126"/>
      <c r="BF643" s="157">
        <v>5290</v>
      </c>
      <c r="BG643" s="97" t="s">
        <v>219</v>
      </c>
      <c r="BH643" s="127">
        <v>1205.3599999999999</v>
      </c>
      <c r="BI643" s="127">
        <v>5290</v>
      </c>
      <c r="BJ643" s="97" t="s">
        <v>219</v>
      </c>
      <c r="BK643" s="127">
        <v>1205.3599999999999</v>
      </c>
    </row>
    <row r="644" spans="2:63" x14ac:dyDescent="0.25">
      <c r="B644" s="121">
        <v>53</v>
      </c>
      <c r="C644" s="152" t="s">
        <v>573</v>
      </c>
      <c r="D644" s="123">
        <v>6885.55</v>
      </c>
      <c r="E644" s="123">
        <v>1861.77</v>
      </c>
      <c r="F644" s="123">
        <v>5981.02</v>
      </c>
      <c r="G644" s="123">
        <v>7714.53</v>
      </c>
      <c r="H644" s="123">
        <v>9335.85</v>
      </c>
      <c r="I644" s="123">
        <v>10962.62</v>
      </c>
      <c r="J644" s="123">
        <v>10962.62</v>
      </c>
      <c r="K644" s="123">
        <v>10962.62</v>
      </c>
      <c r="L644" s="123">
        <v>10962.62</v>
      </c>
      <c r="M644" s="123">
        <v>10962.62</v>
      </c>
      <c r="N644" s="123">
        <v>10962.62</v>
      </c>
      <c r="O644" s="123">
        <v>10962.62</v>
      </c>
      <c r="P644" s="123">
        <v>10962.62</v>
      </c>
      <c r="Q644" s="128"/>
      <c r="R644" s="128"/>
      <c r="S644" s="128"/>
      <c r="T644" s="128"/>
      <c r="U644" s="128"/>
      <c r="V644" s="123">
        <v>46599.31</v>
      </c>
      <c r="W644" s="123">
        <v>92826.02</v>
      </c>
      <c r="X644" s="123">
        <v>137474.75</v>
      </c>
      <c r="Y644" s="123">
        <v>192293.33</v>
      </c>
      <c r="Z644" s="123">
        <v>248102.05</v>
      </c>
      <c r="AA644" s="123">
        <v>264951.17</v>
      </c>
      <c r="AB644" s="123">
        <v>384975.51</v>
      </c>
      <c r="AC644" s="124">
        <v>58945.13</v>
      </c>
      <c r="AD644" s="124">
        <v>110897.04</v>
      </c>
      <c r="AE644" s="124">
        <v>155818.60999999999</v>
      </c>
      <c r="AF644" s="124">
        <v>215995.1</v>
      </c>
      <c r="AG644" s="124">
        <v>275038.45</v>
      </c>
      <c r="AH644" s="124">
        <v>328061.96000000002</v>
      </c>
      <c r="AI644" s="124">
        <v>353249.62</v>
      </c>
      <c r="AJ644" s="124">
        <v>429448.93</v>
      </c>
      <c r="AK644" s="124">
        <v>509824.1</v>
      </c>
      <c r="AL644" s="124">
        <v>559572.31000000006</v>
      </c>
      <c r="AM644" s="124">
        <v>644753.12</v>
      </c>
      <c r="AN644" s="124">
        <v>890921.56</v>
      </c>
      <c r="AO644" s="125">
        <v>179961.32</v>
      </c>
      <c r="AP644" s="125">
        <v>395140.92</v>
      </c>
      <c r="AQ644" s="125">
        <v>591069.65</v>
      </c>
      <c r="AR644" s="125">
        <v>697641.36</v>
      </c>
      <c r="AS644" s="125">
        <v>807618.19</v>
      </c>
      <c r="AT644" s="125">
        <v>903690.54</v>
      </c>
      <c r="AU644" s="125">
        <v>1116956.81</v>
      </c>
      <c r="AV644" s="125">
        <v>1138542.04</v>
      </c>
      <c r="AW644" s="125">
        <v>1134431.03</v>
      </c>
      <c r="AX644" s="125">
        <v>1118646.6000000001</v>
      </c>
      <c r="AY644" s="126"/>
      <c r="AZ644" s="126"/>
      <c r="BA644" s="126"/>
      <c r="BB644" s="126"/>
      <c r="BC644" s="126"/>
      <c r="BD644" s="126"/>
      <c r="BE644" s="126"/>
      <c r="BF644" s="157">
        <v>53</v>
      </c>
      <c r="BG644" s="97" t="s">
        <v>573</v>
      </c>
      <c r="BH644" s="127">
        <v>328061.96000000002</v>
      </c>
      <c r="BI644" s="127">
        <v>53</v>
      </c>
      <c r="BJ644" s="97" t="s">
        <v>573</v>
      </c>
      <c r="BK644" s="127">
        <v>353249.62</v>
      </c>
    </row>
    <row r="645" spans="2:63" x14ac:dyDescent="0.25">
      <c r="B645" s="121">
        <v>5303</v>
      </c>
      <c r="C645" s="152" t="s">
        <v>439</v>
      </c>
      <c r="D645" s="128"/>
      <c r="E645" s="128"/>
      <c r="F645" s="123">
        <v>2489.69</v>
      </c>
      <c r="G645" s="123">
        <v>2489.69</v>
      </c>
      <c r="H645" s="123">
        <v>2489.69</v>
      </c>
      <c r="I645" s="123">
        <v>2489.69</v>
      </c>
      <c r="J645" s="123">
        <v>2489.69</v>
      </c>
      <c r="K645" s="123">
        <v>2489.69</v>
      </c>
      <c r="L645" s="123">
        <v>2489.69</v>
      </c>
      <c r="M645" s="123">
        <v>2489.69</v>
      </c>
      <c r="N645" s="123">
        <v>2489.69</v>
      </c>
      <c r="O645" s="123">
        <v>2489.69</v>
      </c>
      <c r="P645" s="123">
        <v>2489.69</v>
      </c>
      <c r="Q645" s="128"/>
      <c r="R645" s="128"/>
      <c r="S645" s="128"/>
      <c r="T645" s="128"/>
      <c r="U645" s="128"/>
      <c r="V645" s="123">
        <v>46599.31</v>
      </c>
      <c r="W645" s="123">
        <v>92826.02</v>
      </c>
      <c r="X645" s="123">
        <v>137474.75</v>
      </c>
      <c r="Y645" s="123">
        <v>192293.33</v>
      </c>
      <c r="Z645" s="123">
        <v>248102.05</v>
      </c>
      <c r="AA645" s="123">
        <v>264951.17</v>
      </c>
      <c r="AB645" s="123">
        <v>384975.51</v>
      </c>
      <c r="AC645" s="124">
        <v>58945.13</v>
      </c>
      <c r="AD645" s="124">
        <v>110897.04</v>
      </c>
      <c r="AE645" s="124">
        <v>155818.60999999999</v>
      </c>
      <c r="AF645" s="124">
        <v>215995.1</v>
      </c>
      <c r="AG645" s="124">
        <v>275038.45</v>
      </c>
      <c r="AH645" s="124">
        <v>328061.96000000002</v>
      </c>
      <c r="AI645" s="124">
        <v>353249.62</v>
      </c>
      <c r="AJ645" s="124">
        <v>429448.93</v>
      </c>
      <c r="AK645" s="124">
        <v>509824.1</v>
      </c>
      <c r="AL645" s="124">
        <v>559572.31000000006</v>
      </c>
      <c r="AM645" s="124">
        <v>644753.12</v>
      </c>
      <c r="AN645" s="124">
        <v>890921.56</v>
      </c>
      <c r="AO645" s="125">
        <v>179961.32</v>
      </c>
      <c r="AP645" s="125">
        <v>395140.92</v>
      </c>
      <c r="AQ645" s="125">
        <v>591069.65</v>
      </c>
      <c r="AR645" s="125">
        <v>697641.36</v>
      </c>
      <c r="AS645" s="125">
        <v>807618.19</v>
      </c>
      <c r="AT645" s="125">
        <v>903690.54</v>
      </c>
      <c r="AU645" s="125">
        <v>1116956.81</v>
      </c>
      <c r="AV645" s="125">
        <v>1138542.04</v>
      </c>
      <c r="AW645" s="125">
        <v>1134431.03</v>
      </c>
      <c r="AX645" s="125">
        <v>1118646.6000000001</v>
      </c>
      <c r="AY645" s="126"/>
      <c r="AZ645" s="126"/>
      <c r="BA645" s="126"/>
      <c r="BB645" s="126"/>
      <c r="BC645" s="126"/>
      <c r="BD645" s="126"/>
      <c r="BE645" s="126"/>
      <c r="BF645" s="157">
        <v>5303</v>
      </c>
      <c r="BG645" s="97" t="s">
        <v>439</v>
      </c>
      <c r="BH645" s="127">
        <v>328061.96000000002</v>
      </c>
      <c r="BI645" s="127">
        <v>5303</v>
      </c>
      <c r="BJ645" s="97" t="s">
        <v>439</v>
      </c>
      <c r="BK645" s="127">
        <v>353249.62</v>
      </c>
    </row>
    <row r="646" spans="2:63" x14ac:dyDescent="0.25">
      <c r="B646" s="121">
        <v>530310</v>
      </c>
      <c r="C646" s="152" t="s">
        <v>574</v>
      </c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3">
        <v>46599.31</v>
      </c>
      <c r="W646" s="123">
        <v>92826.02</v>
      </c>
      <c r="X646" s="123">
        <v>137474.75</v>
      </c>
      <c r="Y646" s="123">
        <v>192293.33</v>
      </c>
      <c r="Z646" s="123">
        <v>248102.05</v>
      </c>
      <c r="AA646" s="123">
        <v>264951.17</v>
      </c>
      <c r="AB646" s="123">
        <v>384975.51</v>
      </c>
      <c r="AC646" s="124">
        <v>58945.13</v>
      </c>
      <c r="AD646" s="124">
        <v>110897.04</v>
      </c>
      <c r="AE646" s="124">
        <v>155818.60999999999</v>
      </c>
      <c r="AF646" s="124">
        <v>215995.1</v>
      </c>
      <c r="AG646" s="124">
        <v>275038.45</v>
      </c>
      <c r="AH646" s="124">
        <v>328061.96000000002</v>
      </c>
      <c r="AI646" s="124">
        <v>353249.62</v>
      </c>
      <c r="AJ646" s="124">
        <v>429448.93</v>
      </c>
      <c r="AK646" s="124">
        <v>509824.1</v>
      </c>
      <c r="AL646" s="124">
        <v>559572.31000000006</v>
      </c>
      <c r="AM646" s="124">
        <v>644753.12</v>
      </c>
      <c r="AN646" s="124">
        <v>890921.56</v>
      </c>
      <c r="AO646" s="125">
        <v>179961.32</v>
      </c>
      <c r="AP646" s="125">
        <v>395140.92</v>
      </c>
      <c r="AQ646" s="125">
        <v>591069.65</v>
      </c>
      <c r="AR646" s="125">
        <v>697641.36</v>
      </c>
      <c r="AS646" s="125">
        <v>807618.19</v>
      </c>
      <c r="AT646" s="125">
        <v>903690.54</v>
      </c>
      <c r="AU646" s="125">
        <v>1116955.04</v>
      </c>
      <c r="AV646" s="125">
        <v>1138540.27</v>
      </c>
      <c r="AW646" s="125">
        <v>1134429.26</v>
      </c>
      <c r="AX646" s="125">
        <v>1118644.83</v>
      </c>
      <c r="AY646" s="126"/>
      <c r="AZ646" s="126"/>
      <c r="BA646" s="126"/>
      <c r="BB646" s="126"/>
      <c r="BC646" s="126"/>
      <c r="BD646" s="126"/>
      <c r="BE646" s="126"/>
      <c r="BF646" s="157">
        <v>530310</v>
      </c>
      <c r="BG646" s="97" t="s">
        <v>574</v>
      </c>
      <c r="BH646" s="127">
        <v>328061.96000000002</v>
      </c>
      <c r="BI646" s="127">
        <v>530310</v>
      </c>
      <c r="BJ646" s="97" t="s">
        <v>574</v>
      </c>
      <c r="BK646" s="127">
        <v>353249.62</v>
      </c>
    </row>
    <row r="647" spans="2:63" x14ac:dyDescent="0.25">
      <c r="B647" s="121">
        <v>530390</v>
      </c>
      <c r="C647" s="152" t="s">
        <v>575</v>
      </c>
      <c r="D647" s="128"/>
      <c r="E647" s="128"/>
      <c r="F647" s="123">
        <v>2489.69</v>
      </c>
      <c r="G647" s="123">
        <v>2489.69</v>
      </c>
      <c r="H647" s="123">
        <v>2489.69</v>
      </c>
      <c r="I647" s="123">
        <v>2489.69</v>
      </c>
      <c r="J647" s="123">
        <v>2489.69</v>
      </c>
      <c r="K647" s="123">
        <v>2489.69</v>
      </c>
      <c r="L647" s="123">
        <v>2489.69</v>
      </c>
      <c r="M647" s="123">
        <v>2489.69</v>
      </c>
      <c r="N647" s="123">
        <v>2489.69</v>
      </c>
      <c r="O647" s="123">
        <v>2489.69</v>
      </c>
      <c r="P647" s="123">
        <v>2489.69</v>
      </c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  <c r="AA647" s="128"/>
      <c r="AB647" s="128"/>
      <c r="AC647" s="129"/>
      <c r="AD647" s="129"/>
      <c r="AE647" s="129"/>
      <c r="AF647" s="129"/>
      <c r="AG647" s="129"/>
      <c r="AH647" s="129"/>
      <c r="AI647" s="129"/>
      <c r="AJ647" s="124">
        <v>0</v>
      </c>
      <c r="AK647" s="124">
        <v>0</v>
      </c>
      <c r="AL647" s="124">
        <v>0</v>
      </c>
      <c r="AM647" s="124">
        <v>0</v>
      </c>
      <c r="AN647" s="124">
        <v>0</v>
      </c>
      <c r="AO647" s="125">
        <v>0</v>
      </c>
      <c r="AP647" s="125">
        <v>0</v>
      </c>
      <c r="AQ647" s="125">
        <v>0</v>
      </c>
      <c r="AR647" s="125">
        <v>0</v>
      </c>
      <c r="AS647" s="125">
        <v>0</v>
      </c>
      <c r="AT647" s="125">
        <v>0</v>
      </c>
      <c r="AU647" s="125">
        <v>0</v>
      </c>
      <c r="AV647" s="125">
        <v>0</v>
      </c>
      <c r="AW647" s="125">
        <v>0</v>
      </c>
      <c r="AX647" s="125">
        <v>0</v>
      </c>
      <c r="AY647" s="126"/>
      <c r="AZ647" s="126"/>
      <c r="BA647" s="126"/>
      <c r="BB647" s="126"/>
      <c r="BC647" s="126"/>
      <c r="BD647" s="126"/>
      <c r="BE647" s="126"/>
      <c r="BF647" s="158"/>
    </row>
    <row r="648" spans="2:63" x14ac:dyDescent="0.25">
      <c r="B648" s="121">
        <v>5304</v>
      </c>
      <c r="C648" s="152" t="s">
        <v>576</v>
      </c>
      <c r="D648" s="123">
        <v>6885.55</v>
      </c>
      <c r="E648" s="123">
        <v>1861.77</v>
      </c>
      <c r="F648" s="123">
        <v>3491.33</v>
      </c>
      <c r="G648" s="123">
        <v>5224.84</v>
      </c>
      <c r="H648" s="123">
        <v>6846.16</v>
      </c>
      <c r="I648" s="123">
        <v>8472.93</v>
      </c>
      <c r="J648" s="123">
        <v>8472.93</v>
      </c>
      <c r="K648" s="123">
        <v>8472.93</v>
      </c>
      <c r="L648" s="123">
        <v>8472.93</v>
      </c>
      <c r="M648" s="123">
        <v>8472.93</v>
      </c>
      <c r="N648" s="123">
        <v>8472.93</v>
      </c>
      <c r="O648" s="123">
        <v>8472.93</v>
      </c>
      <c r="P648" s="123">
        <v>8472.93</v>
      </c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  <c r="AA648" s="128"/>
      <c r="AB648" s="128"/>
      <c r="AC648" s="129"/>
      <c r="AD648" s="129"/>
      <c r="AE648" s="129"/>
      <c r="AF648" s="129"/>
      <c r="AG648" s="129"/>
      <c r="AH648" s="129"/>
      <c r="AI648" s="129"/>
      <c r="AJ648" s="124">
        <v>0</v>
      </c>
      <c r="AK648" s="124">
        <v>0</v>
      </c>
      <c r="AL648" s="124">
        <v>0</v>
      </c>
      <c r="AM648" s="124">
        <v>0</v>
      </c>
      <c r="AN648" s="124">
        <v>0</v>
      </c>
      <c r="AO648" s="125">
        <v>0</v>
      </c>
      <c r="AP648" s="125">
        <v>0</v>
      </c>
      <c r="AQ648" s="125">
        <v>0</v>
      </c>
      <c r="AR648" s="125">
        <v>0</v>
      </c>
      <c r="AS648" s="125">
        <v>0</v>
      </c>
      <c r="AT648" s="125">
        <v>0</v>
      </c>
      <c r="AU648" s="125">
        <v>0</v>
      </c>
      <c r="AV648" s="125">
        <v>0</v>
      </c>
      <c r="AW648" s="125">
        <v>0</v>
      </c>
      <c r="AX648" s="125">
        <v>0</v>
      </c>
      <c r="AY648" s="126"/>
      <c r="AZ648" s="126"/>
      <c r="BA648" s="126"/>
      <c r="BB648" s="126"/>
      <c r="BC648" s="126"/>
      <c r="BD648" s="126"/>
      <c r="BE648" s="126"/>
      <c r="BF648" s="158"/>
    </row>
    <row r="649" spans="2:63" x14ac:dyDescent="0.25">
      <c r="B649" s="142">
        <v>54</v>
      </c>
      <c r="C649" s="152" t="s">
        <v>577</v>
      </c>
      <c r="D649" s="123">
        <v>47240.08</v>
      </c>
      <c r="E649" s="123">
        <v>3510.39</v>
      </c>
      <c r="F649" s="123">
        <v>7418.53</v>
      </c>
      <c r="G649" s="123">
        <v>12683.45</v>
      </c>
      <c r="H649" s="123">
        <v>16261.56</v>
      </c>
      <c r="I649" s="123">
        <v>20015</v>
      </c>
      <c r="J649" s="123">
        <v>23716.11</v>
      </c>
      <c r="K649" s="123">
        <v>29005.5</v>
      </c>
      <c r="L649" s="123">
        <v>45861.66</v>
      </c>
      <c r="M649" s="123">
        <v>55938.55</v>
      </c>
      <c r="N649" s="123">
        <v>63579.66</v>
      </c>
      <c r="O649" s="123">
        <v>71297.73</v>
      </c>
      <c r="P649" s="123">
        <v>79965.070000000007</v>
      </c>
      <c r="Q649" s="123">
        <v>7828.61</v>
      </c>
      <c r="R649" s="123">
        <v>15167.71</v>
      </c>
      <c r="S649" s="123">
        <v>24014.03</v>
      </c>
      <c r="T649" s="123">
        <v>30607.919999999998</v>
      </c>
      <c r="U649" s="123">
        <v>37249.47</v>
      </c>
      <c r="V649" s="123">
        <v>44534.26</v>
      </c>
      <c r="W649" s="123">
        <v>52344.23</v>
      </c>
      <c r="X649" s="123">
        <v>60379.92</v>
      </c>
      <c r="Y649" s="123">
        <v>68312.59</v>
      </c>
      <c r="Z649" s="123">
        <v>76829.33</v>
      </c>
      <c r="AA649" s="123">
        <v>85309.43</v>
      </c>
      <c r="AB649" s="123">
        <v>94600.62</v>
      </c>
      <c r="AC649" s="124">
        <v>8775.6299999999992</v>
      </c>
      <c r="AD649" s="124">
        <v>17867.86</v>
      </c>
      <c r="AE649" s="124">
        <v>27648.06</v>
      </c>
      <c r="AF649" s="124">
        <v>41071.54</v>
      </c>
      <c r="AG649" s="124">
        <v>52302.61</v>
      </c>
      <c r="AH649" s="124">
        <v>63056.6</v>
      </c>
      <c r="AI649" s="124">
        <v>74469.33</v>
      </c>
      <c r="AJ649" s="124">
        <v>85964.25</v>
      </c>
      <c r="AK649" s="124">
        <v>96396.78</v>
      </c>
      <c r="AL649" s="124">
        <v>108632.4</v>
      </c>
      <c r="AM649" s="124">
        <v>119011.68</v>
      </c>
      <c r="AN649" s="124">
        <v>129521.79</v>
      </c>
      <c r="AO649" s="125">
        <v>10575.97</v>
      </c>
      <c r="AP649" s="125">
        <v>20155.63</v>
      </c>
      <c r="AQ649" s="125">
        <v>30546.03</v>
      </c>
      <c r="AR649" s="125">
        <v>41170.21</v>
      </c>
      <c r="AS649" s="125">
        <v>52336.01</v>
      </c>
      <c r="AT649" s="125">
        <v>62134.28</v>
      </c>
      <c r="AU649" s="125">
        <v>72213.56</v>
      </c>
      <c r="AV649" s="125">
        <v>82293.899999999994</v>
      </c>
      <c r="AW649" s="125">
        <v>91962.15</v>
      </c>
      <c r="AX649" s="125">
        <v>103720.9</v>
      </c>
      <c r="AY649" s="126"/>
      <c r="AZ649" s="126"/>
      <c r="BA649" s="126"/>
      <c r="BB649" s="126"/>
      <c r="BC649" s="126"/>
      <c r="BD649" s="126"/>
      <c r="BE649" s="126"/>
      <c r="BF649" s="157">
        <v>54</v>
      </c>
      <c r="BG649" s="97" t="s">
        <v>577</v>
      </c>
      <c r="BH649" s="127">
        <v>63056.6</v>
      </c>
      <c r="BI649" s="127">
        <v>54</v>
      </c>
      <c r="BJ649" s="97" t="s">
        <v>577</v>
      </c>
      <c r="BK649" s="127">
        <v>74469.33</v>
      </c>
    </row>
    <row r="650" spans="2:63" x14ac:dyDescent="0.25">
      <c r="B650" s="142">
        <v>5406</v>
      </c>
      <c r="C650" s="152" t="s">
        <v>578</v>
      </c>
      <c r="D650" s="123">
        <v>47240.08</v>
      </c>
      <c r="E650" s="123">
        <v>3510.39</v>
      </c>
      <c r="F650" s="123">
        <v>7418.53</v>
      </c>
      <c r="G650" s="123">
        <v>12683.45</v>
      </c>
      <c r="H650" s="123">
        <v>16261.56</v>
      </c>
      <c r="I650" s="123">
        <v>20015</v>
      </c>
      <c r="J650" s="123">
        <v>23716.11</v>
      </c>
      <c r="K650" s="123">
        <v>29005.5</v>
      </c>
      <c r="L650" s="123">
        <v>45861.66</v>
      </c>
      <c r="M650" s="123">
        <v>55938.55</v>
      </c>
      <c r="N650" s="123">
        <v>63579.66</v>
      </c>
      <c r="O650" s="123">
        <v>71297.73</v>
      </c>
      <c r="P650" s="123">
        <v>79965.070000000007</v>
      </c>
      <c r="Q650" s="123">
        <v>7828.61</v>
      </c>
      <c r="R650" s="123">
        <v>15167.71</v>
      </c>
      <c r="S650" s="123">
        <v>24014.03</v>
      </c>
      <c r="T650" s="123">
        <v>30607.919999999998</v>
      </c>
      <c r="U650" s="123">
        <v>37249.47</v>
      </c>
      <c r="V650" s="123">
        <v>44534.26</v>
      </c>
      <c r="W650" s="123">
        <v>52344.23</v>
      </c>
      <c r="X650" s="123">
        <v>60379.92</v>
      </c>
      <c r="Y650" s="123">
        <v>68312.59</v>
      </c>
      <c r="Z650" s="123">
        <v>76829.33</v>
      </c>
      <c r="AA650" s="123">
        <v>85309.43</v>
      </c>
      <c r="AB650" s="123">
        <v>94600.62</v>
      </c>
      <c r="AC650" s="124">
        <v>8775.6299999999992</v>
      </c>
      <c r="AD650" s="124">
        <v>17867.86</v>
      </c>
      <c r="AE650" s="124">
        <v>27648.06</v>
      </c>
      <c r="AF650" s="124">
        <v>41071.54</v>
      </c>
      <c r="AG650" s="124">
        <v>52302.61</v>
      </c>
      <c r="AH650" s="124">
        <v>63056.6</v>
      </c>
      <c r="AI650" s="124">
        <v>74469.33</v>
      </c>
      <c r="AJ650" s="124">
        <v>85964.25</v>
      </c>
      <c r="AK650" s="124">
        <v>96396.78</v>
      </c>
      <c r="AL650" s="124">
        <v>108632.4</v>
      </c>
      <c r="AM650" s="124">
        <v>119011.68</v>
      </c>
      <c r="AN650" s="124">
        <v>129521.79</v>
      </c>
      <c r="AO650" s="125">
        <v>10575.97</v>
      </c>
      <c r="AP650" s="125">
        <v>20155.63</v>
      </c>
      <c r="AQ650" s="125">
        <v>30546.03</v>
      </c>
      <c r="AR650" s="125">
        <v>41170.21</v>
      </c>
      <c r="AS650" s="125">
        <v>52336.01</v>
      </c>
      <c r="AT650" s="125">
        <v>62134.28</v>
      </c>
      <c r="AU650" s="125">
        <v>72213.56</v>
      </c>
      <c r="AV650" s="125">
        <v>82293.899999999994</v>
      </c>
      <c r="AW650" s="125">
        <v>91962.15</v>
      </c>
      <c r="AX650" s="125">
        <v>103720.9</v>
      </c>
      <c r="AY650" s="126"/>
      <c r="AZ650" s="126"/>
      <c r="BA650" s="126"/>
      <c r="BB650" s="126"/>
      <c r="BC650" s="126"/>
      <c r="BD650" s="126"/>
      <c r="BE650" s="126"/>
      <c r="BF650" s="157">
        <v>5406</v>
      </c>
      <c r="BG650" s="97" t="s">
        <v>578</v>
      </c>
      <c r="BH650" s="127">
        <v>63056.6</v>
      </c>
      <c r="BI650" s="127">
        <v>5406</v>
      </c>
      <c r="BJ650" s="97" t="s">
        <v>578</v>
      </c>
      <c r="BK650" s="127">
        <v>74469.33</v>
      </c>
    </row>
    <row r="651" spans="2:63" x14ac:dyDescent="0.25">
      <c r="B651" s="153">
        <v>540601</v>
      </c>
      <c r="C651" s="154" t="s">
        <v>579</v>
      </c>
      <c r="D651" s="123">
        <v>74.069999999999993</v>
      </c>
      <c r="E651" s="123">
        <v>18.260000000000002</v>
      </c>
      <c r="F651" s="123">
        <v>19.89</v>
      </c>
      <c r="G651" s="123">
        <v>19.89</v>
      </c>
      <c r="H651" s="123">
        <v>21.52</v>
      </c>
      <c r="I651" s="123">
        <v>23.15</v>
      </c>
      <c r="J651" s="123">
        <v>23.15</v>
      </c>
      <c r="K651" s="123">
        <v>23.15</v>
      </c>
      <c r="L651" s="123">
        <v>23.15</v>
      </c>
      <c r="M651" s="123">
        <v>23.15</v>
      </c>
      <c r="N651" s="123">
        <v>26.34</v>
      </c>
      <c r="O651" s="123">
        <v>29.6</v>
      </c>
      <c r="P651" s="123">
        <v>29.6</v>
      </c>
      <c r="Q651" s="128"/>
      <c r="R651" s="123">
        <v>1.63</v>
      </c>
      <c r="S651" s="123">
        <v>11.56</v>
      </c>
      <c r="T651" s="123">
        <v>11.56</v>
      </c>
      <c r="U651" s="123">
        <v>11.56</v>
      </c>
      <c r="V651" s="123">
        <v>13.22</v>
      </c>
      <c r="W651" s="123">
        <v>13.22</v>
      </c>
      <c r="X651" s="123">
        <v>14.85</v>
      </c>
      <c r="Y651" s="123">
        <v>14.85</v>
      </c>
      <c r="Z651" s="123">
        <v>14.85</v>
      </c>
      <c r="AA651" s="123">
        <v>14.85</v>
      </c>
      <c r="AB651" s="123">
        <v>36.4</v>
      </c>
      <c r="AC651" s="129"/>
      <c r="AD651" s="129"/>
      <c r="AE651" s="129"/>
      <c r="AF651" s="129"/>
      <c r="AG651" s="129"/>
      <c r="AH651" s="129"/>
      <c r="AI651" s="124">
        <v>16.600000000000001</v>
      </c>
      <c r="AJ651" s="124">
        <v>16.600000000000001</v>
      </c>
      <c r="AK651" s="124">
        <v>18.23</v>
      </c>
      <c r="AL651" s="124">
        <v>19.86</v>
      </c>
      <c r="AM651" s="124">
        <v>19.86</v>
      </c>
      <c r="AN651" s="124">
        <v>21.49</v>
      </c>
      <c r="AO651" s="125">
        <v>3.26</v>
      </c>
      <c r="AP651" s="125">
        <v>6.52</v>
      </c>
      <c r="AQ651" s="125">
        <v>6.52</v>
      </c>
      <c r="AR651" s="125">
        <v>26.41</v>
      </c>
      <c r="AS651" s="125">
        <v>26.41</v>
      </c>
      <c r="AT651" s="125">
        <v>28.86</v>
      </c>
      <c r="AU651" s="125">
        <v>30.49</v>
      </c>
      <c r="AV651" s="125">
        <v>37.01</v>
      </c>
      <c r="AW651" s="125">
        <v>37.01</v>
      </c>
      <c r="AX651" s="125">
        <v>43.53</v>
      </c>
      <c r="AY651" s="126"/>
      <c r="AZ651" s="126"/>
      <c r="BA651" s="126"/>
      <c r="BB651" s="126"/>
      <c r="BC651" s="126"/>
      <c r="BD651" s="126"/>
      <c r="BE651" s="126"/>
      <c r="BF651" s="158"/>
      <c r="BI651" s="127">
        <v>540601</v>
      </c>
      <c r="BJ651" s="97" t="s">
        <v>579</v>
      </c>
      <c r="BK651" s="127">
        <v>16.600000000000001</v>
      </c>
    </row>
    <row r="652" spans="2:63" x14ac:dyDescent="0.25">
      <c r="B652" s="153">
        <v>540602</v>
      </c>
      <c r="C652" s="154" t="s">
        <v>580</v>
      </c>
      <c r="D652" s="123">
        <v>3559.42</v>
      </c>
      <c r="E652" s="123">
        <v>217.39</v>
      </c>
      <c r="F652" s="123">
        <v>558.55999999999995</v>
      </c>
      <c r="G652" s="123">
        <v>860.8</v>
      </c>
      <c r="H652" s="123">
        <v>1095.27</v>
      </c>
      <c r="I652" s="123">
        <v>1341.36</v>
      </c>
      <c r="J652" s="123">
        <v>1496.15</v>
      </c>
      <c r="K652" s="123">
        <v>1742.29</v>
      </c>
      <c r="L652" s="123">
        <v>2042.97</v>
      </c>
      <c r="M652" s="123">
        <v>2452.44</v>
      </c>
      <c r="N652" s="123">
        <v>2707.22</v>
      </c>
      <c r="O652" s="123">
        <v>3132.53</v>
      </c>
      <c r="P652" s="123">
        <v>3526.02</v>
      </c>
      <c r="Q652" s="123">
        <v>503.71</v>
      </c>
      <c r="R652" s="123">
        <v>809.11</v>
      </c>
      <c r="S652" s="123">
        <v>1329.27</v>
      </c>
      <c r="T652" s="123">
        <v>1595.72</v>
      </c>
      <c r="U652" s="123">
        <v>1825.72</v>
      </c>
      <c r="V652" s="123">
        <v>1976.62</v>
      </c>
      <c r="W652" s="123">
        <v>2127.35</v>
      </c>
      <c r="X652" s="123">
        <v>2240.2600000000002</v>
      </c>
      <c r="Y652" s="123">
        <v>2659.95</v>
      </c>
      <c r="Z652" s="123">
        <v>2849.03</v>
      </c>
      <c r="AA652" s="123">
        <v>3043.28</v>
      </c>
      <c r="AB652" s="123">
        <v>3276.89</v>
      </c>
      <c r="AC652" s="124">
        <v>222.87</v>
      </c>
      <c r="AD652" s="124">
        <v>478.78</v>
      </c>
      <c r="AE652" s="124">
        <v>720.26</v>
      </c>
      <c r="AF652" s="124">
        <v>952.23</v>
      </c>
      <c r="AG652" s="124">
        <v>1308.04</v>
      </c>
      <c r="AH652" s="124">
        <v>1662.38</v>
      </c>
      <c r="AI652" s="124">
        <v>1996.11</v>
      </c>
      <c r="AJ652" s="124">
        <v>2283.8000000000002</v>
      </c>
      <c r="AK652" s="124">
        <v>2699.94</v>
      </c>
      <c r="AL652" s="124">
        <v>3177.25</v>
      </c>
      <c r="AM652" s="124">
        <v>3371.2</v>
      </c>
      <c r="AN652" s="124">
        <v>3758.72</v>
      </c>
      <c r="AO652" s="125">
        <v>255.19</v>
      </c>
      <c r="AP652" s="125">
        <v>461.63</v>
      </c>
      <c r="AQ652" s="125">
        <v>662.67</v>
      </c>
      <c r="AR652" s="125">
        <v>877.41</v>
      </c>
      <c r="AS652" s="125">
        <v>924.02</v>
      </c>
      <c r="AT652" s="125">
        <v>1089.45</v>
      </c>
      <c r="AU652" s="125">
        <v>1304.42</v>
      </c>
      <c r="AV652" s="125">
        <v>1408.85</v>
      </c>
      <c r="AW652" s="125">
        <v>1561.45</v>
      </c>
      <c r="AX652" s="125">
        <v>1742.88</v>
      </c>
      <c r="AY652" s="126"/>
      <c r="AZ652" s="126"/>
      <c r="BA652" s="126"/>
      <c r="BB652" s="126"/>
      <c r="BC652" s="126"/>
      <c r="BD652" s="126"/>
      <c r="BE652" s="126"/>
      <c r="BF652" s="157">
        <v>540602</v>
      </c>
      <c r="BG652" s="97" t="s">
        <v>580</v>
      </c>
      <c r="BH652" s="127">
        <v>1662.38</v>
      </c>
      <c r="BI652" s="127">
        <v>540602</v>
      </c>
      <c r="BJ652" s="97" t="s">
        <v>580</v>
      </c>
      <c r="BK652" s="127">
        <v>1996.11</v>
      </c>
    </row>
    <row r="653" spans="2:63" x14ac:dyDescent="0.25">
      <c r="B653" s="153">
        <v>540603</v>
      </c>
      <c r="C653" s="154" t="s">
        <v>581</v>
      </c>
      <c r="D653" s="123">
        <v>1749.85</v>
      </c>
      <c r="E653" s="123">
        <v>226.02</v>
      </c>
      <c r="F653" s="123">
        <v>514.73</v>
      </c>
      <c r="G653" s="123">
        <v>774.04</v>
      </c>
      <c r="H653" s="123">
        <v>957.32</v>
      </c>
      <c r="I653" s="123">
        <v>1079.82</v>
      </c>
      <c r="J653" s="123">
        <v>1187.1500000000001</v>
      </c>
      <c r="K653" s="123">
        <v>1524.02</v>
      </c>
      <c r="L653" s="123">
        <v>1620.38</v>
      </c>
      <c r="M653" s="123">
        <v>1713.31</v>
      </c>
      <c r="N653" s="123">
        <v>1791.32</v>
      </c>
      <c r="O653" s="123">
        <v>1990.42</v>
      </c>
      <c r="P653" s="123">
        <v>2193.54</v>
      </c>
      <c r="Q653" s="123">
        <v>113.64</v>
      </c>
      <c r="R653" s="123">
        <v>168.53</v>
      </c>
      <c r="S653" s="123">
        <v>322.58999999999997</v>
      </c>
      <c r="T653" s="123">
        <v>654.15</v>
      </c>
      <c r="U653" s="123">
        <v>725.33</v>
      </c>
      <c r="V653" s="123">
        <v>777.6</v>
      </c>
      <c r="W653" s="123">
        <v>854.99</v>
      </c>
      <c r="X653" s="123">
        <v>939.11</v>
      </c>
      <c r="Y653" s="123">
        <v>1032.19</v>
      </c>
      <c r="Z653" s="123">
        <v>1114.77</v>
      </c>
      <c r="AA653" s="123">
        <v>1293.45</v>
      </c>
      <c r="AB653" s="123">
        <v>1372.59</v>
      </c>
      <c r="AC653" s="124">
        <v>72.89</v>
      </c>
      <c r="AD653" s="124">
        <v>261.87</v>
      </c>
      <c r="AE653" s="124">
        <v>447.27</v>
      </c>
      <c r="AF653" s="124">
        <v>549.41</v>
      </c>
      <c r="AG653" s="124">
        <v>616.26</v>
      </c>
      <c r="AH653" s="124">
        <v>690.48</v>
      </c>
      <c r="AI653" s="124">
        <v>754.17</v>
      </c>
      <c r="AJ653" s="124">
        <v>1042.4000000000001</v>
      </c>
      <c r="AK653" s="124">
        <v>1106.99</v>
      </c>
      <c r="AL653" s="124">
        <v>1987.91</v>
      </c>
      <c r="AM653" s="124">
        <v>2139.39</v>
      </c>
      <c r="AN653" s="124">
        <v>2331.34</v>
      </c>
      <c r="AO653" s="125">
        <v>117.68</v>
      </c>
      <c r="AP653" s="125">
        <v>508.73</v>
      </c>
      <c r="AQ653" s="125">
        <v>939.71</v>
      </c>
      <c r="AR653" s="125">
        <v>1036.32</v>
      </c>
      <c r="AS653" s="125">
        <v>1157.71</v>
      </c>
      <c r="AT653" s="125">
        <v>1804.44</v>
      </c>
      <c r="AU653" s="125">
        <v>1947.65</v>
      </c>
      <c r="AV653" s="125">
        <v>2325.71</v>
      </c>
      <c r="AW653" s="125">
        <v>2416.7199999999998</v>
      </c>
      <c r="AX653" s="125">
        <v>2484.88</v>
      </c>
      <c r="AY653" s="126"/>
      <c r="AZ653" s="126"/>
      <c r="BA653" s="126"/>
      <c r="BB653" s="126"/>
      <c r="BC653" s="126"/>
      <c r="BD653" s="126"/>
      <c r="BE653" s="126"/>
      <c r="BF653" s="157">
        <v>540603</v>
      </c>
      <c r="BG653" s="97" t="s">
        <v>581</v>
      </c>
      <c r="BH653" s="127">
        <v>690.48</v>
      </c>
      <c r="BI653" s="127">
        <v>540603</v>
      </c>
      <c r="BJ653" s="97" t="s">
        <v>581</v>
      </c>
      <c r="BK653" s="127">
        <v>754.17</v>
      </c>
    </row>
    <row r="654" spans="2:63" x14ac:dyDescent="0.25">
      <c r="B654" s="153">
        <v>540605</v>
      </c>
      <c r="C654" s="154" t="s">
        <v>582</v>
      </c>
      <c r="D654" s="123">
        <v>3937.56</v>
      </c>
      <c r="E654" s="123">
        <v>260.92</v>
      </c>
      <c r="F654" s="123">
        <v>518.20000000000005</v>
      </c>
      <c r="G654" s="123">
        <v>922.48</v>
      </c>
      <c r="H654" s="123">
        <v>1214.52</v>
      </c>
      <c r="I654" s="123">
        <v>1478.68</v>
      </c>
      <c r="J654" s="123">
        <v>1754.16</v>
      </c>
      <c r="K654" s="123">
        <v>2180.6</v>
      </c>
      <c r="L654" s="123">
        <v>2468.84</v>
      </c>
      <c r="M654" s="123">
        <v>2707.84</v>
      </c>
      <c r="N654" s="123">
        <v>2958.64</v>
      </c>
      <c r="O654" s="123">
        <v>3203.16</v>
      </c>
      <c r="P654" s="123">
        <v>3522.92</v>
      </c>
      <c r="Q654" s="123">
        <v>238</v>
      </c>
      <c r="R654" s="123">
        <v>500.36</v>
      </c>
      <c r="S654" s="123">
        <v>766.16</v>
      </c>
      <c r="T654" s="123">
        <v>1017.24</v>
      </c>
      <c r="U654" s="123">
        <v>1276.32</v>
      </c>
      <c r="V654" s="123">
        <v>1559.2</v>
      </c>
      <c r="W654" s="123">
        <v>1796.64</v>
      </c>
      <c r="X654" s="123">
        <v>2100.92</v>
      </c>
      <c r="Y654" s="123">
        <v>2337.3200000000002</v>
      </c>
      <c r="Z654" s="123">
        <v>2572.8000000000002</v>
      </c>
      <c r="AA654" s="123">
        <v>2801.04</v>
      </c>
      <c r="AB654" s="123">
        <v>3177.2</v>
      </c>
      <c r="AC654" s="124">
        <v>315.56</v>
      </c>
      <c r="AD654" s="124">
        <v>591.21</v>
      </c>
      <c r="AE654" s="124">
        <v>885.93</v>
      </c>
      <c r="AF654" s="124">
        <v>1365.41</v>
      </c>
      <c r="AG654" s="124">
        <v>1794.09</v>
      </c>
      <c r="AH654" s="124">
        <v>2271.0500000000002</v>
      </c>
      <c r="AI654" s="124">
        <v>2670.01</v>
      </c>
      <c r="AJ654" s="124">
        <v>3053.45</v>
      </c>
      <c r="AK654" s="124">
        <v>3491.89</v>
      </c>
      <c r="AL654" s="124">
        <v>4061.77</v>
      </c>
      <c r="AM654" s="124">
        <v>4771.53</v>
      </c>
      <c r="AN654" s="124">
        <v>5794.57</v>
      </c>
      <c r="AO654" s="125">
        <v>605.12</v>
      </c>
      <c r="AP654" s="125">
        <v>1343.84</v>
      </c>
      <c r="AQ654" s="125">
        <v>2245.12</v>
      </c>
      <c r="AR654" s="125">
        <v>3185.76</v>
      </c>
      <c r="AS654" s="125">
        <v>4259.12</v>
      </c>
      <c r="AT654" s="125">
        <v>5411.44</v>
      </c>
      <c r="AU654" s="125">
        <v>6311.04</v>
      </c>
      <c r="AV654" s="125">
        <v>7430.32</v>
      </c>
      <c r="AW654" s="125">
        <v>8202.7199999999993</v>
      </c>
      <c r="AX654" s="125">
        <v>9015.4</v>
      </c>
      <c r="AY654" s="126"/>
      <c r="AZ654" s="126"/>
      <c r="BA654" s="126"/>
      <c r="BB654" s="126"/>
      <c r="BC654" s="126"/>
      <c r="BD654" s="126"/>
      <c r="BE654" s="126"/>
      <c r="BF654" s="157">
        <v>540605</v>
      </c>
      <c r="BG654" s="97" t="s">
        <v>582</v>
      </c>
      <c r="BH654" s="127">
        <v>2271.0500000000002</v>
      </c>
      <c r="BI654" s="120">
        <v>540605</v>
      </c>
      <c r="BJ654" s="113" t="s">
        <v>582</v>
      </c>
      <c r="BK654" s="120">
        <v>2670.01</v>
      </c>
    </row>
    <row r="655" spans="2:63" x14ac:dyDescent="0.25">
      <c r="B655" s="153">
        <v>540609</v>
      </c>
      <c r="C655" s="154" t="s">
        <v>583</v>
      </c>
      <c r="D655" s="123">
        <v>37596.54</v>
      </c>
      <c r="E655" s="123">
        <v>2748.66</v>
      </c>
      <c r="F655" s="123">
        <v>5732.47</v>
      </c>
      <c r="G655" s="123">
        <v>9985.67</v>
      </c>
      <c r="H655" s="123">
        <v>12825.36</v>
      </c>
      <c r="I655" s="123">
        <v>15924.17</v>
      </c>
      <c r="J655" s="123">
        <v>19067.43</v>
      </c>
      <c r="K655" s="123">
        <v>23312.73</v>
      </c>
      <c r="L655" s="123">
        <v>39434.11</v>
      </c>
      <c r="M655" s="123">
        <v>48714.71</v>
      </c>
      <c r="N655" s="123">
        <v>55745.78</v>
      </c>
      <c r="O655" s="123">
        <v>62561.52</v>
      </c>
      <c r="P655" s="123">
        <v>70273.350000000006</v>
      </c>
      <c r="Q655" s="123">
        <v>6939.51</v>
      </c>
      <c r="R655" s="123">
        <v>13622.83</v>
      </c>
      <c r="S655" s="123">
        <v>21413.45</v>
      </c>
      <c r="T655" s="123">
        <v>27122.25</v>
      </c>
      <c r="U655" s="123">
        <v>33168.9</v>
      </c>
      <c r="V655" s="123">
        <v>39943.06</v>
      </c>
      <c r="W655" s="123">
        <v>47251.05</v>
      </c>
      <c r="X655" s="123">
        <v>54755.91</v>
      </c>
      <c r="Y655" s="123">
        <v>61892.63</v>
      </c>
      <c r="Z655" s="123">
        <v>69871.199999999997</v>
      </c>
      <c r="AA655" s="123">
        <v>77685.48</v>
      </c>
      <c r="AB655" s="123">
        <v>86158.68</v>
      </c>
      <c r="AC655" s="124">
        <v>8085.56</v>
      </c>
      <c r="AD655" s="124">
        <v>16403.72</v>
      </c>
      <c r="AE655" s="124">
        <v>25435.79</v>
      </c>
      <c r="AF655" s="124">
        <v>38006.54</v>
      </c>
      <c r="AG655" s="124">
        <v>48347.13</v>
      </c>
      <c r="AH655" s="124">
        <v>58178.54</v>
      </c>
      <c r="AI655" s="124">
        <v>68733.289999999994</v>
      </c>
      <c r="AJ655" s="124">
        <v>79225.679999999993</v>
      </c>
      <c r="AK655" s="124">
        <v>88710.41</v>
      </c>
      <c r="AL655" s="124">
        <v>98984.79</v>
      </c>
      <c r="AM655" s="124">
        <v>108283.24</v>
      </c>
      <c r="AN655" s="124">
        <v>117174.39999999999</v>
      </c>
      <c r="AO655" s="125">
        <v>9544.7999999999993</v>
      </c>
      <c r="AP655" s="125">
        <v>17748.099999999999</v>
      </c>
      <c r="AQ655" s="125">
        <v>26584.95</v>
      </c>
      <c r="AR655" s="125">
        <v>35904.86</v>
      </c>
      <c r="AS655" s="125">
        <v>45790.16</v>
      </c>
      <c r="AT655" s="125">
        <v>53594.5</v>
      </c>
      <c r="AU655" s="125">
        <v>62376.12</v>
      </c>
      <c r="AV655" s="125">
        <v>70822.11</v>
      </c>
      <c r="AW655" s="125">
        <v>79441.070000000007</v>
      </c>
      <c r="AX655" s="125">
        <v>90070.75</v>
      </c>
      <c r="AY655" s="126"/>
      <c r="AZ655" s="126"/>
      <c r="BA655" s="126"/>
      <c r="BB655" s="126"/>
      <c r="BC655" s="126"/>
      <c r="BD655" s="126"/>
      <c r="BE655" s="126"/>
      <c r="BF655" s="157">
        <v>540609</v>
      </c>
      <c r="BG655" s="97" t="s">
        <v>583</v>
      </c>
      <c r="BH655" s="127">
        <v>58178.54</v>
      </c>
      <c r="BI655" s="127">
        <v>540609</v>
      </c>
      <c r="BJ655" s="97" t="s">
        <v>583</v>
      </c>
      <c r="BK655" s="127">
        <v>68733.289999999994</v>
      </c>
    </row>
    <row r="656" spans="2:63" x14ac:dyDescent="0.25">
      <c r="B656" s="121">
        <v>540617</v>
      </c>
      <c r="C656" s="152" t="s">
        <v>584</v>
      </c>
      <c r="D656" s="123">
        <v>0.89</v>
      </c>
      <c r="E656" s="123">
        <v>0.89</v>
      </c>
      <c r="F656" s="123">
        <v>0.89</v>
      </c>
      <c r="G656" s="123">
        <v>1.78</v>
      </c>
      <c r="H656" s="123">
        <v>1.78</v>
      </c>
      <c r="I656" s="123">
        <v>1.78</v>
      </c>
      <c r="J656" s="123">
        <v>1.78</v>
      </c>
      <c r="K656" s="123">
        <v>2.67</v>
      </c>
      <c r="L656" s="123">
        <v>2.67</v>
      </c>
      <c r="M656" s="123">
        <v>3.56</v>
      </c>
      <c r="N656" s="123">
        <v>4.32</v>
      </c>
      <c r="O656" s="123">
        <v>5.21</v>
      </c>
      <c r="P656" s="123">
        <v>6.1</v>
      </c>
      <c r="Q656" s="128"/>
      <c r="R656" s="128"/>
      <c r="S656" s="128"/>
      <c r="T656" s="128"/>
      <c r="U656" s="123">
        <v>0.89</v>
      </c>
      <c r="V656" s="123">
        <v>3.56</v>
      </c>
      <c r="W656" s="123">
        <v>6.23</v>
      </c>
      <c r="X656" s="123">
        <v>7.12</v>
      </c>
      <c r="Y656" s="123">
        <v>8.9</v>
      </c>
      <c r="Z656" s="123">
        <v>10.68</v>
      </c>
      <c r="AA656" s="123">
        <v>12.33</v>
      </c>
      <c r="AB656" s="123">
        <v>14.11</v>
      </c>
      <c r="AC656" s="129"/>
      <c r="AD656" s="124">
        <v>1.78</v>
      </c>
      <c r="AE656" s="124">
        <v>3.56</v>
      </c>
      <c r="AF656" s="124">
        <v>4.45</v>
      </c>
      <c r="AG656" s="124">
        <v>5.34</v>
      </c>
      <c r="AH656" s="124">
        <v>8.9</v>
      </c>
      <c r="AI656" s="124">
        <v>8.9</v>
      </c>
      <c r="AJ656" s="124">
        <v>11.57</v>
      </c>
      <c r="AK656" s="124">
        <v>11.57</v>
      </c>
      <c r="AL656" s="124">
        <v>11.57</v>
      </c>
      <c r="AM656" s="124">
        <v>12.46</v>
      </c>
      <c r="AN656" s="124">
        <v>16.02</v>
      </c>
      <c r="AO656" s="125">
        <v>2.67</v>
      </c>
      <c r="AP656" s="125">
        <v>3.56</v>
      </c>
      <c r="AQ656" s="125">
        <v>3.56</v>
      </c>
      <c r="AR656" s="125">
        <v>4.45</v>
      </c>
      <c r="AS656" s="125">
        <v>5.34</v>
      </c>
      <c r="AT656" s="125">
        <v>5.34</v>
      </c>
      <c r="AU656" s="125">
        <v>5.34</v>
      </c>
      <c r="AV656" s="125">
        <v>8.9</v>
      </c>
      <c r="AW656" s="125">
        <v>10.68</v>
      </c>
      <c r="AX656" s="125">
        <v>12.46</v>
      </c>
      <c r="AY656" s="126"/>
      <c r="AZ656" s="126"/>
      <c r="BA656" s="126"/>
      <c r="BB656" s="126"/>
      <c r="BC656" s="126"/>
      <c r="BD656" s="126"/>
      <c r="BE656" s="126"/>
      <c r="BF656" s="157">
        <v>540617</v>
      </c>
      <c r="BG656" s="97" t="s">
        <v>584</v>
      </c>
      <c r="BH656" s="127">
        <v>8.9</v>
      </c>
      <c r="BI656" s="127">
        <v>540617</v>
      </c>
      <c r="BJ656" s="97" t="s">
        <v>584</v>
      </c>
      <c r="BK656" s="127">
        <v>8.9</v>
      </c>
    </row>
    <row r="657" spans="1:63" x14ac:dyDescent="0.25">
      <c r="B657" s="121">
        <v>540618</v>
      </c>
      <c r="C657" s="152" t="s">
        <v>585</v>
      </c>
      <c r="D657" s="123">
        <v>321.75</v>
      </c>
      <c r="E657" s="123">
        <v>38.25</v>
      </c>
      <c r="F657" s="123">
        <v>73.790000000000006</v>
      </c>
      <c r="G657" s="123">
        <v>118.79</v>
      </c>
      <c r="H657" s="123">
        <v>145.79</v>
      </c>
      <c r="I657" s="123">
        <v>166.04</v>
      </c>
      <c r="J657" s="123">
        <v>186.29</v>
      </c>
      <c r="K657" s="123">
        <v>220.04</v>
      </c>
      <c r="L657" s="123">
        <v>269.54000000000002</v>
      </c>
      <c r="M657" s="123">
        <v>323.54000000000002</v>
      </c>
      <c r="N657" s="123">
        <v>346.04</v>
      </c>
      <c r="O657" s="123">
        <v>375.29</v>
      </c>
      <c r="P657" s="123">
        <v>413.54</v>
      </c>
      <c r="Q657" s="123">
        <v>33.75</v>
      </c>
      <c r="R657" s="123">
        <v>65.25</v>
      </c>
      <c r="S657" s="123">
        <v>171</v>
      </c>
      <c r="T657" s="123">
        <v>207</v>
      </c>
      <c r="U657" s="123">
        <v>240.75</v>
      </c>
      <c r="V657" s="123">
        <v>261</v>
      </c>
      <c r="W657" s="123">
        <v>294.75</v>
      </c>
      <c r="X657" s="123">
        <v>321.75</v>
      </c>
      <c r="Y657" s="123">
        <v>366.75</v>
      </c>
      <c r="Z657" s="123">
        <v>396</v>
      </c>
      <c r="AA657" s="123">
        <v>459</v>
      </c>
      <c r="AB657" s="123">
        <v>564.75</v>
      </c>
      <c r="AC657" s="124">
        <v>78.75</v>
      </c>
      <c r="AD657" s="124">
        <v>130.5</v>
      </c>
      <c r="AE657" s="124">
        <v>155.25</v>
      </c>
      <c r="AF657" s="124">
        <v>193.5</v>
      </c>
      <c r="AG657" s="124">
        <v>231.75</v>
      </c>
      <c r="AH657" s="124">
        <v>245.25</v>
      </c>
      <c r="AI657" s="124">
        <v>290.25</v>
      </c>
      <c r="AJ657" s="124">
        <v>330.75</v>
      </c>
      <c r="AK657" s="124">
        <v>357.75</v>
      </c>
      <c r="AL657" s="124">
        <v>389.25</v>
      </c>
      <c r="AM657" s="124">
        <v>414</v>
      </c>
      <c r="AN657" s="124">
        <v>425.25</v>
      </c>
      <c r="AO657" s="125">
        <v>47.25</v>
      </c>
      <c r="AP657" s="125">
        <v>83.25</v>
      </c>
      <c r="AQ657" s="125">
        <v>103.5</v>
      </c>
      <c r="AR657" s="125">
        <v>135</v>
      </c>
      <c r="AS657" s="125">
        <v>173.25</v>
      </c>
      <c r="AT657" s="125">
        <v>200.25</v>
      </c>
      <c r="AU657" s="125">
        <v>238.5</v>
      </c>
      <c r="AV657" s="125">
        <v>261</v>
      </c>
      <c r="AW657" s="125">
        <v>292.5</v>
      </c>
      <c r="AX657" s="125">
        <v>351</v>
      </c>
      <c r="AY657" s="126"/>
      <c r="AZ657" s="126"/>
      <c r="BA657" s="126"/>
      <c r="BB657" s="126"/>
      <c r="BC657" s="126"/>
      <c r="BD657" s="126"/>
      <c r="BE657" s="126"/>
      <c r="BF657" s="157">
        <v>540618</v>
      </c>
      <c r="BG657" s="97" t="s">
        <v>585</v>
      </c>
      <c r="BH657" s="127">
        <v>245.25</v>
      </c>
      <c r="BI657" s="127">
        <v>540618</v>
      </c>
      <c r="BJ657" s="97" t="s">
        <v>585</v>
      </c>
      <c r="BK657" s="127">
        <v>290.25</v>
      </c>
    </row>
    <row r="658" spans="1:63" x14ac:dyDescent="0.25">
      <c r="B658" s="121">
        <v>55</v>
      </c>
      <c r="C658" s="152" t="s">
        <v>586</v>
      </c>
      <c r="D658" s="123">
        <v>117834.84</v>
      </c>
      <c r="E658" s="123">
        <v>5786.87</v>
      </c>
      <c r="F658" s="123">
        <v>11203.97</v>
      </c>
      <c r="G658" s="123">
        <v>31942.61</v>
      </c>
      <c r="H658" s="123">
        <v>56698.68</v>
      </c>
      <c r="I658" s="123">
        <v>54459.54</v>
      </c>
      <c r="J658" s="123">
        <v>59881.58</v>
      </c>
      <c r="K658" s="123">
        <v>61646.07</v>
      </c>
      <c r="L658" s="123">
        <v>113623.32</v>
      </c>
      <c r="M658" s="123">
        <v>116108.78</v>
      </c>
      <c r="N658" s="123">
        <v>125316.02</v>
      </c>
      <c r="O658" s="123">
        <v>111770.24000000001</v>
      </c>
      <c r="P658" s="123">
        <v>220963.81</v>
      </c>
      <c r="Q658" s="123">
        <v>5231.53</v>
      </c>
      <c r="R658" s="123">
        <v>59851.360000000001</v>
      </c>
      <c r="S658" s="123">
        <v>75035.460000000006</v>
      </c>
      <c r="T658" s="123">
        <v>142394.29999999999</v>
      </c>
      <c r="U658" s="123">
        <v>151704.54999999999</v>
      </c>
      <c r="V658" s="123">
        <v>161402.54</v>
      </c>
      <c r="W658" s="123">
        <v>161321.22</v>
      </c>
      <c r="X658" s="123">
        <v>189118.43</v>
      </c>
      <c r="Y658" s="123">
        <v>182418.54</v>
      </c>
      <c r="Z658" s="123">
        <v>202515.54</v>
      </c>
      <c r="AA658" s="123">
        <v>244187.36</v>
      </c>
      <c r="AB658" s="123">
        <v>308730.27</v>
      </c>
      <c r="AC658" s="124">
        <v>76479.3</v>
      </c>
      <c r="AD658" s="124">
        <v>113389.61</v>
      </c>
      <c r="AE658" s="124">
        <v>154641.29999999999</v>
      </c>
      <c r="AF658" s="124">
        <v>187243.21</v>
      </c>
      <c r="AG658" s="124">
        <v>231250.32</v>
      </c>
      <c r="AH658" s="124">
        <v>276867.78999999998</v>
      </c>
      <c r="AI658" s="124">
        <v>319328.24</v>
      </c>
      <c r="AJ658" s="124">
        <v>363922.03</v>
      </c>
      <c r="AK658" s="124">
        <v>401006.76</v>
      </c>
      <c r="AL658" s="124">
        <v>443611.22</v>
      </c>
      <c r="AM658" s="124">
        <v>505799.71</v>
      </c>
      <c r="AN658" s="124">
        <v>639344.39</v>
      </c>
      <c r="AO658" s="125">
        <v>51869.62</v>
      </c>
      <c r="AP658" s="125">
        <v>148375.79</v>
      </c>
      <c r="AQ658" s="125">
        <v>221515.87</v>
      </c>
      <c r="AR658" s="125">
        <v>304570.48</v>
      </c>
      <c r="AS658" s="125">
        <v>490433.02</v>
      </c>
      <c r="AT658" s="125">
        <v>580269.75</v>
      </c>
      <c r="AU658" s="125">
        <v>690684.4</v>
      </c>
      <c r="AV658" s="125">
        <v>872497.87</v>
      </c>
      <c r="AW658" s="125">
        <v>1091741.28</v>
      </c>
      <c r="AX658" s="125">
        <v>1343945.38</v>
      </c>
      <c r="AY658" s="126"/>
      <c r="AZ658" s="126"/>
      <c r="BA658" s="126"/>
      <c r="BB658" s="126"/>
      <c r="BC658" s="126"/>
      <c r="BD658" s="126"/>
      <c r="BE658" s="126"/>
      <c r="BF658" s="157">
        <v>55</v>
      </c>
      <c r="BG658" s="113" t="s">
        <v>586</v>
      </c>
      <c r="BH658" s="120">
        <v>276867.78999999998</v>
      </c>
      <c r="BI658" s="127">
        <v>55</v>
      </c>
      <c r="BJ658" s="97" t="s">
        <v>586</v>
      </c>
      <c r="BK658" s="127">
        <v>319328.24</v>
      </c>
    </row>
    <row r="659" spans="1:63" x14ac:dyDescent="0.25">
      <c r="B659" s="121">
        <v>5590</v>
      </c>
      <c r="C659" s="154" t="s">
        <v>249</v>
      </c>
      <c r="D659" s="123">
        <v>117834.84</v>
      </c>
      <c r="E659" s="123">
        <v>5786.87</v>
      </c>
      <c r="F659" s="123">
        <v>11203.97</v>
      </c>
      <c r="G659" s="123">
        <v>31942.61</v>
      </c>
      <c r="H659" s="123">
        <v>56698.68</v>
      </c>
      <c r="I659" s="123">
        <v>54459.54</v>
      </c>
      <c r="J659" s="123">
        <v>59881.58</v>
      </c>
      <c r="K659" s="123">
        <v>61646.07</v>
      </c>
      <c r="L659" s="123">
        <v>113623.32</v>
      </c>
      <c r="M659" s="123">
        <v>116108.78</v>
      </c>
      <c r="N659" s="123">
        <v>125316.02</v>
      </c>
      <c r="O659" s="123">
        <v>111770.24000000001</v>
      </c>
      <c r="P659" s="123">
        <v>220963.81</v>
      </c>
      <c r="Q659" s="123">
        <v>5231.53</v>
      </c>
      <c r="R659" s="123">
        <v>59851.360000000001</v>
      </c>
      <c r="S659" s="123">
        <v>75035.460000000006</v>
      </c>
      <c r="T659" s="123">
        <v>142394.29999999999</v>
      </c>
      <c r="U659" s="123">
        <v>151704.54999999999</v>
      </c>
      <c r="V659" s="123">
        <v>161402.54</v>
      </c>
      <c r="W659" s="123">
        <v>161321.22</v>
      </c>
      <c r="X659" s="123">
        <v>189118.43</v>
      </c>
      <c r="Y659" s="123">
        <v>182418.54</v>
      </c>
      <c r="Z659" s="123">
        <v>202515.54</v>
      </c>
      <c r="AA659" s="123">
        <v>244187.36</v>
      </c>
      <c r="AB659" s="123">
        <v>308730.27</v>
      </c>
      <c r="AC659" s="124">
        <v>76479.3</v>
      </c>
      <c r="AD659" s="124">
        <v>113389.61</v>
      </c>
      <c r="AE659" s="124">
        <v>154641.29999999999</v>
      </c>
      <c r="AF659" s="124">
        <v>187243.21</v>
      </c>
      <c r="AG659" s="124">
        <v>231250.32</v>
      </c>
      <c r="AH659" s="124">
        <v>276867.78999999998</v>
      </c>
      <c r="AI659" s="124">
        <v>319328.24</v>
      </c>
      <c r="AJ659" s="124">
        <v>363922.03</v>
      </c>
      <c r="AK659" s="124">
        <v>401006.76</v>
      </c>
      <c r="AL659" s="124">
        <v>443611.22</v>
      </c>
      <c r="AM659" s="124">
        <v>505799.71</v>
      </c>
      <c r="AN659" s="124">
        <v>639344.39</v>
      </c>
      <c r="AO659" s="125">
        <v>51869.62</v>
      </c>
      <c r="AP659" s="125">
        <v>148375.79</v>
      </c>
      <c r="AQ659" s="125">
        <v>221515.87</v>
      </c>
      <c r="AR659" s="125">
        <v>304570.48</v>
      </c>
      <c r="AS659" s="125">
        <v>490433.02</v>
      </c>
      <c r="AT659" s="125">
        <v>580269.75</v>
      </c>
      <c r="AU659" s="125">
        <v>690684.4</v>
      </c>
      <c r="AV659" s="125">
        <v>872497.87</v>
      </c>
      <c r="AW659" s="125">
        <v>1091741.28</v>
      </c>
      <c r="AX659" s="125">
        <v>1343945.38</v>
      </c>
      <c r="AY659" s="126"/>
      <c r="AZ659" s="126"/>
      <c r="BA659" s="126"/>
      <c r="BB659" s="126"/>
      <c r="BC659" s="126"/>
      <c r="BD659" s="126"/>
      <c r="BE659" s="126"/>
      <c r="BF659" s="157">
        <v>5590</v>
      </c>
      <c r="BG659" s="97" t="s">
        <v>249</v>
      </c>
      <c r="BH659" s="127">
        <v>276867.78999999998</v>
      </c>
      <c r="BI659" s="127">
        <v>5590</v>
      </c>
      <c r="BJ659" s="97" t="s">
        <v>249</v>
      </c>
      <c r="BK659" s="127">
        <v>319328.24</v>
      </c>
    </row>
    <row r="660" spans="1:63" x14ac:dyDescent="0.25">
      <c r="B660" s="121">
        <v>56</v>
      </c>
      <c r="C660" s="152" t="s">
        <v>587</v>
      </c>
      <c r="D660" s="123">
        <v>610467.79</v>
      </c>
      <c r="E660" s="123">
        <v>42090.67</v>
      </c>
      <c r="F660" s="123">
        <v>122804.61</v>
      </c>
      <c r="G660" s="123">
        <v>237836.33</v>
      </c>
      <c r="H660" s="123">
        <v>301431.03999999998</v>
      </c>
      <c r="I660" s="123">
        <v>358275.25</v>
      </c>
      <c r="J660" s="123">
        <v>378491.39</v>
      </c>
      <c r="K660" s="123">
        <v>423887.4</v>
      </c>
      <c r="L660" s="123">
        <v>497714.63</v>
      </c>
      <c r="M660" s="123">
        <v>596086.19999999995</v>
      </c>
      <c r="N660" s="123">
        <v>643317.94999999995</v>
      </c>
      <c r="O660" s="123">
        <v>696533.13</v>
      </c>
      <c r="P660" s="123">
        <v>900231.09</v>
      </c>
      <c r="Q660" s="123">
        <v>18292.86</v>
      </c>
      <c r="R660" s="123">
        <v>62064.25</v>
      </c>
      <c r="S660" s="123">
        <v>102111.23</v>
      </c>
      <c r="T660" s="123">
        <v>441757.25</v>
      </c>
      <c r="U660" s="123">
        <v>474935.45</v>
      </c>
      <c r="V660" s="123">
        <v>502986.15</v>
      </c>
      <c r="W660" s="123">
        <v>546613.68000000005</v>
      </c>
      <c r="X660" s="123">
        <v>563985.49</v>
      </c>
      <c r="Y660" s="123">
        <v>610154.87</v>
      </c>
      <c r="Z660" s="123">
        <v>625101.64</v>
      </c>
      <c r="AA660" s="123">
        <v>678127.87</v>
      </c>
      <c r="AB660" s="123">
        <v>882737.4</v>
      </c>
      <c r="AC660" s="124">
        <v>43479.88</v>
      </c>
      <c r="AD660" s="124">
        <v>70260.460000000006</v>
      </c>
      <c r="AE660" s="124">
        <v>79286.289999999994</v>
      </c>
      <c r="AF660" s="124">
        <v>102651.29</v>
      </c>
      <c r="AG660" s="124">
        <v>133975.43</v>
      </c>
      <c r="AH660" s="124">
        <v>158078.03</v>
      </c>
      <c r="AI660" s="124">
        <v>220821.9</v>
      </c>
      <c r="AJ660" s="124">
        <v>243241.29</v>
      </c>
      <c r="AK660" s="124">
        <v>278205.40000000002</v>
      </c>
      <c r="AL660" s="124">
        <v>295293.84999999998</v>
      </c>
      <c r="AM660" s="124">
        <v>307236.11</v>
      </c>
      <c r="AN660" s="124">
        <v>503860.22</v>
      </c>
      <c r="AO660" s="125">
        <v>136751.88</v>
      </c>
      <c r="AP660" s="125">
        <v>356274.53</v>
      </c>
      <c r="AQ660" s="125">
        <v>469551.53</v>
      </c>
      <c r="AR660" s="125">
        <v>617371.28</v>
      </c>
      <c r="AS660" s="125">
        <v>642549.6</v>
      </c>
      <c r="AT660" s="125">
        <v>750950.54</v>
      </c>
      <c r="AU660" s="125">
        <v>831043.26</v>
      </c>
      <c r="AV660" s="125">
        <v>1001535.9</v>
      </c>
      <c r="AW660" s="125">
        <v>1126652.26</v>
      </c>
      <c r="AX660" s="125">
        <v>1287093.28</v>
      </c>
      <c r="AY660" s="126"/>
      <c r="AZ660" s="126"/>
      <c r="BA660" s="126"/>
      <c r="BB660" s="126"/>
      <c r="BC660" s="126"/>
      <c r="BD660" s="126"/>
      <c r="BE660" s="126"/>
      <c r="BF660" s="157">
        <v>56</v>
      </c>
      <c r="BG660" s="97" t="s">
        <v>587</v>
      </c>
      <c r="BH660" s="127">
        <v>158078.03</v>
      </c>
      <c r="BI660" s="127">
        <v>56</v>
      </c>
      <c r="BJ660" s="97" t="s">
        <v>587</v>
      </c>
      <c r="BK660" s="127">
        <v>220821.9</v>
      </c>
    </row>
    <row r="661" spans="1:63" x14ac:dyDescent="0.25">
      <c r="B661" s="121">
        <v>5601</v>
      </c>
      <c r="C661" s="152" t="s">
        <v>588</v>
      </c>
      <c r="D661" s="128"/>
      <c r="E661" s="128"/>
      <c r="F661" s="123">
        <v>8341.85</v>
      </c>
      <c r="G661" s="123">
        <v>8341.85</v>
      </c>
      <c r="H661" s="123">
        <v>8341.85</v>
      </c>
      <c r="I661" s="123">
        <v>8341.85</v>
      </c>
      <c r="J661" s="123">
        <v>8341.85</v>
      </c>
      <c r="K661" s="123">
        <v>8341.85</v>
      </c>
      <c r="L661" s="123">
        <v>8341.85</v>
      </c>
      <c r="M661" s="123">
        <v>8341.85</v>
      </c>
      <c r="N661" s="123">
        <v>8341.85</v>
      </c>
      <c r="O661" s="123">
        <v>8341.85</v>
      </c>
      <c r="P661" s="123">
        <v>8341.85</v>
      </c>
      <c r="Q661" s="128"/>
      <c r="R661" s="128"/>
      <c r="S661" s="128"/>
      <c r="T661" s="123">
        <v>128940.44</v>
      </c>
      <c r="U661" s="123">
        <v>128940.44</v>
      </c>
      <c r="V661" s="123">
        <v>128940.44</v>
      </c>
      <c r="W661" s="123">
        <v>128940.44</v>
      </c>
      <c r="X661" s="123">
        <v>128940.44</v>
      </c>
      <c r="Y661" s="123">
        <v>128940.44</v>
      </c>
      <c r="Z661" s="123">
        <v>128940.44</v>
      </c>
      <c r="AA661" s="123">
        <v>128940.44</v>
      </c>
      <c r="AB661" s="123">
        <v>128940.44</v>
      </c>
      <c r="AC661" s="129"/>
      <c r="AD661" s="129"/>
      <c r="AE661" s="129"/>
      <c r="AF661" s="129"/>
      <c r="AG661" s="129"/>
      <c r="AH661" s="129"/>
      <c r="AI661" s="129"/>
      <c r="AJ661" s="124">
        <v>0</v>
      </c>
      <c r="AK661" s="124">
        <v>20768.939999999999</v>
      </c>
      <c r="AL661" s="124">
        <v>20768.939999999999</v>
      </c>
      <c r="AM661" s="124">
        <v>20768.939999999999</v>
      </c>
      <c r="AN661" s="124">
        <v>32465</v>
      </c>
      <c r="AO661" s="125">
        <v>5372.52</v>
      </c>
      <c r="AP661" s="125">
        <v>5372.52</v>
      </c>
      <c r="AQ661" s="125">
        <v>5372.52</v>
      </c>
      <c r="AR661" s="125">
        <v>5372.52</v>
      </c>
      <c r="AS661" s="125">
        <v>5372.52</v>
      </c>
      <c r="AT661" s="125">
        <v>5372.52</v>
      </c>
      <c r="AU661" s="125">
        <v>5372.52</v>
      </c>
      <c r="AV661" s="125">
        <v>5372.52</v>
      </c>
      <c r="AW661" s="125">
        <v>5372.52</v>
      </c>
      <c r="AX661" s="125">
        <v>5372.52</v>
      </c>
      <c r="AY661" s="126"/>
      <c r="AZ661" s="126"/>
      <c r="BA661" s="126"/>
      <c r="BB661" s="126"/>
      <c r="BC661" s="126"/>
      <c r="BD661" s="126"/>
      <c r="BE661" s="126"/>
      <c r="BF661" s="158"/>
    </row>
    <row r="662" spans="1:63" x14ac:dyDescent="0.25">
      <c r="A662" s="113"/>
      <c r="B662" s="121">
        <v>5603</v>
      </c>
      <c r="C662" s="152" t="s">
        <v>497</v>
      </c>
      <c r="D662" s="123">
        <v>60100</v>
      </c>
      <c r="E662" s="128"/>
      <c r="F662" s="123">
        <v>10200</v>
      </c>
      <c r="G662" s="123">
        <v>15300</v>
      </c>
      <c r="H662" s="123">
        <v>15300</v>
      </c>
      <c r="I662" s="123">
        <v>15300</v>
      </c>
      <c r="J662" s="123">
        <v>15300</v>
      </c>
      <c r="K662" s="123">
        <v>35802</v>
      </c>
      <c r="L662" s="123">
        <v>41004</v>
      </c>
      <c r="M662" s="123">
        <v>46206</v>
      </c>
      <c r="N662" s="123">
        <v>51408</v>
      </c>
      <c r="O662" s="123">
        <v>56610</v>
      </c>
      <c r="P662" s="123">
        <v>57710</v>
      </c>
      <c r="Q662" s="123">
        <v>550</v>
      </c>
      <c r="R662" s="123">
        <v>6302</v>
      </c>
      <c r="S662" s="123">
        <v>12054</v>
      </c>
      <c r="T662" s="123">
        <v>17806</v>
      </c>
      <c r="U662" s="123">
        <v>23558</v>
      </c>
      <c r="V662" s="123">
        <v>28934.62</v>
      </c>
      <c r="W662" s="123">
        <v>34790.660000000003</v>
      </c>
      <c r="X662" s="123">
        <v>40096.699999999997</v>
      </c>
      <c r="Y662" s="123">
        <v>46502.74</v>
      </c>
      <c r="Z662" s="123">
        <v>52358.78</v>
      </c>
      <c r="AA662" s="123">
        <v>58214.82</v>
      </c>
      <c r="AB662" s="123">
        <v>64070.86</v>
      </c>
      <c r="AC662" s="124">
        <v>5856.04</v>
      </c>
      <c r="AD662" s="124">
        <v>11162.08</v>
      </c>
      <c r="AE662" s="124">
        <v>16468.12</v>
      </c>
      <c r="AF662" s="124">
        <v>21774.16</v>
      </c>
      <c r="AG662" s="124">
        <v>27080.2</v>
      </c>
      <c r="AH662" s="124">
        <v>32386.240000000002</v>
      </c>
      <c r="AI662" s="124">
        <v>37798.400000000001</v>
      </c>
      <c r="AJ662" s="124">
        <v>43210.559999999998</v>
      </c>
      <c r="AK662" s="124">
        <v>48622.720000000001</v>
      </c>
      <c r="AL662" s="124">
        <v>54034.879999999997</v>
      </c>
      <c r="AM662" s="124">
        <v>59447.040000000001</v>
      </c>
      <c r="AN662" s="124">
        <v>64859.199999999997</v>
      </c>
      <c r="AO662" s="125">
        <v>5412.16</v>
      </c>
      <c r="AP662" s="125">
        <v>10824.32</v>
      </c>
      <c r="AQ662" s="125">
        <v>16236.48</v>
      </c>
      <c r="AR662" s="125">
        <v>21648.639999999999</v>
      </c>
      <c r="AS662" s="125">
        <v>27060.799999999999</v>
      </c>
      <c r="AT662" s="125">
        <v>32472.959999999999</v>
      </c>
      <c r="AU662" s="125">
        <v>32472.959999999999</v>
      </c>
      <c r="AV662" s="125">
        <v>52472.959999999999</v>
      </c>
      <c r="AW662" s="125">
        <v>49034.16</v>
      </c>
      <c r="AX662" s="125">
        <v>54554.559999999998</v>
      </c>
      <c r="AY662" s="126"/>
      <c r="AZ662" s="126"/>
      <c r="BA662" s="126"/>
      <c r="BB662" s="126"/>
      <c r="BC662" s="126"/>
      <c r="BD662" s="126"/>
      <c r="BE662" s="126"/>
      <c r="BF662" s="157">
        <v>5603</v>
      </c>
      <c r="BG662" s="97" t="s">
        <v>497</v>
      </c>
      <c r="BH662" s="127">
        <v>32386.240000000002</v>
      </c>
      <c r="BI662" s="127">
        <v>5603</v>
      </c>
      <c r="BJ662" s="97" t="s">
        <v>497</v>
      </c>
      <c r="BK662" s="127">
        <v>37798.400000000001</v>
      </c>
    </row>
    <row r="663" spans="1:63" x14ac:dyDescent="0.25">
      <c r="B663" s="121">
        <v>5604</v>
      </c>
      <c r="C663" s="152" t="s">
        <v>589</v>
      </c>
      <c r="D663" s="123">
        <v>400259.1</v>
      </c>
      <c r="E663" s="123">
        <v>26839.15</v>
      </c>
      <c r="F663" s="123">
        <v>88449.39</v>
      </c>
      <c r="G663" s="123">
        <v>195209.65</v>
      </c>
      <c r="H663" s="123">
        <v>258865.25</v>
      </c>
      <c r="I663" s="123">
        <v>315625.65000000002</v>
      </c>
      <c r="J663" s="123">
        <v>335743.2</v>
      </c>
      <c r="K663" s="123">
        <v>360637.21</v>
      </c>
      <c r="L663" s="123">
        <v>429214.2</v>
      </c>
      <c r="M663" s="123">
        <v>498275.39</v>
      </c>
      <c r="N663" s="123">
        <v>540325.38</v>
      </c>
      <c r="O663" s="123">
        <v>588189.04</v>
      </c>
      <c r="P663" s="123">
        <v>626269.28</v>
      </c>
      <c r="Q663" s="123">
        <v>17458.03</v>
      </c>
      <c r="R663" s="123">
        <v>55319.22</v>
      </c>
      <c r="S663" s="123">
        <v>89435.01</v>
      </c>
      <c r="T663" s="123">
        <v>293831.12</v>
      </c>
      <c r="U663" s="123">
        <v>321257.32</v>
      </c>
      <c r="V663" s="123">
        <v>343964.7</v>
      </c>
      <c r="W663" s="123">
        <v>381736.19</v>
      </c>
      <c r="X663" s="123">
        <v>393801.95</v>
      </c>
      <c r="Y663" s="123">
        <v>430314.61</v>
      </c>
      <c r="Z663" s="123">
        <v>439402.27</v>
      </c>
      <c r="AA663" s="123">
        <v>457876.08</v>
      </c>
      <c r="AB663" s="123">
        <v>472186.4</v>
      </c>
      <c r="AC663" s="124">
        <v>36746.1</v>
      </c>
      <c r="AD663" s="124">
        <v>57281.26</v>
      </c>
      <c r="AE663" s="124">
        <v>60997.71</v>
      </c>
      <c r="AF663" s="124">
        <v>79041.2</v>
      </c>
      <c r="AG663" s="124">
        <v>105058.5</v>
      </c>
      <c r="AH663" s="124">
        <v>123668.46</v>
      </c>
      <c r="AI663" s="124">
        <v>180439.41</v>
      </c>
      <c r="AJ663" s="124">
        <v>196842.13</v>
      </c>
      <c r="AK663" s="124">
        <v>205574.43</v>
      </c>
      <c r="AL663" s="124">
        <v>216814.49</v>
      </c>
      <c r="AM663" s="124">
        <v>223276.24</v>
      </c>
      <c r="AN663" s="124">
        <v>348980.89</v>
      </c>
      <c r="AO663" s="125">
        <v>125767.24</v>
      </c>
      <c r="AP663" s="125">
        <v>339757.98</v>
      </c>
      <c r="AQ663" s="125">
        <v>428106.61</v>
      </c>
      <c r="AR663" s="125">
        <v>514235.83</v>
      </c>
      <c r="AS663" s="125">
        <v>603731.55000000005</v>
      </c>
      <c r="AT663" s="125">
        <v>671782.35</v>
      </c>
      <c r="AU663" s="125">
        <v>751487.78</v>
      </c>
      <c r="AV663" s="125">
        <v>771574.11</v>
      </c>
      <c r="AW663" s="125">
        <v>812490.42</v>
      </c>
      <c r="AX663" s="125">
        <v>931939.47</v>
      </c>
      <c r="AY663" s="126"/>
      <c r="AZ663" s="126"/>
      <c r="BA663" s="126"/>
      <c r="BB663" s="126"/>
      <c r="BC663" s="126"/>
      <c r="BD663" s="126"/>
      <c r="BE663" s="126"/>
      <c r="BF663" s="157">
        <v>5604</v>
      </c>
      <c r="BG663" s="97" t="s">
        <v>589</v>
      </c>
      <c r="BH663" s="127">
        <v>123668.46</v>
      </c>
      <c r="BI663" s="127">
        <v>5604</v>
      </c>
      <c r="BJ663" s="97" t="s">
        <v>589</v>
      </c>
      <c r="BK663" s="127">
        <v>180439.41</v>
      </c>
    </row>
    <row r="664" spans="1:63" x14ac:dyDescent="0.25">
      <c r="B664" s="121">
        <v>560405</v>
      </c>
      <c r="C664" s="152" t="s">
        <v>590</v>
      </c>
      <c r="D664" s="123">
        <v>367454.77</v>
      </c>
      <c r="E664" s="123">
        <v>26839.15</v>
      </c>
      <c r="F664" s="123">
        <v>60389.57</v>
      </c>
      <c r="G664" s="123">
        <v>127720.61</v>
      </c>
      <c r="H664" s="123">
        <v>180273.17</v>
      </c>
      <c r="I664" s="123">
        <v>209025.76</v>
      </c>
      <c r="J664" s="123">
        <v>218227.67</v>
      </c>
      <c r="K664" s="123">
        <v>235875.76</v>
      </c>
      <c r="L664" s="123">
        <v>292182.46000000002</v>
      </c>
      <c r="M664" s="123">
        <v>321630.45</v>
      </c>
      <c r="N664" s="123">
        <v>361370.47</v>
      </c>
      <c r="O664" s="123">
        <v>404876.97</v>
      </c>
      <c r="P664" s="123">
        <v>422442.98</v>
      </c>
      <c r="Q664" s="123">
        <v>12797.64</v>
      </c>
      <c r="R664" s="123">
        <v>43719.6</v>
      </c>
      <c r="S664" s="123">
        <v>76800.850000000006</v>
      </c>
      <c r="T664" s="123">
        <v>89113.01</v>
      </c>
      <c r="U664" s="123">
        <v>110276.5</v>
      </c>
      <c r="V664" s="123">
        <v>130079.49</v>
      </c>
      <c r="W664" s="123">
        <v>160279.21</v>
      </c>
      <c r="X664" s="123">
        <v>171524.85</v>
      </c>
      <c r="Y664" s="123">
        <v>203137.5</v>
      </c>
      <c r="Z664" s="123">
        <v>209706.28</v>
      </c>
      <c r="AA664" s="123">
        <v>222209.38</v>
      </c>
      <c r="AB664" s="123">
        <v>234745.06</v>
      </c>
      <c r="AC664" s="124">
        <v>34557.599999999999</v>
      </c>
      <c r="AD664" s="124">
        <v>53121.62</v>
      </c>
      <c r="AE664" s="124">
        <v>56043.47</v>
      </c>
      <c r="AF664" s="124">
        <v>71493.31</v>
      </c>
      <c r="AG664" s="124">
        <v>94574.67</v>
      </c>
      <c r="AH664" s="124">
        <v>110322.24000000001</v>
      </c>
      <c r="AI664" s="124">
        <v>166704.57999999999</v>
      </c>
      <c r="AJ664" s="124">
        <v>181266.78</v>
      </c>
      <c r="AK664" s="124">
        <v>187562.78</v>
      </c>
      <c r="AL664" s="124">
        <v>198646.46</v>
      </c>
      <c r="AM664" s="124">
        <v>201034.97</v>
      </c>
      <c r="AN664" s="124">
        <v>215576.72</v>
      </c>
      <c r="AO664" s="125">
        <v>18561.990000000002</v>
      </c>
      <c r="AP664" s="125">
        <v>182991.09</v>
      </c>
      <c r="AQ664" s="125">
        <v>214164.59</v>
      </c>
      <c r="AR664" s="125">
        <v>221884.44</v>
      </c>
      <c r="AS664" s="125">
        <v>258757.59</v>
      </c>
      <c r="AT664" s="125">
        <v>268646.46999999997</v>
      </c>
      <c r="AU664" s="125">
        <v>299534.44</v>
      </c>
      <c r="AV664" s="125">
        <v>300518.24</v>
      </c>
      <c r="AW664" s="125">
        <v>309062.65000000002</v>
      </c>
      <c r="AX664" s="125">
        <v>344432.3</v>
      </c>
      <c r="AY664" s="126"/>
      <c r="AZ664" s="126"/>
      <c r="BA664" s="126"/>
      <c r="BB664" s="126"/>
      <c r="BC664" s="126"/>
      <c r="BD664" s="126"/>
      <c r="BE664" s="126"/>
      <c r="BF664" s="157">
        <v>560405</v>
      </c>
      <c r="BG664" s="97" t="s">
        <v>590</v>
      </c>
      <c r="BH664" s="127">
        <v>110322.24000000001</v>
      </c>
      <c r="BI664" s="127">
        <v>560405</v>
      </c>
      <c r="BJ664" s="97" t="s">
        <v>590</v>
      </c>
      <c r="BK664" s="127">
        <v>166704.57999999999</v>
      </c>
    </row>
    <row r="665" spans="1:63" x14ac:dyDescent="0.25">
      <c r="B665" s="121">
        <v>560410</v>
      </c>
      <c r="C665" s="152" t="s">
        <v>591</v>
      </c>
      <c r="D665" s="123">
        <v>32804.33</v>
      </c>
      <c r="E665" s="128"/>
      <c r="F665" s="123">
        <v>12357</v>
      </c>
      <c r="G665" s="123">
        <v>12386.74</v>
      </c>
      <c r="H665" s="123">
        <v>12386.74</v>
      </c>
      <c r="I665" s="123">
        <v>12386.74</v>
      </c>
      <c r="J665" s="123">
        <v>12185.92</v>
      </c>
      <c r="K665" s="123">
        <v>12743.96</v>
      </c>
      <c r="L665" s="123">
        <v>12743.96</v>
      </c>
      <c r="M665" s="123">
        <v>44859.11</v>
      </c>
      <c r="N665" s="123">
        <v>44859.11</v>
      </c>
      <c r="O665" s="123">
        <v>44859.11</v>
      </c>
      <c r="P665" s="123">
        <v>44859.11</v>
      </c>
      <c r="Q665" s="128"/>
      <c r="R665" s="123">
        <v>5114.6499999999996</v>
      </c>
      <c r="S665" s="123">
        <v>5114.6499999999996</v>
      </c>
      <c r="T665" s="123">
        <v>188585.65</v>
      </c>
      <c r="U665" s="123">
        <v>188585.65</v>
      </c>
      <c r="V665" s="123">
        <v>188585.65</v>
      </c>
      <c r="W665" s="123">
        <v>188585.65</v>
      </c>
      <c r="X665" s="123">
        <v>188665.65</v>
      </c>
      <c r="Y665" s="123">
        <v>188665.65</v>
      </c>
      <c r="Z665" s="123">
        <v>188665.65</v>
      </c>
      <c r="AA665" s="123">
        <v>188665.65</v>
      </c>
      <c r="AB665" s="123">
        <v>188665.65</v>
      </c>
      <c r="AC665" s="124">
        <v>1131.5899999999999</v>
      </c>
      <c r="AD665" s="124">
        <v>1683.82</v>
      </c>
      <c r="AE665" s="124">
        <v>1683.82</v>
      </c>
      <c r="AF665" s="124">
        <v>1683.82</v>
      </c>
      <c r="AG665" s="124">
        <v>1683.82</v>
      </c>
      <c r="AH665" s="124">
        <v>1683.82</v>
      </c>
      <c r="AI665" s="124">
        <v>1683.82</v>
      </c>
      <c r="AJ665" s="124">
        <v>1683.82</v>
      </c>
      <c r="AK665" s="124">
        <v>1683.82</v>
      </c>
      <c r="AL665" s="124">
        <v>1683.82</v>
      </c>
      <c r="AM665" s="124">
        <v>5544.82</v>
      </c>
      <c r="AN665" s="124">
        <v>116455.81</v>
      </c>
      <c r="AO665" s="125">
        <v>106544.44</v>
      </c>
      <c r="AP665" s="125">
        <v>155278.91</v>
      </c>
      <c r="AQ665" s="125">
        <v>211481.15</v>
      </c>
      <c r="AR665" s="125">
        <v>285926.21999999997</v>
      </c>
      <c r="AS665" s="125">
        <v>337275.08</v>
      </c>
      <c r="AT665" s="125">
        <v>393296.17</v>
      </c>
      <c r="AU665" s="125">
        <v>440125.09</v>
      </c>
      <c r="AV665" s="125">
        <v>457958.35</v>
      </c>
      <c r="AW665" s="125">
        <v>490160.51</v>
      </c>
      <c r="AX665" s="125">
        <v>567298.5</v>
      </c>
      <c r="AY665" s="126"/>
      <c r="AZ665" s="126"/>
      <c r="BA665" s="126"/>
      <c r="BB665" s="126"/>
      <c r="BC665" s="126"/>
      <c r="BD665" s="126"/>
      <c r="BE665" s="126"/>
      <c r="BF665" s="157">
        <v>560410</v>
      </c>
      <c r="BG665" s="97" t="s">
        <v>591</v>
      </c>
      <c r="BH665" s="127">
        <v>1683.82</v>
      </c>
      <c r="BI665" s="127">
        <v>560410</v>
      </c>
      <c r="BJ665" s="97" t="s">
        <v>591</v>
      </c>
      <c r="BK665" s="127">
        <v>1683.82</v>
      </c>
    </row>
    <row r="666" spans="1:63" x14ac:dyDescent="0.25">
      <c r="B666" s="121">
        <v>560420</v>
      </c>
      <c r="C666" s="152" t="s">
        <v>592</v>
      </c>
      <c r="D666" s="128"/>
      <c r="E666" s="128"/>
      <c r="F666" s="123">
        <v>15702.82</v>
      </c>
      <c r="G666" s="123">
        <v>55102.3</v>
      </c>
      <c r="H666" s="123">
        <v>66205.34</v>
      </c>
      <c r="I666" s="123">
        <v>94213.15</v>
      </c>
      <c r="J666" s="123">
        <v>105329.61</v>
      </c>
      <c r="K666" s="123">
        <v>112017.49</v>
      </c>
      <c r="L666" s="123">
        <v>124287.78</v>
      </c>
      <c r="M666" s="123">
        <v>131785.82999999999</v>
      </c>
      <c r="N666" s="123">
        <v>134095.79999999999</v>
      </c>
      <c r="O666" s="123">
        <v>138452.96</v>
      </c>
      <c r="P666" s="123">
        <v>158967.19</v>
      </c>
      <c r="Q666" s="123">
        <v>4660.3900000000003</v>
      </c>
      <c r="R666" s="123">
        <v>6484.97</v>
      </c>
      <c r="S666" s="123">
        <v>7519.51</v>
      </c>
      <c r="T666" s="123">
        <v>16132.46</v>
      </c>
      <c r="U666" s="123">
        <v>22395.17</v>
      </c>
      <c r="V666" s="123">
        <v>25299.56</v>
      </c>
      <c r="W666" s="123">
        <v>32871.33</v>
      </c>
      <c r="X666" s="123">
        <v>33611.449999999997</v>
      </c>
      <c r="Y666" s="123">
        <v>38511.46</v>
      </c>
      <c r="Z666" s="123">
        <v>41030.339999999997</v>
      </c>
      <c r="AA666" s="123">
        <v>47001.05</v>
      </c>
      <c r="AB666" s="123">
        <v>48775.69</v>
      </c>
      <c r="AC666" s="124">
        <v>1056.9100000000001</v>
      </c>
      <c r="AD666" s="124">
        <v>2475.8200000000002</v>
      </c>
      <c r="AE666" s="124">
        <v>3270.42</v>
      </c>
      <c r="AF666" s="124">
        <v>5864.07</v>
      </c>
      <c r="AG666" s="124">
        <v>8800.01</v>
      </c>
      <c r="AH666" s="124">
        <v>11662.4</v>
      </c>
      <c r="AI666" s="124">
        <v>12051.01</v>
      </c>
      <c r="AJ666" s="124">
        <v>13891.53</v>
      </c>
      <c r="AK666" s="124">
        <v>16327.83</v>
      </c>
      <c r="AL666" s="124">
        <v>16484.21</v>
      </c>
      <c r="AM666" s="124">
        <v>16696.45</v>
      </c>
      <c r="AN666" s="124">
        <v>16948.36</v>
      </c>
      <c r="AO666" s="125">
        <v>660.81</v>
      </c>
      <c r="AP666" s="125">
        <v>1487.98</v>
      </c>
      <c r="AQ666" s="125">
        <v>2460.87</v>
      </c>
      <c r="AR666" s="125">
        <v>6425.17</v>
      </c>
      <c r="AS666" s="125">
        <v>7698.88</v>
      </c>
      <c r="AT666" s="125">
        <v>9839.7099999999991</v>
      </c>
      <c r="AU666" s="125">
        <v>11828.25</v>
      </c>
      <c r="AV666" s="125">
        <v>13097.52</v>
      </c>
      <c r="AW666" s="125">
        <v>13267.26</v>
      </c>
      <c r="AX666" s="125">
        <v>20208.669999999998</v>
      </c>
      <c r="AY666" s="126"/>
      <c r="AZ666" s="126"/>
      <c r="BA666" s="126"/>
      <c r="BB666" s="126"/>
      <c r="BC666" s="126"/>
      <c r="BD666" s="126"/>
      <c r="BE666" s="126"/>
      <c r="BF666" s="157">
        <v>560420</v>
      </c>
      <c r="BG666" s="97" t="s">
        <v>592</v>
      </c>
      <c r="BH666" s="127">
        <v>11662.4</v>
      </c>
      <c r="BI666" s="127">
        <v>560420</v>
      </c>
      <c r="BJ666" s="97" t="s">
        <v>592</v>
      </c>
      <c r="BK666" s="127">
        <v>12051.01</v>
      </c>
    </row>
    <row r="667" spans="1:63" x14ac:dyDescent="0.25">
      <c r="A667" s="113"/>
      <c r="B667" s="121">
        <v>56042005</v>
      </c>
      <c r="C667" s="152" t="s">
        <v>593</v>
      </c>
      <c r="D667" s="128"/>
      <c r="E667" s="128"/>
      <c r="F667" s="128"/>
      <c r="G667" s="128"/>
      <c r="H667" s="128"/>
      <c r="I667" s="128"/>
      <c r="J667" s="128"/>
      <c r="K667" s="128"/>
      <c r="L667" s="123">
        <v>1181.21</v>
      </c>
      <c r="M667" s="123">
        <v>1181.21</v>
      </c>
      <c r="N667" s="123">
        <v>1181.21</v>
      </c>
      <c r="O667" s="123">
        <v>1181.21</v>
      </c>
      <c r="P667" s="123">
        <v>1181.21</v>
      </c>
      <c r="Q667" s="128"/>
      <c r="R667" s="128"/>
      <c r="S667" s="128"/>
      <c r="T667" s="123">
        <v>3010</v>
      </c>
      <c r="U667" s="123">
        <v>6010</v>
      </c>
      <c r="V667" s="123">
        <v>6010</v>
      </c>
      <c r="W667" s="123">
        <v>8273.35</v>
      </c>
      <c r="X667" s="123">
        <v>8273.35</v>
      </c>
      <c r="Y667" s="123">
        <v>8273.35</v>
      </c>
      <c r="Z667" s="123">
        <v>8273.35</v>
      </c>
      <c r="AA667" s="123">
        <v>8273.35</v>
      </c>
      <c r="AB667" s="123">
        <v>8813.91</v>
      </c>
      <c r="AC667" s="124">
        <v>29.86</v>
      </c>
      <c r="AD667" s="124">
        <v>29.86</v>
      </c>
      <c r="AE667" s="124">
        <v>29.86</v>
      </c>
      <c r="AF667" s="124">
        <v>29.86</v>
      </c>
      <c r="AG667" s="124">
        <v>29.86</v>
      </c>
      <c r="AH667" s="124">
        <v>29.86</v>
      </c>
      <c r="AI667" s="124">
        <v>29.86</v>
      </c>
      <c r="AJ667" s="124">
        <v>29.86</v>
      </c>
      <c r="AK667" s="124">
        <v>29.86</v>
      </c>
      <c r="AL667" s="124">
        <v>29.86</v>
      </c>
      <c r="AM667" s="124">
        <v>29.86</v>
      </c>
      <c r="AN667" s="124">
        <v>29.86</v>
      </c>
      <c r="AO667" s="125">
        <v>0</v>
      </c>
      <c r="AP667" s="125">
        <v>0</v>
      </c>
      <c r="AQ667" s="125">
        <v>0</v>
      </c>
      <c r="AR667" s="125">
        <v>0</v>
      </c>
      <c r="AS667" s="125">
        <v>0</v>
      </c>
      <c r="AT667" s="125">
        <v>0</v>
      </c>
      <c r="AU667" s="125">
        <v>0</v>
      </c>
      <c r="AV667" s="125">
        <v>0</v>
      </c>
      <c r="AW667" s="125">
        <v>0</v>
      </c>
      <c r="AX667" s="125">
        <v>0</v>
      </c>
      <c r="AY667" s="126"/>
      <c r="AZ667" s="126"/>
      <c r="BA667" s="126"/>
      <c r="BB667" s="126"/>
      <c r="BC667" s="126"/>
      <c r="BD667" s="126"/>
      <c r="BE667" s="126"/>
      <c r="BF667" s="157">
        <v>56042005</v>
      </c>
      <c r="BG667" s="97" t="s">
        <v>593</v>
      </c>
      <c r="BH667" s="127">
        <v>29.86</v>
      </c>
      <c r="BI667" s="127">
        <v>56042005</v>
      </c>
      <c r="BJ667" s="97" t="s">
        <v>593</v>
      </c>
      <c r="BK667" s="127">
        <v>29.86</v>
      </c>
    </row>
    <row r="668" spans="1:63" x14ac:dyDescent="0.25">
      <c r="A668" s="113"/>
      <c r="B668" s="121">
        <v>56042010</v>
      </c>
      <c r="C668" s="152" t="s">
        <v>594</v>
      </c>
      <c r="D668" s="128"/>
      <c r="E668" s="128"/>
      <c r="F668" s="123">
        <v>1437.77</v>
      </c>
      <c r="G668" s="123">
        <v>16328.1</v>
      </c>
      <c r="H668" s="123">
        <v>21083.33</v>
      </c>
      <c r="I668" s="123">
        <v>26659.03</v>
      </c>
      <c r="J668" s="123">
        <v>30971.27</v>
      </c>
      <c r="K668" s="123">
        <v>31615.14</v>
      </c>
      <c r="L668" s="123">
        <v>33872.54</v>
      </c>
      <c r="M668" s="123">
        <v>37476.370000000003</v>
      </c>
      <c r="N668" s="123">
        <v>37999.78</v>
      </c>
      <c r="O668" s="123">
        <v>41555.78</v>
      </c>
      <c r="P668" s="123">
        <v>58529.46</v>
      </c>
      <c r="Q668" s="123">
        <v>4002.8</v>
      </c>
      <c r="R668" s="123">
        <v>4137.3900000000003</v>
      </c>
      <c r="S668" s="123">
        <v>4480.57</v>
      </c>
      <c r="T668" s="123">
        <v>4656.47</v>
      </c>
      <c r="U668" s="123">
        <v>5431.16</v>
      </c>
      <c r="V668" s="123">
        <v>5843.96</v>
      </c>
      <c r="W668" s="123">
        <v>5894.05</v>
      </c>
      <c r="X668" s="123">
        <v>6138.76</v>
      </c>
      <c r="Y668" s="123">
        <v>7002.51</v>
      </c>
      <c r="Z668" s="123">
        <v>7087.67</v>
      </c>
      <c r="AA668" s="123">
        <v>7297.87</v>
      </c>
      <c r="AB668" s="123">
        <v>7564.97</v>
      </c>
      <c r="AC668" s="124">
        <v>343.88</v>
      </c>
      <c r="AD668" s="124">
        <v>375.44</v>
      </c>
      <c r="AE668" s="124">
        <v>996.95</v>
      </c>
      <c r="AF668" s="124">
        <v>1150.23</v>
      </c>
      <c r="AG668" s="124">
        <v>2704.15</v>
      </c>
      <c r="AH668" s="124">
        <v>2923.13</v>
      </c>
      <c r="AI668" s="124">
        <v>2923.13</v>
      </c>
      <c r="AJ668" s="124">
        <v>3054.56</v>
      </c>
      <c r="AK668" s="124">
        <v>3362.46</v>
      </c>
      <c r="AL668" s="124">
        <v>3443.03</v>
      </c>
      <c r="AM668" s="124">
        <v>3492.54</v>
      </c>
      <c r="AN668" s="124">
        <v>3492.54</v>
      </c>
      <c r="AO668" s="125">
        <v>0</v>
      </c>
      <c r="AP668" s="125">
        <v>0</v>
      </c>
      <c r="AQ668" s="125">
        <v>0</v>
      </c>
      <c r="AR668" s="125">
        <v>0</v>
      </c>
      <c r="AS668" s="125">
        <v>0</v>
      </c>
      <c r="AT668" s="125">
        <v>0</v>
      </c>
      <c r="AU668" s="125">
        <v>0</v>
      </c>
      <c r="AV668" s="125">
        <v>0</v>
      </c>
      <c r="AW668" s="125">
        <v>0</v>
      </c>
      <c r="AX668" s="125">
        <v>0</v>
      </c>
      <c r="AY668" s="126"/>
      <c r="AZ668" s="126"/>
      <c r="BA668" s="126"/>
      <c r="BB668" s="126"/>
      <c r="BC668" s="126"/>
      <c r="BD668" s="126"/>
      <c r="BE668" s="126"/>
      <c r="BF668" s="157">
        <v>56042010</v>
      </c>
      <c r="BG668" s="97" t="s">
        <v>594</v>
      </c>
      <c r="BH668" s="127">
        <v>2923.13</v>
      </c>
      <c r="BI668" s="127">
        <v>56042010</v>
      </c>
      <c r="BJ668" s="97" t="s">
        <v>594</v>
      </c>
      <c r="BK668" s="127">
        <v>2923.13</v>
      </c>
    </row>
    <row r="669" spans="1:63" x14ac:dyDescent="0.25">
      <c r="B669" s="121">
        <v>56042015</v>
      </c>
      <c r="C669" s="152" t="s">
        <v>9</v>
      </c>
      <c r="D669" s="128"/>
      <c r="E669" s="128"/>
      <c r="F669" s="128"/>
      <c r="G669" s="123">
        <v>117.02</v>
      </c>
      <c r="H669" s="123">
        <v>117.02</v>
      </c>
      <c r="I669" s="123">
        <v>190.53</v>
      </c>
      <c r="J669" s="123">
        <v>286.97000000000003</v>
      </c>
      <c r="K669" s="123">
        <v>2118.9699999999998</v>
      </c>
      <c r="L669" s="123">
        <v>4012.86</v>
      </c>
      <c r="M669" s="123">
        <v>4698.54</v>
      </c>
      <c r="N669" s="123">
        <v>6172.13</v>
      </c>
      <c r="O669" s="123">
        <v>6172.13</v>
      </c>
      <c r="P669" s="123">
        <v>6172.13</v>
      </c>
      <c r="Q669" s="128"/>
      <c r="R669" s="123">
        <v>245.58</v>
      </c>
      <c r="S669" s="123">
        <v>249.26</v>
      </c>
      <c r="T669" s="123">
        <v>249.26</v>
      </c>
      <c r="U669" s="123">
        <v>1174.3800000000001</v>
      </c>
      <c r="V669" s="123">
        <v>1214.73</v>
      </c>
      <c r="W669" s="123">
        <v>1304.97</v>
      </c>
      <c r="X669" s="123">
        <v>1304.97</v>
      </c>
      <c r="Y669" s="123">
        <v>1304.97</v>
      </c>
      <c r="Z669" s="123">
        <v>1353.82</v>
      </c>
      <c r="AA669" s="123">
        <v>1914.72</v>
      </c>
      <c r="AB669" s="123">
        <v>1914.72</v>
      </c>
      <c r="AC669" s="124">
        <v>94.06</v>
      </c>
      <c r="AD669" s="124">
        <v>175.65</v>
      </c>
      <c r="AE669" s="124">
        <v>175.65</v>
      </c>
      <c r="AF669" s="124">
        <v>815.62</v>
      </c>
      <c r="AG669" s="124">
        <v>859.15</v>
      </c>
      <c r="AH669" s="124">
        <v>1119.3699999999999</v>
      </c>
      <c r="AI669" s="124">
        <v>1254.18</v>
      </c>
      <c r="AJ669" s="124">
        <v>1385.37</v>
      </c>
      <c r="AK669" s="124">
        <v>1622.77</v>
      </c>
      <c r="AL669" s="124">
        <v>1622.77</v>
      </c>
      <c r="AM669" s="124">
        <v>1661.05</v>
      </c>
      <c r="AN669" s="124">
        <v>1817.91</v>
      </c>
      <c r="AO669" s="125">
        <v>162.88999999999999</v>
      </c>
      <c r="AP669" s="125">
        <v>162.88999999999999</v>
      </c>
      <c r="AQ669" s="125">
        <v>361.45</v>
      </c>
      <c r="AR669" s="125">
        <v>631.24</v>
      </c>
      <c r="AS669" s="125">
        <v>1317.87</v>
      </c>
      <c r="AT669" s="125">
        <v>1452.18</v>
      </c>
      <c r="AU669" s="125">
        <v>2195.89</v>
      </c>
      <c r="AV669" s="125">
        <v>2246.12</v>
      </c>
      <c r="AW669" s="125">
        <v>2246.12</v>
      </c>
      <c r="AX669" s="125">
        <v>2617.25</v>
      </c>
      <c r="AY669" s="126"/>
      <c r="AZ669" s="126"/>
      <c r="BA669" s="126"/>
      <c r="BB669" s="126"/>
      <c r="BC669" s="126"/>
      <c r="BD669" s="126"/>
      <c r="BE669" s="126"/>
      <c r="BF669" s="157">
        <v>56042015</v>
      </c>
      <c r="BG669" s="97" t="s">
        <v>9</v>
      </c>
      <c r="BH669" s="127">
        <v>1119.3699999999999</v>
      </c>
      <c r="BI669" s="127">
        <v>56042015</v>
      </c>
      <c r="BJ669" s="97" t="s">
        <v>9</v>
      </c>
      <c r="BK669" s="127">
        <v>1254.18</v>
      </c>
    </row>
    <row r="670" spans="1:63" x14ac:dyDescent="0.25">
      <c r="B670" s="121">
        <v>56042020</v>
      </c>
      <c r="C670" s="152" t="s">
        <v>595</v>
      </c>
      <c r="D670" s="128"/>
      <c r="E670" s="128"/>
      <c r="F670" s="128"/>
      <c r="G670" s="123">
        <v>68.86</v>
      </c>
      <c r="H670" s="123">
        <v>203.3</v>
      </c>
      <c r="I670" s="123">
        <v>203.3</v>
      </c>
      <c r="J670" s="123">
        <v>203.3</v>
      </c>
      <c r="K670" s="123">
        <v>203.3</v>
      </c>
      <c r="L670" s="123">
        <v>203.3</v>
      </c>
      <c r="M670" s="123">
        <v>203.3</v>
      </c>
      <c r="N670" s="123">
        <v>203.3</v>
      </c>
      <c r="O670" s="123">
        <v>203.3</v>
      </c>
      <c r="P670" s="123">
        <v>203.3</v>
      </c>
      <c r="Q670" s="123">
        <v>-160.74</v>
      </c>
      <c r="R670" s="123">
        <v>-160.74</v>
      </c>
      <c r="S670" s="123">
        <v>-160.74</v>
      </c>
      <c r="T670" s="123">
        <v>-160.74</v>
      </c>
      <c r="U670" s="123">
        <v>-160.74</v>
      </c>
      <c r="V670" s="128"/>
      <c r="W670" s="128"/>
      <c r="X670" s="128"/>
      <c r="Y670" s="128"/>
      <c r="Z670" s="128"/>
      <c r="AA670" s="128"/>
      <c r="AB670" s="128"/>
      <c r="AC670" s="129"/>
      <c r="AD670" s="129"/>
      <c r="AE670" s="129"/>
      <c r="AF670" s="129"/>
      <c r="AG670" s="129"/>
      <c r="AH670" s="129"/>
      <c r="AI670" s="129"/>
      <c r="AJ670" s="124">
        <v>0</v>
      </c>
      <c r="AK670" s="124">
        <v>0</v>
      </c>
      <c r="AL670" s="124">
        <v>0</v>
      </c>
      <c r="AM670" s="124">
        <v>0</v>
      </c>
      <c r="AN670" s="124">
        <v>0</v>
      </c>
      <c r="AO670" s="125">
        <v>0</v>
      </c>
      <c r="AP670" s="125">
        <v>0</v>
      </c>
      <c r="AQ670" s="125">
        <v>0</v>
      </c>
      <c r="AR670" s="125">
        <v>0</v>
      </c>
      <c r="AS670" s="125">
        <v>0</v>
      </c>
      <c r="AT670" s="125">
        <v>0</v>
      </c>
      <c r="AU670" s="125">
        <v>0</v>
      </c>
      <c r="AV670" s="125">
        <v>0</v>
      </c>
      <c r="AW670" s="125">
        <v>0</v>
      </c>
      <c r="AX670" s="125">
        <v>0</v>
      </c>
      <c r="AY670" s="126"/>
      <c r="AZ670" s="126"/>
      <c r="BA670" s="126"/>
      <c r="BB670" s="126"/>
      <c r="BC670" s="126"/>
      <c r="BD670" s="126"/>
      <c r="BE670" s="126"/>
      <c r="BF670" s="158"/>
    </row>
    <row r="671" spans="1:63" x14ac:dyDescent="0.25">
      <c r="B671" s="121">
        <v>56042035</v>
      </c>
      <c r="C671" s="152" t="s">
        <v>596</v>
      </c>
      <c r="D671" s="128"/>
      <c r="E671" s="128"/>
      <c r="F671" s="123">
        <v>14265.05</v>
      </c>
      <c r="G671" s="123">
        <v>38588.32</v>
      </c>
      <c r="H671" s="123">
        <v>44801.69</v>
      </c>
      <c r="I671" s="123">
        <v>67160.289999999994</v>
      </c>
      <c r="J671" s="123">
        <v>73868.070000000007</v>
      </c>
      <c r="K671" s="123">
        <v>78080.08</v>
      </c>
      <c r="L671" s="123">
        <v>85017.87</v>
      </c>
      <c r="M671" s="123">
        <v>88226.41</v>
      </c>
      <c r="N671" s="123">
        <v>88539.38</v>
      </c>
      <c r="O671" s="123">
        <v>89340.54</v>
      </c>
      <c r="P671" s="123">
        <v>92881.09</v>
      </c>
      <c r="Q671" s="123">
        <v>818.33</v>
      </c>
      <c r="R671" s="123">
        <v>2262.7399999999998</v>
      </c>
      <c r="S671" s="123">
        <v>2950.42</v>
      </c>
      <c r="T671" s="123">
        <v>8377.4699999999993</v>
      </c>
      <c r="U671" s="123">
        <v>9940.3700000000008</v>
      </c>
      <c r="V671" s="123">
        <v>12230.87</v>
      </c>
      <c r="W671" s="123">
        <v>17398.96</v>
      </c>
      <c r="X671" s="123">
        <v>17894.37</v>
      </c>
      <c r="Y671" s="123">
        <v>21930.63</v>
      </c>
      <c r="Z671" s="123">
        <v>24315.5</v>
      </c>
      <c r="AA671" s="123">
        <v>29515.11</v>
      </c>
      <c r="AB671" s="123">
        <v>30482.09</v>
      </c>
      <c r="AC671" s="124">
        <v>589.11</v>
      </c>
      <c r="AD671" s="124">
        <v>1894.87</v>
      </c>
      <c r="AE671" s="124">
        <v>2067.96</v>
      </c>
      <c r="AF671" s="124">
        <v>3868.36</v>
      </c>
      <c r="AG671" s="124">
        <v>5206.8500000000004</v>
      </c>
      <c r="AH671" s="124">
        <v>7590.04</v>
      </c>
      <c r="AI671" s="124">
        <v>7843.84</v>
      </c>
      <c r="AJ671" s="124">
        <v>9421.74</v>
      </c>
      <c r="AK671" s="124">
        <v>11312.74</v>
      </c>
      <c r="AL671" s="124">
        <v>11388.55</v>
      </c>
      <c r="AM671" s="124">
        <v>11513</v>
      </c>
      <c r="AN671" s="124">
        <v>11608.05</v>
      </c>
      <c r="AO671" s="125">
        <v>497.92</v>
      </c>
      <c r="AP671" s="125">
        <v>1056.4000000000001</v>
      </c>
      <c r="AQ671" s="125">
        <v>1166.08</v>
      </c>
      <c r="AR671" s="125">
        <v>3774.72</v>
      </c>
      <c r="AS671" s="125">
        <v>4296.3500000000004</v>
      </c>
      <c r="AT671" s="125">
        <v>6210.31</v>
      </c>
      <c r="AU671" s="125">
        <v>6906.18</v>
      </c>
      <c r="AV671" s="125">
        <v>8060.69</v>
      </c>
      <c r="AW671" s="125">
        <v>8129.55</v>
      </c>
      <c r="AX671" s="125">
        <v>9430.1200000000008</v>
      </c>
      <c r="AY671" s="126"/>
      <c r="AZ671" s="126"/>
      <c r="BA671" s="126"/>
      <c r="BB671" s="126"/>
      <c r="BC671" s="126"/>
      <c r="BD671" s="126"/>
      <c r="BE671" s="126"/>
      <c r="BF671" s="157">
        <v>56042035</v>
      </c>
      <c r="BG671" s="97" t="s">
        <v>596</v>
      </c>
      <c r="BH671" s="127">
        <v>7590.04</v>
      </c>
      <c r="BI671" s="127">
        <v>56042035</v>
      </c>
      <c r="BJ671" s="97" t="s">
        <v>596</v>
      </c>
      <c r="BK671" s="127">
        <v>7843.84</v>
      </c>
    </row>
    <row r="672" spans="1:63" x14ac:dyDescent="0.25">
      <c r="B672" s="121">
        <v>5690</v>
      </c>
      <c r="C672" s="152" t="s">
        <v>249</v>
      </c>
      <c r="D672" s="123">
        <v>150108.69</v>
      </c>
      <c r="E672" s="123">
        <v>15251.52</v>
      </c>
      <c r="F672" s="123">
        <v>15813.37</v>
      </c>
      <c r="G672" s="123">
        <v>18984.830000000002</v>
      </c>
      <c r="H672" s="123">
        <v>18923.939999999999</v>
      </c>
      <c r="I672" s="123">
        <v>19007.75</v>
      </c>
      <c r="J672" s="123">
        <v>19106.34</v>
      </c>
      <c r="K672" s="123">
        <v>19106.34</v>
      </c>
      <c r="L672" s="123">
        <v>19154.580000000002</v>
      </c>
      <c r="M672" s="123">
        <v>43262.96</v>
      </c>
      <c r="N672" s="123">
        <v>43242.720000000001</v>
      </c>
      <c r="O672" s="123">
        <v>43392.24</v>
      </c>
      <c r="P672" s="123">
        <v>207909.96</v>
      </c>
      <c r="Q672" s="123">
        <v>284.83</v>
      </c>
      <c r="R672" s="123">
        <v>443.03</v>
      </c>
      <c r="S672" s="123">
        <v>622.22</v>
      </c>
      <c r="T672" s="123">
        <v>1179.69</v>
      </c>
      <c r="U672" s="123">
        <v>1179.69</v>
      </c>
      <c r="V672" s="123">
        <v>1146.3900000000001</v>
      </c>
      <c r="W672" s="123">
        <v>1146.3900000000001</v>
      </c>
      <c r="X672" s="123">
        <v>1146.4000000000001</v>
      </c>
      <c r="Y672" s="123">
        <v>4397.08</v>
      </c>
      <c r="Z672" s="123">
        <v>4400.1499999999996</v>
      </c>
      <c r="AA672" s="123">
        <v>33096.53</v>
      </c>
      <c r="AB672" s="123">
        <v>217539.7</v>
      </c>
      <c r="AC672" s="124">
        <v>877.74</v>
      </c>
      <c r="AD672" s="124">
        <v>1817.12</v>
      </c>
      <c r="AE672" s="124">
        <v>1820.46</v>
      </c>
      <c r="AF672" s="124">
        <v>1835.93</v>
      </c>
      <c r="AG672" s="124">
        <v>1836.73</v>
      </c>
      <c r="AH672" s="124">
        <v>2023.33</v>
      </c>
      <c r="AI672" s="124">
        <v>2584.09</v>
      </c>
      <c r="AJ672" s="124">
        <v>3188.6</v>
      </c>
      <c r="AK672" s="124">
        <v>3239.31</v>
      </c>
      <c r="AL672" s="124">
        <v>3675.54</v>
      </c>
      <c r="AM672" s="124">
        <v>3743.89</v>
      </c>
      <c r="AN672" s="124">
        <v>57555.13</v>
      </c>
      <c r="AO672" s="125">
        <v>199.96</v>
      </c>
      <c r="AP672" s="125">
        <v>319.70999999999998</v>
      </c>
      <c r="AQ672" s="125">
        <v>19835.919999999998</v>
      </c>
      <c r="AR672" s="125">
        <v>76114.289999999994</v>
      </c>
      <c r="AS672" s="125">
        <v>6384.73</v>
      </c>
      <c r="AT672" s="125">
        <v>41322.71</v>
      </c>
      <c r="AU672" s="125">
        <v>41710</v>
      </c>
      <c r="AV672" s="125">
        <v>172116.31</v>
      </c>
      <c r="AW672" s="125">
        <v>259755.16</v>
      </c>
      <c r="AX672" s="125">
        <v>295226.73</v>
      </c>
      <c r="AY672" s="126"/>
      <c r="AZ672" s="126"/>
      <c r="BA672" s="126"/>
      <c r="BB672" s="126"/>
      <c r="BC672" s="126"/>
      <c r="BD672" s="126"/>
      <c r="BE672" s="126"/>
      <c r="BF672" s="157">
        <v>5690</v>
      </c>
      <c r="BG672" s="97" t="s">
        <v>249</v>
      </c>
      <c r="BH672" s="127">
        <v>2023.33</v>
      </c>
      <c r="BI672" s="127">
        <v>5690</v>
      </c>
      <c r="BJ672" s="97" t="s">
        <v>249</v>
      </c>
      <c r="BK672" s="127">
        <v>2584.09</v>
      </c>
    </row>
    <row r="673" spans="2:63" x14ac:dyDescent="0.25">
      <c r="B673" s="121">
        <v>569090</v>
      </c>
      <c r="C673" s="152" t="s">
        <v>225</v>
      </c>
      <c r="D673" s="123">
        <v>150108.69</v>
      </c>
      <c r="E673" s="123">
        <v>15251.52</v>
      </c>
      <c r="F673" s="123">
        <v>15813.37</v>
      </c>
      <c r="G673" s="123">
        <v>18984.830000000002</v>
      </c>
      <c r="H673" s="123">
        <v>18923.939999999999</v>
      </c>
      <c r="I673" s="123">
        <v>19007.75</v>
      </c>
      <c r="J673" s="123">
        <v>19106.34</v>
      </c>
      <c r="K673" s="123">
        <v>19106.34</v>
      </c>
      <c r="L673" s="123">
        <v>19154.580000000002</v>
      </c>
      <c r="M673" s="123">
        <v>43262.96</v>
      </c>
      <c r="N673" s="123">
        <v>43242.720000000001</v>
      </c>
      <c r="O673" s="123">
        <v>43392.24</v>
      </c>
      <c r="P673" s="123">
        <v>207909.96</v>
      </c>
      <c r="Q673" s="123">
        <v>284.83</v>
      </c>
      <c r="R673" s="123">
        <v>443.03</v>
      </c>
      <c r="S673" s="123">
        <v>622.22</v>
      </c>
      <c r="T673" s="123">
        <v>1179.69</v>
      </c>
      <c r="U673" s="123">
        <v>1179.69</v>
      </c>
      <c r="V673" s="123">
        <v>1146.3900000000001</v>
      </c>
      <c r="W673" s="123">
        <v>1146.3900000000001</v>
      </c>
      <c r="X673" s="123">
        <v>1146.4000000000001</v>
      </c>
      <c r="Y673" s="123">
        <v>4397.08</v>
      </c>
      <c r="Z673" s="123">
        <v>4400.1499999999996</v>
      </c>
      <c r="AA673" s="123">
        <v>33096.53</v>
      </c>
      <c r="AB673" s="123">
        <v>217539.7</v>
      </c>
      <c r="AC673" s="124">
        <v>877.74</v>
      </c>
      <c r="AD673" s="124">
        <v>1817.12</v>
      </c>
      <c r="AE673" s="124">
        <v>1820.46</v>
      </c>
      <c r="AF673" s="124">
        <v>1835.93</v>
      </c>
      <c r="AG673" s="124">
        <v>1836.73</v>
      </c>
      <c r="AH673" s="124">
        <v>2023.33</v>
      </c>
      <c r="AI673" s="124">
        <v>2584.09</v>
      </c>
      <c r="AJ673" s="124">
        <v>3188.6</v>
      </c>
      <c r="AK673" s="124">
        <v>3239.31</v>
      </c>
      <c r="AL673" s="124">
        <v>3675.54</v>
      </c>
      <c r="AM673" s="124">
        <v>3743.89</v>
      </c>
      <c r="AN673" s="124">
        <v>57555.13</v>
      </c>
      <c r="AO673" s="125">
        <v>199.96</v>
      </c>
      <c r="AP673" s="125">
        <v>319.70999999999998</v>
      </c>
      <c r="AQ673" s="125">
        <v>19835.919999999998</v>
      </c>
      <c r="AR673" s="125">
        <v>76114.289999999994</v>
      </c>
      <c r="AS673" s="125">
        <v>6384.73</v>
      </c>
      <c r="AT673" s="125">
        <v>41322.71</v>
      </c>
      <c r="AU673" s="125">
        <v>41710</v>
      </c>
      <c r="AV673" s="125">
        <v>172116.31</v>
      </c>
      <c r="AW673" s="125">
        <v>259755.16</v>
      </c>
      <c r="AX673" s="125">
        <v>295226.73</v>
      </c>
      <c r="AY673" s="126"/>
      <c r="AZ673" s="126"/>
      <c r="BA673" s="126"/>
      <c r="BB673" s="126"/>
      <c r="BC673" s="126"/>
      <c r="BD673" s="126"/>
      <c r="BE673" s="126"/>
      <c r="BF673" s="157">
        <v>569090</v>
      </c>
      <c r="BG673" s="97" t="s">
        <v>225</v>
      </c>
      <c r="BH673" s="127">
        <v>2023.33</v>
      </c>
      <c r="BI673" s="127">
        <v>569090</v>
      </c>
      <c r="BJ673" s="97" t="s">
        <v>225</v>
      </c>
      <c r="BK673" s="127">
        <v>2584.09</v>
      </c>
    </row>
    <row r="674" spans="2:63" x14ac:dyDescent="0.25">
      <c r="B674" s="121">
        <v>59</v>
      </c>
      <c r="C674" s="152" t="s">
        <v>597</v>
      </c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3">
        <v>1126730.82</v>
      </c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  <c r="AA674" s="128"/>
      <c r="AB674" s="123">
        <v>15796.14</v>
      </c>
      <c r="AC674" s="129"/>
      <c r="AD674" s="129"/>
      <c r="AE674" s="129"/>
      <c r="AF674" s="129"/>
      <c r="AG674" s="129"/>
      <c r="AH674" s="129"/>
      <c r="AI674" s="129"/>
      <c r="AJ674" s="124">
        <v>0</v>
      </c>
      <c r="AK674" s="124">
        <v>0</v>
      </c>
      <c r="AL674" s="124">
        <v>0</v>
      </c>
      <c r="AM674" s="124">
        <v>0</v>
      </c>
      <c r="AN674" s="124">
        <v>0</v>
      </c>
      <c r="AO674" s="125">
        <v>0</v>
      </c>
      <c r="AP674" s="125">
        <v>0</v>
      </c>
      <c r="AQ674" s="125">
        <v>0</v>
      </c>
      <c r="AR674" s="125">
        <v>0</v>
      </c>
      <c r="AS674" s="125">
        <v>0</v>
      </c>
      <c r="AT674" s="125">
        <v>0</v>
      </c>
      <c r="AU674" s="125">
        <v>0</v>
      </c>
      <c r="AV674" s="125">
        <v>0</v>
      </c>
      <c r="AW674" s="125">
        <v>0</v>
      </c>
      <c r="AX674" s="125">
        <v>0</v>
      </c>
      <c r="AY674" s="126"/>
      <c r="AZ674" s="126"/>
      <c r="BA674" s="126"/>
      <c r="BB674" s="126"/>
      <c r="BC674" s="126"/>
      <c r="BD674" s="126"/>
      <c r="BE674" s="126"/>
      <c r="BF674" s="158"/>
    </row>
    <row r="675" spans="2:63" x14ac:dyDescent="0.25">
      <c r="B675" s="121">
        <v>6</v>
      </c>
      <c r="C675" s="152" t="s">
        <v>598</v>
      </c>
      <c r="D675" s="123">
        <v>55185.57</v>
      </c>
      <c r="E675" s="123">
        <v>55185.57</v>
      </c>
      <c r="F675" s="123">
        <v>55185.57</v>
      </c>
      <c r="G675" s="123">
        <v>55185.57</v>
      </c>
      <c r="H675" s="123">
        <v>55185.57</v>
      </c>
      <c r="I675" s="123">
        <v>55185.57</v>
      </c>
      <c r="J675" s="123">
        <v>55185.57</v>
      </c>
      <c r="K675" s="123">
        <v>55185.57</v>
      </c>
      <c r="L675" s="123">
        <v>55185.57</v>
      </c>
      <c r="M675" s="123">
        <v>55185.57</v>
      </c>
      <c r="N675" s="123">
        <v>55185.57</v>
      </c>
      <c r="O675" s="123">
        <v>55185.57</v>
      </c>
      <c r="P675" s="123">
        <v>118622.57</v>
      </c>
      <c r="Q675" s="123">
        <v>118622.57</v>
      </c>
      <c r="R675" s="123">
        <v>118622.57</v>
      </c>
      <c r="S675" s="123">
        <v>118622.57</v>
      </c>
      <c r="T675" s="123">
        <v>118622.57</v>
      </c>
      <c r="U675" s="123">
        <v>118622.57</v>
      </c>
      <c r="V675" s="123">
        <v>118622.57</v>
      </c>
      <c r="W675" s="123">
        <v>118622.57</v>
      </c>
      <c r="X675" s="123">
        <v>118622.57</v>
      </c>
      <c r="Y675" s="123">
        <v>118622.57</v>
      </c>
      <c r="Z675" s="123">
        <v>118622.57</v>
      </c>
      <c r="AA675" s="123">
        <v>118622.57</v>
      </c>
      <c r="AB675" s="123">
        <v>118622.57</v>
      </c>
      <c r="AC675" s="124">
        <v>118622.57</v>
      </c>
      <c r="AD675" s="124">
        <v>143622.57</v>
      </c>
      <c r="AE675" s="124">
        <v>143622.57</v>
      </c>
      <c r="AF675" s="124">
        <v>143622.57</v>
      </c>
      <c r="AG675" s="124">
        <v>143622.57</v>
      </c>
      <c r="AH675" s="124">
        <v>139761.57</v>
      </c>
      <c r="AI675" s="124">
        <v>139761.57</v>
      </c>
      <c r="AJ675" s="124">
        <v>139761.57</v>
      </c>
      <c r="AK675" s="124">
        <v>139761.57</v>
      </c>
      <c r="AL675" s="124">
        <v>139761.57</v>
      </c>
      <c r="AM675" s="124">
        <v>139761.57</v>
      </c>
      <c r="AN675" s="124">
        <v>139761.57</v>
      </c>
      <c r="AO675" s="125">
        <v>139761.57</v>
      </c>
      <c r="AP675" s="125">
        <v>139761.57</v>
      </c>
      <c r="AQ675" s="125">
        <v>114761.57</v>
      </c>
      <c r="AR675" s="125">
        <v>114761.57</v>
      </c>
      <c r="AS675" s="125">
        <v>114761.57</v>
      </c>
      <c r="AT675" s="125">
        <v>114761.57</v>
      </c>
      <c r="AU675" s="125">
        <v>114761.57</v>
      </c>
      <c r="AV675" s="125">
        <v>114761.57</v>
      </c>
      <c r="AW675" s="125">
        <v>114761.57</v>
      </c>
      <c r="AX675" s="125">
        <v>114761.57</v>
      </c>
      <c r="AY675" s="126"/>
      <c r="AZ675" s="126"/>
      <c r="BA675" s="126"/>
      <c r="BB675" s="126"/>
      <c r="BC675" s="126"/>
      <c r="BD675" s="126"/>
      <c r="BE675" s="126"/>
      <c r="BF675" s="157">
        <v>6</v>
      </c>
      <c r="BG675" s="97" t="s">
        <v>598</v>
      </c>
      <c r="BH675" s="127">
        <v>139761.57</v>
      </c>
      <c r="BI675" s="127">
        <v>6</v>
      </c>
      <c r="BJ675" s="97" t="s">
        <v>598</v>
      </c>
      <c r="BK675" s="127">
        <v>139761.57</v>
      </c>
    </row>
    <row r="676" spans="2:63" x14ac:dyDescent="0.25">
      <c r="B676" s="121">
        <v>61</v>
      </c>
      <c r="C676" s="152" t="s">
        <v>599</v>
      </c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3">
        <v>63437</v>
      </c>
      <c r="Q676" s="123">
        <v>63437</v>
      </c>
      <c r="R676" s="123">
        <v>63437</v>
      </c>
      <c r="S676" s="123">
        <v>63437</v>
      </c>
      <c r="T676" s="123">
        <v>63437</v>
      </c>
      <c r="U676" s="123">
        <v>63437</v>
      </c>
      <c r="V676" s="123">
        <v>63437</v>
      </c>
      <c r="W676" s="123">
        <v>63437</v>
      </c>
      <c r="X676" s="123">
        <v>63437</v>
      </c>
      <c r="Y676" s="123">
        <v>63437</v>
      </c>
      <c r="Z676" s="123">
        <v>63437</v>
      </c>
      <c r="AA676" s="123">
        <v>63437</v>
      </c>
      <c r="AB676" s="123">
        <v>63437</v>
      </c>
      <c r="AC676" s="124">
        <v>63437</v>
      </c>
      <c r="AD676" s="124">
        <v>63437</v>
      </c>
      <c r="AE676" s="124">
        <v>63437</v>
      </c>
      <c r="AF676" s="124">
        <v>63437</v>
      </c>
      <c r="AG676" s="124">
        <v>63437</v>
      </c>
      <c r="AH676" s="124">
        <v>59576</v>
      </c>
      <c r="AI676" s="124">
        <v>59576</v>
      </c>
      <c r="AJ676" s="124">
        <v>59576</v>
      </c>
      <c r="AK676" s="124">
        <v>59576</v>
      </c>
      <c r="AL676" s="124">
        <v>59576</v>
      </c>
      <c r="AM676" s="124">
        <v>59576</v>
      </c>
      <c r="AN676" s="124">
        <v>59576</v>
      </c>
      <c r="AO676" s="125">
        <v>59576</v>
      </c>
      <c r="AP676" s="125">
        <v>59576</v>
      </c>
      <c r="AQ676" s="125">
        <v>59576</v>
      </c>
      <c r="AR676" s="125">
        <v>59576</v>
      </c>
      <c r="AS676" s="125">
        <v>59576</v>
      </c>
      <c r="AT676" s="125">
        <v>59576</v>
      </c>
      <c r="AU676" s="125">
        <v>59576</v>
      </c>
      <c r="AV676" s="125">
        <v>59576</v>
      </c>
      <c r="AW676" s="125">
        <v>59576</v>
      </c>
      <c r="AX676" s="125">
        <v>59576</v>
      </c>
      <c r="AY676" s="126"/>
      <c r="AZ676" s="126"/>
      <c r="BA676" s="126"/>
      <c r="BB676" s="126"/>
      <c r="BC676" s="126"/>
      <c r="BD676" s="126"/>
      <c r="BE676" s="126"/>
      <c r="BF676" s="157">
        <v>61</v>
      </c>
      <c r="BG676" s="97" t="s">
        <v>599</v>
      </c>
      <c r="BH676" s="127">
        <v>59576</v>
      </c>
      <c r="BI676" s="127">
        <v>61</v>
      </c>
      <c r="BJ676" s="97" t="s">
        <v>599</v>
      </c>
      <c r="BK676" s="127">
        <v>59576</v>
      </c>
    </row>
    <row r="677" spans="2:63" x14ac:dyDescent="0.25">
      <c r="B677" s="121">
        <v>6190</v>
      </c>
      <c r="C677" s="152" t="s">
        <v>600</v>
      </c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3">
        <v>63437</v>
      </c>
      <c r="Q677" s="123">
        <v>63437</v>
      </c>
      <c r="R677" s="123">
        <v>63437</v>
      </c>
      <c r="S677" s="123">
        <v>63437</v>
      </c>
      <c r="T677" s="123">
        <v>63437</v>
      </c>
      <c r="U677" s="123">
        <v>63437</v>
      </c>
      <c r="V677" s="123">
        <v>63437</v>
      </c>
      <c r="W677" s="123">
        <v>63437</v>
      </c>
      <c r="X677" s="123">
        <v>63437</v>
      </c>
      <c r="Y677" s="123">
        <v>63437</v>
      </c>
      <c r="Z677" s="123">
        <v>63437</v>
      </c>
      <c r="AA677" s="123">
        <v>63437</v>
      </c>
      <c r="AB677" s="123">
        <v>63437</v>
      </c>
      <c r="AC677" s="124">
        <v>63437</v>
      </c>
      <c r="AD677" s="124">
        <v>63437</v>
      </c>
      <c r="AE677" s="124">
        <v>63437</v>
      </c>
      <c r="AF677" s="124">
        <v>63437</v>
      </c>
      <c r="AG677" s="124">
        <v>63437</v>
      </c>
      <c r="AH677" s="124">
        <v>59576</v>
      </c>
      <c r="AI677" s="124">
        <v>59576</v>
      </c>
      <c r="AJ677" s="124">
        <v>59576</v>
      </c>
      <c r="AK677" s="124">
        <v>59576</v>
      </c>
      <c r="AL677" s="124">
        <v>59576</v>
      </c>
      <c r="AM677" s="124">
        <v>59576</v>
      </c>
      <c r="AN677" s="124">
        <v>59576</v>
      </c>
      <c r="AO677" s="125">
        <v>59576</v>
      </c>
      <c r="AP677" s="125">
        <v>59576</v>
      </c>
      <c r="AQ677" s="125">
        <v>59576</v>
      </c>
      <c r="AR677" s="125">
        <v>59576</v>
      </c>
      <c r="AS677" s="125">
        <v>59576</v>
      </c>
      <c r="AT677" s="125">
        <v>59576</v>
      </c>
      <c r="AU677" s="125">
        <v>59576</v>
      </c>
      <c r="AV677" s="125">
        <v>59576</v>
      </c>
      <c r="AW677" s="125">
        <v>59576</v>
      </c>
      <c r="AX677" s="125">
        <v>59576</v>
      </c>
      <c r="AY677" s="126"/>
      <c r="AZ677" s="126"/>
      <c r="BA677" s="126"/>
      <c r="BB677" s="126"/>
      <c r="BC677" s="126"/>
      <c r="BD677" s="126"/>
      <c r="BE677" s="126"/>
      <c r="BF677" s="157">
        <v>6190</v>
      </c>
      <c r="BG677" s="97" t="s">
        <v>600</v>
      </c>
      <c r="BH677" s="127">
        <v>59576</v>
      </c>
      <c r="BI677" s="127">
        <v>6190</v>
      </c>
      <c r="BJ677" s="97" t="s">
        <v>600</v>
      </c>
      <c r="BK677" s="127">
        <v>59576</v>
      </c>
    </row>
    <row r="678" spans="2:63" x14ac:dyDescent="0.25">
      <c r="B678" s="121">
        <v>62</v>
      </c>
      <c r="C678" s="152" t="s">
        <v>601</v>
      </c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3">
        <v>63437</v>
      </c>
      <c r="Q678" s="123">
        <v>63437</v>
      </c>
      <c r="R678" s="123">
        <v>63437</v>
      </c>
      <c r="S678" s="123">
        <v>63437</v>
      </c>
      <c r="T678" s="123">
        <v>63437</v>
      </c>
      <c r="U678" s="123">
        <v>63437</v>
      </c>
      <c r="V678" s="123">
        <v>63437</v>
      </c>
      <c r="W678" s="123">
        <v>63437</v>
      </c>
      <c r="X678" s="123">
        <v>63437</v>
      </c>
      <c r="Y678" s="123">
        <v>63437</v>
      </c>
      <c r="Z678" s="123">
        <v>63437</v>
      </c>
      <c r="AA678" s="123">
        <v>63437</v>
      </c>
      <c r="AB678" s="123">
        <v>63437</v>
      </c>
      <c r="AC678" s="124">
        <v>63437</v>
      </c>
      <c r="AD678" s="124">
        <v>63437</v>
      </c>
      <c r="AE678" s="124">
        <v>63437</v>
      </c>
      <c r="AF678" s="124">
        <v>63437</v>
      </c>
      <c r="AG678" s="124">
        <v>63437</v>
      </c>
      <c r="AH678" s="124">
        <v>59576</v>
      </c>
      <c r="AI678" s="124">
        <v>59576</v>
      </c>
      <c r="AJ678" s="124">
        <v>59576</v>
      </c>
      <c r="AK678" s="124">
        <v>59576</v>
      </c>
      <c r="AL678" s="124">
        <v>59576</v>
      </c>
      <c r="AM678" s="124">
        <v>59576</v>
      </c>
      <c r="AN678" s="124">
        <v>59576</v>
      </c>
      <c r="AO678" s="125">
        <v>59576</v>
      </c>
      <c r="AP678" s="125">
        <v>59576</v>
      </c>
      <c r="AQ678" s="125">
        <v>59576</v>
      </c>
      <c r="AR678" s="125">
        <v>59576</v>
      </c>
      <c r="AS678" s="125">
        <v>59576</v>
      </c>
      <c r="AT678" s="125">
        <v>59576</v>
      </c>
      <c r="AU678" s="125">
        <v>59576</v>
      </c>
      <c r="AV678" s="125">
        <v>59576</v>
      </c>
      <c r="AW678" s="125">
        <v>59576</v>
      </c>
      <c r="AX678" s="125">
        <v>59576</v>
      </c>
      <c r="AY678" s="126"/>
      <c r="AZ678" s="126"/>
      <c r="BA678" s="126"/>
      <c r="BB678" s="126"/>
      <c r="BC678" s="126"/>
      <c r="BD678" s="126"/>
      <c r="BE678" s="126"/>
      <c r="BF678" s="157">
        <v>62</v>
      </c>
      <c r="BG678" s="97" t="s">
        <v>601</v>
      </c>
      <c r="BH678" s="127">
        <v>59576</v>
      </c>
      <c r="BI678" s="127">
        <v>62</v>
      </c>
      <c r="BJ678" s="97" t="s">
        <v>601</v>
      </c>
      <c r="BK678" s="127">
        <v>59576</v>
      </c>
    </row>
    <row r="679" spans="2:63" x14ac:dyDescent="0.25">
      <c r="B679" s="121">
        <v>6290</v>
      </c>
      <c r="C679" s="152" t="s">
        <v>602</v>
      </c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3">
        <v>63437</v>
      </c>
      <c r="Q679" s="123">
        <v>63437</v>
      </c>
      <c r="R679" s="123">
        <v>63437</v>
      </c>
      <c r="S679" s="123">
        <v>63437</v>
      </c>
      <c r="T679" s="123">
        <v>63437</v>
      </c>
      <c r="U679" s="123">
        <v>63437</v>
      </c>
      <c r="V679" s="123">
        <v>63437</v>
      </c>
      <c r="W679" s="123">
        <v>63437</v>
      </c>
      <c r="X679" s="123">
        <v>63437</v>
      </c>
      <c r="Y679" s="123">
        <v>63437</v>
      </c>
      <c r="Z679" s="123">
        <v>63437</v>
      </c>
      <c r="AA679" s="123">
        <v>63437</v>
      </c>
      <c r="AB679" s="123">
        <v>63437</v>
      </c>
      <c r="AC679" s="124">
        <v>63437</v>
      </c>
      <c r="AD679" s="124">
        <v>63437</v>
      </c>
      <c r="AE679" s="124">
        <v>63437</v>
      </c>
      <c r="AF679" s="124">
        <v>63437</v>
      </c>
      <c r="AG679" s="124">
        <v>63437</v>
      </c>
      <c r="AH679" s="124">
        <v>59576</v>
      </c>
      <c r="AI679" s="124">
        <v>59576</v>
      </c>
      <c r="AJ679" s="124">
        <v>59576</v>
      </c>
      <c r="AK679" s="124">
        <v>59576</v>
      </c>
      <c r="AL679" s="124">
        <v>59576</v>
      </c>
      <c r="AM679" s="124">
        <v>59576</v>
      </c>
      <c r="AN679" s="124">
        <v>59576</v>
      </c>
      <c r="AO679" s="125">
        <v>59576</v>
      </c>
      <c r="AP679" s="125">
        <v>59576</v>
      </c>
      <c r="AQ679" s="125">
        <v>59576</v>
      </c>
      <c r="AR679" s="125">
        <v>59576</v>
      </c>
      <c r="AS679" s="125">
        <v>59576</v>
      </c>
      <c r="AT679" s="125">
        <v>59576</v>
      </c>
      <c r="AU679" s="125">
        <v>59576</v>
      </c>
      <c r="AV679" s="125">
        <v>59576</v>
      </c>
      <c r="AW679" s="125">
        <v>59576</v>
      </c>
      <c r="AX679" s="125">
        <v>59576</v>
      </c>
      <c r="AY679" s="126"/>
      <c r="AZ679" s="126"/>
      <c r="BA679" s="126"/>
      <c r="BB679" s="126"/>
      <c r="BC679" s="126"/>
      <c r="BD679" s="126"/>
      <c r="BE679" s="126"/>
      <c r="BF679" s="157">
        <v>6290</v>
      </c>
      <c r="BG679" s="97" t="s">
        <v>602</v>
      </c>
      <c r="BH679" s="127">
        <v>59576</v>
      </c>
      <c r="BI679" s="127">
        <v>6290</v>
      </c>
      <c r="BJ679" s="97" t="s">
        <v>602</v>
      </c>
      <c r="BK679" s="127">
        <v>59576</v>
      </c>
    </row>
    <row r="680" spans="2:63" x14ac:dyDescent="0.25">
      <c r="B680" s="121">
        <v>63</v>
      </c>
      <c r="C680" s="152" t="s">
        <v>603</v>
      </c>
      <c r="D680" s="123">
        <v>55185.57</v>
      </c>
      <c r="E680" s="123">
        <v>55185.57</v>
      </c>
      <c r="F680" s="123">
        <v>55185.57</v>
      </c>
      <c r="G680" s="123">
        <v>55185.57</v>
      </c>
      <c r="H680" s="123">
        <v>55185.57</v>
      </c>
      <c r="I680" s="123">
        <v>55185.57</v>
      </c>
      <c r="J680" s="123">
        <v>55185.57</v>
      </c>
      <c r="K680" s="123">
        <v>55185.57</v>
      </c>
      <c r="L680" s="123">
        <v>55185.57</v>
      </c>
      <c r="M680" s="123">
        <v>55185.57</v>
      </c>
      <c r="N680" s="123">
        <v>55185.57</v>
      </c>
      <c r="O680" s="123">
        <v>55185.57</v>
      </c>
      <c r="P680" s="123">
        <v>55185.57</v>
      </c>
      <c r="Q680" s="123">
        <v>55185.57</v>
      </c>
      <c r="R680" s="123">
        <v>55185.57</v>
      </c>
      <c r="S680" s="123">
        <v>55185.57</v>
      </c>
      <c r="T680" s="123">
        <v>55185.57</v>
      </c>
      <c r="U680" s="123">
        <v>55185.57</v>
      </c>
      <c r="V680" s="123">
        <v>55185.57</v>
      </c>
      <c r="W680" s="123">
        <v>55185.57</v>
      </c>
      <c r="X680" s="123">
        <v>55185.57</v>
      </c>
      <c r="Y680" s="123">
        <v>55185.57</v>
      </c>
      <c r="Z680" s="123">
        <v>55185.57</v>
      </c>
      <c r="AA680" s="123">
        <v>55185.57</v>
      </c>
      <c r="AB680" s="123">
        <v>55185.57</v>
      </c>
      <c r="AC680" s="124">
        <v>55185.57</v>
      </c>
      <c r="AD680" s="124">
        <v>80185.570000000007</v>
      </c>
      <c r="AE680" s="124">
        <v>80185.570000000007</v>
      </c>
      <c r="AF680" s="124">
        <v>80185.570000000007</v>
      </c>
      <c r="AG680" s="124">
        <v>80185.570000000007</v>
      </c>
      <c r="AH680" s="124">
        <v>80185.570000000007</v>
      </c>
      <c r="AI680" s="124">
        <v>80185.570000000007</v>
      </c>
      <c r="AJ680" s="124">
        <v>80185.570000000007</v>
      </c>
      <c r="AK680" s="124">
        <v>80185.570000000007</v>
      </c>
      <c r="AL680" s="124">
        <v>80185.570000000007</v>
      </c>
      <c r="AM680" s="124">
        <v>80185.570000000007</v>
      </c>
      <c r="AN680" s="124">
        <v>80185.570000000007</v>
      </c>
      <c r="AO680" s="125">
        <v>80185.570000000007</v>
      </c>
      <c r="AP680" s="125">
        <v>80185.570000000007</v>
      </c>
      <c r="AQ680" s="125">
        <v>55185.57</v>
      </c>
      <c r="AR680" s="125">
        <v>55185.57</v>
      </c>
      <c r="AS680" s="125">
        <v>55185.57</v>
      </c>
      <c r="AT680" s="125">
        <v>55185.57</v>
      </c>
      <c r="AU680" s="125">
        <v>55185.57</v>
      </c>
      <c r="AV680" s="125">
        <v>55185.57</v>
      </c>
      <c r="AW680" s="125">
        <v>55185.57</v>
      </c>
      <c r="AX680" s="125">
        <v>55185.57</v>
      </c>
      <c r="AY680" s="126"/>
      <c r="AZ680" s="126"/>
      <c r="BA680" s="126"/>
      <c r="BB680" s="126"/>
      <c r="BC680" s="126"/>
      <c r="BD680" s="126"/>
      <c r="BE680" s="126"/>
      <c r="BF680" s="157">
        <v>63</v>
      </c>
      <c r="BG680" s="97" t="s">
        <v>603</v>
      </c>
      <c r="BH680" s="127">
        <v>80185.570000000007</v>
      </c>
      <c r="BI680" s="127">
        <v>63</v>
      </c>
      <c r="BJ680" s="97" t="s">
        <v>603</v>
      </c>
      <c r="BK680" s="127">
        <v>80185.570000000007</v>
      </c>
    </row>
    <row r="681" spans="2:63" x14ac:dyDescent="0.25">
      <c r="B681" s="121">
        <v>6302</v>
      </c>
      <c r="C681" s="152" t="s">
        <v>604</v>
      </c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  <c r="AA681" s="128"/>
      <c r="AB681" s="128"/>
      <c r="AC681" s="129"/>
      <c r="AD681" s="124">
        <v>25000</v>
      </c>
      <c r="AE681" s="124">
        <v>25000</v>
      </c>
      <c r="AF681" s="124">
        <v>25000</v>
      </c>
      <c r="AG681" s="124">
        <v>25000</v>
      </c>
      <c r="AH681" s="124">
        <v>25000</v>
      </c>
      <c r="AI681" s="124">
        <v>25000</v>
      </c>
      <c r="AJ681" s="124">
        <v>25000</v>
      </c>
      <c r="AK681" s="124">
        <v>25000</v>
      </c>
      <c r="AL681" s="124">
        <v>25000</v>
      </c>
      <c r="AM681" s="124">
        <v>25000</v>
      </c>
      <c r="AN681" s="124">
        <v>25000</v>
      </c>
      <c r="AO681" s="125">
        <v>25000</v>
      </c>
      <c r="AP681" s="125">
        <v>25000</v>
      </c>
      <c r="AQ681" s="125">
        <v>0</v>
      </c>
      <c r="AR681" s="125">
        <v>0</v>
      </c>
      <c r="AS681" s="125">
        <v>0</v>
      </c>
      <c r="AT681" s="125">
        <v>0</v>
      </c>
      <c r="AU681" s="125">
        <v>0</v>
      </c>
      <c r="AV681" s="125">
        <v>0</v>
      </c>
      <c r="AW681" s="125">
        <v>0</v>
      </c>
      <c r="AX681" s="125">
        <v>0</v>
      </c>
      <c r="AY681" s="126"/>
      <c r="AZ681" s="126"/>
      <c r="BA681" s="126"/>
      <c r="BB681" s="126"/>
      <c r="BC681" s="126"/>
      <c r="BD681" s="126"/>
      <c r="BE681" s="126"/>
      <c r="BF681" s="157">
        <v>6302</v>
      </c>
      <c r="BG681" s="97" t="s">
        <v>604</v>
      </c>
      <c r="BH681" s="127">
        <v>25000</v>
      </c>
      <c r="BI681" s="127">
        <v>6302</v>
      </c>
      <c r="BJ681" s="97" t="s">
        <v>604</v>
      </c>
      <c r="BK681" s="127">
        <v>25000</v>
      </c>
    </row>
    <row r="682" spans="2:63" x14ac:dyDescent="0.25">
      <c r="B682" s="121">
        <v>6390</v>
      </c>
      <c r="C682" s="152" t="s">
        <v>605</v>
      </c>
      <c r="D682" s="123">
        <v>55185.57</v>
      </c>
      <c r="E682" s="123">
        <v>55185.57</v>
      </c>
      <c r="F682" s="123">
        <v>55185.57</v>
      </c>
      <c r="G682" s="123">
        <v>55185.57</v>
      </c>
      <c r="H682" s="123">
        <v>55185.57</v>
      </c>
      <c r="I682" s="123">
        <v>55185.57</v>
      </c>
      <c r="J682" s="123">
        <v>55185.57</v>
      </c>
      <c r="K682" s="123">
        <v>55185.57</v>
      </c>
      <c r="L682" s="123">
        <v>55185.57</v>
      </c>
      <c r="M682" s="123">
        <v>55185.57</v>
      </c>
      <c r="N682" s="123">
        <v>55185.57</v>
      </c>
      <c r="O682" s="123">
        <v>55185.57</v>
      </c>
      <c r="P682" s="123">
        <v>55185.57</v>
      </c>
      <c r="Q682" s="123">
        <v>55185.57</v>
      </c>
      <c r="R682" s="123">
        <v>55185.57</v>
      </c>
      <c r="S682" s="123">
        <v>55185.57</v>
      </c>
      <c r="T682" s="123">
        <v>55185.57</v>
      </c>
      <c r="U682" s="123">
        <v>55185.57</v>
      </c>
      <c r="V682" s="123">
        <v>55185.57</v>
      </c>
      <c r="W682" s="123">
        <v>55185.57</v>
      </c>
      <c r="X682" s="123">
        <v>55185.57</v>
      </c>
      <c r="Y682" s="123">
        <v>55185.57</v>
      </c>
      <c r="Z682" s="123">
        <v>55185.57</v>
      </c>
      <c r="AA682" s="123">
        <v>55185.57</v>
      </c>
      <c r="AB682" s="123">
        <v>55185.57</v>
      </c>
      <c r="AC682" s="124">
        <v>55185.57</v>
      </c>
      <c r="AD682" s="124">
        <v>55185.57</v>
      </c>
      <c r="AE682" s="124">
        <v>55185.57</v>
      </c>
      <c r="AF682" s="124">
        <v>55185.57</v>
      </c>
      <c r="AG682" s="124">
        <v>55185.57</v>
      </c>
      <c r="AH682" s="124">
        <v>55185.57</v>
      </c>
      <c r="AI682" s="124">
        <v>55185.57</v>
      </c>
      <c r="AJ682" s="124">
        <v>55185.57</v>
      </c>
      <c r="AK682" s="124">
        <v>55185.57</v>
      </c>
      <c r="AL682" s="124">
        <v>55185.57</v>
      </c>
      <c r="AM682" s="124">
        <v>55185.57</v>
      </c>
      <c r="AN682" s="124">
        <v>55185.57</v>
      </c>
      <c r="AO682" s="125">
        <v>55185.57</v>
      </c>
      <c r="AP682" s="125">
        <v>55185.57</v>
      </c>
      <c r="AQ682" s="125">
        <v>55185.57</v>
      </c>
      <c r="AR682" s="125">
        <v>55185.57</v>
      </c>
      <c r="AS682" s="125">
        <v>55185.57</v>
      </c>
      <c r="AT682" s="125">
        <v>55185.57</v>
      </c>
      <c r="AU682" s="125">
        <v>55185.57</v>
      </c>
      <c r="AV682" s="125">
        <v>55185.57</v>
      </c>
      <c r="AW682" s="125">
        <v>55185.57</v>
      </c>
      <c r="AX682" s="125">
        <v>55185.57</v>
      </c>
      <c r="AY682" s="126"/>
      <c r="AZ682" s="126"/>
      <c r="BA682" s="126"/>
      <c r="BB682" s="126"/>
      <c r="BC682" s="126"/>
      <c r="BD682" s="126"/>
      <c r="BE682" s="126"/>
      <c r="BF682" s="157">
        <v>6390</v>
      </c>
      <c r="BG682" s="97" t="s">
        <v>605</v>
      </c>
      <c r="BH682" s="127">
        <v>55185.57</v>
      </c>
      <c r="BI682" s="127">
        <v>6390</v>
      </c>
      <c r="BJ682" s="97" t="s">
        <v>605</v>
      </c>
      <c r="BK682" s="127">
        <v>55185.57</v>
      </c>
    </row>
    <row r="683" spans="2:63" x14ac:dyDescent="0.25">
      <c r="B683" s="121">
        <v>64</v>
      </c>
      <c r="C683" s="152" t="s">
        <v>606</v>
      </c>
      <c r="D683" s="123">
        <v>55185.57</v>
      </c>
      <c r="E683" s="123">
        <v>55185.57</v>
      </c>
      <c r="F683" s="123">
        <v>55185.57</v>
      </c>
      <c r="G683" s="123">
        <v>55185.57</v>
      </c>
      <c r="H683" s="123">
        <v>55185.57</v>
      </c>
      <c r="I683" s="123">
        <v>55185.57</v>
      </c>
      <c r="J683" s="123">
        <v>55185.57</v>
      </c>
      <c r="K683" s="123">
        <v>55185.57</v>
      </c>
      <c r="L683" s="123">
        <v>55185.57</v>
      </c>
      <c r="M683" s="123">
        <v>55185.57</v>
      </c>
      <c r="N683" s="123">
        <v>55185.57</v>
      </c>
      <c r="O683" s="123">
        <v>55185.57</v>
      </c>
      <c r="P683" s="123">
        <v>55185.57</v>
      </c>
      <c r="Q683" s="123">
        <v>55185.57</v>
      </c>
      <c r="R683" s="123">
        <v>55185.57</v>
      </c>
      <c r="S683" s="123">
        <v>55185.57</v>
      </c>
      <c r="T683" s="123">
        <v>55185.57</v>
      </c>
      <c r="U683" s="123">
        <v>55185.57</v>
      </c>
      <c r="V683" s="123">
        <v>55185.57</v>
      </c>
      <c r="W683" s="123">
        <v>55185.57</v>
      </c>
      <c r="X683" s="123">
        <v>55185.57</v>
      </c>
      <c r="Y683" s="123">
        <v>55185.57</v>
      </c>
      <c r="Z683" s="123">
        <v>55185.57</v>
      </c>
      <c r="AA683" s="123">
        <v>55185.57</v>
      </c>
      <c r="AB683" s="123">
        <v>55185.57</v>
      </c>
      <c r="AC683" s="124">
        <v>55185.57</v>
      </c>
      <c r="AD683" s="124">
        <v>80185.570000000007</v>
      </c>
      <c r="AE683" s="124">
        <v>80185.570000000007</v>
      </c>
      <c r="AF683" s="124">
        <v>80185.570000000007</v>
      </c>
      <c r="AG683" s="124">
        <v>80185.570000000007</v>
      </c>
      <c r="AH683" s="124">
        <v>80185.570000000007</v>
      </c>
      <c r="AI683" s="124">
        <v>80185.570000000007</v>
      </c>
      <c r="AJ683" s="124">
        <v>80185.570000000007</v>
      </c>
      <c r="AK683" s="124">
        <v>80185.570000000007</v>
      </c>
      <c r="AL683" s="124">
        <v>80185.570000000007</v>
      </c>
      <c r="AM683" s="124">
        <v>80185.570000000007</v>
      </c>
      <c r="AN683" s="124">
        <v>80185.570000000007</v>
      </c>
      <c r="AO683" s="125">
        <v>80185.570000000007</v>
      </c>
      <c r="AP683" s="125">
        <v>80185.570000000007</v>
      </c>
      <c r="AQ683" s="125">
        <v>55185.57</v>
      </c>
      <c r="AR683" s="125">
        <v>55185.57</v>
      </c>
      <c r="AS683" s="125">
        <v>55185.57</v>
      </c>
      <c r="AT683" s="125">
        <v>55185.57</v>
      </c>
      <c r="AU683" s="125">
        <v>55185.57</v>
      </c>
      <c r="AV683" s="125">
        <v>55185.57</v>
      </c>
      <c r="AW683" s="125">
        <v>55185.57</v>
      </c>
      <c r="AX683" s="125">
        <v>55185.57</v>
      </c>
      <c r="AY683" s="126"/>
      <c r="AZ683" s="126"/>
      <c r="BA683" s="126"/>
      <c r="BB683" s="126"/>
      <c r="BC683" s="126"/>
      <c r="BD683" s="126"/>
      <c r="BE683" s="126"/>
      <c r="BF683" s="157">
        <v>64</v>
      </c>
      <c r="BG683" s="97" t="s">
        <v>606</v>
      </c>
      <c r="BH683" s="127">
        <v>80185.570000000007</v>
      </c>
      <c r="BI683" s="127">
        <v>64</v>
      </c>
      <c r="BJ683" s="97" t="s">
        <v>606</v>
      </c>
      <c r="BK683" s="127">
        <v>80185.570000000007</v>
      </c>
    </row>
    <row r="684" spans="2:63" x14ac:dyDescent="0.25">
      <c r="B684" s="121">
        <v>6402</v>
      </c>
      <c r="C684" s="152" t="s">
        <v>607</v>
      </c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  <c r="AA684" s="128"/>
      <c r="AB684" s="128"/>
      <c r="AC684" s="129"/>
      <c r="AD684" s="124">
        <v>25000</v>
      </c>
      <c r="AE684" s="124">
        <v>25000</v>
      </c>
      <c r="AF684" s="124">
        <v>25000</v>
      </c>
      <c r="AG684" s="124">
        <v>25000</v>
      </c>
      <c r="AH684" s="124">
        <v>25000</v>
      </c>
      <c r="AI684" s="124">
        <v>25000</v>
      </c>
      <c r="AJ684" s="124">
        <v>25000</v>
      </c>
      <c r="AK684" s="124">
        <v>25000</v>
      </c>
      <c r="AL684" s="124">
        <v>25000</v>
      </c>
      <c r="AM684" s="124">
        <v>25000</v>
      </c>
      <c r="AN684" s="124">
        <v>25000</v>
      </c>
      <c r="AO684" s="125">
        <v>25000</v>
      </c>
      <c r="AP684" s="125">
        <v>25000</v>
      </c>
      <c r="AQ684" s="125">
        <v>0</v>
      </c>
      <c r="AR684" s="125">
        <v>0</v>
      </c>
      <c r="AS684" s="125">
        <v>0</v>
      </c>
      <c r="AT684" s="125">
        <v>0</v>
      </c>
      <c r="AU684" s="125">
        <v>0</v>
      </c>
      <c r="AV684" s="125">
        <v>0</v>
      </c>
      <c r="AW684" s="125">
        <v>0</v>
      </c>
      <c r="AX684" s="125">
        <v>0</v>
      </c>
      <c r="AY684" s="126"/>
      <c r="AZ684" s="126"/>
      <c r="BA684" s="126"/>
      <c r="BB684" s="126"/>
      <c r="BC684" s="126"/>
      <c r="BD684" s="126"/>
      <c r="BE684" s="126"/>
      <c r="BF684" s="157">
        <v>6402</v>
      </c>
      <c r="BG684" s="97" t="s">
        <v>607</v>
      </c>
      <c r="BH684" s="127">
        <v>25000</v>
      </c>
      <c r="BI684" s="127">
        <v>6402</v>
      </c>
      <c r="BJ684" s="97" t="s">
        <v>607</v>
      </c>
      <c r="BK684" s="127">
        <v>25000</v>
      </c>
    </row>
    <row r="685" spans="2:63" x14ac:dyDescent="0.25">
      <c r="B685" s="121">
        <v>640290</v>
      </c>
      <c r="C685" s="152" t="s">
        <v>219</v>
      </c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  <c r="AA685" s="128"/>
      <c r="AB685" s="128"/>
      <c r="AC685" s="129"/>
      <c r="AD685" s="124">
        <v>25000</v>
      </c>
      <c r="AE685" s="124">
        <v>25000</v>
      </c>
      <c r="AF685" s="124">
        <v>25000</v>
      </c>
      <c r="AG685" s="124">
        <v>25000</v>
      </c>
      <c r="AH685" s="124">
        <v>25000</v>
      </c>
      <c r="AI685" s="124">
        <v>25000</v>
      </c>
      <c r="AJ685" s="124">
        <v>25000</v>
      </c>
      <c r="AK685" s="124">
        <v>25000</v>
      </c>
      <c r="AL685" s="124">
        <v>25000</v>
      </c>
      <c r="AM685" s="124">
        <v>25000</v>
      </c>
      <c r="AN685" s="124">
        <v>25000</v>
      </c>
      <c r="AO685" s="125">
        <v>25000</v>
      </c>
      <c r="AP685" s="125">
        <v>25000</v>
      </c>
      <c r="AQ685" s="125">
        <v>0</v>
      </c>
      <c r="AR685" s="125">
        <v>0</v>
      </c>
      <c r="AS685" s="125">
        <v>0</v>
      </c>
      <c r="AT685" s="125">
        <v>0</v>
      </c>
      <c r="AU685" s="125">
        <v>0</v>
      </c>
      <c r="AV685" s="125">
        <v>0</v>
      </c>
      <c r="AW685" s="125">
        <v>0</v>
      </c>
      <c r="AX685" s="125">
        <v>0</v>
      </c>
      <c r="AY685" s="126"/>
      <c r="AZ685" s="126"/>
      <c r="BA685" s="126"/>
      <c r="BB685" s="126"/>
      <c r="BC685" s="126"/>
      <c r="BD685" s="126"/>
      <c r="BE685" s="126"/>
      <c r="BF685" s="157">
        <v>640290</v>
      </c>
      <c r="BG685" s="97" t="s">
        <v>219</v>
      </c>
      <c r="BH685" s="127">
        <v>25000</v>
      </c>
      <c r="BI685" s="127">
        <v>640290</v>
      </c>
      <c r="BJ685" s="97" t="s">
        <v>219</v>
      </c>
      <c r="BK685" s="127">
        <v>25000</v>
      </c>
    </row>
    <row r="686" spans="2:63" x14ac:dyDescent="0.25">
      <c r="B686" s="121">
        <v>6490</v>
      </c>
      <c r="C686" s="152" t="s">
        <v>608</v>
      </c>
      <c r="D686" s="123">
        <v>55185.57</v>
      </c>
      <c r="E686" s="123">
        <v>55185.57</v>
      </c>
      <c r="F686" s="123">
        <v>55185.57</v>
      </c>
      <c r="G686" s="123">
        <v>55185.57</v>
      </c>
      <c r="H686" s="123">
        <v>55185.57</v>
      </c>
      <c r="I686" s="123">
        <v>55185.57</v>
      </c>
      <c r="J686" s="123">
        <v>55185.57</v>
      </c>
      <c r="K686" s="123">
        <v>55185.57</v>
      </c>
      <c r="L686" s="123">
        <v>55185.57</v>
      </c>
      <c r="M686" s="123">
        <v>55185.57</v>
      </c>
      <c r="N686" s="123">
        <v>55185.57</v>
      </c>
      <c r="O686" s="123">
        <v>55185.57</v>
      </c>
      <c r="P686" s="123">
        <v>55185.57</v>
      </c>
      <c r="Q686" s="123">
        <v>55185.57</v>
      </c>
      <c r="R686" s="123">
        <v>55185.57</v>
      </c>
      <c r="S686" s="123">
        <v>55185.57</v>
      </c>
      <c r="T686" s="123">
        <v>55185.57</v>
      </c>
      <c r="U686" s="123">
        <v>55185.57</v>
      </c>
      <c r="V686" s="123">
        <v>55185.57</v>
      </c>
      <c r="W686" s="123">
        <v>55185.57</v>
      </c>
      <c r="X686" s="123">
        <v>55185.57</v>
      </c>
      <c r="Y686" s="123">
        <v>55185.57</v>
      </c>
      <c r="Z686" s="123">
        <v>55185.57</v>
      </c>
      <c r="AA686" s="123">
        <v>55185.57</v>
      </c>
      <c r="AB686" s="123">
        <v>55185.57</v>
      </c>
      <c r="AC686" s="124">
        <v>55185.57</v>
      </c>
      <c r="AD686" s="124">
        <v>55185.57</v>
      </c>
      <c r="AE686" s="124">
        <v>55185.57</v>
      </c>
      <c r="AF686" s="124">
        <v>55185.57</v>
      </c>
      <c r="AG686" s="124">
        <v>55185.57</v>
      </c>
      <c r="AH686" s="124">
        <v>55185.57</v>
      </c>
      <c r="AI686" s="124">
        <v>55185.57</v>
      </c>
      <c r="AJ686" s="124">
        <v>55185.57</v>
      </c>
      <c r="AK686" s="124">
        <v>55185.57</v>
      </c>
      <c r="AL686" s="124">
        <v>55185.57</v>
      </c>
      <c r="AM686" s="124">
        <v>55185.57</v>
      </c>
      <c r="AN686" s="124">
        <v>55185.57</v>
      </c>
      <c r="AO686" s="125">
        <v>55185.57</v>
      </c>
      <c r="AP686" s="125">
        <v>55185.57</v>
      </c>
      <c r="AQ686" s="125">
        <v>55185.57</v>
      </c>
      <c r="AR686" s="125">
        <v>55185.57</v>
      </c>
      <c r="AS686" s="125">
        <v>55185.57</v>
      </c>
      <c r="AT686" s="125">
        <v>55185.57</v>
      </c>
      <c r="AU686" s="125">
        <v>55185.57</v>
      </c>
      <c r="AV686" s="125">
        <v>55185.57</v>
      </c>
      <c r="AW686" s="125">
        <v>55185.57</v>
      </c>
      <c r="AX686" s="125">
        <v>55185.57</v>
      </c>
      <c r="AY686" s="126"/>
      <c r="AZ686" s="126"/>
      <c r="BA686" s="126"/>
      <c r="BB686" s="126"/>
      <c r="BC686" s="126"/>
      <c r="BD686" s="126"/>
      <c r="BE686" s="126"/>
      <c r="BF686" s="157">
        <v>6490</v>
      </c>
      <c r="BG686" s="97" t="s">
        <v>608</v>
      </c>
      <c r="BH686" s="127">
        <v>55185.57</v>
      </c>
      <c r="BI686" s="127">
        <v>6490</v>
      </c>
      <c r="BJ686" s="97" t="s">
        <v>608</v>
      </c>
      <c r="BK686" s="127">
        <v>55185.57</v>
      </c>
    </row>
    <row r="687" spans="2:63" x14ac:dyDescent="0.25">
      <c r="B687" s="121">
        <v>7</v>
      </c>
      <c r="C687" s="152" t="s">
        <v>609</v>
      </c>
      <c r="D687" s="123">
        <v>104404365.59</v>
      </c>
      <c r="E687" s="123">
        <v>105503267.42</v>
      </c>
      <c r="F687" s="123">
        <v>105467504.37</v>
      </c>
      <c r="G687" s="123">
        <v>106163664.48</v>
      </c>
      <c r="H687" s="123">
        <v>108651313.08</v>
      </c>
      <c r="I687" s="123">
        <v>106794733.54000001</v>
      </c>
      <c r="J687" s="123">
        <v>108448767.56999999</v>
      </c>
      <c r="K687" s="123">
        <v>108828468.06</v>
      </c>
      <c r="L687" s="123">
        <v>110954127.45</v>
      </c>
      <c r="M687" s="123">
        <v>111170395.14</v>
      </c>
      <c r="N687" s="123">
        <v>106262932.23</v>
      </c>
      <c r="O687" s="123">
        <v>106524231.88</v>
      </c>
      <c r="P687" s="123">
        <v>107485157.26000001</v>
      </c>
      <c r="Q687" s="123">
        <v>108140251.89</v>
      </c>
      <c r="R687" s="123">
        <v>105023394.83</v>
      </c>
      <c r="S687" s="123">
        <v>105533860.34999999</v>
      </c>
      <c r="T687" s="123">
        <v>105918518.48</v>
      </c>
      <c r="U687" s="123">
        <v>106180443.43000001</v>
      </c>
      <c r="V687" s="123">
        <v>104659445.83</v>
      </c>
      <c r="W687" s="123">
        <v>105371182.09</v>
      </c>
      <c r="X687" s="123">
        <v>106218893.48999999</v>
      </c>
      <c r="Y687" s="123">
        <v>106618686.83</v>
      </c>
      <c r="Z687" s="123">
        <v>108727010.09999999</v>
      </c>
      <c r="AA687" s="123">
        <v>107595708.36</v>
      </c>
      <c r="AB687" s="123">
        <v>109544435.33</v>
      </c>
      <c r="AC687" s="124">
        <v>109627350.31999999</v>
      </c>
      <c r="AD687" s="124">
        <v>110350211.19</v>
      </c>
      <c r="AE687" s="124">
        <v>111011105.61</v>
      </c>
      <c r="AF687" s="124">
        <v>112378532.34</v>
      </c>
      <c r="AG687" s="124">
        <v>113458734.55</v>
      </c>
      <c r="AH687" s="124">
        <v>114876813.67</v>
      </c>
      <c r="AI687" s="124">
        <v>115128156.33</v>
      </c>
      <c r="AJ687" s="124">
        <v>116808109.93000001</v>
      </c>
      <c r="AK687" s="124">
        <v>123935431.53</v>
      </c>
      <c r="AL687" s="124">
        <v>125075029.94</v>
      </c>
      <c r="AM687" s="124">
        <v>128006955.95</v>
      </c>
      <c r="AN687" s="124">
        <v>130147159.29000001</v>
      </c>
      <c r="AO687" s="125">
        <v>133005834.86</v>
      </c>
      <c r="AP687" s="125">
        <v>133937437.43000001</v>
      </c>
      <c r="AQ687" s="125">
        <v>135824809.34</v>
      </c>
      <c r="AR687" s="125">
        <v>135492058.12</v>
      </c>
      <c r="AS687" s="125">
        <v>136513224.94</v>
      </c>
      <c r="AT687" s="125">
        <v>137822623.46000001</v>
      </c>
      <c r="AU687" s="125">
        <v>139476808.49000001</v>
      </c>
      <c r="AV687" s="125">
        <v>139607639.09</v>
      </c>
      <c r="AW687" s="125">
        <v>140899230.18000001</v>
      </c>
      <c r="AX687" s="125">
        <v>133753765.27</v>
      </c>
      <c r="AY687" s="126"/>
      <c r="AZ687" s="126"/>
      <c r="BA687" s="126"/>
      <c r="BB687" s="126"/>
      <c r="BC687" s="126"/>
      <c r="BD687" s="126"/>
      <c r="BE687" s="126"/>
      <c r="BF687" s="157">
        <v>7</v>
      </c>
      <c r="BG687" s="97" t="s">
        <v>609</v>
      </c>
      <c r="BH687" s="127">
        <v>114876813.67</v>
      </c>
      <c r="BI687" s="127">
        <v>7</v>
      </c>
      <c r="BJ687" s="97" t="s">
        <v>609</v>
      </c>
      <c r="BK687" s="127">
        <v>115128156.33</v>
      </c>
    </row>
    <row r="688" spans="2:63" x14ac:dyDescent="0.25">
      <c r="B688" s="121">
        <v>71</v>
      </c>
      <c r="C688" s="152" t="s">
        <v>610</v>
      </c>
      <c r="D688" s="123">
        <v>57690505.32</v>
      </c>
      <c r="E688" s="123">
        <v>57869871.289999999</v>
      </c>
      <c r="F688" s="123">
        <v>58112316.560000002</v>
      </c>
      <c r="G688" s="123">
        <v>58125823.68</v>
      </c>
      <c r="H688" s="123">
        <v>58218306.539999999</v>
      </c>
      <c r="I688" s="123">
        <v>58333355.140000001</v>
      </c>
      <c r="J688" s="123">
        <v>58314496.109999999</v>
      </c>
      <c r="K688" s="123">
        <v>58483254.479999997</v>
      </c>
      <c r="L688" s="123">
        <v>58575215.899999999</v>
      </c>
      <c r="M688" s="123">
        <v>58658625.93</v>
      </c>
      <c r="N688" s="123">
        <v>53554071.68</v>
      </c>
      <c r="O688" s="123">
        <v>53615862.729999997</v>
      </c>
      <c r="P688" s="123">
        <v>53804270.200000003</v>
      </c>
      <c r="Q688" s="123">
        <v>54102084.939999998</v>
      </c>
      <c r="R688" s="123">
        <v>50271618.619999997</v>
      </c>
      <c r="S688" s="123">
        <v>50549182.640000001</v>
      </c>
      <c r="T688" s="123">
        <v>50803996.119999997</v>
      </c>
      <c r="U688" s="123">
        <v>50429285.350000001</v>
      </c>
      <c r="V688" s="123">
        <v>51104678.719999999</v>
      </c>
      <c r="W688" s="123">
        <v>51741755.590000004</v>
      </c>
      <c r="X688" s="123">
        <v>52331001.890000001</v>
      </c>
      <c r="Y688" s="123">
        <v>52903208.229999997</v>
      </c>
      <c r="Z688" s="123">
        <v>53624488.020000003</v>
      </c>
      <c r="AA688" s="123">
        <v>53900383.850000001</v>
      </c>
      <c r="AB688" s="123">
        <v>55116647.840000004</v>
      </c>
      <c r="AC688" s="124">
        <v>55619146</v>
      </c>
      <c r="AD688" s="124">
        <v>56094141.159999996</v>
      </c>
      <c r="AE688" s="124">
        <v>56630412.159999996</v>
      </c>
      <c r="AF688" s="124">
        <v>57213118.630000003</v>
      </c>
      <c r="AG688" s="124">
        <v>57788188.509999998</v>
      </c>
      <c r="AH688" s="124">
        <v>58377103.049999997</v>
      </c>
      <c r="AI688" s="124">
        <v>58524999.619999997</v>
      </c>
      <c r="AJ688" s="124">
        <v>59315859</v>
      </c>
      <c r="AK688" s="124">
        <v>60026943.799999997</v>
      </c>
      <c r="AL688" s="124">
        <v>60589259.299999997</v>
      </c>
      <c r="AM688" s="124">
        <v>63056761.060000002</v>
      </c>
      <c r="AN688" s="124">
        <v>65340442.119999997</v>
      </c>
      <c r="AO688" s="125">
        <v>66827397.359999999</v>
      </c>
      <c r="AP688" s="125">
        <v>67976610.019999996</v>
      </c>
      <c r="AQ688" s="125">
        <v>69528844.099999994</v>
      </c>
      <c r="AR688" s="125">
        <v>69952643.010000005</v>
      </c>
      <c r="AS688" s="125">
        <v>70956813</v>
      </c>
      <c r="AT688" s="125">
        <v>71360226.599999994</v>
      </c>
      <c r="AU688" s="125">
        <v>72924661.060000002</v>
      </c>
      <c r="AV688" s="125">
        <v>72994853.769999996</v>
      </c>
      <c r="AW688" s="125">
        <v>72933380.920000002</v>
      </c>
      <c r="AX688" s="125">
        <v>66233411.759999998</v>
      </c>
      <c r="AY688" s="126"/>
      <c r="AZ688" s="126"/>
      <c r="BA688" s="126"/>
      <c r="BB688" s="126"/>
      <c r="BC688" s="126"/>
      <c r="BD688" s="126"/>
      <c r="BE688" s="126"/>
      <c r="BF688" s="157">
        <v>71</v>
      </c>
      <c r="BG688" s="97" t="s">
        <v>610</v>
      </c>
      <c r="BH688" s="127">
        <v>58377103.049999997</v>
      </c>
      <c r="BI688" s="127">
        <v>71</v>
      </c>
      <c r="BJ688" s="97" t="s">
        <v>610</v>
      </c>
      <c r="BK688" s="127">
        <v>58524999.619999997</v>
      </c>
    </row>
    <row r="689" spans="2:63" x14ac:dyDescent="0.25">
      <c r="B689" s="121">
        <v>7101</v>
      </c>
      <c r="C689" s="152" t="s">
        <v>611</v>
      </c>
      <c r="D689" s="123">
        <v>322418.01</v>
      </c>
      <c r="E689" s="123">
        <v>322418.01</v>
      </c>
      <c r="F689" s="123">
        <v>322418.01</v>
      </c>
      <c r="G689" s="123">
        <v>322418.01</v>
      </c>
      <c r="H689" s="123">
        <v>322418.01</v>
      </c>
      <c r="I689" s="123">
        <v>322418.01</v>
      </c>
      <c r="J689" s="123">
        <v>322418.01</v>
      </c>
      <c r="K689" s="123">
        <v>322418.01</v>
      </c>
      <c r="L689" s="123">
        <v>322418.01</v>
      </c>
      <c r="M689" s="123">
        <v>322418.01</v>
      </c>
      <c r="N689" s="123">
        <v>322418.01</v>
      </c>
      <c r="O689" s="123">
        <v>322418.01</v>
      </c>
      <c r="P689" s="123">
        <v>322418.01</v>
      </c>
      <c r="Q689" s="123">
        <v>322418.01</v>
      </c>
      <c r="R689" s="123">
        <v>322418.01</v>
      </c>
      <c r="S689" s="123">
        <v>322418.01</v>
      </c>
      <c r="T689" s="123">
        <v>322418.01</v>
      </c>
      <c r="U689" s="123">
        <v>322418.01</v>
      </c>
      <c r="V689" s="123">
        <v>322418.01</v>
      </c>
      <c r="W689" s="123">
        <v>322418.01</v>
      </c>
      <c r="X689" s="123">
        <v>322418.01</v>
      </c>
      <c r="Y689" s="123">
        <v>322418.01</v>
      </c>
      <c r="Z689" s="123">
        <v>322418.01</v>
      </c>
      <c r="AA689" s="123">
        <v>322418.01</v>
      </c>
      <c r="AB689" s="123">
        <v>322418.01</v>
      </c>
      <c r="AC689" s="124">
        <v>322418.01</v>
      </c>
      <c r="AD689" s="124">
        <v>322418.01</v>
      </c>
      <c r="AE689" s="124">
        <v>322418.01</v>
      </c>
      <c r="AF689" s="124">
        <v>322418.01</v>
      </c>
      <c r="AG689" s="124">
        <v>322418.01</v>
      </c>
      <c r="AH689" s="124">
        <v>322418.01</v>
      </c>
      <c r="AI689" s="124">
        <v>322418.01</v>
      </c>
      <c r="AJ689" s="124">
        <v>322418.01</v>
      </c>
      <c r="AK689" s="124">
        <v>322418.01</v>
      </c>
      <c r="AL689" s="124">
        <v>322418.01</v>
      </c>
      <c r="AM689" s="124">
        <v>322418.01</v>
      </c>
      <c r="AN689" s="124">
        <v>322418.01</v>
      </c>
      <c r="AO689" s="125">
        <v>322418.01</v>
      </c>
      <c r="AP689" s="125">
        <v>322418.01</v>
      </c>
      <c r="AQ689" s="125">
        <v>322418.01</v>
      </c>
      <c r="AR689" s="125">
        <v>322418.01</v>
      </c>
      <c r="AS689" s="125">
        <v>322418.01</v>
      </c>
      <c r="AT689" s="125">
        <v>322418.01</v>
      </c>
      <c r="AU689" s="125">
        <v>322418.01</v>
      </c>
      <c r="AV689" s="125">
        <v>322418.01</v>
      </c>
      <c r="AW689" s="125">
        <v>322418.01</v>
      </c>
      <c r="AX689" s="125">
        <v>0</v>
      </c>
      <c r="AY689" s="126"/>
      <c r="AZ689" s="126"/>
      <c r="BA689" s="126"/>
      <c r="BB689" s="126"/>
      <c r="BC689" s="126"/>
      <c r="BD689" s="126"/>
      <c r="BE689" s="126"/>
      <c r="BF689" s="157">
        <v>7101</v>
      </c>
      <c r="BG689" s="97" t="s">
        <v>611</v>
      </c>
      <c r="BH689" s="127">
        <v>322418.01</v>
      </c>
      <c r="BI689" s="127">
        <v>7101</v>
      </c>
      <c r="BJ689" s="97" t="s">
        <v>611</v>
      </c>
      <c r="BK689" s="127">
        <v>322418.01</v>
      </c>
    </row>
    <row r="690" spans="2:63" x14ac:dyDescent="0.25">
      <c r="B690" s="121">
        <v>710110</v>
      </c>
      <c r="C690" s="152" t="s">
        <v>612</v>
      </c>
      <c r="D690" s="123">
        <v>73.400000000000006</v>
      </c>
      <c r="E690" s="123">
        <v>73.400000000000006</v>
      </c>
      <c r="F690" s="123">
        <v>73.400000000000006</v>
      </c>
      <c r="G690" s="123">
        <v>73.400000000000006</v>
      </c>
      <c r="H690" s="123">
        <v>73.400000000000006</v>
      </c>
      <c r="I690" s="123">
        <v>73.400000000000006</v>
      </c>
      <c r="J690" s="123">
        <v>73.400000000000006</v>
      </c>
      <c r="K690" s="123">
        <v>73.400000000000006</v>
      </c>
      <c r="L690" s="123">
        <v>73.400000000000006</v>
      </c>
      <c r="M690" s="123">
        <v>73.400000000000006</v>
      </c>
      <c r="N690" s="123">
        <v>73.400000000000006</v>
      </c>
      <c r="O690" s="123">
        <v>73.400000000000006</v>
      </c>
      <c r="P690" s="123">
        <v>73.400000000000006</v>
      </c>
      <c r="Q690" s="123">
        <v>73.400000000000006</v>
      </c>
      <c r="R690" s="123">
        <v>73.400000000000006</v>
      </c>
      <c r="S690" s="123">
        <v>73.400000000000006</v>
      </c>
      <c r="T690" s="123">
        <v>73.400000000000006</v>
      </c>
      <c r="U690" s="123">
        <v>73.400000000000006</v>
      </c>
      <c r="V690" s="123">
        <v>73.400000000000006</v>
      </c>
      <c r="W690" s="123">
        <v>73.400000000000006</v>
      </c>
      <c r="X690" s="123">
        <v>73.400000000000006</v>
      </c>
      <c r="Y690" s="123">
        <v>73.400000000000006</v>
      </c>
      <c r="Z690" s="123">
        <v>73.400000000000006</v>
      </c>
      <c r="AA690" s="123">
        <v>73.400000000000006</v>
      </c>
      <c r="AB690" s="123">
        <v>73.400000000000006</v>
      </c>
      <c r="AC690" s="124">
        <v>73.400000000000006</v>
      </c>
      <c r="AD690" s="124">
        <v>73.400000000000006</v>
      </c>
      <c r="AE690" s="124">
        <v>73.400000000000006</v>
      </c>
      <c r="AF690" s="124">
        <v>73.400000000000006</v>
      </c>
      <c r="AG690" s="124">
        <v>73.400000000000006</v>
      </c>
      <c r="AH690" s="124">
        <v>73.400000000000006</v>
      </c>
      <c r="AI690" s="124">
        <v>73.400000000000006</v>
      </c>
      <c r="AJ690" s="124">
        <v>73.400000000000006</v>
      </c>
      <c r="AK690" s="124">
        <v>73.400000000000006</v>
      </c>
      <c r="AL690" s="124">
        <v>73.400000000000006</v>
      </c>
      <c r="AM690" s="124">
        <v>73.400000000000006</v>
      </c>
      <c r="AN690" s="124">
        <v>73.400000000000006</v>
      </c>
      <c r="AO690" s="125">
        <v>73.400000000000006</v>
      </c>
      <c r="AP690" s="125">
        <v>73.400000000000006</v>
      </c>
      <c r="AQ690" s="125">
        <v>73.400000000000006</v>
      </c>
      <c r="AR690" s="125">
        <v>73.400000000000006</v>
      </c>
      <c r="AS690" s="125">
        <v>73.400000000000006</v>
      </c>
      <c r="AT690" s="125">
        <v>73.400000000000006</v>
      </c>
      <c r="AU690" s="125">
        <v>73.400000000000006</v>
      </c>
      <c r="AV690" s="125">
        <v>73.400000000000006</v>
      </c>
      <c r="AW690" s="125">
        <v>73.400000000000006</v>
      </c>
      <c r="AX690" s="125">
        <v>0</v>
      </c>
      <c r="AY690" s="126"/>
      <c r="AZ690" s="126"/>
      <c r="BA690" s="126"/>
      <c r="BB690" s="126"/>
      <c r="BC690" s="126"/>
      <c r="BD690" s="126"/>
      <c r="BE690" s="126"/>
      <c r="BF690" s="157">
        <v>710110</v>
      </c>
      <c r="BG690" s="97" t="s">
        <v>612</v>
      </c>
      <c r="BH690" s="127">
        <v>73.400000000000006</v>
      </c>
      <c r="BI690" s="127">
        <v>710110</v>
      </c>
      <c r="BJ690" s="97" t="s">
        <v>612</v>
      </c>
      <c r="BK690" s="127">
        <v>73.400000000000006</v>
      </c>
    </row>
    <row r="691" spans="2:63" x14ac:dyDescent="0.25">
      <c r="B691" s="121">
        <v>710115</v>
      </c>
      <c r="C691" s="152" t="s">
        <v>613</v>
      </c>
      <c r="D691" s="123">
        <v>322344.61</v>
      </c>
      <c r="E691" s="123">
        <v>322344.61</v>
      </c>
      <c r="F691" s="123">
        <v>322344.61</v>
      </c>
      <c r="G691" s="123">
        <v>322344.61</v>
      </c>
      <c r="H691" s="123">
        <v>322344.61</v>
      </c>
      <c r="I691" s="123">
        <v>322344.61</v>
      </c>
      <c r="J691" s="123">
        <v>322344.61</v>
      </c>
      <c r="K691" s="123">
        <v>322344.61</v>
      </c>
      <c r="L691" s="123">
        <v>322344.61</v>
      </c>
      <c r="M691" s="123">
        <v>322344.61</v>
      </c>
      <c r="N691" s="123">
        <v>322344.61</v>
      </c>
      <c r="O691" s="123">
        <v>322344.61</v>
      </c>
      <c r="P691" s="123">
        <v>322344.61</v>
      </c>
      <c r="Q691" s="123">
        <v>322344.61</v>
      </c>
      <c r="R691" s="123">
        <v>322344.61</v>
      </c>
      <c r="S691" s="123">
        <v>322344.61</v>
      </c>
      <c r="T691" s="123">
        <v>322344.61</v>
      </c>
      <c r="U691" s="123">
        <v>322344.61</v>
      </c>
      <c r="V691" s="123">
        <v>322344.61</v>
      </c>
      <c r="W691" s="123">
        <v>322344.61</v>
      </c>
      <c r="X691" s="123">
        <v>322344.61</v>
      </c>
      <c r="Y691" s="123">
        <v>322344.61</v>
      </c>
      <c r="Z691" s="123">
        <v>322344.61</v>
      </c>
      <c r="AA691" s="123">
        <v>322344.61</v>
      </c>
      <c r="AB691" s="123">
        <v>322344.61</v>
      </c>
      <c r="AC691" s="124">
        <v>322344.61</v>
      </c>
      <c r="AD691" s="124">
        <v>322344.61</v>
      </c>
      <c r="AE691" s="124">
        <v>322344.61</v>
      </c>
      <c r="AF691" s="124">
        <v>322344.61</v>
      </c>
      <c r="AG691" s="124">
        <v>322344.61</v>
      </c>
      <c r="AH691" s="124">
        <v>322344.61</v>
      </c>
      <c r="AI691" s="124">
        <v>322344.61</v>
      </c>
      <c r="AJ691" s="124">
        <v>322344.61</v>
      </c>
      <c r="AK691" s="124">
        <v>322344.61</v>
      </c>
      <c r="AL691" s="124">
        <v>322344.61</v>
      </c>
      <c r="AM691" s="124">
        <v>322344.61</v>
      </c>
      <c r="AN691" s="124">
        <v>322344.61</v>
      </c>
      <c r="AO691" s="125">
        <v>322344.61</v>
      </c>
      <c r="AP691" s="125">
        <v>322344.61</v>
      </c>
      <c r="AQ691" s="125">
        <v>322344.61</v>
      </c>
      <c r="AR691" s="125">
        <v>322344.61</v>
      </c>
      <c r="AS691" s="125">
        <v>322344.61</v>
      </c>
      <c r="AT691" s="125">
        <v>322344.61</v>
      </c>
      <c r="AU691" s="125">
        <v>322344.61</v>
      </c>
      <c r="AV691" s="125">
        <v>322344.61</v>
      </c>
      <c r="AW691" s="125">
        <v>322344.61</v>
      </c>
      <c r="AX691" s="125">
        <v>0</v>
      </c>
      <c r="AY691" s="126"/>
      <c r="AZ691" s="126"/>
      <c r="BA691" s="126"/>
      <c r="BB691" s="126"/>
      <c r="BC691" s="126"/>
      <c r="BD691" s="126"/>
      <c r="BE691" s="126"/>
      <c r="BF691" s="157">
        <v>710115</v>
      </c>
      <c r="BG691" s="97" t="s">
        <v>613</v>
      </c>
      <c r="BH691" s="127">
        <v>322344.61</v>
      </c>
      <c r="BI691" s="127">
        <v>710115</v>
      </c>
      <c r="BJ691" s="97" t="s">
        <v>613</v>
      </c>
      <c r="BK691" s="127">
        <v>322344.61</v>
      </c>
    </row>
    <row r="692" spans="2:63" x14ac:dyDescent="0.25">
      <c r="B692" s="121">
        <v>7102</v>
      </c>
      <c r="C692" s="152" t="s">
        <v>614</v>
      </c>
      <c r="D692" s="123">
        <v>5066237.75</v>
      </c>
      <c r="E692" s="123">
        <v>5066237.75</v>
      </c>
      <c r="F692" s="123">
        <v>5066237.75</v>
      </c>
      <c r="G692" s="123">
        <v>5066237.75</v>
      </c>
      <c r="H692" s="123">
        <v>5066237.75</v>
      </c>
      <c r="I692" s="123">
        <v>5066237.75</v>
      </c>
      <c r="J692" s="123">
        <v>5066237.75</v>
      </c>
      <c r="K692" s="123">
        <v>5066237.75</v>
      </c>
      <c r="L692" s="123">
        <v>5066237.75</v>
      </c>
      <c r="M692" s="123">
        <v>5066237.75</v>
      </c>
      <c r="N692" s="123">
        <v>5066237.75</v>
      </c>
      <c r="O692" s="123">
        <v>5066237.75</v>
      </c>
      <c r="P692" s="123">
        <v>5066237.75</v>
      </c>
      <c r="Q692" s="123">
        <v>5066237.75</v>
      </c>
      <c r="R692" s="123">
        <v>5066237.75</v>
      </c>
      <c r="S692" s="123">
        <v>5066237.75</v>
      </c>
      <c r="T692" s="123">
        <v>5066237.75</v>
      </c>
      <c r="U692" s="123">
        <v>5066237.75</v>
      </c>
      <c r="V692" s="123">
        <v>5066237.75</v>
      </c>
      <c r="W692" s="123">
        <v>5066237.75</v>
      </c>
      <c r="X692" s="123">
        <v>5066237.75</v>
      </c>
      <c r="Y692" s="123">
        <v>5066237.75</v>
      </c>
      <c r="Z692" s="123">
        <v>5066237.75</v>
      </c>
      <c r="AA692" s="123">
        <v>5066237.75</v>
      </c>
      <c r="AB692" s="123">
        <v>5066237.75</v>
      </c>
      <c r="AC692" s="124">
        <v>5066237.75</v>
      </c>
      <c r="AD692" s="124">
        <v>5066237.75</v>
      </c>
      <c r="AE692" s="124">
        <v>5066237.75</v>
      </c>
      <c r="AF692" s="124">
        <v>5066237.75</v>
      </c>
      <c r="AG692" s="124">
        <v>5066237.75</v>
      </c>
      <c r="AH692" s="124">
        <v>5066237.75</v>
      </c>
      <c r="AI692" s="124">
        <v>5066237.75</v>
      </c>
      <c r="AJ692" s="124">
        <v>5066237.75</v>
      </c>
      <c r="AK692" s="124">
        <v>5066237.75</v>
      </c>
      <c r="AL692" s="124">
        <v>5066237.75</v>
      </c>
      <c r="AM692" s="124">
        <v>5066237.75</v>
      </c>
      <c r="AN692" s="124">
        <v>5066237.75</v>
      </c>
      <c r="AO692" s="125">
        <v>5066237.75</v>
      </c>
      <c r="AP692" s="125">
        <v>5066237.75</v>
      </c>
      <c r="AQ692" s="125">
        <v>5066237.75</v>
      </c>
      <c r="AR692" s="125">
        <v>5066237.75</v>
      </c>
      <c r="AS692" s="125">
        <v>5066237.75</v>
      </c>
      <c r="AT692" s="125">
        <v>5066237.75</v>
      </c>
      <c r="AU692" s="125">
        <v>5066237.75</v>
      </c>
      <c r="AV692" s="125">
        <v>5066237.75</v>
      </c>
      <c r="AW692" s="125">
        <v>5066237.75</v>
      </c>
      <c r="AX692" s="125">
        <v>0</v>
      </c>
      <c r="AY692" s="126"/>
      <c r="AZ692" s="126"/>
      <c r="BA692" s="126"/>
      <c r="BB692" s="126"/>
      <c r="BC692" s="126"/>
      <c r="BD692" s="126"/>
      <c r="BE692" s="126"/>
      <c r="BF692" s="157">
        <v>7102</v>
      </c>
      <c r="BG692" s="97" t="s">
        <v>614</v>
      </c>
      <c r="BH692" s="127">
        <v>5066237.75</v>
      </c>
      <c r="BI692" s="127">
        <v>7102</v>
      </c>
      <c r="BJ692" s="97" t="s">
        <v>614</v>
      </c>
      <c r="BK692" s="127">
        <v>5066237.75</v>
      </c>
    </row>
    <row r="693" spans="2:63" x14ac:dyDescent="0.25">
      <c r="B693" s="121">
        <v>710225</v>
      </c>
      <c r="C693" s="152" t="s">
        <v>192</v>
      </c>
      <c r="D693" s="123">
        <v>5066237.75</v>
      </c>
      <c r="E693" s="123">
        <v>5066237.75</v>
      </c>
      <c r="F693" s="123">
        <v>5066237.75</v>
      </c>
      <c r="G693" s="123">
        <v>5066237.75</v>
      </c>
      <c r="H693" s="123">
        <v>5066237.75</v>
      </c>
      <c r="I693" s="123">
        <v>5066237.75</v>
      </c>
      <c r="J693" s="123">
        <v>5066237.75</v>
      </c>
      <c r="K693" s="123">
        <v>5066237.75</v>
      </c>
      <c r="L693" s="123">
        <v>5066237.75</v>
      </c>
      <c r="M693" s="123">
        <v>5066237.75</v>
      </c>
      <c r="N693" s="123">
        <v>5066237.75</v>
      </c>
      <c r="O693" s="123">
        <v>5066237.75</v>
      </c>
      <c r="P693" s="123">
        <v>5066237.75</v>
      </c>
      <c r="Q693" s="123">
        <v>5066237.75</v>
      </c>
      <c r="R693" s="123">
        <v>5066237.75</v>
      </c>
      <c r="S693" s="123">
        <v>5066237.75</v>
      </c>
      <c r="T693" s="123">
        <v>5066237.75</v>
      </c>
      <c r="U693" s="123">
        <v>5066237.75</v>
      </c>
      <c r="V693" s="123">
        <v>5066237.75</v>
      </c>
      <c r="W693" s="123">
        <v>5066237.75</v>
      </c>
      <c r="X693" s="123">
        <v>5066237.75</v>
      </c>
      <c r="Y693" s="123">
        <v>5066237.75</v>
      </c>
      <c r="Z693" s="123">
        <v>5066237.75</v>
      </c>
      <c r="AA693" s="123">
        <v>5066237.75</v>
      </c>
      <c r="AB693" s="123">
        <v>5066237.75</v>
      </c>
      <c r="AC693" s="124">
        <v>5066237.75</v>
      </c>
      <c r="AD693" s="124">
        <v>5066237.75</v>
      </c>
      <c r="AE693" s="124">
        <v>5066237.75</v>
      </c>
      <c r="AF693" s="124">
        <v>5066237.75</v>
      </c>
      <c r="AG693" s="124">
        <v>5066237.75</v>
      </c>
      <c r="AH693" s="124">
        <v>5066237.75</v>
      </c>
      <c r="AI693" s="124">
        <v>5066237.75</v>
      </c>
      <c r="AJ693" s="124">
        <v>5066237.75</v>
      </c>
      <c r="AK693" s="124">
        <v>5066237.75</v>
      </c>
      <c r="AL693" s="124">
        <v>5066237.75</v>
      </c>
      <c r="AM693" s="124">
        <v>5066237.75</v>
      </c>
      <c r="AN693" s="124">
        <v>5066237.75</v>
      </c>
      <c r="AO693" s="125">
        <v>5066237.75</v>
      </c>
      <c r="AP693" s="125">
        <v>5066237.75</v>
      </c>
      <c r="AQ693" s="125">
        <v>5066237.75</v>
      </c>
      <c r="AR693" s="125">
        <v>5066237.75</v>
      </c>
      <c r="AS693" s="125">
        <v>5066237.75</v>
      </c>
      <c r="AT693" s="125">
        <v>5066237.75</v>
      </c>
      <c r="AU693" s="125">
        <v>5066237.75</v>
      </c>
      <c r="AV693" s="125">
        <v>5066237.75</v>
      </c>
      <c r="AW693" s="125">
        <v>5066237.75</v>
      </c>
      <c r="AX693" s="125">
        <v>0</v>
      </c>
      <c r="AY693" s="126"/>
      <c r="AZ693" s="126"/>
      <c r="BA693" s="126"/>
      <c r="BB693" s="126"/>
      <c r="BC693" s="126"/>
      <c r="BD693" s="126"/>
      <c r="BE693" s="126"/>
      <c r="BF693" s="157">
        <v>710225</v>
      </c>
      <c r="BG693" s="97" t="s">
        <v>192</v>
      </c>
      <c r="BH693" s="127">
        <v>5066237.75</v>
      </c>
      <c r="BI693" s="127">
        <v>710225</v>
      </c>
      <c r="BJ693" s="97" t="s">
        <v>192</v>
      </c>
      <c r="BK693" s="127">
        <v>5066237.75</v>
      </c>
    </row>
    <row r="694" spans="2:63" x14ac:dyDescent="0.25">
      <c r="B694" s="121">
        <v>7103</v>
      </c>
      <c r="C694" s="152" t="s">
        <v>615</v>
      </c>
      <c r="D694" s="123">
        <v>11239621.85</v>
      </c>
      <c r="E694" s="123">
        <v>11281060.52</v>
      </c>
      <c r="F694" s="123">
        <v>11384314.35</v>
      </c>
      <c r="G694" s="123">
        <v>11391116.789999999</v>
      </c>
      <c r="H694" s="123">
        <v>11352412.51</v>
      </c>
      <c r="I694" s="123">
        <v>11333021.449999999</v>
      </c>
      <c r="J694" s="123">
        <v>11340889.51</v>
      </c>
      <c r="K694" s="123">
        <v>11364690.619999999</v>
      </c>
      <c r="L694" s="123">
        <v>11334154.17</v>
      </c>
      <c r="M694" s="123">
        <v>11258774.369999999</v>
      </c>
      <c r="N694" s="123">
        <v>11234368.890000001</v>
      </c>
      <c r="O694" s="123">
        <v>11197812.17</v>
      </c>
      <c r="P694" s="123">
        <v>11198370.76</v>
      </c>
      <c r="Q694" s="123">
        <v>11186732.220000001</v>
      </c>
      <c r="R694" s="123">
        <v>11159683.630000001</v>
      </c>
      <c r="S694" s="123">
        <v>11165297.550000001</v>
      </c>
      <c r="T694" s="123">
        <v>11155404.83</v>
      </c>
      <c r="U694" s="123">
        <v>11128771.810000001</v>
      </c>
      <c r="V694" s="123">
        <v>11122158.630000001</v>
      </c>
      <c r="W694" s="123">
        <v>11096193.789999999</v>
      </c>
      <c r="X694" s="123">
        <v>11084959.15</v>
      </c>
      <c r="Y694" s="123">
        <v>11053035.5</v>
      </c>
      <c r="Z694" s="123">
        <v>11083261.32</v>
      </c>
      <c r="AA694" s="123">
        <v>11076835.6</v>
      </c>
      <c r="AB694" s="123">
        <v>11104570.810000001</v>
      </c>
      <c r="AC694" s="124">
        <v>11048071.050000001</v>
      </c>
      <c r="AD694" s="124">
        <v>11035234.24</v>
      </c>
      <c r="AE694" s="124">
        <v>11051662.1</v>
      </c>
      <c r="AF694" s="124">
        <v>11042917.32</v>
      </c>
      <c r="AG694" s="124">
        <v>11031781.58</v>
      </c>
      <c r="AH694" s="124">
        <v>11031495.42</v>
      </c>
      <c r="AI694" s="124">
        <v>10983991.68</v>
      </c>
      <c r="AJ694" s="124">
        <v>10975736.789999999</v>
      </c>
      <c r="AK694" s="124">
        <v>11012986.26</v>
      </c>
      <c r="AL694" s="124">
        <v>11079869.369999999</v>
      </c>
      <c r="AM694" s="124">
        <v>11077486.859999999</v>
      </c>
      <c r="AN694" s="124">
        <v>11137972.66</v>
      </c>
      <c r="AO694" s="125">
        <v>11119419.67</v>
      </c>
      <c r="AP694" s="125">
        <v>10955087.66</v>
      </c>
      <c r="AQ694" s="125">
        <v>10923970.16</v>
      </c>
      <c r="AR694" s="125">
        <v>10900303.52</v>
      </c>
      <c r="AS694" s="125">
        <v>10856155.16</v>
      </c>
      <c r="AT694" s="125">
        <v>10851678.890000001</v>
      </c>
      <c r="AU694" s="125">
        <v>10814944.210000001</v>
      </c>
      <c r="AV694" s="125">
        <v>10813961.41</v>
      </c>
      <c r="AW694" s="125">
        <v>10805441</v>
      </c>
      <c r="AX694" s="125">
        <v>10510897.859999999</v>
      </c>
      <c r="AY694" s="126"/>
      <c r="AZ694" s="126"/>
      <c r="BA694" s="126"/>
      <c r="BB694" s="126"/>
      <c r="BC694" s="126"/>
      <c r="BD694" s="126"/>
      <c r="BE694" s="126"/>
      <c r="BF694" s="157">
        <v>7103</v>
      </c>
      <c r="BG694" s="97" t="s">
        <v>615</v>
      </c>
      <c r="BH694" s="127">
        <v>11031495.42</v>
      </c>
      <c r="BI694" s="127">
        <v>7103</v>
      </c>
      <c r="BJ694" s="97" t="s">
        <v>615</v>
      </c>
      <c r="BK694" s="127">
        <v>10983991.68</v>
      </c>
    </row>
    <row r="695" spans="2:63" x14ac:dyDescent="0.25">
      <c r="B695" s="121">
        <v>710305</v>
      </c>
      <c r="C695" s="152" t="s">
        <v>258</v>
      </c>
      <c r="D695" s="123">
        <v>247.5</v>
      </c>
      <c r="E695" s="123">
        <v>247.5</v>
      </c>
      <c r="F695" s="123">
        <v>247.5</v>
      </c>
      <c r="G695" s="123">
        <v>247.5</v>
      </c>
      <c r="H695" s="123">
        <v>247.5</v>
      </c>
      <c r="I695" s="123">
        <v>247.5</v>
      </c>
      <c r="J695" s="123">
        <v>247.5</v>
      </c>
      <c r="K695" s="123">
        <v>247.5</v>
      </c>
      <c r="L695" s="123">
        <v>247.5</v>
      </c>
      <c r="M695" s="123">
        <v>247.5</v>
      </c>
      <c r="N695" s="123">
        <v>247.5</v>
      </c>
      <c r="O695" s="123">
        <v>247.5</v>
      </c>
      <c r="P695" s="123">
        <v>247.5</v>
      </c>
      <c r="Q695" s="123">
        <v>247.5</v>
      </c>
      <c r="R695" s="123">
        <v>247.5</v>
      </c>
      <c r="S695" s="123">
        <v>247.5</v>
      </c>
      <c r="T695" s="123">
        <v>247.5</v>
      </c>
      <c r="U695" s="123">
        <v>247.5</v>
      </c>
      <c r="V695" s="123">
        <v>247.5</v>
      </c>
      <c r="W695" s="123">
        <v>247.5</v>
      </c>
      <c r="X695" s="123">
        <v>247.5</v>
      </c>
      <c r="Y695" s="123">
        <v>247.5</v>
      </c>
      <c r="Z695" s="123">
        <v>247.5</v>
      </c>
      <c r="AA695" s="123">
        <v>247.5</v>
      </c>
      <c r="AB695" s="123">
        <v>247.5</v>
      </c>
      <c r="AC695" s="124">
        <v>247.5</v>
      </c>
      <c r="AD695" s="124">
        <v>247.5</v>
      </c>
      <c r="AE695" s="124">
        <v>247.5</v>
      </c>
      <c r="AF695" s="124">
        <v>247.5</v>
      </c>
      <c r="AG695" s="124">
        <v>247.5</v>
      </c>
      <c r="AH695" s="124">
        <v>247.5</v>
      </c>
      <c r="AI695" s="124">
        <v>247.5</v>
      </c>
      <c r="AJ695" s="124">
        <v>247.5</v>
      </c>
      <c r="AK695" s="124">
        <v>247.5</v>
      </c>
      <c r="AL695" s="124">
        <v>247.5</v>
      </c>
      <c r="AM695" s="124">
        <v>247.5</v>
      </c>
      <c r="AN695" s="124">
        <v>247.5</v>
      </c>
      <c r="AO695" s="125">
        <v>247.5</v>
      </c>
      <c r="AP695" s="125">
        <v>247.5</v>
      </c>
      <c r="AQ695" s="125">
        <v>247.5</v>
      </c>
      <c r="AR695" s="125">
        <v>247.5</v>
      </c>
      <c r="AS695" s="125">
        <v>247.5</v>
      </c>
      <c r="AT695" s="125">
        <v>247.5</v>
      </c>
      <c r="AU695" s="125">
        <v>247.5</v>
      </c>
      <c r="AV695" s="125">
        <v>247.5</v>
      </c>
      <c r="AW695" s="125">
        <v>247.5</v>
      </c>
      <c r="AX695" s="125">
        <v>247.5</v>
      </c>
      <c r="AY695" s="126"/>
      <c r="AZ695" s="126"/>
      <c r="BA695" s="126"/>
      <c r="BB695" s="126"/>
      <c r="BC695" s="126"/>
      <c r="BD695" s="126"/>
      <c r="BE695" s="126"/>
      <c r="BF695" s="157">
        <v>710305</v>
      </c>
      <c r="BG695" s="97" t="s">
        <v>258</v>
      </c>
      <c r="BH695" s="127">
        <v>247.5</v>
      </c>
      <c r="BI695" s="120">
        <v>710305</v>
      </c>
      <c r="BJ695" s="113" t="s">
        <v>258</v>
      </c>
      <c r="BK695" s="120">
        <v>247.5</v>
      </c>
    </row>
    <row r="696" spans="2:63" x14ac:dyDescent="0.25">
      <c r="B696" s="121">
        <v>710310</v>
      </c>
      <c r="C696" s="152" t="s">
        <v>443</v>
      </c>
      <c r="D696" s="123">
        <v>10422733.890000001</v>
      </c>
      <c r="E696" s="123">
        <v>10466896.52</v>
      </c>
      <c r="F696" s="123">
        <v>10571961</v>
      </c>
      <c r="G696" s="123">
        <v>10544405.279999999</v>
      </c>
      <c r="H696" s="123">
        <v>10506299.369999999</v>
      </c>
      <c r="I696" s="123">
        <v>10487919.609999999</v>
      </c>
      <c r="J696" s="123">
        <v>10497759.27</v>
      </c>
      <c r="K696" s="123">
        <v>10522184.65</v>
      </c>
      <c r="L696" s="123">
        <v>10492020.460000001</v>
      </c>
      <c r="M696" s="123">
        <v>10487761</v>
      </c>
      <c r="N696" s="123">
        <v>10463543.09</v>
      </c>
      <c r="O696" s="123">
        <v>10431817.68</v>
      </c>
      <c r="P696" s="123">
        <v>10405999.74</v>
      </c>
      <c r="Q696" s="123">
        <v>10395214.32</v>
      </c>
      <c r="R696" s="123">
        <v>10375656.01</v>
      </c>
      <c r="S696" s="123">
        <v>10344123.970000001</v>
      </c>
      <c r="T696" s="123">
        <v>10334646.51</v>
      </c>
      <c r="U696" s="123">
        <v>10308122.26</v>
      </c>
      <c r="V696" s="123">
        <v>10290741.09</v>
      </c>
      <c r="W696" s="123">
        <v>10265047.619999999</v>
      </c>
      <c r="X696" s="123">
        <v>10254101.92</v>
      </c>
      <c r="Y696" s="123">
        <v>10222281.33</v>
      </c>
      <c r="Z696" s="123">
        <v>10252672.449999999</v>
      </c>
      <c r="AA696" s="123">
        <v>10246464.16</v>
      </c>
      <c r="AB696" s="123">
        <v>10234214.380000001</v>
      </c>
      <c r="AC696" s="124">
        <v>10209399.630000001</v>
      </c>
      <c r="AD696" s="124">
        <v>10200817.560000001</v>
      </c>
      <c r="AE696" s="124">
        <v>10198309.74</v>
      </c>
      <c r="AF696" s="124">
        <v>10189578.369999999</v>
      </c>
      <c r="AG696" s="124">
        <v>10178593.359999999</v>
      </c>
      <c r="AH696" s="124">
        <v>10162900.52</v>
      </c>
      <c r="AI696" s="124">
        <v>10120481.68</v>
      </c>
      <c r="AJ696" s="124">
        <v>10116047.439999999</v>
      </c>
      <c r="AK696" s="124">
        <v>10139320.67</v>
      </c>
      <c r="AL696" s="124">
        <v>10208681.039999999</v>
      </c>
      <c r="AM696" s="124">
        <v>10206894.720000001</v>
      </c>
      <c r="AN696" s="124">
        <v>10192364.17</v>
      </c>
      <c r="AO696" s="125">
        <v>10177859.52</v>
      </c>
      <c r="AP696" s="125">
        <v>10013925.33</v>
      </c>
      <c r="AQ696" s="125">
        <v>9998665.1300000008</v>
      </c>
      <c r="AR696" s="125">
        <v>9975077.2899999991</v>
      </c>
      <c r="AS696" s="125">
        <v>9951678.9000000004</v>
      </c>
      <c r="AT696" s="125">
        <v>9947213.8300000001</v>
      </c>
      <c r="AU696" s="125">
        <v>9913565.6699999999</v>
      </c>
      <c r="AV696" s="125">
        <v>9912583.2400000002</v>
      </c>
      <c r="AW696" s="125">
        <v>9905270.1199999992</v>
      </c>
      <c r="AX696" s="125">
        <v>9692085.6999999993</v>
      </c>
      <c r="AY696" s="126"/>
      <c r="AZ696" s="126"/>
      <c r="BA696" s="126"/>
      <c r="BB696" s="126"/>
      <c r="BC696" s="126"/>
      <c r="BD696" s="126"/>
      <c r="BE696" s="126"/>
      <c r="BF696" s="157">
        <v>710310</v>
      </c>
      <c r="BG696" s="97" t="s">
        <v>443</v>
      </c>
      <c r="BH696" s="127">
        <v>10162900.52</v>
      </c>
      <c r="BI696" s="127">
        <v>710310</v>
      </c>
      <c r="BJ696" s="97" t="s">
        <v>443</v>
      </c>
      <c r="BK696" s="127">
        <v>10120481.68</v>
      </c>
    </row>
    <row r="697" spans="2:63" x14ac:dyDescent="0.25">
      <c r="B697" s="121">
        <v>71031005</v>
      </c>
      <c r="C697" s="152" t="s">
        <v>616</v>
      </c>
      <c r="D697" s="123">
        <v>1801296.53</v>
      </c>
      <c r="E697" s="123">
        <v>1801049.15</v>
      </c>
      <c r="F697" s="123">
        <v>1801033.64</v>
      </c>
      <c r="G697" s="123">
        <v>1805918.97</v>
      </c>
      <c r="H697" s="123">
        <v>1805918.97</v>
      </c>
      <c r="I697" s="123">
        <v>1796104.35</v>
      </c>
      <c r="J697" s="123">
        <v>1796104.35</v>
      </c>
      <c r="K697" s="123">
        <v>1796104.35</v>
      </c>
      <c r="L697" s="123">
        <v>1787526.66</v>
      </c>
      <c r="M697" s="123">
        <v>1844785.9</v>
      </c>
      <c r="N697" s="123">
        <v>1837025.9</v>
      </c>
      <c r="O697" s="123">
        <v>1833925.9</v>
      </c>
      <c r="P697" s="123">
        <v>1825760.9</v>
      </c>
      <c r="Q697" s="123">
        <v>1820685.9</v>
      </c>
      <c r="R697" s="123">
        <v>1816561.67</v>
      </c>
      <c r="S697" s="123">
        <v>1807301.67</v>
      </c>
      <c r="T697" s="123">
        <v>1804191.67</v>
      </c>
      <c r="U697" s="123">
        <v>1798591.67</v>
      </c>
      <c r="V697" s="123">
        <v>1796591.67</v>
      </c>
      <c r="W697" s="123">
        <v>1780027.91</v>
      </c>
      <c r="X697" s="123">
        <v>1776027.91</v>
      </c>
      <c r="Y697" s="123">
        <v>1774027.91</v>
      </c>
      <c r="Z697" s="123">
        <v>1770027.91</v>
      </c>
      <c r="AA697" s="123">
        <v>1768027.91</v>
      </c>
      <c r="AB697" s="123">
        <v>1762140.25</v>
      </c>
      <c r="AC697" s="124">
        <v>1745543.44</v>
      </c>
      <c r="AD697" s="124">
        <v>1745543.44</v>
      </c>
      <c r="AE697" s="124">
        <v>1745443.44</v>
      </c>
      <c r="AF697" s="124">
        <v>1745343.44</v>
      </c>
      <c r="AG697" s="124">
        <v>1745343.44</v>
      </c>
      <c r="AH697" s="124">
        <v>1745343.44</v>
      </c>
      <c r="AI697" s="124">
        <v>1745343.44</v>
      </c>
      <c r="AJ697" s="124">
        <v>1745343.44</v>
      </c>
      <c r="AK697" s="124">
        <v>1745343.44</v>
      </c>
      <c r="AL697" s="124">
        <v>1740800.82</v>
      </c>
      <c r="AM697" s="124">
        <v>1740800.82</v>
      </c>
      <c r="AN697" s="124">
        <v>1740800.82</v>
      </c>
      <c r="AO697" s="125">
        <v>1739494.23</v>
      </c>
      <c r="AP697" s="125">
        <v>1689504.87</v>
      </c>
      <c r="AQ697" s="125">
        <v>1688704.87</v>
      </c>
      <c r="AR697" s="125">
        <v>1687904.87</v>
      </c>
      <c r="AS697" s="125">
        <v>1686904.87</v>
      </c>
      <c r="AT697" s="125">
        <v>1685904.87</v>
      </c>
      <c r="AU697" s="125">
        <v>1659495.54</v>
      </c>
      <c r="AV697" s="125">
        <v>1659495.54</v>
      </c>
      <c r="AW697" s="125">
        <v>1658695.54</v>
      </c>
      <c r="AX697" s="125">
        <v>1633533.42</v>
      </c>
      <c r="AY697" s="126"/>
      <c r="AZ697" s="126"/>
      <c r="BA697" s="126"/>
      <c r="BB697" s="126"/>
      <c r="BC697" s="126"/>
      <c r="BD697" s="126"/>
      <c r="BE697" s="126"/>
      <c r="BF697" s="157">
        <v>71031005</v>
      </c>
      <c r="BG697" s="97" t="s">
        <v>593</v>
      </c>
      <c r="BH697" s="127">
        <v>1745343.44</v>
      </c>
      <c r="BI697" s="127">
        <v>71031005</v>
      </c>
      <c r="BJ697" s="97" t="s">
        <v>593</v>
      </c>
      <c r="BK697" s="127">
        <v>1745343.44</v>
      </c>
    </row>
    <row r="698" spans="2:63" x14ac:dyDescent="0.25">
      <c r="B698" s="121">
        <v>71031010</v>
      </c>
      <c r="C698" s="152" t="s">
        <v>617</v>
      </c>
      <c r="D698" s="123">
        <v>6021757</v>
      </c>
      <c r="E698" s="123">
        <v>6043412.3600000003</v>
      </c>
      <c r="F698" s="123">
        <v>6150010.75</v>
      </c>
      <c r="G698" s="123">
        <v>6114797.2800000003</v>
      </c>
      <c r="H698" s="123">
        <v>6072234.1100000003</v>
      </c>
      <c r="I698" s="123">
        <v>6059983.0700000003</v>
      </c>
      <c r="J698" s="123">
        <v>6072344.8099999996</v>
      </c>
      <c r="K698" s="123">
        <v>6102232.3300000001</v>
      </c>
      <c r="L698" s="123">
        <v>6082320.75</v>
      </c>
      <c r="M698" s="123">
        <v>6049546.8899999997</v>
      </c>
      <c r="N698" s="123">
        <v>6041562.0599999996</v>
      </c>
      <c r="O698" s="123">
        <v>6013856.5899999999</v>
      </c>
      <c r="P698" s="123">
        <v>6001673.8099999996</v>
      </c>
      <c r="Q698" s="123">
        <v>5997394.0300000003</v>
      </c>
      <c r="R698" s="123">
        <v>5979845.1299999999</v>
      </c>
      <c r="S698" s="123">
        <v>5963844.0899999999</v>
      </c>
      <c r="T698" s="123">
        <v>5961971.1299999999</v>
      </c>
      <c r="U698" s="123">
        <v>5951650.29</v>
      </c>
      <c r="V698" s="123">
        <v>5939504.6500000004</v>
      </c>
      <c r="W698" s="123">
        <v>5941617.25</v>
      </c>
      <c r="X698" s="123">
        <v>5935948.7800000003</v>
      </c>
      <c r="Y698" s="123">
        <v>5907183.0199999996</v>
      </c>
      <c r="Z698" s="123">
        <v>5934963.2800000003</v>
      </c>
      <c r="AA698" s="123">
        <v>5937952.9900000002</v>
      </c>
      <c r="AB698" s="123">
        <v>5934338.9500000002</v>
      </c>
      <c r="AC698" s="124">
        <v>5936497.6799999997</v>
      </c>
      <c r="AD698" s="124">
        <v>5923980.8200000003</v>
      </c>
      <c r="AE698" s="124">
        <v>5922680.1699999999</v>
      </c>
      <c r="AF698" s="124">
        <v>5922718.2300000004</v>
      </c>
      <c r="AG698" s="124">
        <v>5912712.5300000003</v>
      </c>
      <c r="AH698" s="124">
        <v>5899095.5099999998</v>
      </c>
      <c r="AI698" s="124">
        <v>5857615.9699999997</v>
      </c>
      <c r="AJ698" s="124">
        <v>5854136.7699999996</v>
      </c>
      <c r="AK698" s="124">
        <v>5864605.6399999997</v>
      </c>
      <c r="AL698" s="124">
        <v>5943799.6900000004</v>
      </c>
      <c r="AM698" s="124">
        <v>5942182.9699999997</v>
      </c>
      <c r="AN698" s="124">
        <v>5931682.8700000001</v>
      </c>
      <c r="AO698" s="125">
        <v>5919256.2400000002</v>
      </c>
      <c r="AP698" s="125">
        <v>5867281.1399999997</v>
      </c>
      <c r="AQ698" s="125">
        <v>5853767.5599999996</v>
      </c>
      <c r="AR698" s="125">
        <v>5834761.3899999997</v>
      </c>
      <c r="AS698" s="125">
        <v>5823931.3899999997</v>
      </c>
      <c r="AT698" s="125">
        <v>5820702.6200000001</v>
      </c>
      <c r="AU698" s="125">
        <v>5813648.8300000001</v>
      </c>
      <c r="AV698" s="125">
        <v>5813648.8300000001</v>
      </c>
      <c r="AW698" s="125">
        <v>5807603.2199999997</v>
      </c>
      <c r="AX698" s="125">
        <v>5604564.3799999999</v>
      </c>
      <c r="AY698" s="126"/>
      <c r="AZ698" s="126"/>
      <c r="BA698" s="126"/>
      <c r="BB698" s="126"/>
      <c r="BC698" s="126"/>
      <c r="BD698" s="126"/>
      <c r="BE698" s="126"/>
      <c r="BF698" s="157">
        <v>71031010</v>
      </c>
      <c r="BG698" s="97" t="s">
        <v>617</v>
      </c>
      <c r="BH698" s="127">
        <v>5899095.5099999998</v>
      </c>
      <c r="BI698" s="127">
        <v>71031010</v>
      </c>
      <c r="BJ698" s="97" t="s">
        <v>617</v>
      </c>
      <c r="BK698" s="127">
        <v>5857615.9699999997</v>
      </c>
    </row>
    <row r="699" spans="2:63" x14ac:dyDescent="0.25">
      <c r="B699" s="121">
        <v>71031015</v>
      </c>
      <c r="C699" s="152" t="s">
        <v>9</v>
      </c>
      <c r="D699" s="123">
        <v>2591920.0099999998</v>
      </c>
      <c r="E699" s="123">
        <v>2614674.66</v>
      </c>
      <c r="F699" s="123">
        <v>2613156.2599999998</v>
      </c>
      <c r="G699" s="123">
        <v>2616013.6800000002</v>
      </c>
      <c r="H699" s="123">
        <v>2620555.94</v>
      </c>
      <c r="I699" s="123">
        <v>2624241.84</v>
      </c>
      <c r="J699" s="123">
        <v>2621719.7599999998</v>
      </c>
      <c r="K699" s="123">
        <v>2616257.62</v>
      </c>
      <c r="L699" s="123">
        <v>2614582.7000000002</v>
      </c>
      <c r="M699" s="123">
        <v>2586006.86</v>
      </c>
      <c r="N699" s="123">
        <v>2577533.7799999998</v>
      </c>
      <c r="O699" s="123">
        <v>2576698.84</v>
      </c>
      <c r="P699" s="123">
        <v>2571433.1</v>
      </c>
      <c r="Q699" s="123">
        <v>2570087.46</v>
      </c>
      <c r="R699" s="123">
        <v>2572287.2799999998</v>
      </c>
      <c r="S699" s="123">
        <v>2566101.2799999998</v>
      </c>
      <c r="T699" s="123">
        <v>2561691.7799999998</v>
      </c>
      <c r="U699" s="123">
        <v>2551258.37</v>
      </c>
      <c r="V699" s="123">
        <v>2548107.84</v>
      </c>
      <c r="W699" s="123">
        <v>2536865.5299999998</v>
      </c>
      <c r="X699" s="123">
        <v>2535588.2999999998</v>
      </c>
      <c r="Y699" s="123">
        <v>2534533.4700000002</v>
      </c>
      <c r="Z699" s="123">
        <v>2541316.33</v>
      </c>
      <c r="AA699" s="123">
        <v>2534288.33</v>
      </c>
      <c r="AB699" s="123">
        <v>2531540.25</v>
      </c>
      <c r="AC699" s="124">
        <v>2527358.5099999998</v>
      </c>
      <c r="AD699" s="124">
        <v>2531293.2999999998</v>
      </c>
      <c r="AE699" s="124">
        <v>2530186.13</v>
      </c>
      <c r="AF699" s="124">
        <v>2521516.7000000002</v>
      </c>
      <c r="AG699" s="124">
        <v>2520537.39</v>
      </c>
      <c r="AH699" s="124">
        <v>2518461.5699999998</v>
      </c>
      <c r="AI699" s="124">
        <v>2517522.27</v>
      </c>
      <c r="AJ699" s="124">
        <v>2516567.23</v>
      </c>
      <c r="AK699" s="124">
        <v>2529371.59</v>
      </c>
      <c r="AL699" s="124">
        <v>2524080.5299999998</v>
      </c>
      <c r="AM699" s="124">
        <v>2523910.9300000002</v>
      </c>
      <c r="AN699" s="124">
        <v>2519880.48</v>
      </c>
      <c r="AO699" s="125">
        <v>2519109.0499999998</v>
      </c>
      <c r="AP699" s="125">
        <v>2457139.3199999998</v>
      </c>
      <c r="AQ699" s="125">
        <v>2456192.7000000002</v>
      </c>
      <c r="AR699" s="125">
        <v>2452411.0299999998</v>
      </c>
      <c r="AS699" s="125">
        <v>2440842.64</v>
      </c>
      <c r="AT699" s="125">
        <v>2440606.34</v>
      </c>
      <c r="AU699" s="125">
        <v>2440421.2999999998</v>
      </c>
      <c r="AV699" s="125">
        <v>2439438.87</v>
      </c>
      <c r="AW699" s="125">
        <v>2438971.36</v>
      </c>
      <c r="AX699" s="125">
        <v>2453987.9</v>
      </c>
      <c r="AY699" s="126"/>
      <c r="AZ699" s="126"/>
      <c r="BA699" s="126"/>
      <c r="BB699" s="126"/>
      <c r="BC699" s="126"/>
      <c r="BD699" s="126"/>
      <c r="BE699" s="126"/>
      <c r="BF699" s="157">
        <v>71031015</v>
      </c>
      <c r="BG699" s="113" t="s">
        <v>9</v>
      </c>
      <c r="BH699" s="120">
        <v>2518461.5699999998</v>
      </c>
      <c r="BI699" s="127">
        <v>71031015</v>
      </c>
      <c r="BJ699" s="97" t="s">
        <v>9</v>
      </c>
      <c r="BK699" s="127">
        <v>2517522.27</v>
      </c>
    </row>
    <row r="700" spans="2:63" x14ac:dyDescent="0.25">
      <c r="B700" s="121">
        <v>71031020</v>
      </c>
      <c r="C700" s="152" t="s">
        <v>595</v>
      </c>
      <c r="D700" s="123">
        <v>7760.35</v>
      </c>
      <c r="E700" s="123">
        <v>7760.35</v>
      </c>
      <c r="F700" s="123">
        <v>7760.35</v>
      </c>
      <c r="G700" s="123">
        <v>7675.35</v>
      </c>
      <c r="H700" s="123">
        <v>7590.35</v>
      </c>
      <c r="I700" s="123">
        <v>7590.35</v>
      </c>
      <c r="J700" s="123">
        <v>7590.35</v>
      </c>
      <c r="K700" s="123">
        <v>7590.35</v>
      </c>
      <c r="L700" s="123">
        <v>7590.35</v>
      </c>
      <c r="M700" s="123">
        <v>7421.35</v>
      </c>
      <c r="N700" s="123">
        <v>7421.35</v>
      </c>
      <c r="O700" s="123">
        <v>7336.35</v>
      </c>
      <c r="P700" s="123">
        <v>7131.93</v>
      </c>
      <c r="Q700" s="123">
        <v>7046.93</v>
      </c>
      <c r="R700" s="123">
        <v>6961.93</v>
      </c>
      <c r="S700" s="123">
        <v>6876.93</v>
      </c>
      <c r="T700" s="123">
        <v>6791.93</v>
      </c>
      <c r="U700" s="123">
        <v>6621.93</v>
      </c>
      <c r="V700" s="123">
        <v>6536.93</v>
      </c>
      <c r="W700" s="123">
        <v>6536.93</v>
      </c>
      <c r="X700" s="123">
        <v>6536.93</v>
      </c>
      <c r="Y700" s="123">
        <v>6536.93</v>
      </c>
      <c r="Z700" s="123">
        <v>6364.93</v>
      </c>
      <c r="AA700" s="123">
        <v>6194.93</v>
      </c>
      <c r="AB700" s="123">
        <v>6194.93</v>
      </c>
      <c r="AC700" s="129"/>
      <c r="AD700" s="129"/>
      <c r="AE700" s="129"/>
      <c r="AF700" s="129"/>
      <c r="AG700" s="129"/>
      <c r="AH700" s="129"/>
      <c r="AI700" s="129"/>
      <c r="AJ700" s="124">
        <v>0</v>
      </c>
      <c r="AK700" s="124">
        <v>0</v>
      </c>
      <c r="AL700" s="124">
        <v>0</v>
      </c>
      <c r="AM700" s="124">
        <v>0</v>
      </c>
      <c r="AN700" s="124">
        <v>0</v>
      </c>
      <c r="AO700" s="125">
        <v>0</v>
      </c>
      <c r="AP700" s="125">
        <v>0</v>
      </c>
      <c r="AQ700" s="125">
        <v>0</v>
      </c>
      <c r="AR700" s="125">
        <v>0</v>
      </c>
      <c r="AS700" s="125">
        <v>0</v>
      </c>
      <c r="AT700" s="125">
        <v>0</v>
      </c>
      <c r="AU700" s="125">
        <v>0</v>
      </c>
      <c r="AV700" s="125">
        <v>0</v>
      </c>
      <c r="AW700" s="125">
        <v>0</v>
      </c>
      <c r="AX700" s="125">
        <v>0</v>
      </c>
      <c r="AY700" s="126"/>
      <c r="AZ700" s="126"/>
      <c r="BA700" s="126"/>
      <c r="BB700" s="126"/>
      <c r="BC700" s="126"/>
      <c r="BD700" s="126"/>
      <c r="BE700" s="126"/>
      <c r="BF700" s="158"/>
      <c r="BG700" s="113"/>
      <c r="BH700" s="113"/>
    </row>
    <row r="701" spans="2:63" x14ac:dyDescent="0.25">
      <c r="B701" s="121">
        <v>710320</v>
      </c>
      <c r="C701" s="152" t="s">
        <v>265</v>
      </c>
      <c r="D701" s="123">
        <v>816225.7</v>
      </c>
      <c r="E701" s="123">
        <v>813501.74</v>
      </c>
      <c r="F701" s="123">
        <v>811691.09</v>
      </c>
      <c r="G701" s="123">
        <v>846049.25</v>
      </c>
      <c r="H701" s="123">
        <v>845450.88</v>
      </c>
      <c r="I701" s="123">
        <v>844439.58</v>
      </c>
      <c r="J701" s="123">
        <v>842467.98</v>
      </c>
      <c r="K701" s="123">
        <v>841843.71</v>
      </c>
      <c r="L701" s="123">
        <v>841471.45</v>
      </c>
      <c r="M701" s="123">
        <v>770351.11</v>
      </c>
      <c r="N701" s="123">
        <v>770163.54</v>
      </c>
      <c r="O701" s="123">
        <v>765332.23</v>
      </c>
      <c r="P701" s="123">
        <v>791708.76</v>
      </c>
      <c r="Q701" s="123">
        <v>790855.64</v>
      </c>
      <c r="R701" s="123">
        <v>783365.36</v>
      </c>
      <c r="S701" s="123">
        <v>820511.32</v>
      </c>
      <c r="T701" s="123">
        <v>820096.06</v>
      </c>
      <c r="U701" s="123">
        <v>819987.29</v>
      </c>
      <c r="V701" s="123">
        <v>830755.28</v>
      </c>
      <c r="W701" s="123">
        <v>830483.91</v>
      </c>
      <c r="X701" s="123">
        <v>830194.97</v>
      </c>
      <c r="Y701" s="123">
        <v>830091.91</v>
      </c>
      <c r="Z701" s="123">
        <v>829926.61</v>
      </c>
      <c r="AA701" s="123">
        <v>829709.18</v>
      </c>
      <c r="AB701" s="123">
        <v>869694.17</v>
      </c>
      <c r="AC701" s="124">
        <v>838009.16</v>
      </c>
      <c r="AD701" s="124">
        <v>833754.42</v>
      </c>
      <c r="AE701" s="124">
        <v>852690.1</v>
      </c>
      <c r="AF701" s="124">
        <v>852676.69</v>
      </c>
      <c r="AG701" s="124">
        <v>852525.96</v>
      </c>
      <c r="AH701" s="124">
        <v>867932.64</v>
      </c>
      <c r="AI701" s="124">
        <v>862847.74</v>
      </c>
      <c r="AJ701" s="124">
        <v>859027.09</v>
      </c>
      <c r="AK701" s="124">
        <v>873003.33</v>
      </c>
      <c r="AL701" s="124">
        <v>870526.07</v>
      </c>
      <c r="AM701" s="124">
        <v>869929.88</v>
      </c>
      <c r="AN701" s="124">
        <v>944946.23</v>
      </c>
      <c r="AO701" s="125">
        <v>940897.89</v>
      </c>
      <c r="AP701" s="125">
        <v>940500.07</v>
      </c>
      <c r="AQ701" s="125">
        <v>924642.77</v>
      </c>
      <c r="AR701" s="125">
        <v>924563.97</v>
      </c>
      <c r="AS701" s="125">
        <v>903814</v>
      </c>
      <c r="AT701" s="125">
        <v>903802.8</v>
      </c>
      <c r="AU701" s="125">
        <v>900716.28</v>
      </c>
      <c r="AV701" s="125">
        <v>900715.91</v>
      </c>
      <c r="AW701" s="125">
        <v>899508.62</v>
      </c>
      <c r="AX701" s="125">
        <v>818149.9</v>
      </c>
      <c r="AY701" s="126"/>
      <c r="AZ701" s="126"/>
      <c r="BA701" s="126"/>
      <c r="BB701" s="126"/>
      <c r="BC701" s="126"/>
      <c r="BD701" s="126"/>
      <c r="BE701" s="126"/>
      <c r="BF701" s="157">
        <v>710320</v>
      </c>
      <c r="BG701" s="97" t="s">
        <v>265</v>
      </c>
      <c r="BH701" s="127">
        <v>867932.64</v>
      </c>
      <c r="BI701" s="120">
        <v>710320</v>
      </c>
      <c r="BJ701" s="113" t="s">
        <v>265</v>
      </c>
      <c r="BK701" s="120">
        <v>862847.74</v>
      </c>
    </row>
    <row r="702" spans="2:63" x14ac:dyDescent="0.25">
      <c r="B702" s="142">
        <v>710330</v>
      </c>
      <c r="C702" s="152" t="s">
        <v>450</v>
      </c>
      <c r="D702" s="123">
        <v>414.76</v>
      </c>
      <c r="E702" s="123">
        <v>414.76</v>
      </c>
      <c r="F702" s="123">
        <v>414.76</v>
      </c>
      <c r="G702" s="123">
        <v>414.76</v>
      </c>
      <c r="H702" s="123">
        <v>414.76</v>
      </c>
      <c r="I702" s="123">
        <v>414.76</v>
      </c>
      <c r="J702" s="123">
        <v>414.76</v>
      </c>
      <c r="K702" s="123">
        <v>414.76</v>
      </c>
      <c r="L702" s="123">
        <v>414.76</v>
      </c>
      <c r="M702" s="123">
        <v>414.76</v>
      </c>
      <c r="N702" s="123">
        <v>414.76</v>
      </c>
      <c r="O702" s="123">
        <v>414.76</v>
      </c>
      <c r="P702" s="123">
        <v>414.76</v>
      </c>
      <c r="Q702" s="123">
        <v>414.76</v>
      </c>
      <c r="R702" s="123">
        <v>414.76</v>
      </c>
      <c r="S702" s="123">
        <v>414.76</v>
      </c>
      <c r="T702" s="123">
        <v>414.76</v>
      </c>
      <c r="U702" s="123">
        <v>414.76</v>
      </c>
      <c r="V702" s="123">
        <v>414.76</v>
      </c>
      <c r="W702" s="123">
        <v>414.76</v>
      </c>
      <c r="X702" s="123">
        <v>414.76</v>
      </c>
      <c r="Y702" s="123">
        <v>414.76</v>
      </c>
      <c r="Z702" s="123">
        <v>414.76</v>
      </c>
      <c r="AA702" s="123">
        <v>414.76</v>
      </c>
      <c r="AB702" s="123">
        <v>414.76</v>
      </c>
      <c r="AC702" s="124">
        <v>414.76</v>
      </c>
      <c r="AD702" s="124">
        <v>414.76</v>
      </c>
      <c r="AE702" s="124">
        <v>414.76</v>
      </c>
      <c r="AF702" s="124">
        <v>414.76</v>
      </c>
      <c r="AG702" s="124">
        <v>414.76</v>
      </c>
      <c r="AH702" s="124">
        <v>414.76</v>
      </c>
      <c r="AI702" s="124">
        <v>414.76</v>
      </c>
      <c r="AJ702" s="124">
        <v>414.76</v>
      </c>
      <c r="AK702" s="124">
        <v>414.76</v>
      </c>
      <c r="AL702" s="124">
        <v>414.76</v>
      </c>
      <c r="AM702" s="124">
        <v>414.76</v>
      </c>
      <c r="AN702" s="124">
        <v>414.76</v>
      </c>
      <c r="AO702" s="125">
        <v>414.76</v>
      </c>
      <c r="AP702" s="125">
        <v>414.76</v>
      </c>
      <c r="AQ702" s="125">
        <v>414.76</v>
      </c>
      <c r="AR702" s="125">
        <v>414.76</v>
      </c>
      <c r="AS702" s="125">
        <v>414.76</v>
      </c>
      <c r="AT702" s="125">
        <v>414.76</v>
      </c>
      <c r="AU702" s="125">
        <v>414.76</v>
      </c>
      <c r="AV702" s="125">
        <v>414.76</v>
      </c>
      <c r="AW702" s="125">
        <v>414.76</v>
      </c>
      <c r="AX702" s="125">
        <v>414.76</v>
      </c>
      <c r="AY702" s="126"/>
      <c r="AZ702" s="126"/>
      <c r="BA702" s="126"/>
      <c r="BB702" s="126"/>
      <c r="BC702" s="126"/>
      <c r="BD702" s="126"/>
      <c r="BE702" s="126"/>
      <c r="BF702" s="157">
        <v>710330</v>
      </c>
      <c r="BG702" s="97" t="s">
        <v>450</v>
      </c>
      <c r="BH702" s="127">
        <v>414.76</v>
      </c>
      <c r="BI702" s="120">
        <v>710330</v>
      </c>
      <c r="BJ702" s="113" t="s">
        <v>450</v>
      </c>
      <c r="BK702" s="120">
        <v>414.76</v>
      </c>
    </row>
    <row r="703" spans="2:63" x14ac:dyDescent="0.25">
      <c r="B703" s="142">
        <v>7107</v>
      </c>
      <c r="C703" s="152" t="s">
        <v>618</v>
      </c>
      <c r="D703" s="123">
        <v>8630901.8399999999</v>
      </c>
      <c r="E703" s="123">
        <v>8601808.9700000007</v>
      </c>
      <c r="F703" s="123">
        <v>8600847.6199999992</v>
      </c>
      <c r="G703" s="123">
        <v>8524089.6799999997</v>
      </c>
      <c r="H703" s="123">
        <v>8509815.1999999993</v>
      </c>
      <c r="I703" s="123">
        <v>8509815.1999999993</v>
      </c>
      <c r="J703" s="123">
        <v>8496558.8599999994</v>
      </c>
      <c r="K703" s="123">
        <v>8493252.6699999999</v>
      </c>
      <c r="L703" s="123">
        <v>8468428.8499999996</v>
      </c>
      <c r="M703" s="123">
        <v>8466045.5099999998</v>
      </c>
      <c r="N703" s="123">
        <v>8479670.4399999995</v>
      </c>
      <c r="O703" s="123">
        <v>8440986.1899999995</v>
      </c>
      <c r="P703" s="123">
        <v>8468262.4000000004</v>
      </c>
      <c r="Q703" s="123">
        <v>8568353.4399999995</v>
      </c>
      <c r="R703" s="123">
        <v>8753297.7799999993</v>
      </c>
      <c r="S703" s="123">
        <v>8870350.5700000003</v>
      </c>
      <c r="T703" s="123">
        <v>8977816.9000000004</v>
      </c>
      <c r="U703" s="123">
        <v>9119153.3599999994</v>
      </c>
      <c r="V703" s="123">
        <v>9229550.9600000009</v>
      </c>
      <c r="W703" s="123">
        <v>9328816.5199999996</v>
      </c>
      <c r="X703" s="123">
        <v>9366614.0399999991</v>
      </c>
      <c r="Y703" s="123">
        <v>9350583.1699999999</v>
      </c>
      <c r="Z703" s="123">
        <v>9340583.1699999999</v>
      </c>
      <c r="AA703" s="123">
        <v>9379318.6699999999</v>
      </c>
      <c r="AB703" s="123">
        <v>9383656.1799999997</v>
      </c>
      <c r="AC703" s="124">
        <v>9377045.3800000008</v>
      </c>
      <c r="AD703" s="124">
        <v>9354045.3800000008</v>
      </c>
      <c r="AE703" s="124">
        <v>9354045.3800000008</v>
      </c>
      <c r="AF703" s="124">
        <v>9358873.9100000001</v>
      </c>
      <c r="AG703" s="124">
        <v>9369794.7400000002</v>
      </c>
      <c r="AH703" s="124">
        <v>9369794.7400000002</v>
      </c>
      <c r="AI703" s="124">
        <v>9312723.7599999998</v>
      </c>
      <c r="AJ703" s="124">
        <v>9312723.7599999998</v>
      </c>
      <c r="AK703" s="124">
        <v>9312723.7599999998</v>
      </c>
      <c r="AL703" s="124">
        <v>9298000.1699999999</v>
      </c>
      <c r="AM703" s="124">
        <v>8310075.2599999998</v>
      </c>
      <c r="AN703" s="124">
        <v>8310075.2599999998</v>
      </c>
      <c r="AO703" s="125">
        <v>8310075.2599999998</v>
      </c>
      <c r="AP703" s="125">
        <v>8167937.9699999997</v>
      </c>
      <c r="AQ703" s="125">
        <v>8167937.9699999997</v>
      </c>
      <c r="AR703" s="125">
        <v>8150738.1799999997</v>
      </c>
      <c r="AS703" s="125">
        <v>8150738.1799999997</v>
      </c>
      <c r="AT703" s="125">
        <v>8150738.1799999997</v>
      </c>
      <c r="AU703" s="125">
        <v>8132894.0099999998</v>
      </c>
      <c r="AV703" s="125">
        <v>8124378.6399999997</v>
      </c>
      <c r="AW703" s="125">
        <v>8113169.21</v>
      </c>
      <c r="AX703" s="125">
        <v>8043544.96</v>
      </c>
      <c r="AY703" s="126"/>
      <c r="AZ703" s="126"/>
      <c r="BA703" s="126"/>
      <c r="BB703" s="126"/>
      <c r="BC703" s="126"/>
      <c r="BD703" s="126"/>
      <c r="BE703" s="126"/>
      <c r="BF703" s="157">
        <v>7107</v>
      </c>
      <c r="BG703" s="97" t="s">
        <v>618</v>
      </c>
      <c r="BH703" s="127">
        <v>9369794.7400000002</v>
      </c>
      <c r="BI703" s="127">
        <v>7107</v>
      </c>
      <c r="BJ703" s="97" t="s">
        <v>618</v>
      </c>
      <c r="BK703" s="127">
        <v>9312723.7599999998</v>
      </c>
    </row>
    <row r="704" spans="2:63" x14ac:dyDescent="0.25">
      <c r="B704" s="153">
        <v>710705</v>
      </c>
      <c r="C704" s="154" t="s">
        <v>6</v>
      </c>
      <c r="D704" s="123">
        <v>1920920.41</v>
      </c>
      <c r="E704" s="123">
        <v>1920920.41</v>
      </c>
      <c r="F704" s="123">
        <v>1842977.19</v>
      </c>
      <c r="G704" s="123">
        <v>1842977.19</v>
      </c>
      <c r="H704" s="123">
        <v>1842977.19</v>
      </c>
      <c r="I704" s="123">
        <v>1842977.19</v>
      </c>
      <c r="J704" s="123">
        <v>1842977.19</v>
      </c>
      <c r="K704" s="123">
        <v>1842977.19</v>
      </c>
      <c r="L704" s="123">
        <v>1842977.19</v>
      </c>
      <c r="M704" s="123">
        <v>1842977.19</v>
      </c>
      <c r="N704" s="123">
        <v>1842977.19</v>
      </c>
      <c r="O704" s="123">
        <v>1842977.19</v>
      </c>
      <c r="P704" s="123">
        <v>1921150.3</v>
      </c>
      <c r="Q704" s="123">
        <v>1921150.3</v>
      </c>
      <c r="R704" s="123">
        <v>1921150.3</v>
      </c>
      <c r="S704" s="123">
        <v>1921150.3</v>
      </c>
      <c r="T704" s="123">
        <v>1921150.3</v>
      </c>
      <c r="U704" s="123">
        <v>1921150.3</v>
      </c>
      <c r="V704" s="123">
        <v>1921150.3</v>
      </c>
      <c r="W704" s="123">
        <v>1921150.3</v>
      </c>
      <c r="X704" s="123">
        <v>1921150.3</v>
      </c>
      <c r="Y704" s="123">
        <v>1921150.3</v>
      </c>
      <c r="Z704" s="123">
        <v>1921150.3</v>
      </c>
      <c r="AA704" s="123">
        <v>1921150.3</v>
      </c>
      <c r="AB704" s="123">
        <v>1921150.3</v>
      </c>
      <c r="AC704" s="124">
        <v>1921150.3</v>
      </c>
      <c r="AD704" s="124">
        <v>1921150.3</v>
      </c>
      <c r="AE704" s="124">
        <v>1921150.3</v>
      </c>
      <c r="AF704" s="124">
        <v>1921150.3</v>
      </c>
      <c r="AG704" s="124">
        <v>1921150.3</v>
      </c>
      <c r="AH704" s="124">
        <v>1921150.3</v>
      </c>
      <c r="AI704" s="124">
        <v>1921150.3</v>
      </c>
      <c r="AJ704" s="124">
        <v>1921150.3</v>
      </c>
      <c r="AK704" s="124">
        <v>1921150.3</v>
      </c>
      <c r="AL704" s="124">
        <v>1921150.3</v>
      </c>
      <c r="AM704" s="124">
        <v>1842977.19</v>
      </c>
      <c r="AN704" s="124">
        <v>1842977.19</v>
      </c>
      <c r="AO704" s="125">
        <v>1842977.19</v>
      </c>
      <c r="AP704" s="125">
        <v>1785885.56</v>
      </c>
      <c r="AQ704" s="125">
        <v>1785885.56</v>
      </c>
      <c r="AR704" s="125">
        <v>1785885.56</v>
      </c>
      <c r="AS704" s="125">
        <v>1785885.56</v>
      </c>
      <c r="AT704" s="125">
        <v>1785885.56</v>
      </c>
      <c r="AU704" s="125">
        <v>1779119.19</v>
      </c>
      <c r="AV704" s="125">
        <v>1779119.19</v>
      </c>
      <c r="AW704" s="125">
        <v>1779119.19</v>
      </c>
      <c r="AX704" s="125">
        <v>1771562.82</v>
      </c>
      <c r="AY704" s="126"/>
      <c r="AZ704" s="126"/>
      <c r="BA704" s="126"/>
      <c r="BB704" s="126"/>
      <c r="BC704" s="126"/>
      <c r="BD704" s="126"/>
      <c r="BE704" s="126"/>
      <c r="BF704" s="157">
        <v>710705</v>
      </c>
      <c r="BG704" s="97" t="s">
        <v>6</v>
      </c>
      <c r="BH704" s="127">
        <v>1921150.3</v>
      </c>
      <c r="BI704" s="127">
        <v>710705</v>
      </c>
      <c r="BJ704" s="97" t="s">
        <v>6</v>
      </c>
      <c r="BK704" s="127">
        <v>1921150.3</v>
      </c>
    </row>
    <row r="705" spans="1:63" x14ac:dyDescent="0.25">
      <c r="B705" s="121">
        <v>71070505</v>
      </c>
      <c r="C705" s="152" t="s">
        <v>619</v>
      </c>
      <c r="D705" s="123">
        <v>1854630.6</v>
      </c>
      <c r="E705" s="123">
        <v>1854630.6</v>
      </c>
      <c r="F705" s="123">
        <v>1854630.6</v>
      </c>
      <c r="G705" s="123">
        <v>1854630.6</v>
      </c>
      <c r="H705" s="123">
        <v>1854630.6</v>
      </c>
      <c r="I705" s="123">
        <v>1854630.6</v>
      </c>
      <c r="J705" s="123">
        <v>1854630.6</v>
      </c>
      <c r="K705" s="123">
        <v>1854630.6</v>
      </c>
      <c r="L705" s="123">
        <v>1854630.6</v>
      </c>
      <c r="M705" s="123">
        <v>1854630.6</v>
      </c>
      <c r="N705" s="123">
        <v>1854630.6</v>
      </c>
      <c r="O705" s="123">
        <v>1854630.6</v>
      </c>
      <c r="P705" s="123">
        <v>1854630.6</v>
      </c>
      <c r="Q705" s="123">
        <v>1921150.3</v>
      </c>
      <c r="R705" s="123">
        <v>1921150.3</v>
      </c>
      <c r="S705" s="123">
        <v>1921150.3</v>
      </c>
      <c r="T705" s="123">
        <v>1854630.6</v>
      </c>
      <c r="U705" s="123">
        <v>1854630.6</v>
      </c>
      <c r="V705" s="123">
        <v>1854630.6</v>
      </c>
      <c r="W705" s="123">
        <v>1854630.6</v>
      </c>
      <c r="X705" s="123">
        <v>1854630.6</v>
      </c>
      <c r="Y705" s="123">
        <v>1854630.6</v>
      </c>
      <c r="Z705" s="123">
        <v>1854630.6</v>
      </c>
      <c r="AA705" s="123">
        <v>1854630.6</v>
      </c>
      <c r="AB705" s="123">
        <v>1854630.6</v>
      </c>
      <c r="AC705" s="124">
        <v>1854630.6</v>
      </c>
      <c r="AD705" s="124">
        <v>1854630.6</v>
      </c>
      <c r="AE705" s="124">
        <v>1854630.6</v>
      </c>
      <c r="AF705" s="124">
        <v>1854630.6</v>
      </c>
      <c r="AG705" s="124">
        <v>1854630.6</v>
      </c>
      <c r="AH705" s="124">
        <v>1854630.6</v>
      </c>
      <c r="AI705" s="124">
        <v>1854630.6</v>
      </c>
      <c r="AJ705" s="124">
        <v>1854630.6</v>
      </c>
      <c r="AK705" s="124">
        <v>1854630.6</v>
      </c>
      <c r="AL705" s="124">
        <v>1854630.6</v>
      </c>
      <c r="AM705" s="124">
        <v>1854630.6</v>
      </c>
      <c r="AN705" s="124">
        <v>1854630.6</v>
      </c>
      <c r="AO705" s="125">
        <v>1854630.6</v>
      </c>
      <c r="AP705" s="125">
        <v>1785885.56</v>
      </c>
      <c r="AQ705" s="125">
        <v>1854630.6</v>
      </c>
      <c r="AR705" s="125">
        <v>1854630.6</v>
      </c>
      <c r="AS705" s="125">
        <v>1854630.6</v>
      </c>
      <c r="AT705" s="125">
        <v>1854630.6</v>
      </c>
      <c r="AU705" s="125">
        <v>1854630.6</v>
      </c>
      <c r="AV705" s="125">
        <v>1854630.6</v>
      </c>
      <c r="AW705" s="125">
        <v>1854630.6</v>
      </c>
      <c r="AX705" s="125">
        <v>1771562.82</v>
      </c>
      <c r="AY705" s="126"/>
      <c r="AZ705" s="126"/>
      <c r="BA705" s="126"/>
      <c r="BB705" s="126"/>
      <c r="BC705" s="126"/>
      <c r="BD705" s="126"/>
      <c r="BE705" s="126"/>
      <c r="BF705" s="157">
        <v>71070505</v>
      </c>
      <c r="BG705" s="113" t="s">
        <v>619</v>
      </c>
      <c r="BH705" s="120">
        <v>1854630.6</v>
      </c>
      <c r="BI705" s="127">
        <v>71070505</v>
      </c>
      <c r="BJ705" s="97" t="s">
        <v>619</v>
      </c>
      <c r="BK705" s="127">
        <v>1854630.6</v>
      </c>
    </row>
    <row r="706" spans="1:63" x14ac:dyDescent="0.25">
      <c r="B706" s="121">
        <v>710710</v>
      </c>
      <c r="C706" s="152" t="s">
        <v>8</v>
      </c>
      <c r="D706" s="123">
        <v>4850803.47</v>
      </c>
      <c r="E706" s="123">
        <v>4825116.34</v>
      </c>
      <c r="F706" s="123">
        <v>4920898.21</v>
      </c>
      <c r="G706" s="123">
        <v>4844140.2699999996</v>
      </c>
      <c r="H706" s="123">
        <v>4829865.79</v>
      </c>
      <c r="I706" s="123">
        <v>4829865.79</v>
      </c>
      <c r="J706" s="123">
        <v>4816609.45</v>
      </c>
      <c r="K706" s="123">
        <v>4813303.26</v>
      </c>
      <c r="L706" s="123">
        <v>4788479.4400000004</v>
      </c>
      <c r="M706" s="123">
        <v>4786096.0999999996</v>
      </c>
      <c r="N706" s="123">
        <v>4813316.29</v>
      </c>
      <c r="O706" s="123">
        <v>4774632.04</v>
      </c>
      <c r="P706" s="123">
        <v>4736152.74</v>
      </c>
      <c r="Q706" s="123">
        <v>4799728.6500000004</v>
      </c>
      <c r="R706" s="123">
        <v>4984672.99</v>
      </c>
      <c r="S706" s="123">
        <v>5055606.3</v>
      </c>
      <c r="T706" s="123">
        <v>5144302.08</v>
      </c>
      <c r="U706" s="123">
        <v>5248604.2</v>
      </c>
      <c r="V706" s="123">
        <v>5327771.3899999997</v>
      </c>
      <c r="W706" s="123">
        <v>5411850.1799999997</v>
      </c>
      <c r="X706" s="123">
        <v>5439329.3799999999</v>
      </c>
      <c r="Y706" s="123">
        <v>5423298.5099999998</v>
      </c>
      <c r="Z706" s="123">
        <v>5423298.5099999998</v>
      </c>
      <c r="AA706" s="123">
        <v>5427252.2000000002</v>
      </c>
      <c r="AB706" s="123">
        <v>5431589.71</v>
      </c>
      <c r="AC706" s="124">
        <v>5424978.9100000001</v>
      </c>
      <c r="AD706" s="124">
        <v>5401978.9100000001</v>
      </c>
      <c r="AE706" s="124">
        <v>5401978.9100000001</v>
      </c>
      <c r="AF706" s="124">
        <v>5406807.4400000004</v>
      </c>
      <c r="AG706" s="124">
        <v>5417728.2699999996</v>
      </c>
      <c r="AH706" s="124">
        <v>5417728.2699999996</v>
      </c>
      <c r="AI706" s="124">
        <v>5387172.4199999999</v>
      </c>
      <c r="AJ706" s="124">
        <v>5387172.4199999999</v>
      </c>
      <c r="AK706" s="124">
        <v>5387172.4199999999</v>
      </c>
      <c r="AL706" s="124">
        <v>5387172.4199999999</v>
      </c>
      <c r="AM706" s="124">
        <v>4650919.57</v>
      </c>
      <c r="AN706" s="124">
        <v>4650919.57</v>
      </c>
      <c r="AO706" s="125">
        <v>4650919.57</v>
      </c>
      <c r="AP706" s="125">
        <v>4565873.91</v>
      </c>
      <c r="AQ706" s="125">
        <v>4565873.91</v>
      </c>
      <c r="AR706" s="125">
        <v>4549924.12</v>
      </c>
      <c r="AS706" s="125">
        <v>4549924.12</v>
      </c>
      <c r="AT706" s="125">
        <v>4549924.12</v>
      </c>
      <c r="AU706" s="125">
        <v>4521812.79</v>
      </c>
      <c r="AV706" s="125">
        <v>4521812.79</v>
      </c>
      <c r="AW706" s="125">
        <v>4510603.3600000003</v>
      </c>
      <c r="AX706" s="125">
        <v>4448535.4800000004</v>
      </c>
      <c r="AY706" s="126"/>
      <c r="AZ706" s="126"/>
      <c r="BA706" s="126"/>
      <c r="BB706" s="126"/>
      <c r="BC706" s="126"/>
      <c r="BD706" s="126"/>
      <c r="BE706" s="126"/>
      <c r="BF706" s="157">
        <v>710710</v>
      </c>
      <c r="BG706" s="113" t="s">
        <v>8</v>
      </c>
      <c r="BH706" s="120">
        <v>5417728.2699999996</v>
      </c>
      <c r="BI706" s="127">
        <v>710710</v>
      </c>
      <c r="BJ706" s="97" t="s">
        <v>8</v>
      </c>
      <c r="BK706" s="127">
        <v>5387172.4199999999</v>
      </c>
    </row>
    <row r="707" spans="1:63" s="159" customFormat="1" x14ac:dyDescent="0.25">
      <c r="A707" s="97"/>
      <c r="B707" s="121">
        <v>71071005</v>
      </c>
      <c r="C707" s="152" t="s">
        <v>619</v>
      </c>
      <c r="D707" s="123">
        <v>4888840.3899999997</v>
      </c>
      <c r="E707" s="123">
        <v>4888840.3899999997</v>
      </c>
      <c r="F707" s="123">
        <v>4888840.3899999997</v>
      </c>
      <c r="G707" s="123">
        <v>4888840.3899999997</v>
      </c>
      <c r="H707" s="123">
        <v>4888840.3899999997</v>
      </c>
      <c r="I707" s="123">
        <v>4888840.3899999997</v>
      </c>
      <c r="J707" s="123">
        <v>4888840.3899999997</v>
      </c>
      <c r="K707" s="123">
        <v>4888840.3899999997</v>
      </c>
      <c r="L707" s="123">
        <v>4888840.3899999997</v>
      </c>
      <c r="M707" s="123">
        <v>4888840.3899999997</v>
      </c>
      <c r="N707" s="123">
        <v>4888840.3899999997</v>
      </c>
      <c r="O707" s="123">
        <v>4868840.3899999997</v>
      </c>
      <c r="P707" s="123">
        <v>4888840.3899999997</v>
      </c>
      <c r="Q707" s="123">
        <v>4799728.6500000004</v>
      </c>
      <c r="R707" s="123">
        <v>4984672.99</v>
      </c>
      <c r="S707" s="123">
        <v>5055606.3</v>
      </c>
      <c r="T707" s="123">
        <v>4888840.3899999997</v>
      </c>
      <c r="U707" s="123">
        <v>4888840.3899999997</v>
      </c>
      <c r="V707" s="123">
        <v>4888840.3899999997</v>
      </c>
      <c r="W707" s="123">
        <v>4888840.3899999997</v>
      </c>
      <c r="X707" s="123">
        <v>4888840.3899999997</v>
      </c>
      <c r="Y707" s="123">
        <v>4888840.3899999997</v>
      </c>
      <c r="Z707" s="123">
        <v>4888840.3899999997</v>
      </c>
      <c r="AA707" s="123">
        <v>4888840.3899999997</v>
      </c>
      <c r="AB707" s="123">
        <v>4888840.3899999997</v>
      </c>
      <c r="AC707" s="124">
        <v>4888840.3899999997</v>
      </c>
      <c r="AD707" s="124">
        <v>4888840.3899999997</v>
      </c>
      <c r="AE707" s="124">
        <v>4888840.3899999997</v>
      </c>
      <c r="AF707" s="124">
        <v>4888840.3899999997</v>
      </c>
      <c r="AG707" s="124">
        <v>4888840.3899999997</v>
      </c>
      <c r="AH707" s="124">
        <v>4888840.3899999997</v>
      </c>
      <c r="AI707" s="124">
        <v>4888840.3899999997</v>
      </c>
      <c r="AJ707" s="124">
        <v>4888840.3899999997</v>
      </c>
      <c r="AK707" s="124">
        <v>4888840.3899999997</v>
      </c>
      <c r="AL707" s="124">
        <v>4888840.3899999997</v>
      </c>
      <c r="AM707" s="124">
        <v>4888840.3899999997</v>
      </c>
      <c r="AN707" s="124">
        <v>4888840.3899999997</v>
      </c>
      <c r="AO707" s="125">
        <v>4888840.3899999997</v>
      </c>
      <c r="AP707" s="125">
        <v>4565873.91</v>
      </c>
      <c r="AQ707" s="125">
        <v>4888840.3899999997</v>
      </c>
      <c r="AR707" s="125">
        <v>4888840.3899999997</v>
      </c>
      <c r="AS707" s="125">
        <v>4888840.3899999997</v>
      </c>
      <c r="AT707" s="125">
        <v>4888840.3899999997</v>
      </c>
      <c r="AU707" s="125">
        <v>4888840.3899999997</v>
      </c>
      <c r="AV707" s="125">
        <v>4888840.3899999997</v>
      </c>
      <c r="AW707" s="125">
        <v>4888840.3899999997</v>
      </c>
      <c r="AX707" s="125">
        <v>4448535.4800000004</v>
      </c>
      <c r="AY707" s="126"/>
      <c r="AZ707" s="126"/>
      <c r="BA707" s="126"/>
      <c r="BB707" s="126"/>
      <c r="BC707" s="126"/>
      <c r="BD707" s="126"/>
      <c r="BE707" s="126"/>
      <c r="BF707" s="157">
        <v>71071005</v>
      </c>
      <c r="BG707" s="97" t="s">
        <v>619</v>
      </c>
      <c r="BH707" s="127">
        <v>4888840.3899999997</v>
      </c>
      <c r="BI707" s="127">
        <v>71071005</v>
      </c>
      <c r="BJ707" s="97" t="s">
        <v>619</v>
      </c>
      <c r="BK707" s="127">
        <v>4888840.3899999997</v>
      </c>
    </row>
    <row r="708" spans="1:63" x14ac:dyDescent="0.25">
      <c r="B708" s="121">
        <v>710720</v>
      </c>
      <c r="C708" s="152" t="s">
        <v>9</v>
      </c>
      <c r="D708" s="123">
        <v>1859177.96</v>
      </c>
      <c r="E708" s="123">
        <v>1855772.22</v>
      </c>
      <c r="F708" s="123">
        <v>1836972.22</v>
      </c>
      <c r="G708" s="123">
        <v>1836972.22</v>
      </c>
      <c r="H708" s="123">
        <v>1836972.22</v>
      </c>
      <c r="I708" s="123">
        <v>1836972.22</v>
      </c>
      <c r="J708" s="123">
        <v>1836972.22</v>
      </c>
      <c r="K708" s="123">
        <v>1836972.22</v>
      </c>
      <c r="L708" s="123">
        <v>1836972.22</v>
      </c>
      <c r="M708" s="123">
        <v>1836972.22</v>
      </c>
      <c r="N708" s="123">
        <v>1823376.96</v>
      </c>
      <c r="O708" s="123">
        <v>1823376.96</v>
      </c>
      <c r="P708" s="123">
        <v>1810959.3600000001</v>
      </c>
      <c r="Q708" s="123">
        <v>1847474.49</v>
      </c>
      <c r="R708" s="123">
        <v>1847474.49</v>
      </c>
      <c r="S708" s="123">
        <v>1893593.97</v>
      </c>
      <c r="T708" s="123">
        <v>1912364.52</v>
      </c>
      <c r="U708" s="123">
        <v>1949398.86</v>
      </c>
      <c r="V708" s="123">
        <v>1980629.27</v>
      </c>
      <c r="W708" s="123">
        <v>1995816.04</v>
      </c>
      <c r="X708" s="123">
        <v>2006134.36</v>
      </c>
      <c r="Y708" s="123">
        <v>2006134.36</v>
      </c>
      <c r="Z708" s="123">
        <v>1996134.36</v>
      </c>
      <c r="AA708" s="123">
        <v>2030916.17</v>
      </c>
      <c r="AB708" s="123">
        <v>2030916.17</v>
      </c>
      <c r="AC708" s="124">
        <v>2030916.17</v>
      </c>
      <c r="AD708" s="124">
        <v>2030916.17</v>
      </c>
      <c r="AE708" s="124">
        <v>2030916.17</v>
      </c>
      <c r="AF708" s="124">
        <v>2030916.17</v>
      </c>
      <c r="AG708" s="124">
        <v>2030916.17</v>
      </c>
      <c r="AH708" s="124">
        <v>2030916.17</v>
      </c>
      <c r="AI708" s="124">
        <v>2004401.04</v>
      </c>
      <c r="AJ708" s="124">
        <v>2004401.04</v>
      </c>
      <c r="AK708" s="124">
        <v>2004401.04</v>
      </c>
      <c r="AL708" s="124">
        <v>1989677.45</v>
      </c>
      <c r="AM708" s="124">
        <v>1816178.5</v>
      </c>
      <c r="AN708" s="124">
        <v>1816178.5</v>
      </c>
      <c r="AO708" s="125">
        <v>1816178.5</v>
      </c>
      <c r="AP708" s="125">
        <v>1816178.5</v>
      </c>
      <c r="AQ708" s="125">
        <v>1816178.5</v>
      </c>
      <c r="AR708" s="125">
        <v>1814928.5</v>
      </c>
      <c r="AS708" s="125">
        <v>1814928.5</v>
      </c>
      <c r="AT708" s="125">
        <v>1814928.5</v>
      </c>
      <c r="AU708" s="125">
        <v>1831962.03</v>
      </c>
      <c r="AV708" s="125">
        <v>1823446.66</v>
      </c>
      <c r="AW708" s="125">
        <v>1823446.66</v>
      </c>
      <c r="AX708" s="125">
        <v>1823446.66</v>
      </c>
      <c r="AY708" s="126"/>
      <c r="AZ708" s="126"/>
      <c r="BA708" s="126"/>
      <c r="BB708" s="126"/>
      <c r="BC708" s="126"/>
      <c r="BD708" s="126"/>
      <c r="BE708" s="126"/>
      <c r="BF708" s="157">
        <v>710720</v>
      </c>
      <c r="BG708" s="97" t="s">
        <v>9</v>
      </c>
      <c r="BH708" s="127">
        <v>2030916.17</v>
      </c>
      <c r="BI708" s="127">
        <v>710720</v>
      </c>
      <c r="BJ708" s="97" t="s">
        <v>9</v>
      </c>
      <c r="BK708" s="127">
        <v>2004401.04</v>
      </c>
    </row>
    <row r="709" spans="1:63" x14ac:dyDescent="0.25">
      <c r="B709" s="121">
        <v>7109</v>
      </c>
      <c r="C709" s="152" t="s">
        <v>620</v>
      </c>
      <c r="D709" s="123">
        <v>11837876.789999999</v>
      </c>
      <c r="E709" s="123">
        <v>11982208.68</v>
      </c>
      <c r="F709" s="123">
        <v>12104869.52</v>
      </c>
      <c r="G709" s="123">
        <v>12175284.92</v>
      </c>
      <c r="H709" s="123">
        <v>12312453.58</v>
      </c>
      <c r="I709" s="123">
        <v>12437125.859999999</v>
      </c>
      <c r="J709" s="123">
        <v>12580014.9</v>
      </c>
      <c r="K709" s="123">
        <v>12719986.85</v>
      </c>
      <c r="L709" s="123">
        <v>12847673.880000001</v>
      </c>
      <c r="M709" s="123">
        <v>12982176.369999999</v>
      </c>
      <c r="N709" s="123">
        <v>13124326.789999999</v>
      </c>
      <c r="O709" s="123">
        <v>13234694.869999999</v>
      </c>
      <c r="P709" s="123">
        <v>13367714.42</v>
      </c>
      <c r="Q709" s="123">
        <v>13549523.529999999</v>
      </c>
      <c r="R709" s="123">
        <v>13682405.32</v>
      </c>
      <c r="S709" s="123">
        <v>13837196.57</v>
      </c>
      <c r="T709" s="123">
        <v>13994333.08</v>
      </c>
      <c r="U709" s="123">
        <v>14157226.18</v>
      </c>
      <c r="V709" s="123">
        <v>14318043.4</v>
      </c>
      <c r="W709" s="123">
        <v>14470333.75</v>
      </c>
      <c r="X709" s="123">
        <v>14620794.199999999</v>
      </c>
      <c r="Y709" s="123">
        <v>14741030.210000001</v>
      </c>
      <c r="Z709" s="123">
        <v>14981832.27</v>
      </c>
      <c r="AA709" s="123">
        <v>15062767.390000001</v>
      </c>
      <c r="AB709" s="123">
        <v>15222958.560000001</v>
      </c>
      <c r="AC709" s="124">
        <v>15295747.32</v>
      </c>
      <c r="AD709" s="124">
        <v>15452236.16</v>
      </c>
      <c r="AE709" s="124">
        <v>15627165.380000001</v>
      </c>
      <c r="AF709" s="124">
        <v>15763797.220000001</v>
      </c>
      <c r="AG709" s="124">
        <v>15910636.76</v>
      </c>
      <c r="AH709" s="124">
        <v>16076686.16</v>
      </c>
      <c r="AI709" s="124">
        <v>16194349.390000001</v>
      </c>
      <c r="AJ709" s="124">
        <v>16396072.32</v>
      </c>
      <c r="AK709" s="124">
        <v>16567115.619999999</v>
      </c>
      <c r="AL709" s="124">
        <v>16754235.9</v>
      </c>
      <c r="AM709" s="124">
        <v>16395828.84</v>
      </c>
      <c r="AN709" s="124">
        <v>16537176.68</v>
      </c>
      <c r="AO709" s="125">
        <v>16667746.08</v>
      </c>
      <c r="AP709" s="125">
        <v>16814338.23</v>
      </c>
      <c r="AQ709" s="125">
        <v>16957708.489999998</v>
      </c>
      <c r="AR709" s="125">
        <v>17052727.449999999</v>
      </c>
      <c r="AS709" s="125">
        <v>17187823.809999999</v>
      </c>
      <c r="AT709" s="125">
        <v>17344044.699999999</v>
      </c>
      <c r="AU709" s="125">
        <v>17488374.199999999</v>
      </c>
      <c r="AV709" s="125">
        <v>17644984.25</v>
      </c>
      <c r="AW709" s="125">
        <v>17791092.940000001</v>
      </c>
      <c r="AX709" s="125">
        <v>17218978.989999998</v>
      </c>
      <c r="AY709" s="160"/>
      <c r="AZ709" s="160"/>
      <c r="BA709" s="160"/>
      <c r="BB709" s="160"/>
      <c r="BC709" s="160"/>
      <c r="BD709" s="160"/>
      <c r="BE709" s="160"/>
      <c r="BF709" s="157">
        <v>7109</v>
      </c>
      <c r="BG709" s="97" t="s">
        <v>620</v>
      </c>
      <c r="BH709" s="127">
        <v>16076686.16</v>
      </c>
      <c r="BI709" s="127">
        <v>7109</v>
      </c>
      <c r="BJ709" s="97" t="s">
        <v>620</v>
      </c>
      <c r="BK709" s="127">
        <v>16194349.390000001</v>
      </c>
    </row>
    <row r="710" spans="1:63" x14ac:dyDescent="0.25">
      <c r="B710" s="121">
        <v>710905</v>
      </c>
      <c r="C710" s="152" t="s">
        <v>621</v>
      </c>
      <c r="D710" s="123">
        <v>1736141.62</v>
      </c>
      <c r="E710" s="123">
        <v>1756038.87</v>
      </c>
      <c r="F710" s="123">
        <v>1773754.43</v>
      </c>
      <c r="G710" s="123">
        <v>1782918.92</v>
      </c>
      <c r="H710" s="123">
        <v>1800294.65</v>
      </c>
      <c r="I710" s="123">
        <v>1819599.83</v>
      </c>
      <c r="J710" s="123">
        <v>1838796.36</v>
      </c>
      <c r="K710" s="123">
        <v>1858968.85</v>
      </c>
      <c r="L710" s="123">
        <v>1877106.8</v>
      </c>
      <c r="M710" s="123">
        <v>1897912.91</v>
      </c>
      <c r="N710" s="123">
        <v>1917154.05</v>
      </c>
      <c r="O710" s="123">
        <v>1936018.05</v>
      </c>
      <c r="P710" s="123">
        <v>1955001.73</v>
      </c>
      <c r="Q710" s="123">
        <v>1975175.76</v>
      </c>
      <c r="R710" s="123">
        <v>1993378.5</v>
      </c>
      <c r="S710" s="123">
        <v>2013467.53</v>
      </c>
      <c r="T710" s="123">
        <v>2032840.45</v>
      </c>
      <c r="U710" s="123">
        <v>2052815.37</v>
      </c>
      <c r="V710" s="123">
        <v>2072117.53</v>
      </c>
      <c r="W710" s="123">
        <v>2079942.98</v>
      </c>
      <c r="X710" s="123">
        <v>2099645.36</v>
      </c>
      <c r="Y710" s="123">
        <v>2118682.44</v>
      </c>
      <c r="Z710" s="123">
        <v>2138804.09</v>
      </c>
      <c r="AA710" s="123">
        <v>2157321.08</v>
      </c>
      <c r="AB710" s="123">
        <v>2169092.92</v>
      </c>
      <c r="AC710" s="124">
        <v>2110540.89</v>
      </c>
      <c r="AD710" s="124">
        <v>2128111.4</v>
      </c>
      <c r="AE710" s="124">
        <v>2147802.2000000002</v>
      </c>
      <c r="AF710" s="124">
        <v>2167389.96</v>
      </c>
      <c r="AG710" s="124">
        <v>2186001.52</v>
      </c>
      <c r="AH710" s="124">
        <v>2205059.81</v>
      </c>
      <c r="AI710" s="124">
        <v>2225531</v>
      </c>
      <c r="AJ710" s="124">
        <v>2246275.66</v>
      </c>
      <c r="AK710" s="124">
        <v>2265587.9700000002</v>
      </c>
      <c r="AL710" s="124">
        <v>2281112.3199999998</v>
      </c>
      <c r="AM710" s="124">
        <v>2281085.73</v>
      </c>
      <c r="AN710" s="124">
        <v>2300718.12</v>
      </c>
      <c r="AO710" s="125">
        <v>2319471.37</v>
      </c>
      <c r="AP710" s="125">
        <v>2334750.0699999998</v>
      </c>
      <c r="AQ710" s="125">
        <v>2354171.75</v>
      </c>
      <c r="AR710" s="125">
        <v>2372485.83</v>
      </c>
      <c r="AS710" s="125">
        <v>2391651.75</v>
      </c>
      <c r="AT710" s="125">
        <v>2410185.5099999998</v>
      </c>
      <c r="AU710" s="125">
        <v>2417290.64</v>
      </c>
      <c r="AV710" s="125">
        <v>2435184.0099999998</v>
      </c>
      <c r="AW710" s="125">
        <v>2453239.09</v>
      </c>
      <c r="AX710" s="125">
        <v>2357300.2599999998</v>
      </c>
      <c r="AY710" s="126"/>
      <c r="AZ710" s="126"/>
      <c r="BA710" s="126"/>
      <c r="BB710" s="126"/>
      <c r="BC710" s="126"/>
      <c r="BD710" s="126"/>
      <c r="BE710" s="126"/>
      <c r="BF710" s="157">
        <v>710905</v>
      </c>
      <c r="BG710" s="97" t="s">
        <v>621</v>
      </c>
      <c r="BH710" s="127">
        <v>2205059.81</v>
      </c>
      <c r="BI710" s="127">
        <v>710905</v>
      </c>
      <c r="BJ710" s="97" t="s">
        <v>621</v>
      </c>
      <c r="BK710" s="127">
        <v>2225531</v>
      </c>
    </row>
    <row r="711" spans="1:63" x14ac:dyDescent="0.25">
      <c r="B711" s="121">
        <v>71090505</v>
      </c>
      <c r="C711" s="152" t="s">
        <v>622</v>
      </c>
      <c r="D711" s="123">
        <v>180281.83</v>
      </c>
      <c r="E711" s="123">
        <v>180281.83</v>
      </c>
      <c r="F711" s="123">
        <v>180270.72</v>
      </c>
      <c r="G711" s="123">
        <v>176126.79</v>
      </c>
      <c r="H711" s="123">
        <v>175869.15</v>
      </c>
      <c r="I711" s="123">
        <v>175844.14</v>
      </c>
      <c r="J711" s="123">
        <v>175844.14</v>
      </c>
      <c r="K711" s="123">
        <v>177033.26</v>
      </c>
      <c r="L711" s="123">
        <v>176421.28</v>
      </c>
      <c r="M711" s="123">
        <v>177926.09</v>
      </c>
      <c r="N711" s="123">
        <v>177488.19</v>
      </c>
      <c r="O711" s="123">
        <v>179093.44</v>
      </c>
      <c r="P711" s="123">
        <v>178482.5</v>
      </c>
      <c r="Q711" s="123">
        <v>178959.56</v>
      </c>
      <c r="R711" s="123">
        <v>179388.21</v>
      </c>
      <c r="S711" s="123">
        <v>179813.01</v>
      </c>
      <c r="T711" s="123">
        <v>180232.68</v>
      </c>
      <c r="U711" s="123">
        <v>180620.11</v>
      </c>
      <c r="V711" s="123">
        <v>181000.85</v>
      </c>
      <c r="W711" s="123">
        <v>179036.85</v>
      </c>
      <c r="X711" s="123">
        <v>179378.02</v>
      </c>
      <c r="Y711" s="123">
        <v>179699.20000000001</v>
      </c>
      <c r="Z711" s="123">
        <v>180451.99</v>
      </c>
      <c r="AA711" s="123">
        <v>180271.13</v>
      </c>
      <c r="AB711" s="123">
        <v>180609.27</v>
      </c>
      <c r="AC711" s="124">
        <v>170101.84</v>
      </c>
      <c r="AD711" s="124">
        <v>169870.24</v>
      </c>
      <c r="AE711" s="124">
        <v>170472.79</v>
      </c>
      <c r="AF711" s="124">
        <v>171348.95</v>
      </c>
      <c r="AG711" s="124">
        <v>171057.19</v>
      </c>
      <c r="AH711" s="124">
        <v>170878.3</v>
      </c>
      <c r="AI711" s="124">
        <v>171160.92</v>
      </c>
      <c r="AJ711" s="124">
        <v>171591.4</v>
      </c>
      <c r="AK711" s="124">
        <v>171329.94</v>
      </c>
      <c r="AL711" s="124">
        <v>170976.12</v>
      </c>
      <c r="AM711" s="124">
        <v>160485.95000000001</v>
      </c>
      <c r="AN711" s="124">
        <v>160485.95000000001</v>
      </c>
      <c r="AO711" s="125">
        <v>161600.15</v>
      </c>
      <c r="AP711" s="125">
        <v>160209.59</v>
      </c>
      <c r="AQ711" s="125">
        <v>160385.42000000001</v>
      </c>
      <c r="AR711" s="125">
        <v>160209.59</v>
      </c>
      <c r="AS711" s="125">
        <v>160209.59</v>
      </c>
      <c r="AT711" s="125">
        <v>160209.59</v>
      </c>
      <c r="AU711" s="125">
        <v>160209.59</v>
      </c>
      <c r="AV711" s="125">
        <v>160303.17000000001</v>
      </c>
      <c r="AW711" s="125">
        <v>160209.59</v>
      </c>
      <c r="AX711" s="125">
        <v>157009.20000000001</v>
      </c>
      <c r="AY711" s="126"/>
      <c r="AZ711" s="126"/>
      <c r="BA711" s="126"/>
      <c r="BB711" s="126"/>
      <c r="BC711" s="126"/>
      <c r="BD711" s="126"/>
      <c r="BE711" s="126"/>
      <c r="BF711" s="157">
        <v>71090505</v>
      </c>
      <c r="BG711" s="97" t="s">
        <v>622</v>
      </c>
      <c r="BH711" s="127">
        <v>170878.3</v>
      </c>
      <c r="BI711" s="127">
        <v>71090505</v>
      </c>
      <c r="BJ711" s="97" t="s">
        <v>622</v>
      </c>
      <c r="BK711" s="127">
        <v>171160.92</v>
      </c>
    </row>
    <row r="712" spans="1:63" x14ac:dyDescent="0.25">
      <c r="B712" s="121">
        <v>71090510</v>
      </c>
      <c r="C712" s="152" t="s">
        <v>623</v>
      </c>
      <c r="D712" s="123">
        <v>106908.11</v>
      </c>
      <c r="E712" s="123">
        <v>106908.11</v>
      </c>
      <c r="F712" s="123">
        <v>106908.11</v>
      </c>
      <c r="G712" s="123">
        <v>106908.11</v>
      </c>
      <c r="H712" s="123">
        <v>106908.11</v>
      </c>
      <c r="I712" s="123">
        <v>106908.11</v>
      </c>
      <c r="J712" s="123">
        <v>106908.11</v>
      </c>
      <c r="K712" s="123">
        <v>106944.83</v>
      </c>
      <c r="L712" s="123">
        <v>106943.67</v>
      </c>
      <c r="M712" s="123">
        <v>107024.93</v>
      </c>
      <c r="N712" s="123">
        <v>106941.3</v>
      </c>
      <c r="O712" s="123">
        <v>107012.8</v>
      </c>
      <c r="P712" s="123">
        <v>106938.89</v>
      </c>
      <c r="Q712" s="123">
        <v>106937.67</v>
      </c>
      <c r="R712" s="123">
        <v>106922.27</v>
      </c>
      <c r="S712" s="123">
        <v>106935.19</v>
      </c>
      <c r="T712" s="123">
        <v>106921.02</v>
      </c>
      <c r="U712" s="123">
        <v>106932.67</v>
      </c>
      <c r="V712" s="123">
        <v>106919.76</v>
      </c>
      <c r="W712" s="123">
        <v>106930.12</v>
      </c>
      <c r="X712" s="123">
        <v>106928.83</v>
      </c>
      <c r="Y712" s="123">
        <v>106917.82</v>
      </c>
      <c r="Z712" s="123">
        <v>106933.57</v>
      </c>
      <c r="AA712" s="123">
        <v>106916.5</v>
      </c>
      <c r="AB712" s="123">
        <v>106930.63</v>
      </c>
      <c r="AC712" s="124">
        <v>106929.14</v>
      </c>
      <c r="AD712" s="124">
        <v>106914.48</v>
      </c>
      <c r="AE712" s="124">
        <v>106926.12</v>
      </c>
      <c r="AF712" s="124">
        <v>107136.35</v>
      </c>
      <c r="AG712" s="124">
        <v>106943.03</v>
      </c>
      <c r="AH712" s="124">
        <v>106928.4</v>
      </c>
      <c r="AI712" s="124">
        <v>106938.91</v>
      </c>
      <c r="AJ712" s="124">
        <v>106971.95</v>
      </c>
      <c r="AK712" s="124">
        <v>106915.31</v>
      </c>
      <c r="AL712" s="124">
        <v>106915.15</v>
      </c>
      <c r="AM712" s="124">
        <v>106908.11</v>
      </c>
      <c r="AN712" s="124">
        <v>106908.11</v>
      </c>
      <c r="AO712" s="125">
        <v>107337.3</v>
      </c>
      <c r="AP712" s="125">
        <v>106908.11</v>
      </c>
      <c r="AQ712" s="125">
        <v>106959.5</v>
      </c>
      <c r="AR712" s="125">
        <v>106908.11</v>
      </c>
      <c r="AS712" s="125">
        <v>106908.11</v>
      </c>
      <c r="AT712" s="125">
        <v>106908.11</v>
      </c>
      <c r="AU712" s="125">
        <v>106908.11</v>
      </c>
      <c r="AV712" s="125">
        <v>106928.92</v>
      </c>
      <c r="AW712" s="125">
        <v>106908.11</v>
      </c>
      <c r="AX712" s="125">
        <v>106908.11</v>
      </c>
      <c r="AY712" s="126"/>
      <c r="AZ712" s="126"/>
      <c r="BA712" s="126"/>
      <c r="BB712" s="126"/>
      <c r="BC712" s="126"/>
      <c r="BD712" s="126"/>
      <c r="BE712" s="126"/>
      <c r="BF712" s="157">
        <v>71090510</v>
      </c>
      <c r="BG712" s="97" t="s">
        <v>623</v>
      </c>
      <c r="BH712" s="127">
        <v>106928.4</v>
      </c>
      <c r="BI712" s="127">
        <v>71090510</v>
      </c>
      <c r="BJ712" s="97" t="s">
        <v>623</v>
      </c>
      <c r="BK712" s="127">
        <v>106938.91</v>
      </c>
    </row>
    <row r="713" spans="1:63" x14ac:dyDescent="0.25">
      <c r="B713" s="121">
        <v>71090515</v>
      </c>
      <c r="C713" s="152" t="s">
        <v>624</v>
      </c>
      <c r="D713" s="123">
        <v>1448951.68</v>
      </c>
      <c r="E713" s="123">
        <v>1468848.93</v>
      </c>
      <c r="F713" s="123">
        <v>1486575.6</v>
      </c>
      <c r="G713" s="123">
        <v>1499884.02</v>
      </c>
      <c r="H713" s="123">
        <v>1517517.39</v>
      </c>
      <c r="I713" s="123">
        <v>1536847.58</v>
      </c>
      <c r="J713" s="123">
        <v>1556044.11</v>
      </c>
      <c r="K713" s="123">
        <v>1574990.76</v>
      </c>
      <c r="L713" s="123">
        <v>1593741.85</v>
      </c>
      <c r="M713" s="123">
        <v>1612961.89</v>
      </c>
      <c r="N713" s="123">
        <v>1632724.56</v>
      </c>
      <c r="O713" s="123">
        <v>1649911.81</v>
      </c>
      <c r="P713" s="123">
        <v>1669580.34</v>
      </c>
      <c r="Q713" s="123">
        <v>1689278.53</v>
      </c>
      <c r="R713" s="123">
        <v>1707068.02</v>
      </c>
      <c r="S713" s="123">
        <v>1726719.33</v>
      </c>
      <c r="T713" s="123">
        <v>1745686.75</v>
      </c>
      <c r="U713" s="123">
        <v>1765262.59</v>
      </c>
      <c r="V713" s="123">
        <v>1784196.92</v>
      </c>
      <c r="W713" s="123">
        <v>1793976.01</v>
      </c>
      <c r="X713" s="123">
        <v>1813338.51</v>
      </c>
      <c r="Y713" s="123">
        <v>1832065.42</v>
      </c>
      <c r="Z713" s="123">
        <v>1851418.53</v>
      </c>
      <c r="AA713" s="123">
        <v>1870133.45</v>
      </c>
      <c r="AB713" s="123">
        <v>1881553.02</v>
      </c>
      <c r="AC713" s="124">
        <v>1833509.91</v>
      </c>
      <c r="AD713" s="124">
        <v>1851326.68</v>
      </c>
      <c r="AE713" s="124">
        <v>1870403.29</v>
      </c>
      <c r="AF713" s="124">
        <v>1888904.66</v>
      </c>
      <c r="AG713" s="124">
        <v>1908001.3</v>
      </c>
      <c r="AH713" s="124">
        <v>1927253.11</v>
      </c>
      <c r="AI713" s="124">
        <v>1947431.17</v>
      </c>
      <c r="AJ713" s="124">
        <v>1967712.31</v>
      </c>
      <c r="AK713" s="124">
        <v>1987342.72</v>
      </c>
      <c r="AL713" s="124">
        <v>2003221.05</v>
      </c>
      <c r="AM713" s="124">
        <v>2013691.67</v>
      </c>
      <c r="AN713" s="124">
        <v>2033324.06</v>
      </c>
      <c r="AO713" s="125">
        <v>2050533.92</v>
      </c>
      <c r="AP713" s="125">
        <v>2067632.37</v>
      </c>
      <c r="AQ713" s="125">
        <v>2086826.83</v>
      </c>
      <c r="AR713" s="125">
        <v>2105368.13</v>
      </c>
      <c r="AS713" s="125">
        <v>2124534.0499999998</v>
      </c>
      <c r="AT713" s="125">
        <v>2143067.81</v>
      </c>
      <c r="AU713" s="125">
        <v>2150172.94</v>
      </c>
      <c r="AV713" s="125">
        <v>2167951.92</v>
      </c>
      <c r="AW713" s="125">
        <v>2186121.39</v>
      </c>
      <c r="AX713" s="125">
        <v>2093382.95</v>
      </c>
      <c r="AY713" s="126"/>
      <c r="AZ713" s="126"/>
      <c r="BA713" s="126"/>
      <c r="BB713" s="126"/>
      <c r="BC713" s="126"/>
      <c r="BD713" s="126"/>
      <c r="BE713" s="126"/>
      <c r="BF713" s="157">
        <v>71090515</v>
      </c>
      <c r="BG713" s="97" t="s">
        <v>624</v>
      </c>
      <c r="BH713" s="127">
        <v>1927253.11</v>
      </c>
      <c r="BI713" s="127">
        <v>71090515</v>
      </c>
      <c r="BJ713" s="97" t="s">
        <v>624</v>
      </c>
      <c r="BK713" s="127">
        <v>1947431.17</v>
      </c>
    </row>
    <row r="714" spans="1:63" x14ac:dyDescent="0.25">
      <c r="B714" s="121">
        <v>710910</v>
      </c>
      <c r="C714" s="152" t="s">
        <v>365</v>
      </c>
      <c r="D714" s="123">
        <v>7058219.4500000002</v>
      </c>
      <c r="E714" s="123">
        <v>7138311.9900000002</v>
      </c>
      <c r="F714" s="123">
        <v>7208596</v>
      </c>
      <c r="G714" s="123">
        <v>7223640.8600000003</v>
      </c>
      <c r="H714" s="123">
        <v>7298479.0700000003</v>
      </c>
      <c r="I714" s="123">
        <v>7359008.9900000002</v>
      </c>
      <c r="J714" s="123">
        <v>7437952.0300000003</v>
      </c>
      <c r="K714" s="123">
        <v>7520161.2999999998</v>
      </c>
      <c r="L714" s="123">
        <v>7592606.1100000003</v>
      </c>
      <c r="M714" s="123">
        <v>7664528.1799999997</v>
      </c>
      <c r="N714" s="123">
        <v>7754101.8200000003</v>
      </c>
      <c r="O714" s="123">
        <v>7799773.5700000003</v>
      </c>
      <c r="P714" s="123">
        <v>7874380.0599999996</v>
      </c>
      <c r="Q714" s="123">
        <v>7982888.21</v>
      </c>
      <c r="R714" s="123">
        <v>8056037.5</v>
      </c>
      <c r="S714" s="123">
        <v>8145761.6200000001</v>
      </c>
      <c r="T714" s="123">
        <v>8232322.8899999997</v>
      </c>
      <c r="U714" s="123">
        <v>8330867.2400000002</v>
      </c>
      <c r="V714" s="123">
        <v>8419859.8699999992</v>
      </c>
      <c r="W714" s="123">
        <v>8513515.6799999997</v>
      </c>
      <c r="X714" s="123">
        <v>8603939.1699999999</v>
      </c>
      <c r="Y714" s="123">
        <v>8668712.4000000004</v>
      </c>
      <c r="Z714" s="123">
        <v>8836274.3100000005</v>
      </c>
      <c r="AA714" s="123">
        <v>8851371.1799999997</v>
      </c>
      <c r="AB714" s="123">
        <v>8950099.8300000001</v>
      </c>
      <c r="AC714" s="124">
        <v>9033332.6300000008</v>
      </c>
      <c r="AD714" s="124">
        <v>9123901.9000000004</v>
      </c>
      <c r="AE714" s="124">
        <v>9226542.9199999999</v>
      </c>
      <c r="AF714" s="124">
        <v>9302104.9600000009</v>
      </c>
      <c r="AG714" s="124">
        <v>9375973.6899999995</v>
      </c>
      <c r="AH714" s="124">
        <v>9469919.8200000003</v>
      </c>
      <c r="AI714" s="124">
        <v>9513239.3499999996</v>
      </c>
      <c r="AJ714" s="124">
        <v>9628753.370000001</v>
      </c>
      <c r="AK714" s="124">
        <v>9734029.1199999992</v>
      </c>
      <c r="AL714" s="124">
        <v>9853071.2100000009</v>
      </c>
      <c r="AM714" s="124">
        <v>9605636.9700000007</v>
      </c>
      <c r="AN714" s="124">
        <v>9686217.0099999998</v>
      </c>
      <c r="AO714" s="125">
        <v>9752935.7300000004</v>
      </c>
      <c r="AP714" s="125">
        <v>9838791.8800000008</v>
      </c>
      <c r="AQ714" s="125">
        <v>9913861.2300000004</v>
      </c>
      <c r="AR714" s="125">
        <v>9954391.3300000001</v>
      </c>
      <c r="AS714" s="125">
        <v>10042619.02</v>
      </c>
      <c r="AT714" s="125">
        <v>10129476.49</v>
      </c>
      <c r="AU714" s="125">
        <v>10214315.789999999</v>
      </c>
      <c r="AV714" s="125">
        <v>10301970.939999999</v>
      </c>
      <c r="AW714" s="125">
        <v>10385018.890000001</v>
      </c>
      <c r="AX714" s="125">
        <v>10020342.57</v>
      </c>
      <c r="AY714" s="126"/>
      <c r="AZ714" s="126"/>
      <c r="BA714" s="126"/>
      <c r="BB714" s="126"/>
      <c r="BC714" s="126"/>
      <c r="BD714" s="126"/>
      <c r="BE714" s="126"/>
      <c r="BF714" s="127">
        <v>710910</v>
      </c>
      <c r="BG714" s="97" t="s">
        <v>365</v>
      </c>
      <c r="BH714" s="127">
        <v>9469919.8200000003</v>
      </c>
      <c r="BI714" s="127">
        <v>710910</v>
      </c>
      <c r="BJ714" s="97" t="s">
        <v>365</v>
      </c>
      <c r="BK714" s="127">
        <v>9513239.3499999996</v>
      </c>
    </row>
    <row r="715" spans="1:63" x14ac:dyDescent="0.25">
      <c r="B715" s="121">
        <v>71091005</v>
      </c>
      <c r="C715" s="152" t="s">
        <v>625</v>
      </c>
      <c r="D715" s="123">
        <v>2052522.07</v>
      </c>
      <c r="E715" s="123">
        <v>2051909.62</v>
      </c>
      <c r="F715" s="123">
        <v>2049468.66</v>
      </c>
      <c r="G715" s="123">
        <v>2021087.72</v>
      </c>
      <c r="H715" s="123">
        <v>2024620.82</v>
      </c>
      <c r="I715" s="123">
        <v>2022381.04</v>
      </c>
      <c r="J715" s="123">
        <v>2025367.28</v>
      </c>
      <c r="K715" s="123">
        <v>2027816.16</v>
      </c>
      <c r="L715" s="123">
        <v>2030149.48</v>
      </c>
      <c r="M715" s="123">
        <v>2032162.59</v>
      </c>
      <c r="N715" s="123">
        <v>2042887.6</v>
      </c>
      <c r="O715" s="123">
        <v>2039584.55</v>
      </c>
      <c r="P715" s="123">
        <v>2043063.83</v>
      </c>
      <c r="Q715" s="123">
        <v>2062220.36</v>
      </c>
      <c r="R715" s="123">
        <v>2071221.31</v>
      </c>
      <c r="S715" s="123">
        <v>2075880.1</v>
      </c>
      <c r="T715" s="123">
        <v>2083519.43</v>
      </c>
      <c r="U715" s="123">
        <v>2095932.66</v>
      </c>
      <c r="V715" s="123">
        <v>2105585.2400000002</v>
      </c>
      <c r="W715" s="123">
        <v>2114193.69</v>
      </c>
      <c r="X715" s="123">
        <v>2118217.12</v>
      </c>
      <c r="Y715" s="123">
        <v>2126875.64</v>
      </c>
      <c r="Z715" s="123">
        <v>2187364.86</v>
      </c>
      <c r="AA715" s="123">
        <v>2142730.75</v>
      </c>
      <c r="AB715" s="123">
        <v>2151122.0699999998</v>
      </c>
      <c r="AC715" s="124">
        <v>2156279.37</v>
      </c>
      <c r="AD715" s="124">
        <v>2167505.4</v>
      </c>
      <c r="AE715" s="124">
        <v>2176883.33</v>
      </c>
      <c r="AF715" s="124">
        <v>2169156.64</v>
      </c>
      <c r="AG715" s="124">
        <v>2172370.9</v>
      </c>
      <c r="AH715" s="124">
        <v>2181501.5</v>
      </c>
      <c r="AI715" s="124">
        <v>2174962.14</v>
      </c>
      <c r="AJ715" s="124">
        <v>2190650.63</v>
      </c>
      <c r="AK715" s="124">
        <v>2202596.44</v>
      </c>
      <c r="AL715" s="124">
        <v>2218964.79</v>
      </c>
      <c r="AM715" s="124">
        <v>2002954.63</v>
      </c>
      <c r="AN715" s="124">
        <v>1994646.11</v>
      </c>
      <c r="AO715" s="125">
        <v>1986797.89</v>
      </c>
      <c r="AP715" s="125">
        <v>1990849.32</v>
      </c>
      <c r="AQ715" s="125">
        <v>1986348.66</v>
      </c>
      <c r="AR715" s="125">
        <v>1982667.49</v>
      </c>
      <c r="AS715" s="125">
        <v>1981535.94</v>
      </c>
      <c r="AT715" s="125">
        <v>1983246.43</v>
      </c>
      <c r="AU715" s="125">
        <v>1985662.9</v>
      </c>
      <c r="AV715" s="125">
        <v>1984252.53</v>
      </c>
      <c r="AW715" s="125">
        <v>1985333.28</v>
      </c>
      <c r="AX715" s="125">
        <v>1932532.38</v>
      </c>
      <c r="AY715" s="126"/>
      <c r="AZ715" s="126"/>
      <c r="BA715" s="126"/>
      <c r="BB715" s="126"/>
      <c r="BC715" s="126"/>
      <c r="BD715" s="126"/>
      <c r="BE715" s="126"/>
      <c r="BF715" s="127">
        <v>71091005</v>
      </c>
      <c r="BG715" s="97" t="s">
        <v>625</v>
      </c>
      <c r="BH715" s="127">
        <v>2181501.5</v>
      </c>
      <c r="BI715" s="127">
        <v>71091005</v>
      </c>
      <c r="BJ715" s="97" t="s">
        <v>625</v>
      </c>
      <c r="BK715" s="127">
        <v>2174962.14</v>
      </c>
    </row>
    <row r="716" spans="1:63" x14ac:dyDescent="0.25">
      <c r="B716" s="121">
        <v>71091010</v>
      </c>
      <c r="C716" s="152" t="s">
        <v>626</v>
      </c>
      <c r="D716" s="123">
        <v>2671.32</v>
      </c>
      <c r="E716" s="123">
        <v>3013.61</v>
      </c>
      <c r="F716" s="123">
        <v>2515.39</v>
      </c>
      <c r="G716" s="123">
        <v>2980.1</v>
      </c>
      <c r="H716" s="123">
        <v>3638.94</v>
      </c>
      <c r="I716" s="123">
        <v>3828.19</v>
      </c>
      <c r="J716" s="123">
        <v>3576.7</v>
      </c>
      <c r="K716" s="123">
        <v>3729.49</v>
      </c>
      <c r="L716" s="123">
        <v>4415.21</v>
      </c>
      <c r="M716" s="123">
        <v>4485.96</v>
      </c>
      <c r="N716" s="123">
        <v>5258.34</v>
      </c>
      <c r="O716" s="123">
        <v>5329.52</v>
      </c>
      <c r="P716" s="123">
        <v>5243.92</v>
      </c>
      <c r="Q716" s="123">
        <v>8873.11</v>
      </c>
      <c r="R716" s="123">
        <v>8279.27</v>
      </c>
      <c r="S716" s="123">
        <v>9758.74</v>
      </c>
      <c r="T716" s="123">
        <v>8385.6200000000008</v>
      </c>
      <c r="U716" s="123">
        <v>9052.02</v>
      </c>
      <c r="V716" s="123">
        <v>8885.6200000000008</v>
      </c>
      <c r="W716" s="123">
        <v>9289.1299999999992</v>
      </c>
      <c r="X716" s="123">
        <v>7893.57</v>
      </c>
      <c r="Y716" s="123">
        <v>8549.75</v>
      </c>
      <c r="Z716" s="123">
        <v>22747.360000000001</v>
      </c>
      <c r="AA716" s="123">
        <v>8343.7099999999991</v>
      </c>
      <c r="AB716" s="123">
        <v>8428.0300000000007</v>
      </c>
      <c r="AC716" s="124">
        <v>9454.2999999999993</v>
      </c>
      <c r="AD716" s="124">
        <v>9582.9</v>
      </c>
      <c r="AE716" s="124">
        <v>11513.9</v>
      </c>
      <c r="AF716" s="124">
        <v>7120.85</v>
      </c>
      <c r="AG716" s="124">
        <v>8322.75</v>
      </c>
      <c r="AH716" s="124">
        <v>8885.41</v>
      </c>
      <c r="AI716" s="124">
        <v>8058.24</v>
      </c>
      <c r="AJ716" s="124">
        <v>10198.89</v>
      </c>
      <c r="AK716" s="124">
        <v>9407.3799999999992</v>
      </c>
      <c r="AL716" s="124">
        <v>11280.37</v>
      </c>
      <c r="AM716" s="124">
        <v>5341.75</v>
      </c>
      <c r="AN716" s="124">
        <v>3717.14</v>
      </c>
      <c r="AO716" s="125">
        <v>3145.17</v>
      </c>
      <c r="AP716" s="125">
        <v>3845.33</v>
      </c>
      <c r="AQ716" s="125">
        <v>3345.64</v>
      </c>
      <c r="AR716" s="125">
        <v>4026.03</v>
      </c>
      <c r="AS716" s="125">
        <v>3649.57</v>
      </c>
      <c r="AT716" s="125">
        <v>3337.08</v>
      </c>
      <c r="AU716" s="125">
        <v>3959.04</v>
      </c>
      <c r="AV716" s="125">
        <v>3672.4</v>
      </c>
      <c r="AW716" s="125">
        <v>3667.99</v>
      </c>
      <c r="AX716" s="125">
        <v>5562.08</v>
      </c>
      <c r="AY716" s="126"/>
      <c r="AZ716" s="126"/>
      <c r="BA716" s="126"/>
      <c r="BB716" s="126"/>
      <c r="BC716" s="126"/>
      <c r="BD716" s="126"/>
      <c r="BE716" s="126"/>
      <c r="BF716" s="127">
        <v>71091010</v>
      </c>
      <c r="BG716" s="97" t="s">
        <v>626</v>
      </c>
      <c r="BH716" s="127">
        <v>8885.41</v>
      </c>
      <c r="BI716" s="127">
        <v>71091010</v>
      </c>
      <c r="BJ716" s="97" t="s">
        <v>626</v>
      </c>
      <c r="BK716" s="127">
        <v>8058.24</v>
      </c>
    </row>
    <row r="717" spans="1:63" x14ac:dyDescent="0.25">
      <c r="B717" s="121">
        <v>71091015</v>
      </c>
      <c r="C717" s="152" t="s">
        <v>627</v>
      </c>
      <c r="D717" s="123">
        <v>5003026.0599999996</v>
      </c>
      <c r="E717" s="123">
        <v>5083388.76</v>
      </c>
      <c r="F717" s="123">
        <v>5156611.95</v>
      </c>
      <c r="G717" s="123">
        <v>5199573.04</v>
      </c>
      <c r="H717" s="123">
        <v>5270219.3099999996</v>
      </c>
      <c r="I717" s="123">
        <v>5332799.76</v>
      </c>
      <c r="J717" s="123">
        <v>5409008.0499999998</v>
      </c>
      <c r="K717" s="123">
        <v>5488615.6500000004</v>
      </c>
      <c r="L717" s="123">
        <v>5558041.4199999999</v>
      </c>
      <c r="M717" s="123">
        <v>5627879.6299999999</v>
      </c>
      <c r="N717" s="123">
        <v>5705955.8799999999</v>
      </c>
      <c r="O717" s="123">
        <v>5754859.5</v>
      </c>
      <c r="P717" s="123">
        <v>5826072.3099999996</v>
      </c>
      <c r="Q717" s="123">
        <v>5911794.7400000002</v>
      </c>
      <c r="R717" s="123">
        <v>5976536.9199999999</v>
      </c>
      <c r="S717" s="123">
        <v>6060122.7800000003</v>
      </c>
      <c r="T717" s="123">
        <v>6140417.8399999999</v>
      </c>
      <c r="U717" s="123">
        <v>6225882.5599999996</v>
      </c>
      <c r="V717" s="123">
        <v>6305389.0099999998</v>
      </c>
      <c r="W717" s="123">
        <v>6390032.8600000003</v>
      </c>
      <c r="X717" s="123">
        <v>6477828.4800000004</v>
      </c>
      <c r="Y717" s="123">
        <v>6533287.0099999998</v>
      </c>
      <c r="Z717" s="123">
        <v>6626162.0899999999</v>
      </c>
      <c r="AA717" s="123">
        <v>6700296.7199999997</v>
      </c>
      <c r="AB717" s="123">
        <v>6790549.7300000004</v>
      </c>
      <c r="AC717" s="124">
        <v>6867598.96</v>
      </c>
      <c r="AD717" s="124">
        <v>6946813.5999999996</v>
      </c>
      <c r="AE717" s="124">
        <v>7038145.6900000004</v>
      </c>
      <c r="AF717" s="124">
        <v>7125827.4699999997</v>
      </c>
      <c r="AG717" s="124">
        <v>7195280.04</v>
      </c>
      <c r="AH717" s="124">
        <v>7279532.9100000001</v>
      </c>
      <c r="AI717" s="124">
        <v>7330218.9699999997</v>
      </c>
      <c r="AJ717" s="124">
        <v>7427903.8500000006</v>
      </c>
      <c r="AK717" s="124">
        <v>7522025.2999999998</v>
      </c>
      <c r="AL717" s="124">
        <v>7622826.0499999998</v>
      </c>
      <c r="AM717" s="124">
        <v>7597340.5899999999</v>
      </c>
      <c r="AN717" s="124">
        <v>7687853.7599999998</v>
      </c>
      <c r="AO717" s="125">
        <v>7762992.6699999999</v>
      </c>
      <c r="AP717" s="125">
        <v>7844097.2300000004</v>
      </c>
      <c r="AQ717" s="125">
        <v>7924166.9299999997</v>
      </c>
      <c r="AR717" s="125">
        <v>7967697.8099999996</v>
      </c>
      <c r="AS717" s="125">
        <v>8057433.5099999998</v>
      </c>
      <c r="AT717" s="125">
        <v>8142892.9800000004</v>
      </c>
      <c r="AU717" s="125">
        <v>8224693.8499999996</v>
      </c>
      <c r="AV717" s="125">
        <v>8314046.0099999998</v>
      </c>
      <c r="AW717" s="125">
        <v>8396017.6199999992</v>
      </c>
      <c r="AX717" s="125">
        <v>8082248.1100000003</v>
      </c>
      <c r="AY717" s="126"/>
      <c r="AZ717" s="126"/>
      <c r="BA717" s="126"/>
      <c r="BB717" s="126"/>
      <c r="BC717" s="126"/>
      <c r="BD717" s="126"/>
      <c r="BE717" s="126"/>
      <c r="BF717" s="127">
        <v>71091015</v>
      </c>
      <c r="BG717" s="97" t="s">
        <v>627</v>
      </c>
      <c r="BH717" s="127">
        <v>7279532.9100000001</v>
      </c>
      <c r="BI717" s="127">
        <v>71091015</v>
      </c>
      <c r="BJ717" s="97" t="s">
        <v>627</v>
      </c>
      <c r="BK717" s="127">
        <v>7330218.9699999997</v>
      </c>
    </row>
    <row r="718" spans="1:63" x14ac:dyDescent="0.25">
      <c r="B718" s="121">
        <v>710915</v>
      </c>
      <c r="C718" s="152" t="s">
        <v>562</v>
      </c>
      <c r="D718" s="123">
        <v>4624.59</v>
      </c>
      <c r="E718" s="123">
        <v>4686.96</v>
      </c>
      <c r="F718" s="123">
        <v>4743.2700000000004</v>
      </c>
      <c r="G718" s="123">
        <v>4736.24</v>
      </c>
      <c r="H718" s="123">
        <v>4795.84</v>
      </c>
      <c r="I718" s="123">
        <v>4771.84</v>
      </c>
      <c r="J718" s="123">
        <v>4830.87</v>
      </c>
      <c r="K718" s="123">
        <v>4806.87</v>
      </c>
      <c r="L718" s="123">
        <v>4867.87</v>
      </c>
      <c r="M718" s="123">
        <v>4926.79</v>
      </c>
      <c r="N718" s="123">
        <v>4986.43</v>
      </c>
      <c r="O718" s="123">
        <v>5043.78</v>
      </c>
      <c r="P718" s="123">
        <v>5102.2299999999996</v>
      </c>
      <c r="Q718" s="123">
        <v>5160.22</v>
      </c>
      <c r="R718" s="123">
        <v>5211.8599999999997</v>
      </c>
      <c r="S718" s="123">
        <v>5268.26</v>
      </c>
      <c r="T718" s="123">
        <v>5322.06</v>
      </c>
      <c r="U718" s="123">
        <v>5376.7</v>
      </c>
      <c r="V718" s="123">
        <v>5428.59</v>
      </c>
      <c r="W718" s="123">
        <v>5482.08</v>
      </c>
      <c r="X718" s="123">
        <v>5535.57</v>
      </c>
      <c r="Y718" s="123">
        <v>5587.32</v>
      </c>
      <c r="Z718" s="123">
        <v>5639.56</v>
      </c>
      <c r="AA718" s="123">
        <v>5689.36</v>
      </c>
      <c r="AB718" s="123">
        <v>5740.1</v>
      </c>
      <c r="AC718" s="129"/>
      <c r="AD718" s="129"/>
      <c r="AE718" s="129"/>
      <c r="AF718" s="129"/>
      <c r="AG718" s="129"/>
      <c r="AH718" s="129"/>
      <c r="AI718" s="129"/>
      <c r="AJ718" s="124">
        <v>0</v>
      </c>
      <c r="AK718" s="124">
        <v>0</v>
      </c>
      <c r="AL718" s="124">
        <v>0</v>
      </c>
      <c r="AM718" s="124">
        <v>0</v>
      </c>
      <c r="AN718" s="124">
        <v>0</v>
      </c>
      <c r="AO718" s="125">
        <v>0</v>
      </c>
      <c r="AP718" s="125">
        <v>0</v>
      </c>
      <c r="AQ718" s="125">
        <v>0</v>
      </c>
      <c r="AR718" s="125">
        <v>0</v>
      </c>
      <c r="AS718" s="125">
        <v>0</v>
      </c>
      <c r="AT718" s="125">
        <v>0</v>
      </c>
      <c r="AU718" s="125">
        <v>0</v>
      </c>
      <c r="AV718" s="125">
        <v>0</v>
      </c>
      <c r="AW718" s="125">
        <v>0</v>
      </c>
      <c r="AX718" s="125">
        <v>0</v>
      </c>
      <c r="AY718" s="126"/>
      <c r="AZ718" s="126"/>
      <c r="BA718" s="126"/>
      <c r="BB718" s="126"/>
      <c r="BC718" s="126"/>
      <c r="BD718" s="126"/>
      <c r="BE718" s="126"/>
    </row>
    <row r="719" spans="1:63" x14ac:dyDescent="0.25">
      <c r="B719" s="121">
        <v>71091505</v>
      </c>
      <c r="C719" s="152" t="s">
        <v>628</v>
      </c>
      <c r="D719" s="123">
        <v>3404.03</v>
      </c>
      <c r="E719" s="123">
        <v>404.03</v>
      </c>
      <c r="F719" s="123">
        <v>1638.2300000000002</v>
      </c>
      <c r="G719" s="123">
        <v>1569.37</v>
      </c>
      <c r="H719" s="123">
        <v>1569.37</v>
      </c>
      <c r="I719" s="123">
        <v>1569.37</v>
      </c>
      <c r="J719" s="123">
        <v>1569.37</v>
      </c>
      <c r="K719" s="123">
        <v>1502.98</v>
      </c>
      <c r="L719" s="123">
        <v>1502.98</v>
      </c>
      <c r="M719" s="123">
        <v>1502.98</v>
      </c>
      <c r="N719" s="123">
        <v>1502.98</v>
      </c>
      <c r="O719" s="123">
        <v>1502.98</v>
      </c>
      <c r="P719" s="123">
        <v>1502.98</v>
      </c>
      <c r="Q719" s="123">
        <v>1502.98</v>
      </c>
      <c r="R719" s="123">
        <v>1502.98</v>
      </c>
      <c r="S719" s="123">
        <v>1502.98</v>
      </c>
      <c r="T719" s="123">
        <v>1502.98</v>
      </c>
      <c r="U719" s="123">
        <v>1502.98</v>
      </c>
      <c r="V719" s="123">
        <v>1502.98</v>
      </c>
      <c r="W719" s="123">
        <v>1502.98</v>
      </c>
      <c r="X719" s="123">
        <v>1502.98</v>
      </c>
      <c r="Y719" s="123">
        <v>1502.98</v>
      </c>
      <c r="Z719" s="123">
        <v>1502.98</v>
      </c>
      <c r="AA719" s="123">
        <v>1502.98</v>
      </c>
      <c r="AB719" s="123">
        <v>1502.98</v>
      </c>
      <c r="AC719" s="129"/>
      <c r="AD719" s="129"/>
      <c r="AE719" s="129"/>
      <c r="AF719" s="129"/>
      <c r="AG719" s="129"/>
      <c r="AH719" s="129"/>
      <c r="AI719" s="129"/>
      <c r="AJ719" s="124">
        <v>0</v>
      </c>
      <c r="AK719" s="124">
        <v>0</v>
      </c>
      <c r="AL719" s="124">
        <v>0</v>
      </c>
      <c r="AM719" s="124">
        <v>0</v>
      </c>
      <c r="AN719" s="124">
        <v>0</v>
      </c>
      <c r="AO719" s="125">
        <v>0</v>
      </c>
      <c r="AP719" s="125">
        <v>0</v>
      </c>
      <c r="AQ719" s="125">
        <v>0</v>
      </c>
      <c r="AR719" s="125">
        <v>0</v>
      </c>
      <c r="AS719" s="125">
        <v>0</v>
      </c>
      <c r="AT719" s="125">
        <v>0</v>
      </c>
      <c r="AU719" s="125">
        <v>0</v>
      </c>
      <c r="AV719" s="125">
        <v>0</v>
      </c>
      <c r="AW719" s="125">
        <v>0</v>
      </c>
      <c r="AX719" s="125">
        <v>0</v>
      </c>
      <c r="AY719" s="126"/>
      <c r="AZ719" s="126"/>
      <c r="BA719" s="126"/>
      <c r="BB719" s="126"/>
      <c r="BC719" s="126"/>
      <c r="BD719" s="126"/>
      <c r="BE719" s="126"/>
    </row>
    <row r="720" spans="1:63" x14ac:dyDescent="0.25">
      <c r="B720" s="121">
        <v>71091510</v>
      </c>
      <c r="C720" s="152" t="s">
        <v>629</v>
      </c>
      <c r="D720" s="123">
        <v>-1765.8</v>
      </c>
      <c r="E720" s="123">
        <v>1234.2</v>
      </c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  <c r="AA720" s="128"/>
      <c r="AB720" s="128"/>
      <c r="AC720" s="129"/>
      <c r="AD720" s="129"/>
      <c r="AE720" s="129"/>
      <c r="AF720" s="129"/>
      <c r="AG720" s="129"/>
      <c r="AH720" s="129"/>
      <c r="AI720" s="129"/>
      <c r="AJ720" s="124">
        <v>0</v>
      </c>
      <c r="AK720" s="124">
        <v>0</v>
      </c>
      <c r="AL720" s="124">
        <v>0</v>
      </c>
      <c r="AM720" s="124">
        <v>0</v>
      </c>
      <c r="AN720" s="124">
        <v>0</v>
      </c>
      <c r="AO720" s="125">
        <v>0</v>
      </c>
      <c r="AP720" s="125">
        <v>0</v>
      </c>
      <c r="AQ720" s="125">
        <v>0</v>
      </c>
      <c r="AR720" s="125">
        <v>0</v>
      </c>
      <c r="AS720" s="125">
        <v>0</v>
      </c>
      <c r="AT720" s="125">
        <v>0</v>
      </c>
      <c r="AU720" s="125">
        <v>0</v>
      </c>
      <c r="AV720" s="125">
        <v>0</v>
      </c>
      <c r="AW720" s="125">
        <v>0</v>
      </c>
      <c r="AX720" s="125">
        <v>0</v>
      </c>
      <c r="AY720" s="126"/>
      <c r="AZ720" s="126"/>
      <c r="BA720" s="126"/>
      <c r="BB720" s="126"/>
      <c r="BC720" s="126"/>
      <c r="BD720" s="126"/>
      <c r="BE720" s="126"/>
    </row>
    <row r="721" spans="2:63" x14ac:dyDescent="0.25">
      <c r="B721" s="121">
        <v>71091515</v>
      </c>
      <c r="C721" s="152" t="s">
        <v>630</v>
      </c>
      <c r="D721" s="123">
        <v>2986.36</v>
      </c>
      <c r="E721" s="123">
        <v>3048.73</v>
      </c>
      <c r="F721" s="123">
        <v>3105.04</v>
      </c>
      <c r="G721" s="123">
        <v>3166.87</v>
      </c>
      <c r="H721" s="123">
        <v>3226.47</v>
      </c>
      <c r="I721" s="123">
        <v>3202.47</v>
      </c>
      <c r="J721" s="123">
        <v>3261.5</v>
      </c>
      <c r="K721" s="123">
        <v>3303.89</v>
      </c>
      <c r="L721" s="123">
        <v>3364.89</v>
      </c>
      <c r="M721" s="123">
        <v>3423.81</v>
      </c>
      <c r="N721" s="123">
        <v>3483.45</v>
      </c>
      <c r="O721" s="123">
        <v>3540.8</v>
      </c>
      <c r="P721" s="123">
        <v>3599.25</v>
      </c>
      <c r="Q721" s="123">
        <v>3657.24</v>
      </c>
      <c r="R721" s="123">
        <v>3708.88</v>
      </c>
      <c r="S721" s="123">
        <v>3765.28</v>
      </c>
      <c r="T721" s="123">
        <v>3819.08</v>
      </c>
      <c r="U721" s="123">
        <v>3873.72</v>
      </c>
      <c r="V721" s="123">
        <v>3925.61</v>
      </c>
      <c r="W721" s="123">
        <v>3979.1</v>
      </c>
      <c r="X721" s="123">
        <v>4032.59</v>
      </c>
      <c r="Y721" s="123">
        <v>4084.34</v>
      </c>
      <c r="Z721" s="123">
        <v>4136.58</v>
      </c>
      <c r="AA721" s="123">
        <v>4186.38</v>
      </c>
      <c r="AB721" s="123">
        <v>4237.12</v>
      </c>
      <c r="AC721" s="129"/>
      <c r="AD721" s="129"/>
      <c r="AE721" s="129"/>
      <c r="AF721" s="129"/>
      <c r="AG721" s="129"/>
      <c r="AH721" s="129"/>
      <c r="AI721" s="129"/>
      <c r="AJ721" s="124">
        <v>0</v>
      </c>
      <c r="AK721" s="124">
        <v>0</v>
      </c>
      <c r="AL721" s="124">
        <v>0</v>
      </c>
      <c r="AM721" s="124">
        <v>0</v>
      </c>
      <c r="AN721" s="124">
        <v>0</v>
      </c>
      <c r="AO721" s="125">
        <v>0</v>
      </c>
      <c r="AP721" s="125">
        <v>0</v>
      </c>
      <c r="AQ721" s="125">
        <v>0</v>
      </c>
      <c r="AR721" s="125">
        <v>0</v>
      </c>
      <c r="AS721" s="125">
        <v>0</v>
      </c>
      <c r="AT721" s="125">
        <v>0</v>
      </c>
      <c r="AU721" s="125">
        <v>0</v>
      </c>
      <c r="AV721" s="125">
        <v>0</v>
      </c>
      <c r="AW721" s="125">
        <v>0</v>
      </c>
      <c r="AX721" s="125">
        <v>0</v>
      </c>
      <c r="AY721" s="126"/>
      <c r="AZ721" s="126"/>
      <c r="BA721" s="126"/>
      <c r="BB721" s="126"/>
      <c r="BC721" s="126"/>
      <c r="BD721" s="126"/>
      <c r="BE721" s="126"/>
    </row>
    <row r="722" spans="2:63" x14ac:dyDescent="0.25">
      <c r="B722" s="121">
        <v>710920</v>
      </c>
      <c r="C722" s="152" t="s">
        <v>631</v>
      </c>
      <c r="D722" s="123">
        <v>3038891.13</v>
      </c>
      <c r="E722" s="123">
        <v>3083170.86</v>
      </c>
      <c r="F722" s="123">
        <v>3117775.82</v>
      </c>
      <c r="G722" s="123">
        <v>3163988.9</v>
      </c>
      <c r="H722" s="123">
        <v>3208884.02</v>
      </c>
      <c r="I722" s="123">
        <v>3253745.2</v>
      </c>
      <c r="J722" s="123">
        <v>3298435.64</v>
      </c>
      <c r="K722" s="123">
        <v>3336049.83</v>
      </c>
      <c r="L722" s="123">
        <v>3373093.1</v>
      </c>
      <c r="M722" s="123">
        <v>3414808.49</v>
      </c>
      <c r="N722" s="123">
        <v>3448084.49</v>
      </c>
      <c r="O722" s="123">
        <v>3493789.49</v>
      </c>
      <c r="P722" s="123">
        <v>3533073.18</v>
      </c>
      <c r="Q722" s="123">
        <v>3586051.3</v>
      </c>
      <c r="R722" s="123">
        <v>3627555.64</v>
      </c>
      <c r="S722" s="123">
        <v>3672374.89</v>
      </c>
      <c r="T722" s="123">
        <v>3723432.64</v>
      </c>
      <c r="U722" s="123">
        <v>3767073.37</v>
      </c>
      <c r="V722" s="123">
        <v>3819735.98</v>
      </c>
      <c r="W722" s="123">
        <v>3870345.35</v>
      </c>
      <c r="X722" s="123">
        <v>3910472.19</v>
      </c>
      <c r="Y722" s="123">
        <v>3946733.01</v>
      </c>
      <c r="Z722" s="123">
        <v>3999685.89</v>
      </c>
      <c r="AA722" s="123">
        <v>4043989.35</v>
      </c>
      <c r="AB722" s="123">
        <v>4090674.76</v>
      </c>
      <c r="AC722" s="124">
        <v>4140714.54</v>
      </c>
      <c r="AD722" s="124">
        <v>4189689.98</v>
      </c>
      <c r="AE722" s="124">
        <v>4242321.26</v>
      </c>
      <c r="AF722" s="124">
        <v>4282558.1500000004</v>
      </c>
      <c r="AG722" s="124">
        <v>4333847.8899999997</v>
      </c>
      <c r="AH722" s="124">
        <v>4382235.91</v>
      </c>
      <c r="AI722" s="124">
        <v>4430455.75</v>
      </c>
      <c r="AJ722" s="124">
        <v>4497279.03</v>
      </c>
      <c r="AK722" s="124">
        <v>4536138.25</v>
      </c>
      <c r="AL722" s="124">
        <v>4587519.3099999996</v>
      </c>
      <c r="AM722" s="124">
        <v>4504979.4800000004</v>
      </c>
      <c r="AN722" s="124">
        <v>4546458.41</v>
      </c>
      <c r="AO722" s="125">
        <v>4591014.21</v>
      </c>
      <c r="AP722" s="125">
        <v>4636895.6399999997</v>
      </c>
      <c r="AQ722" s="125">
        <v>4683005.34</v>
      </c>
      <c r="AR722" s="125">
        <v>4721793.8</v>
      </c>
      <c r="AS722" s="125">
        <v>4748814.68</v>
      </c>
      <c r="AT722" s="125">
        <v>4798407.66</v>
      </c>
      <c r="AU722" s="125">
        <v>4850833.45</v>
      </c>
      <c r="AV722" s="125">
        <v>4902555.34</v>
      </c>
      <c r="AW722" s="125">
        <v>4947839.9000000004</v>
      </c>
      <c r="AX722" s="125">
        <v>4836513.5999999996</v>
      </c>
      <c r="AY722" s="126"/>
      <c r="AZ722" s="126"/>
      <c r="BA722" s="126"/>
      <c r="BB722" s="126"/>
      <c r="BC722" s="126"/>
      <c r="BD722" s="126"/>
      <c r="BE722" s="126"/>
      <c r="BF722" s="127">
        <v>710920</v>
      </c>
      <c r="BG722" s="97" t="s">
        <v>631</v>
      </c>
      <c r="BH722" s="127">
        <v>4382235.91</v>
      </c>
      <c r="BI722" s="127">
        <v>710920</v>
      </c>
      <c r="BJ722" s="97" t="s">
        <v>631</v>
      </c>
      <c r="BK722" s="127">
        <v>4430455.75</v>
      </c>
    </row>
    <row r="723" spans="2:63" x14ac:dyDescent="0.25">
      <c r="B723" s="121">
        <v>71092005</v>
      </c>
      <c r="C723" s="152" t="s">
        <v>628</v>
      </c>
      <c r="D723" s="123">
        <v>1057748.99</v>
      </c>
      <c r="E723" s="123">
        <v>1057674.43</v>
      </c>
      <c r="F723" s="123">
        <v>1057910.0900000001</v>
      </c>
      <c r="G723" s="123">
        <v>1058263.1200000001</v>
      </c>
      <c r="H723" s="123">
        <v>1058432.6499999999</v>
      </c>
      <c r="I723" s="123">
        <v>1057263.17</v>
      </c>
      <c r="J723" s="123">
        <v>1057320.3899999999</v>
      </c>
      <c r="K723" s="123">
        <v>1055549.94</v>
      </c>
      <c r="L723" s="123">
        <v>1054758.56</v>
      </c>
      <c r="M723" s="123">
        <v>1055795.94</v>
      </c>
      <c r="N723" s="123">
        <v>1053978.54</v>
      </c>
      <c r="O723" s="123">
        <v>1056001.3799999999</v>
      </c>
      <c r="P723" s="123">
        <v>1057415.92</v>
      </c>
      <c r="Q723" s="123">
        <v>1063085.83</v>
      </c>
      <c r="R723" s="123">
        <v>1067898.3600000001</v>
      </c>
      <c r="S723" s="123">
        <v>1067138.79</v>
      </c>
      <c r="T723" s="123">
        <v>1073224.8500000001</v>
      </c>
      <c r="U723" s="123">
        <v>1076058.33</v>
      </c>
      <c r="V723" s="123">
        <v>1084862.4099999999</v>
      </c>
      <c r="W723" s="123">
        <v>1092713.55</v>
      </c>
      <c r="X723" s="123">
        <v>1088666.49</v>
      </c>
      <c r="Y723" s="123">
        <v>1089367.8700000001</v>
      </c>
      <c r="Z723" s="123">
        <v>1095703</v>
      </c>
      <c r="AA723" s="123">
        <v>1100696.26</v>
      </c>
      <c r="AB723" s="123">
        <v>1103119.6000000001</v>
      </c>
      <c r="AC723" s="124">
        <v>1109211.3899999999</v>
      </c>
      <c r="AD723" s="124">
        <v>1115351.21</v>
      </c>
      <c r="AE723" s="124">
        <v>1119823.05</v>
      </c>
      <c r="AF723" s="124">
        <v>1119544.55</v>
      </c>
      <c r="AG723" s="124">
        <v>1128138.8899999999</v>
      </c>
      <c r="AH723" s="124">
        <v>1129126.3899999999</v>
      </c>
      <c r="AI723" s="124">
        <v>1128691.1000000001</v>
      </c>
      <c r="AJ723" s="124">
        <v>1141304.46</v>
      </c>
      <c r="AK723" s="124">
        <v>1148094.48</v>
      </c>
      <c r="AL723" s="124">
        <v>1154288.6499999999</v>
      </c>
      <c r="AM723" s="124">
        <v>1057315.83</v>
      </c>
      <c r="AN723" s="124">
        <v>1051380.94</v>
      </c>
      <c r="AO723" s="125">
        <v>1048202.33</v>
      </c>
      <c r="AP723" s="125">
        <v>1050193.3799999999</v>
      </c>
      <c r="AQ723" s="125">
        <v>1047922.13</v>
      </c>
      <c r="AR723" s="125">
        <v>1043904.03</v>
      </c>
      <c r="AS723" s="125">
        <v>1038674.39</v>
      </c>
      <c r="AT723" s="125">
        <v>1041083.21</v>
      </c>
      <c r="AU723" s="125">
        <v>1044686.86</v>
      </c>
      <c r="AV723" s="125">
        <v>1046968.57</v>
      </c>
      <c r="AW723" s="125">
        <v>1045762.84</v>
      </c>
      <c r="AX723" s="125">
        <v>999904.81</v>
      </c>
      <c r="AY723" s="126"/>
      <c r="AZ723" s="126"/>
      <c r="BA723" s="126"/>
      <c r="BB723" s="126"/>
      <c r="BC723" s="126"/>
      <c r="BD723" s="126"/>
      <c r="BE723" s="126"/>
      <c r="BF723" s="127">
        <v>71092005</v>
      </c>
      <c r="BG723" s="97" t="s">
        <v>628</v>
      </c>
      <c r="BH723" s="127">
        <v>1129126.3899999999</v>
      </c>
      <c r="BI723" s="127">
        <v>71092005</v>
      </c>
      <c r="BJ723" s="97" t="s">
        <v>628</v>
      </c>
      <c r="BK723" s="127">
        <v>1128691.1000000001</v>
      </c>
    </row>
    <row r="724" spans="2:63" x14ac:dyDescent="0.25">
      <c r="B724" s="121">
        <v>71092010</v>
      </c>
      <c r="C724" s="152" t="s">
        <v>629</v>
      </c>
      <c r="D724" s="123">
        <v>443.04</v>
      </c>
      <c r="E724" s="123">
        <v>433.07</v>
      </c>
      <c r="F724" s="123">
        <v>508.63</v>
      </c>
      <c r="G724" s="123">
        <v>550.99</v>
      </c>
      <c r="H724" s="123">
        <v>527.74</v>
      </c>
      <c r="I724" s="123">
        <v>406.46</v>
      </c>
      <c r="J724" s="123">
        <v>395.12</v>
      </c>
      <c r="K724" s="123">
        <v>725.12</v>
      </c>
      <c r="L724" s="123">
        <v>675.36</v>
      </c>
      <c r="M724" s="123">
        <v>954.42</v>
      </c>
      <c r="N724" s="123">
        <v>1064.53</v>
      </c>
      <c r="O724" s="123">
        <v>1238.51</v>
      </c>
      <c r="P724" s="123">
        <v>1353.32</v>
      </c>
      <c r="Q724" s="123">
        <v>2673.51</v>
      </c>
      <c r="R724" s="123">
        <v>3258.35</v>
      </c>
      <c r="S724" s="123">
        <v>3126.26</v>
      </c>
      <c r="T724" s="123">
        <v>3541.07</v>
      </c>
      <c r="U724" s="123">
        <v>4688.6099999999997</v>
      </c>
      <c r="V724" s="123">
        <v>4606.87</v>
      </c>
      <c r="W724" s="123">
        <v>5673.03</v>
      </c>
      <c r="X724" s="123">
        <v>4557.99</v>
      </c>
      <c r="Y724" s="123">
        <v>4141.78</v>
      </c>
      <c r="Z724" s="123">
        <v>4557.88</v>
      </c>
      <c r="AA724" s="123">
        <v>5227.9799999999996</v>
      </c>
      <c r="AB724" s="123">
        <v>5777.34</v>
      </c>
      <c r="AC724" s="124">
        <v>6086.73</v>
      </c>
      <c r="AD724" s="124">
        <v>5780.27</v>
      </c>
      <c r="AE724" s="124">
        <v>6424.42</v>
      </c>
      <c r="AF724" s="124">
        <v>5085.49</v>
      </c>
      <c r="AG724" s="124">
        <v>5679</v>
      </c>
      <c r="AH724" s="124">
        <v>5256.75</v>
      </c>
      <c r="AI724" s="124">
        <v>5868.89</v>
      </c>
      <c r="AJ724" s="124">
        <v>8581.15</v>
      </c>
      <c r="AK724" s="124">
        <v>7414.71</v>
      </c>
      <c r="AL724" s="124">
        <v>8251.39</v>
      </c>
      <c r="AM724" s="124">
        <v>3588.86</v>
      </c>
      <c r="AN724" s="124">
        <v>2528.1999999999998</v>
      </c>
      <c r="AO724" s="125">
        <v>1948.48</v>
      </c>
      <c r="AP724" s="125">
        <v>2203.31</v>
      </c>
      <c r="AQ724" s="125">
        <v>2091.12</v>
      </c>
      <c r="AR724" s="125">
        <v>1560.98</v>
      </c>
      <c r="AS724" s="125">
        <v>952.89</v>
      </c>
      <c r="AT724" s="125">
        <v>1713.32</v>
      </c>
      <c r="AU724" s="125">
        <v>2142.94</v>
      </c>
      <c r="AV724" s="125">
        <v>3047.01</v>
      </c>
      <c r="AW724" s="125">
        <v>2642.93</v>
      </c>
      <c r="AX724" s="125">
        <v>1823.58</v>
      </c>
      <c r="AY724" s="126"/>
      <c r="AZ724" s="126"/>
      <c r="BA724" s="126"/>
      <c r="BB724" s="126"/>
      <c r="BC724" s="126"/>
      <c r="BD724" s="126"/>
      <c r="BE724" s="126"/>
      <c r="BF724" s="127">
        <v>71092010</v>
      </c>
      <c r="BG724" s="97" t="s">
        <v>629</v>
      </c>
      <c r="BH724" s="127">
        <v>5256.75</v>
      </c>
      <c r="BI724" s="127">
        <v>71092010</v>
      </c>
      <c r="BJ724" s="97" t="s">
        <v>629</v>
      </c>
      <c r="BK724" s="127">
        <v>5868.89</v>
      </c>
    </row>
    <row r="725" spans="2:63" x14ac:dyDescent="0.25">
      <c r="B725" s="121">
        <v>71092015</v>
      </c>
      <c r="C725" s="152" t="s">
        <v>632</v>
      </c>
      <c r="D725" s="123">
        <v>1980699.1</v>
      </c>
      <c r="E725" s="123">
        <v>2025063.36</v>
      </c>
      <c r="F725" s="123">
        <v>2059357.1</v>
      </c>
      <c r="G725" s="123">
        <v>2105174.79</v>
      </c>
      <c r="H725" s="123">
        <v>2149923.63</v>
      </c>
      <c r="I725" s="123">
        <v>2196075.5699999998</v>
      </c>
      <c r="J725" s="123">
        <v>2240720.13</v>
      </c>
      <c r="K725" s="123">
        <v>2279774.77</v>
      </c>
      <c r="L725" s="123">
        <v>2317659.1800000002</v>
      </c>
      <c r="M725" s="123">
        <v>2358058.13</v>
      </c>
      <c r="N725" s="123">
        <v>2393041.42</v>
      </c>
      <c r="O725" s="123">
        <v>2436549.6</v>
      </c>
      <c r="P725" s="123">
        <v>2474303.94</v>
      </c>
      <c r="Q725" s="123">
        <v>2520291.96</v>
      </c>
      <c r="R725" s="123">
        <v>2556398.9300000002</v>
      </c>
      <c r="S725" s="123">
        <v>2602109.84</v>
      </c>
      <c r="T725" s="123">
        <v>2646666.7200000002</v>
      </c>
      <c r="U725" s="123">
        <v>2686326.43</v>
      </c>
      <c r="V725" s="123">
        <v>2730266.7</v>
      </c>
      <c r="W725" s="123">
        <v>2771958.77</v>
      </c>
      <c r="X725" s="123">
        <v>2817247.71</v>
      </c>
      <c r="Y725" s="123">
        <v>2853223.36</v>
      </c>
      <c r="Z725" s="123">
        <v>2899425.01</v>
      </c>
      <c r="AA725" s="123">
        <v>2938065.11</v>
      </c>
      <c r="AB725" s="123">
        <v>2981777.82</v>
      </c>
      <c r="AC725" s="124">
        <v>3025416.42</v>
      </c>
      <c r="AD725" s="124">
        <v>3068558.5</v>
      </c>
      <c r="AE725" s="124">
        <v>3116073.79</v>
      </c>
      <c r="AF725" s="124">
        <v>3157928.11</v>
      </c>
      <c r="AG725" s="124">
        <v>3200030</v>
      </c>
      <c r="AH725" s="124">
        <v>3247852.77</v>
      </c>
      <c r="AI725" s="124">
        <v>3295895.76</v>
      </c>
      <c r="AJ725" s="124">
        <v>3347393.42</v>
      </c>
      <c r="AK725" s="124">
        <v>3380629.06</v>
      </c>
      <c r="AL725" s="124">
        <v>3424979.27</v>
      </c>
      <c r="AM725" s="124">
        <v>3444074.79</v>
      </c>
      <c r="AN725" s="124">
        <v>3492549.27</v>
      </c>
      <c r="AO725" s="125">
        <v>3540863.4</v>
      </c>
      <c r="AP725" s="125">
        <v>3584498.95</v>
      </c>
      <c r="AQ725" s="125">
        <v>3632992.09</v>
      </c>
      <c r="AR725" s="125">
        <v>3676328.79</v>
      </c>
      <c r="AS725" s="125">
        <v>3709187.4</v>
      </c>
      <c r="AT725" s="125">
        <v>3755611.13</v>
      </c>
      <c r="AU725" s="125">
        <v>3804003.65</v>
      </c>
      <c r="AV725" s="125">
        <v>3852539.76</v>
      </c>
      <c r="AW725" s="125">
        <v>3899434.13</v>
      </c>
      <c r="AX725" s="125">
        <v>3834785.21</v>
      </c>
      <c r="AY725" s="126"/>
      <c r="AZ725" s="126"/>
      <c r="BA725" s="126"/>
      <c r="BB725" s="126"/>
      <c r="BC725" s="126"/>
      <c r="BD725" s="126"/>
      <c r="BE725" s="126"/>
      <c r="BF725" s="127">
        <v>71092015</v>
      </c>
      <c r="BG725" s="97" t="s">
        <v>632</v>
      </c>
      <c r="BH725" s="127">
        <v>3247852.77</v>
      </c>
      <c r="BI725" s="127">
        <v>71092015</v>
      </c>
      <c r="BJ725" s="97" t="s">
        <v>632</v>
      </c>
      <c r="BK725" s="127">
        <v>3295895.76</v>
      </c>
    </row>
    <row r="726" spans="2:63" x14ac:dyDescent="0.25">
      <c r="B726" s="121">
        <v>710935</v>
      </c>
      <c r="C726" s="152" t="s">
        <v>633</v>
      </c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3">
        <v>1466.05</v>
      </c>
      <c r="AA726" s="123">
        <v>3858.42</v>
      </c>
      <c r="AB726" s="123">
        <v>6014.55</v>
      </c>
      <c r="AC726" s="129"/>
      <c r="AD726" s="129"/>
      <c r="AE726" s="129"/>
      <c r="AF726" s="129"/>
      <c r="AG726" s="129"/>
      <c r="AH726" s="129"/>
      <c r="AI726" s="129"/>
      <c r="AJ726" s="124">
        <v>0</v>
      </c>
      <c r="AK726" s="124">
        <v>0</v>
      </c>
      <c r="AL726" s="124">
        <v>0</v>
      </c>
      <c r="AM726" s="124">
        <v>0</v>
      </c>
      <c r="AN726" s="124">
        <v>0</v>
      </c>
      <c r="AO726" s="125">
        <v>0</v>
      </c>
      <c r="AP726" s="125">
        <v>0</v>
      </c>
      <c r="AQ726" s="125">
        <v>0</v>
      </c>
      <c r="AR726" s="125">
        <v>0</v>
      </c>
      <c r="AS726" s="125">
        <v>0</v>
      </c>
      <c r="AT726" s="125">
        <v>0</v>
      </c>
      <c r="AU726" s="125">
        <v>0</v>
      </c>
      <c r="AV726" s="125">
        <v>0</v>
      </c>
      <c r="AW726" s="125">
        <v>0</v>
      </c>
      <c r="AX726" s="125">
        <v>0</v>
      </c>
      <c r="AY726" s="126"/>
      <c r="AZ726" s="126"/>
      <c r="BA726" s="126"/>
      <c r="BB726" s="126"/>
      <c r="BC726" s="126"/>
      <c r="BD726" s="126"/>
      <c r="BE726" s="126"/>
    </row>
    <row r="727" spans="2:63" x14ac:dyDescent="0.25">
      <c r="B727" s="121">
        <v>710945</v>
      </c>
      <c r="C727" s="152" t="s">
        <v>564</v>
      </c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3">
        <v>601.79999999999995</v>
      </c>
      <c r="V727" s="123">
        <v>356.91</v>
      </c>
      <c r="W727" s="123">
        <v>445.93</v>
      </c>
      <c r="X727" s="123">
        <v>534.95000000000005</v>
      </c>
      <c r="Y727" s="123">
        <v>621.1</v>
      </c>
      <c r="Z727" s="123">
        <v>1284.92</v>
      </c>
      <c r="AA727" s="123">
        <v>3427.27</v>
      </c>
      <c r="AB727" s="123">
        <v>5016.22</v>
      </c>
      <c r="AC727" s="124">
        <v>7905.32</v>
      </c>
      <c r="AD727" s="124">
        <v>6613.24</v>
      </c>
      <c r="AE727" s="124">
        <v>7111.1</v>
      </c>
      <c r="AF727" s="124">
        <v>8658.39</v>
      </c>
      <c r="AG727" s="124">
        <v>9873.92</v>
      </c>
      <c r="AH727" s="124">
        <v>13759.77</v>
      </c>
      <c r="AI727" s="124">
        <v>16626.060000000001</v>
      </c>
      <c r="AJ727" s="124">
        <v>15761.64</v>
      </c>
      <c r="AK727" s="124">
        <v>19564.07</v>
      </c>
      <c r="AL727" s="124">
        <v>19042.830000000002</v>
      </c>
      <c r="AM727" s="124">
        <v>763.51</v>
      </c>
      <c r="AN727" s="124">
        <v>518.55999999999995</v>
      </c>
      <c r="AO727" s="125">
        <v>1114.8800000000001</v>
      </c>
      <c r="AP727" s="125">
        <v>670.61</v>
      </c>
      <c r="AQ727" s="125">
        <v>3385.9</v>
      </c>
      <c r="AR727" s="125">
        <v>1316.42</v>
      </c>
      <c r="AS727" s="125">
        <v>1081.3399999999999</v>
      </c>
      <c r="AT727" s="125">
        <v>2506.7800000000002</v>
      </c>
      <c r="AU727" s="125">
        <v>1305.2</v>
      </c>
      <c r="AV727" s="125">
        <v>1977.66</v>
      </c>
      <c r="AW727" s="125">
        <v>1659.69</v>
      </c>
      <c r="AX727" s="125">
        <v>1511.58</v>
      </c>
      <c r="AY727" s="126"/>
      <c r="AZ727" s="126"/>
      <c r="BA727" s="126"/>
      <c r="BB727" s="126"/>
      <c r="BC727" s="126"/>
      <c r="BD727" s="126"/>
      <c r="BE727" s="126"/>
      <c r="BF727" s="127">
        <v>710945</v>
      </c>
      <c r="BG727" s="97" t="s">
        <v>564</v>
      </c>
      <c r="BH727" s="127">
        <v>13759.77</v>
      </c>
      <c r="BI727" s="127">
        <v>710945</v>
      </c>
      <c r="BJ727" s="97" t="s">
        <v>564</v>
      </c>
      <c r="BK727" s="127">
        <v>16626.060000000001</v>
      </c>
    </row>
    <row r="728" spans="2:63" x14ac:dyDescent="0.25">
      <c r="B728" s="121">
        <v>71094505</v>
      </c>
      <c r="C728" s="152" t="s">
        <v>628</v>
      </c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3">
        <v>562.63</v>
      </c>
      <c r="V728" s="123">
        <v>326.69</v>
      </c>
      <c r="W728" s="123">
        <v>404.45</v>
      </c>
      <c r="X728" s="123">
        <v>482.67</v>
      </c>
      <c r="Y728" s="123">
        <v>558.76</v>
      </c>
      <c r="Z728" s="123">
        <v>111.02</v>
      </c>
      <c r="AA728" s="123">
        <v>319.33</v>
      </c>
      <c r="AB728" s="123">
        <v>838.36</v>
      </c>
      <c r="AC728" s="124">
        <v>6831.41</v>
      </c>
      <c r="AD728" s="124">
        <v>5731.7</v>
      </c>
      <c r="AE728" s="124">
        <v>6261.38</v>
      </c>
      <c r="AF728" s="124">
        <v>7660.64</v>
      </c>
      <c r="AG728" s="124">
        <v>8503</v>
      </c>
      <c r="AH728" s="124">
        <v>12115.1</v>
      </c>
      <c r="AI728" s="124">
        <v>14376.57</v>
      </c>
      <c r="AJ728" s="124">
        <v>13704.93</v>
      </c>
      <c r="AK728" s="124">
        <v>17108.78</v>
      </c>
      <c r="AL728" s="124">
        <v>16520.68</v>
      </c>
      <c r="AM728" s="124">
        <v>560.6</v>
      </c>
      <c r="AN728" s="124">
        <v>439.42</v>
      </c>
      <c r="AO728" s="125">
        <v>995.36</v>
      </c>
      <c r="AP728" s="125">
        <v>585.79999999999995</v>
      </c>
      <c r="AQ728" s="125">
        <v>2747.79</v>
      </c>
      <c r="AR728" s="125">
        <v>1187.81</v>
      </c>
      <c r="AS728" s="125">
        <v>960.92</v>
      </c>
      <c r="AT728" s="125">
        <v>1988.3</v>
      </c>
      <c r="AU728" s="125">
        <v>1113.0999999999999</v>
      </c>
      <c r="AV728" s="125">
        <v>1677.24</v>
      </c>
      <c r="AW728" s="125">
        <v>1426.86</v>
      </c>
      <c r="AX728" s="125">
        <v>1295.01</v>
      </c>
      <c r="AY728" s="126"/>
      <c r="AZ728" s="126"/>
      <c r="BA728" s="126"/>
      <c r="BB728" s="126"/>
      <c r="BC728" s="126"/>
      <c r="BD728" s="126"/>
      <c r="BE728" s="126"/>
      <c r="BF728" s="127">
        <v>71094505</v>
      </c>
      <c r="BG728" s="97" t="s">
        <v>628</v>
      </c>
      <c r="BH728" s="127">
        <v>12115.1</v>
      </c>
      <c r="BI728" s="127">
        <v>71094505</v>
      </c>
      <c r="BJ728" s="97" t="s">
        <v>628</v>
      </c>
      <c r="BK728" s="127">
        <v>14376.57</v>
      </c>
    </row>
    <row r="729" spans="2:63" x14ac:dyDescent="0.25">
      <c r="B729" s="121">
        <v>71094510</v>
      </c>
      <c r="C729" s="152" t="s">
        <v>629</v>
      </c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3">
        <v>36.6</v>
      </c>
      <c r="V729" s="123">
        <v>15.55</v>
      </c>
      <c r="W729" s="123">
        <v>17.66</v>
      </c>
      <c r="X729" s="123">
        <v>17.18</v>
      </c>
      <c r="Y729" s="123">
        <v>14.31</v>
      </c>
      <c r="Z729" s="123">
        <v>70.11</v>
      </c>
      <c r="AA729" s="123">
        <v>111.82</v>
      </c>
      <c r="AB729" s="123">
        <v>159.97</v>
      </c>
      <c r="AC729" s="124">
        <v>859.71</v>
      </c>
      <c r="AD729" s="124">
        <v>616.49</v>
      </c>
      <c r="AE729" s="124">
        <v>513.89</v>
      </c>
      <c r="AF729" s="124">
        <v>571.11</v>
      </c>
      <c r="AG729" s="124">
        <v>835.98</v>
      </c>
      <c r="AH729" s="124">
        <v>971.29</v>
      </c>
      <c r="AI729" s="124">
        <v>1397.36</v>
      </c>
      <c r="AJ729" s="124">
        <v>1078.3800000000001</v>
      </c>
      <c r="AK729" s="124">
        <v>1235.17</v>
      </c>
      <c r="AL729" s="124">
        <v>1163.3499999999999</v>
      </c>
      <c r="AM729" s="124">
        <v>185.89</v>
      </c>
      <c r="AN729" s="124">
        <v>65.58</v>
      </c>
      <c r="AO729" s="125">
        <v>95.22</v>
      </c>
      <c r="AP729" s="125">
        <v>53.26</v>
      </c>
      <c r="AQ729" s="125">
        <v>565.05999999999995</v>
      </c>
      <c r="AR729" s="125">
        <v>82.82</v>
      </c>
      <c r="AS729" s="125">
        <v>88.08</v>
      </c>
      <c r="AT729" s="125">
        <v>468.39</v>
      </c>
      <c r="AU729" s="125">
        <v>162.94</v>
      </c>
      <c r="AV729" s="125">
        <v>256.56</v>
      </c>
      <c r="AW729" s="125">
        <v>161.63</v>
      </c>
      <c r="AX729" s="125">
        <v>173.58</v>
      </c>
      <c r="AY729" s="126"/>
      <c r="AZ729" s="126"/>
      <c r="BA729" s="126"/>
      <c r="BB729" s="126"/>
      <c r="BC729" s="126"/>
      <c r="BD729" s="126"/>
      <c r="BE729" s="126"/>
      <c r="BF729" s="127">
        <v>71094510</v>
      </c>
      <c r="BG729" s="97" t="s">
        <v>629</v>
      </c>
      <c r="BH729" s="127">
        <v>971.29</v>
      </c>
      <c r="BI729" s="127">
        <v>71094510</v>
      </c>
      <c r="BJ729" s="97" t="s">
        <v>629</v>
      </c>
      <c r="BK729" s="127">
        <v>1397.36</v>
      </c>
    </row>
    <row r="730" spans="2:63" x14ac:dyDescent="0.25">
      <c r="B730" s="121">
        <v>71094515</v>
      </c>
      <c r="C730" s="152" t="s">
        <v>634</v>
      </c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3">
        <v>2.57</v>
      </c>
      <c r="V730" s="123">
        <v>14.67</v>
      </c>
      <c r="W730" s="123">
        <v>23.82</v>
      </c>
      <c r="X730" s="123">
        <v>35.1</v>
      </c>
      <c r="Y730" s="123">
        <v>48.03</v>
      </c>
      <c r="Z730" s="123">
        <v>-37.630000000000003</v>
      </c>
      <c r="AA730" s="123">
        <v>538</v>
      </c>
      <c r="AB730" s="123">
        <v>1336.3999999999999</v>
      </c>
      <c r="AC730" s="124">
        <v>214.2</v>
      </c>
      <c r="AD730" s="124">
        <v>265.05</v>
      </c>
      <c r="AE730" s="124">
        <v>335.83</v>
      </c>
      <c r="AF730" s="124">
        <v>426.64</v>
      </c>
      <c r="AG730" s="124">
        <v>534.94000000000005</v>
      </c>
      <c r="AH730" s="124">
        <v>673.38</v>
      </c>
      <c r="AI730" s="124">
        <v>852.13</v>
      </c>
      <c r="AJ730" s="124">
        <v>978.33</v>
      </c>
      <c r="AK730" s="124">
        <v>1220.1199999999999</v>
      </c>
      <c r="AL730" s="124">
        <v>1358.8</v>
      </c>
      <c r="AM730" s="124">
        <v>17.02</v>
      </c>
      <c r="AN730" s="124">
        <v>13.56</v>
      </c>
      <c r="AO730" s="125">
        <v>24.3</v>
      </c>
      <c r="AP730" s="125">
        <v>31.55</v>
      </c>
      <c r="AQ730" s="125">
        <v>73.05</v>
      </c>
      <c r="AR730" s="125">
        <v>45.79</v>
      </c>
      <c r="AS730" s="125">
        <v>32.340000000000003</v>
      </c>
      <c r="AT730" s="125">
        <v>50.09</v>
      </c>
      <c r="AU730" s="125">
        <v>29.16</v>
      </c>
      <c r="AV730" s="125">
        <v>43.86</v>
      </c>
      <c r="AW730" s="125">
        <v>71.2</v>
      </c>
      <c r="AX730" s="125">
        <v>42.99</v>
      </c>
      <c r="AY730" s="126"/>
      <c r="AZ730" s="126"/>
      <c r="BA730" s="126"/>
      <c r="BB730" s="126"/>
      <c r="BC730" s="126"/>
      <c r="BD730" s="126"/>
      <c r="BE730" s="126"/>
      <c r="BF730" s="127">
        <v>71094515</v>
      </c>
      <c r="BG730" s="97" t="s">
        <v>634</v>
      </c>
      <c r="BH730" s="127">
        <v>673.38</v>
      </c>
      <c r="BI730" s="127">
        <v>71094515</v>
      </c>
      <c r="BJ730" s="97" t="s">
        <v>634</v>
      </c>
      <c r="BK730" s="127">
        <v>852.13</v>
      </c>
    </row>
    <row r="731" spans="2:63" x14ac:dyDescent="0.25">
      <c r="B731" s="121">
        <v>710950</v>
      </c>
      <c r="C731" s="152" t="s">
        <v>565</v>
      </c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3">
        <v>69.98</v>
      </c>
      <c r="P731" s="123">
        <v>157.22</v>
      </c>
      <c r="Q731" s="123">
        <v>248.04</v>
      </c>
      <c r="R731" s="123">
        <v>221.82</v>
      </c>
      <c r="S731" s="123">
        <v>324.27</v>
      </c>
      <c r="T731" s="123">
        <v>415.04</v>
      </c>
      <c r="U731" s="123">
        <v>491.7</v>
      </c>
      <c r="V731" s="123">
        <v>544.52</v>
      </c>
      <c r="W731" s="123">
        <v>601.73</v>
      </c>
      <c r="X731" s="123">
        <v>666.96</v>
      </c>
      <c r="Y731" s="123">
        <v>693.94</v>
      </c>
      <c r="Z731" s="123">
        <v>93.51</v>
      </c>
      <c r="AA731" s="123">
        <v>495.44</v>
      </c>
      <c r="AB731" s="123">
        <v>1046.07</v>
      </c>
      <c r="AC731" s="124">
        <v>3253.94</v>
      </c>
      <c r="AD731" s="124">
        <v>3919.64</v>
      </c>
      <c r="AE731" s="124">
        <v>3387.9</v>
      </c>
      <c r="AF731" s="124">
        <v>3085.76</v>
      </c>
      <c r="AG731" s="124">
        <v>4939.74</v>
      </c>
      <c r="AH731" s="124">
        <v>5710.85</v>
      </c>
      <c r="AI731" s="124">
        <v>8497.23</v>
      </c>
      <c r="AJ731" s="124">
        <v>8002.6200000000008</v>
      </c>
      <c r="AK731" s="124">
        <v>11796.21</v>
      </c>
      <c r="AL731" s="124">
        <v>13490.23</v>
      </c>
      <c r="AM731" s="124">
        <v>3363.15</v>
      </c>
      <c r="AN731" s="124">
        <v>3264.58</v>
      </c>
      <c r="AO731" s="125">
        <v>3209.89</v>
      </c>
      <c r="AP731" s="125">
        <v>3230.03</v>
      </c>
      <c r="AQ731" s="125">
        <v>3284.27</v>
      </c>
      <c r="AR731" s="125">
        <v>2740.07</v>
      </c>
      <c r="AS731" s="125">
        <v>3657.02</v>
      </c>
      <c r="AT731" s="125">
        <v>3468.26</v>
      </c>
      <c r="AU731" s="125">
        <v>4629.12</v>
      </c>
      <c r="AV731" s="125">
        <v>3296.3</v>
      </c>
      <c r="AW731" s="125">
        <v>3335.37</v>
      </c>
      <c r="AX731" s="125">
        <v>3310.98</v>
      </c>
      <c r="AY731" s="126"/>
      <c r="AZ731" s="126"/>
      <c r="BA731" s="126"/>
      <c r="BB731" s="126"/>
      <c r="BC731" s="126"/>
      <c r="BD731" s="126"/>
      <c r="BE731" s="126"/>
      <c r="BF731" s="127">
        <v>710950</v>
      </c>
      <c r="BG731" s="97" t="s">
        <v>565</v>
      </c>
      <c r="BH731" s="127">
        <v>5710.85</v>
      </c>
      <c r="BI731" s="127">
        <v>710950</v>
      </c>
      <c r="BJ731" s="97" t="s">
        <v>565</v>
      </c>
      <c r="BK731" s="127">
        <v>8497.23</v>
      </c>
    </row>
    <row r="732" spans="2:63" x14ac:dyDescent="0.25">
      <c r="B732" s="121">
        <v>71095005</v>
      </c>
      <c r="C732" s="152" t="s">
        <v>628</v>
      </c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  <c r="AA732" s="128"/>
      <c r="AB732" s="128"/>
      <c r="AC732" s="124">
        <v>2707.32</v>
      </c>
      <c r="AD732" s="124">
        <v>3518.73</v>
      </c>
      <c r="AE732" s="124">
        <v>3491.89</v>
      </c>
      <c r="AF732" s="124">
        <v>3176.39</v>
      </c>
      <c r="AG732" s="124">
        <v>4772.92</v>
      </c>
      <c r="AH732" s="124">
        <v>5539.31</v>
      </c>
      <c r="AI732" s="124">
        <v>8054.87</v>
      </c>
      <c r="AJ732" s="124">
        <v>7105.68</v>
      </c>
      <c r="AK732" s="124">
        <v>9442.6</v>
      </c>
      <c r="AL732" s="124">
        <v>10894.94</v>
      </c>
      <c r="AM732" s="124">
        <v>2137.94</v>
      </c>
      <c r="AN732" s="124">
        <v>1915.54</v>
      </c>
      <c r="AO732" s="125">
        <v>1919.1</v>
      </c>
      <c r="AP732" s="125">
        <v>2072.9899999999998</v>
      </c>
      <c r="AQ732" s="125">
        <v>2065.4499999999998</v>
      </c>
      <c r="AR732" s="125">
        <v>1606.3</v>
      </c>
      <c r="AS732" s="125">
        <v>2309</v>
      </c>
      <c r="AT732" s="125">
        <v>2263.09</v>
      </c>
      <c r="AU732" s="125">
        <v>3250.8</v>
      </c>
      <c r="AV732" s="125">
        <v>2119.7800000000002</v>
      </c>
      <c r="AW732" s="125">
        <v>2175.48</v>
      </c>
      <c r="AX732" s="125">
        <v>2176.1999999999998</v>
      </c>
      <c r="AY732" s="126"/>
      <c r="AZ732" s="126"/>
      <c r="BA732" s="126"/>
      <c r="BB732" s="126"/>
      <c r="BC732" s="126"/>
      <c r="BD732" s="126"/>
      <c r="BE732" s="126"/>
      <c r="BF732" s="127">
        <v>71095005</v>
      </c>
      <c r="BG732" s="97" t="s">
        <v>628</v>
      </c>
      <c r="BH732" s="127">
        <v>5539.31</v>
      </c>
      <c r="BI732" s="127">
        <v>71095005</v>
      </c>
      <c r="BJ732" s="97" t="s">
        <v>628</v>
      </c>
      <c r="BK732" s="127">
        <v>8054.87</v>
      </c>
    </row>
    <row r="733" spans="2:63" x14ac:dyDescent="0.25">
      <c r="B733" s="121">
        <v>71095010</v>
      </c>
      <c r="C733" s="152" t="s">
        <v>635</v>
      </c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3">
        <v>22.87</v>
      </c>
      <c r="P733" s="123">
        <v>19.440000000000001</v>
      </c>
      <c r="Q733" s="123">
        <v>14.61</v>
      </c>
      <c r="R733" s="123">
        <v>7.11</v>
      </c>
      <c r="S733" s="123">
        <v>4.66</v>
      </c>
      <c r="T733" s="123">
        <v>-0.94</v>
      </c>
      <c r="U733" s="123">
        <v>-5.58</v>
      </c>
      <c r="V733" s="123">
        <v>-10.99</v>
      </c>
      <c r="W733" s="123">
        <v>-16.149999999999999</v>
      </c>
      <c r="X733" s="128"/>
      <c r="Y733" s="128"/>
      <c r="Z733" s="123">
        <v>16.29</v>
      </c>
      <c r="AA733" s="123">
        <v>156.87</v>
      </c>
      <c r="AB733" s="123">
        <v>290.33</v>
      </c>
      <c r="AC733" s="124">
        <v>568.91999999999996</v>
      </c>
      <c r="AD733" s="124">
        <v>387.55</v>
      </c>
      <c r="AE733" s="124">
        <v>618.92999999999995</v>
      </c>
      <c r="AF733" s="124">
        <v>606.83000000000004</v>
      </c>
      <c r="AG733" s="124">
        <v>824.91</v>
      </c>
      <c r="AH733" s="124">
        <v>760.75</v>
      </c>
      <c r="AI733" s="124">
        <v>940.24</v>
      </c>
      <c r="AJ733" s="124">
        <v>896.94</v>
      </c>
      <c r="AK733" s="124">
        <v>904.53</v>
      </c>
      <c r="AL733" s="124">
        <v>1027.95</v>
      </c>
      <c r="AM733" s="124">
        <v>224.33</v>
      </c>
      <c r="AN733" s="124">
        <v>310.47000000000003</v>
      </c>
      <c r="AO733" s="125">
        <v>243.08</v>
      </c>
      <c r="AP733" s="125">
        <v>142.22999999999999</v>
      </c>
      <c r="AQ733" s="125">
        <v>210.75</v>
      </c>
      <c r="AR733" s="125">
        <v>126.79</v>
      </c>
      <c r="AS733" s="125">
        <v>335.96</v>
      </c>
      <c r="AT733" s="125">
        <v>193.87</v>
      </c>
      <c r="AU733" s="125">
        <v>351.4</v>
      </c>
      <c r="AV733" s="125">
        <v>161.25</v>
      </c>
      <c r="AW733" s="125">
        <v>136.76</v>
      </c>
      <c r="AX733" s="125">
        <v>109.38</v>
      </c>
      <c r="AY733" s="126"/>
      <c r="AZ733" s="126"/>
      <c r="BA733" s="126"/>
      <c r="BB733" s="126"/>
      <c r="BC733" s="126"/>
      <c r="BD733" s="126"/>
      <c r="BE733" s="126"/>
      <c r="BF733" s="127">
        <v>71095010</v>
      </c>
      <c r="BG733" s="97" t="s">
        <v>635</v>
      </c>
      <c r="BH733" s="127">
        <v>760.75</v>
      </c>
      <c r="BI733" s="127">
        <v>71095010</v>
      </c>
      <c r="BJ733" s="97" t="s">
        <v>635</v>
      </c>
      <c r="BK733" s="127">
        <v>940.24</v>
      </c>
    </row>
    <row r="734" spans="2:63" x14ac:dyDescent="0.25">
      <c r="B734" s="121">
        <v>71095015</v>
      </c>
      <c r="C734" s="152" t="s">
        <v>634</v>
      </c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3">
        <v>47.11</v>
      </c>
      <c r="P734" s="123">
        <v>137.78</v>
      </c>
      <c r="Q734" s="123">
        <v>233.43</v>
      </c>
      <c r="R734" s="123">
        <v>214.71</v>
      </c>
      <c r="S734" s="123">
        <v>319.61</v>
      </c>
      <c r="T734" s="123">
        <v>415.98</v>
      </c>
      <c r="U734" s="123">
        <v>497.28</v>
      </c>
      <c r="V734" s="123">
        <v>555.51</v>
      </c>
      <c r="W734" s="123">
        <v>617.88</v>
      </c>
      <c r="X734" s="123">
        <v>666.96</v>
      </c>
      <c r="Y734" s="123">
        <v>693.94</v>
      </c>
      <c r="Z734" s="123">
        <v>-147.43</v>
      </c>
      <c r="AA734" s="123">
        <v>-114.31</v>
      </c>
      <c r="AB734" s="128"/>
      <c r="AC734" s="124">
        <v>-22.3</v>
      </c>
      <c r="AD734" s="124">
        <v>13.36</v>
      </c>
      <c r="AE734" s="124">
        <v>-722.92</v>
      </c>
      <c r="AF734" s="124">
        <v>-697.46</v>
      </c>
      <c r="AG734" s="124">
        <v>-658.09</v>
      </c>
      <c r="AH734" s="124">
        <v>-589.21</v>
      </c>
      <c r="AI734" s="124">
        <v>-497.88</v>
      </c>
      <c r="AJ734" s="124">
        <v>0</v>
      </c>
      <c r="AK734" s="124">
        <v>1449.08</v>
      </c>
      <c r="AL734" s="124">
        <v>1567.34</v>
      </c>
      <c r="AM734" s="124">
        <v>1000.88</v>
      </c>
      <c r="AN734" s="124">
        <v>1038.57</v>
      </c>
      <c r="AO734" s="125">
        <v>1047.71</v>
      </c>
      <c r="AP734" s="125">
        <v>1014.81</v>
      </c>
      <c r="AQ734" s="125">
        <v>1008.07</v>
      </c>
      <c r="AR734" s="125">
        <v>1006.98</v>
      </c>
      <c r="AS734" s="125">
        <v>1012.06</v>
      </c>
      <c r="AT734" s="125">
        <v>1011.3</v>
      </c>
      <c r="AU734" s="125">
        <v>1026.92</v>
      </c>
      <c r="AV734" s="125">
        <v>1015.27</v>
      </c>
      <c r="AW734" s="125">
        <v>1023.13</v>
      </c>
      <c r="AX734" s="125">
        <v>1025.4000000000001</v>
      </c>
      <c r="AY734" s="126"/>
      <c r="AZ734" s="126"/>
      <c r="BA734" s="126"/>
      <c r="BB734" s="126"/>
      <c r="BC734" s="126"/>
      <c r="BD734" s="126"/>
      <c r="BE734" s="126"/>
      <c r="BF734" s="127">
        <v>71095015</v>
      </c>
      <c r="BG734" s="97" t="s">
        <v>634</v>
      </c>
      <c r="BH734" s="127">
        <v>-589.21</v>
      </c>
      <c r="BI734" s="127">
        <v>71095015</v>
      </c>
      <c r="BJ734" s="97" t="s">
        <v>634</v>
      </c>
      <c r="BK734" s="127">
        <v>-497.88</v>
      </c>
    </row>
    <row r="735" spans="2:63" x14ac:dyDescent="0.25">
      <c r="B735" s="121">
        <v>7110</v>
      </c>
      <c r="C735" s="152" t="s">
        <v>636</v>
      </c>
      <c r="D735" s="123">
        <v>463978.23999999999</v>
      </c>
      <c r="E735" s="123">
        <v>463978.23999999999</v>
      </c>
      <c r="F735" s="123">
        <v>463978.23999999999</v>
      </c>
      <c r="G735" s="123">
        <v>463978.23999999999</v>
      </c>
      <c r="H735" s="123">
        <v>463978.23999999999</v>
      </c>
      <c r="I735" s="123">
        <v>463978.23999999999</v>
      </c>
      <c r="J735" s="123">
        <v>463978.23999999999</v>
      </c>
      <c r="K735" s="123">
        <v>463978.23999999999</v>
      </c>
      <c r="L735" s="123">
        <v>463978.23999999999</v>
      </c>
      <c r="M735" s="123">
        <v>463978.23999999999</v>
      </c>
      <c r="N735" s="123">
        <v>463978.23999999999</v>
      </c>
      <c r="O735" s="123">
        <v>463978.23999999999</v>
      </c>
      <c r="P735" s="123">
        <v>463978.23999999999</v>
      </c>
      <c r="Q735" s="123">
        <v>463978.23999999999</v>
      </c>
      <c r="R735" s="123">
        <v>463978.23999999999</v>
      </c>
      <c r="S735" s="123">
        <v>463978.23999999999</v>
      </c>
      <c r="T735" s="123">
        <v>463978.23999999999</v>
      </c>
      <c r="U735" s="123">
        <v>463978.23999999999</v>
      </c>
      <c r="V735" s="123">
        <v>463978.23999999999</v>
      </c>
      <c r="W735" s="123">
        <v>463978.23999999999</v>
      </c>
      <c r="X735" s="123">
        <v>463978.23999999999</v>
      </c>
      <c r="Y735" s="123">
        <v>463978.23999999999</v>
      </c>
      <c r="Z735" s="123">
        <v>463978.23999999999</v>
      </c>
      <c r="AA735" s="123">
        <v>463978.23999999999</v>
      </c>
      <c r="AB735" s="123">
        <v>463978.23999999999</v>
      </c>
      <c r="AC735" s="124">
        <v>463978.23999999999</v>
      </c>
      <c r="AD735" s="124">
        <v>463978.23999999999</v>
      </c>
      <c r="AE735" s="124">
        <v>463978.23999999999</v>
      </c>
      <c r="AF735" s="124">
        <v>463978.23999999999</v>
      </c>
      <c r="AG735" s="124">
        <v>463978.23999999999</v>
      </c>
      <c r="AH735" s="124">
        <v>463978.23999999999</v>
      </c>
      <c r="AI735" s="124">
        <v>463978.23999999999</v>
      </c>
      <c r="AJ735" s="124">
        <v>463978.23999999999</v>
      </c>
      <c r="AK735" s="124">
        <v>463978.23999999999</v>
      </c>
      <c r="AL735" s="124">
        <v>463978.23999999999</v>
      </c>
      <c r="AM735" s="124">
        <v>463978.23999999999</v>
      </c>
      <c r="AN735" s="124">
        <v>463978.23999999999</v>
      </c>
      <c r="AO735" s="125">
        <v>463978.23999999999</v>
      </c>
      <c r="AP735" s="125">
        <v>463978.23999999999</v>
      </c>
      <c r="AQ735" s="125">
        <v>463978.23999999999</v>
      </c>
      <c r="AR735" s="125">
        <v>463978.23999999999</v>
      </c>
      <c r="AS735" s="125">
        <v>463978.23999999999</v>
      </c>
      <c r="AT735" s="125">
        <v>463978.23999999999</v>
      </c>
      <c r="AU735" s="125">
        <v>463978.23999999999</v>
      </c>
      <c r="AV735" s="125">
        <v>463978.23999999999</v>
      </c>
      <c r="AW735" s="125">
        <v>463978.23999999999</v>
      </c>
      <c r="AX735" s="125">
        <v>0</v>
      </c>
      <c r="AY735" s="126"/>
      <c r="AZ735" s="126"/>
      <c r="BA735" s="126"/>
      <c r="BB735" s="126"/>
      <c r="BC735" s="126"/>
      <c r="BD735" s="126"/>
      <c r="BE735" s="126"/>
      <c r="BF735" s="127">
        <v>7110</v>
      </c>
      <c r="BG735" s="97" t="s">
        <v>636</v>
      </c>
      <c r="BH735" s="127">
        <v>463978.23999999999</v>
      </c>
      <c r="BI735" s="127">
        <v>7110</v>
      </c>
      <c r="BJ735" s="97" t="s">
        <v>636</v>
      </c>
      <c r="BK735" s="127">
        <v>463978.23999999999</v>
      </c>
    </row>
    <row r="736" spans="2:63" x14ac:dyDescent="0.25">
      <c r="B736" s="121">
        <v>711005</v>
      </c>
      <c r="C736" s="152" t="s">
        <v>637</v>
      </c>
      <c r="D736" s="123">
        <v>386648.54</v>
      </c>
      <c r="E736" s="123">
        <v>386648.54</v>
      </c>
      <c r="F736" s="123">
        <v>386648.54</v>
      </c>
      <c r="G736" s="123">
        <v>386648.54</v>
      </c>
      <c r="H736" s="123">
        <v>386648.54</v>
      </c>
      <c r="I736" s="123">
        <v>386648.54</v>
      </c>
      <c r="J736" s="123">
        <v>386648.54</v>
      </c>
      <c r="K736" s="123">
        <v>386648.54</v>
      </c>
      <c r="L736" s="123">
        <v>386648.54</v>
      </c>
      <c r="M736" s="123">
        <v>386648.54</v>
      </c>
      <c r="N736" s="123">
        <v>386648.54</v>
      </c>
      <c r="O736" s="123">
        <v>386648.54</v>
      </c>
      <c r="P736" s="123">
        <v>386648.54</v>
      </c>
      <c r="Q736" s="123">
        <v>386648.54</v>
      </c>
      <c r="R736" s="123">
        <v>386648.54</v>
      </c>
      <c r="S736" s="123">
        <v>386648.54</v>
      </c>
      <c r="T736" s="123">
        <v>386648.54</v>
      </c>
      <c r="U736" s="123">
        <v>386648.54</v>
      </c>
      <c r="V736" s="123">
        <v>386648.54</v>
      </c>
      <c r="W736" s="123">
        <v>386648.54</v>
      </c>
      <c r="X736" s="123">
        <v>386648.54</v>
      </c>
      <c r="Y736" s="123">
        <v>386648.54</v>
      </c>
      <c r="Z736" s="123">
        <v>386648.54</v>
      </c>
      <c r="AA736" s="123">
        <v>386648.54</v>
      </c>
      <c r="AB736" s="123">
        <v>386648.54</v>
      </c>
      <c r="AC736" s="124">
        <v>386648.54</v>
      </c>
      <c r="AD736" s="124">
        <v>386648.54</v>
      </c>
      <c r="AE736" s="124">
        <v>386648.54</v>
      </c>
      <c r="AF736" s="124">
        <v>386648.54</v>
      </c>
      <c r="AG736" s="124">
        <v>386648.54</v>
      </c>
      <c r="AH736" s="124">
        <v>386648.54</v>
      </c>
      <c r="AI736" s="124">
        <v>386648.54</v>
      </c>
      <c r="AJ736" s="124">
        <v>386648.54</v>
      </c>
      <c r="AK736" s="124">
        <v>386648.54</v>
      </c>
      <c r="AL736" s="124">
        <v>386648.54</v>
      </c>
      <c r="AM736" s="124">
        <v>386648.54</v>
      </c>
      <c r="AN736" s="124">
        <v>386648.54</v>
      </c>
      <c r="AO736" s="125">
        <v>386648.54</v>
      </c>
      <c r="AP736" s="125">
        <v>386648.54</v>
      </c>
      <c r="AQ736" s="125">
        <v>386648.54</v>
      </c>
      <c r="AR736" s="125">
        <v>386648.54</v>
      </c>
      <c r="AS736" s="125">
        <v>386648.54</v>
      </c>
      <c r="AT736" s="125">
        <v>386648.54</v>
      </c>
      <c r="AU736" s="125">
        <v>386648.54</v>
      </c>
      <c r="AV736" s="125">
        <v>386648.54</v>
      </c>
      <c r="AW736" s="125">
        <v>386648.54</v>
      </c>
      <c r="AX736" s="125">
        <v>0</v>
      </c>
      <c r="AY736" s="126"/>
      <c r="AZ736" s="126"/>
      <c r="BA736" s="126"/>
      <c r="BB736" s="126"/>
      <c r="BC736" s="126"/>
      <c r="BD736" s="126"/>
      <c r="BE736" s="126"/>
      <c r="BF736" s="127">
        <v>711005</v>
      </c>
      <c r="BG736" s="97" t="s">
        <v>637</v>
      </c>
      <c r="BH736" s="127">
        <v>386648.54</v>
      </c>
      <c r="BI736" s="127">
        <v>711005</v>
      </c>
      <c r="BJ736" s="97" t="s">
        <v>637</v>
      </c>
      <c r="BK736" s="127">
        <v>386648.54</v>
      </c>
    </row>
    <row r="737" spans="2:63" x14ac:dyDescent="0.25">
      <c r="B737" s="121">
        <v>711010</v>
      </c>
      <c r="C737" s="152" t="s">
        <v>638</v>
      </c>
      <c r="D737" s="123">
        <v>77329.7</v>
      </c>
      <c r="E737" s="123">
        <v>77329.7</v>
      </c>
      <c r="F737" s="123">
        <v>77329.7</v>
      </c>
      <c r="G737" s="123">
        <v>77329.7</v>
      </c>
      <c r="H737" s="123">
        <v>77329.7</v>
      </c>
      <c r="I737" s="123">
        <v>77329.7</v>
      </c>
      <c r="J737" s="123">
        <v>77329.7</v>
      </c>
      <c r="K737" s="123">
        <v>77329.7</v>
      </c>
      <c r="L737" s="123">
        <v>77329.7</v>
      </c>
      <c r="M737" s="123">
        <v>77329.7</v>
      </c>
      <c r="N737" s="123">
        <v>77329.7</v>
      </c>
      <c r="O737" s="123">
        <v>77329.7</v>
      </c>
      <c r="P737" s="123">
        <v>77329.7</v>
      </c>
      <c r="Q737" s="123">
        <v>77329.7</v>
      </c>
      <c r="R737" s="123">
        <v>77329.7</v>
      </c>
      <c r="S737" s="123">
        <v>77329.7</v>
      </c>
      <c r="T737" s="123">
        <v>77329.7</v>
      </c>
      <c r="U737" s="123">
        <v>77329.7</v>
      </c>
      <c r="V737" s="123">
        <v>77329.7</v>
      </c>
      <c r="W737" s="123">
        <v>77329.7</v>
      </c>
      <c r="X737" s="123">
        <v>77329.7</v>
      </c>
      <c r="Y737" s="123">
        <v>77329.7</v>
      </c>
      <c r="Z737" s="123">
        <v>77329.7</v>
      </c>
      <c r="AA737" s="123">
        <v>77329.7</v>
      </c>
      <c r="AB737" s="123">
        <v>77329.7</v>
      </c>
      <c r="AC737" s="124">
        <v>77329.7</v>
      </c>
      <c r="AD737" s="124">
        <v>77329.7</v>
      </c>
      <c r="AE737" s="124">
        <v>77329.7</v>
      </c>
      <c r="AF737" s="124">
        <v>77329.7</v>
      </c>
      <c r="AG737" s="124">
        <v>77329.7</v>
      </c>
      <c r="AH737" s="124">
        <v>77329.7</v>
      </c>
      <c r="AI737" s="124">
        <v>77329.7</v>
      </c>
      <c r="AJ737" s="124">
        <v>77329.7</v>
      </c>
      <c r="AK737" s="124">
        <v>77329.7</v>
      </c>
      <c r="AL737" s="124">
        <v>77329.7</v>
      </c>
      <c r="AM737" s="124">
        <v>77329.7</v>
      </c>
      <c r="AN737" s="124">
        <v>77329.7</v>
      </c>
      <c r="AO737" s="125">
        <v>77329.7</v>
      </c>
      <c r="AP737" s="125">
        <v>77329.7</v>
      </c>
      <c r="AQ737" s="125">
        <v>77329.7</v>
      </c>
      <c r="AR737" s="125">
        <v>77329.7</v>
      </c>
      <c r="AS737" s="125">
        <v>77329.7</v>
      </c>
      <c r="AT737" s="125">
        <v>77329.7</v>
      </c>
      <c r="AU737" s="125">
        <v>77329.7</v>
      </c>
      <c r="AV737" s="125">
        <v>77329.7</v>
      </c>
      <c r="AW737" s="125">
        <v>77329.7</v>
      </c>
      <c r="AX737" s="125">
        <v>0</v>
      </c>
      <c r="AY737" s="126"/>
      <c r="AZ737" s="126"/>
      <c r="BA737" s="126"/>
      <c r="BB737" s="126"/>
      <c r="BC737" s="126"/>
      <c r="BD737" s="126"/>
      <c r="BE737" s="126"/>
      <c r="BF737" s="127">
        <v>711010</v>
      </c>
      <c r="BG737" s="97" t="s">
        <v>638</v>
      </c>
      <c r="BH737" s="127">
        <v>77329.7</v>
      </c>
      <c r="BI737" s="127">
        <v>711010</v>
      </c>
      <c r="BJ737" s="97" t="s">
        <v>638</v>
      </c>
      <c r="BK737" s="127">
        <v>77329.7</v>
      </c>
    </row>
    <row r="738" spans="2:63" x14ac:dyDescent="0.25">
      <c r="B738" s="121">
        <v>7190</v>
      </c>
      <c r="C738" s="152" t="s">
        <v>639</v>
      </c>
      <c r="D738" s="123">
        <v>20129470.84</v>
      </c>
      <c r="E738" s="123">
        <v>20152159.120000001</v>
      </c>
      <c r="F738" s="123">
        <v>20169651.07</v>
      </c>
      <c r="G738" s="123">
        <v>20182698.289999999</v>
      </c>
      <c r="H738" s="123">
        <v>20190991.25</v>
      </c>
      <c r="I738" s="123">
        <v>20200758.629999999</v>
      </c>
      <c r="J738" s="123">
        <v>20044398.84</v>
      </c>
      <c r="K738" s="123">
        <v>20052690.34</v>
      </c>
      <c r="L738" s="123">
        <v>20072325</v>
      </c>
      <c r="M738" s="123">
        <v>20098995.68</v>
      </c>
      <c r="N738" s="123">
        <v>14863071.560000001</v>
      </c>
      <c r="O738" s="123">
        <v>14889735.5</v>
      </c>
      <c r="P738" s="123">
        <v>14917288.619999999</v>
      </c>
      <c r="Q738" s="123">
        <v>14944841.75</v>
      </c>
      <c r="R738" s="123">
        <v>10823597.890000001</v>
      </c>
      <c r="S738" s="123">
        <v>10823703.949999999</v>
      </c>
      <c r="T738" s="123">
        <v>10823807.310000001</v>
      </c>
      <c r="U738" s="123">
        <v>10171500</v>
      </c>
      <c r="V738" s="123">
        <v>10582291.73</v>
      </c>
      <c r="W738" s="123">
        <v>10993777.529999999</v>
      </c>
      <c r="X738" s="123">
        <v>11406000.5</v>
      </c>
      <c r="Y738" s="123">
        <v>11905925.35</v>
      </c>
      <c r="Z738" s="123">
        <v>12366177.26</v>
      </c>
      <c r="AA738" s="123">
        <v>12528828.189999999</v>
      </c>
      <c r="AB738" s="123">
        <v>13552828.289999999</v>
      </c>
      <c r="AC738" s="124">
        <v>14045648.25</v>
      </c>
      <c r="AD738" s="124">
        <v>14399991.380000001</v>
      </c>
      <c r="AE738" s="124">
        <v>14744905.300000001</v>
      </c>
      <c r="AF738" s="124">
        <v>15194896.18</v>
      </c>
      <c r="AG738" s="124">
        <v>15623341.43</v>
      </c>
      <c r="AH738" s="124">
        <v>16046492.73</v>
      </c>
      <c r="AI738" s="124">
        <v>16181300.789999999</v>
      </c>
      <c r="AJ738" s="124">
        <v>16778692.129999999</v>
      </c>
      <c r="AK738" s="124">
        <v>17281484.16</v>
      </c>
      <c r="AL738" s="124">
        <v>17604519.859999999</v>
      </c>
      <c r="AM738" s="124">
        <v>21420736.100000001</v>
      </c>
      <c r="AN738" s="124">
        <v>23502583.52</v>
      </c>
      <c r="AO738" s="125">
        <v>24877522.350000001</v>
      </c>
      <c r="AP738" s="125">
        <v>26186612.16</v>
      </c>
      <c r="AQ738" s="125">
        <v>27626593.48</v>
      </c>
      <c r="AR738" s="125">
        <v>27996239.859999999</v>
      </c>
      <c r="AS738" s="125">
        <v>28909461.850000001</v>
      </c>
      <c r="AT738" s="125">
        <v>29161130.829999998</v>
      </c>
      <c r="AU738" s="125">
        <v>30635814.640000001</v>
      </c>
      <c r="AV738" s="125">
        <v>30558895.469999999</v>
      </c>
      <c r="AW738" s="125">
        <v>30371043.77</v>
      </c>
      <c r="AX738" s="125">
        <v>30459989.949999999</v>
      </c>
      <c r="AY738" s="126"/>
      <c r="AZ738" s="126"/>
      <c r="BA738" s="126"/>
      <c r="BB738" s="126"/>
      <c r="BC738" s="126"/>
      <c r="BD738" s="126"/>
      <c r="BE738" s="126"/>
      <c r="BF738" s="127">
        <v>7190</v>
      </c>
      <c r="BG738" s="97" t="s">
        <v>639</v>
      </c>
      <c r="BH738" s="127">
        <v>16046492.73</v>
      </c>
      <c r="BI738" s="127">
        <v>7190</v>
      </c>
      <c r="BJ738" s="97" t="s">
        <v>639</v>
      </c>
      <c r="BK738" s="127">
        <v>16181300.789999999</v>
      </c>
    </row>
    <row r="739" spans="2:63" x14ac:dyDescent="0.25">
      <c r="B739" s="121">
        <v>719005</v>
      </c>
      <c r="C739" s="152" t="s">
        <v>640</v>
      </c>
      <c r="D739" s="123">
        <v>15434100</v>
      </c>
      <c r="E739" s="123">
        <v>15434100</v>
      </c>
      <c r="F739" s="123">
        <v>15434100</v>
      </c>
      <c r="G739" s="123">
        <v>15434100</v>
      </c>
      <c r="H739" s="123">
        <v>15434100</v>
      </c>
      <c r="I739" s="123">
        <v>15434100</v>
      </c>
      <c r="J739" s="123">
        <v>15434100</v>
      </c>
      <c r="K739" s="123">
        <v>15434100</v>
      </c>
      <c r="L739" s="123">
        <v>15434100</v>
      </c>
      <c r="M739" s="123">
        <v>15434100</v>
      </c>
      <c r="N739" s="123">
        <v>10171500</v>
      </c>
      <c r="O739" s="123">
        <v>10171500</v>
      </c>
      <c r="P739" s="123">
        <v>10171500</v>
      </c>
      <c r="Q739" s="123">
        <v>10171500</v>
      </c>
      <c r="R739" s="123">
        <v>10171500</v>
      </c>
      <c r="S739" s="123">
        <v>10171500</v>
      </c>
      <c r="T739" s="123">
        <v>10171500</v>
      </c>
      <c r="U739" s="123">
        <v>10171500</v>
      </c>
      <c r="V739" s="123">
        <v>10171500</v>
      </c>
      <c r="W739" s="123">
        <v>10171500</v>
      </c>
      <c r="X739" s="123">
        <v>10171500</v>
      </c>
      <c r="Y739" s="123">
        <v>10171500</v>
      </c>
      <c r="Z739" s="123">
        <v>10171500</v>
      </c>
      <c r="AA739" s="123">
        <v>10171500</v>
      </c>
      <c r="AB739" s="123">
        <v>10171500</v>
      </c>
      <c r="AC739" s="124">
        <v>10171500</v>
      </c>
      <c r="AD739" s="124">
        <v>10171500</v>
      </c>
      <c r="AE739" s="124">
        <v>10171500</v>
      </c>
      <c r="AF739" s="124">
        <v>10171500</v>
      </c>
      <c r="AG739" s="124">
        <v>10171500</v>
      </c>
      <c r="AH739" s="124">
        <v>10171500</v>
      </c>
      <c r="AI739" s="124">
        <v>10171500</v>
      </c>
      <c r="AJ739" s="124">
        <v>10171500</v>
      </c>
      <c r="AK739" s="124">
        <v>10171500</v>
      </c>
      <c r="AL739" s="124">
        <v>10171500</v>
      </c>
      <c r="AM739" s="124">
        <v>10171500</v>
      </c>
      <c r="AN739" s="124">
        <v>10171500</v>
      </c>
      <c r="AO739" s="125">
        <v>10171500</v>
      </c>
      <c r="AP739" s="125">
        <v>10171500</v>
      </c>
      <c r="AQ739" s="125">
        <v>10171500</v>
      </c>
      <c r="AR739" s="125">
        <v>10171500</v>
      </c>
      <c r="AS739" s="125">
        <v>10171500</v>
      </c>
      <c r="AT739" s="125">
        <v>10171500</v>
      </c>
      <c r="AU739" s="125">
        <v>10171500</v>
      </c>
      <c r="AV739" s="125">
        <v>10171500</v>
      </c>
      <c r="AW739" s="125">
        <v>10171500</v>
      </c>
      <c r="AX739" s="125">
        <v>10171500</v>
      </c>
      <c r="AY739" s="126"/>
      <c r="AZ739" s="126"/>
      <c r="BA739" s="126"/>
      <c r="BB739" s="126"/>
      <c r="BC739" s="126"/>
      <c r="BD739" s="126"/>
      <c r="BE739" s="126"/>
      <c r="BF739" s="127">
        <v>719005</v>
      </c>
      <c r="BG739" s="97" t="s">
        <v>640</v>
      </c>
      <c r="BH739" s="127">
        <v>10171500</v>
      </c>
      <c r="BI739" s="127">
        <v>719005</v>
      </c>
      <c r="BJ739" s="97" t="s">
        <v>640</v>
      </c>
      <c r="BK739" s="127">
        <v>10171500</v>
      </c>
    </row>
    <row r="740" spans="2:63" x14ac:dyDescent="0.25">
      <c r="B740" s="121">
        <v>719090</v>
      </c>
      <c r="C740" s="152" t="s">
        <v>641</v>
      </c>
      <c r="D740" s="123">
        <v>4695370.84</v>
      </c>
      <c r="E740" s="123">
        <v>4718059.12</v>
      </c>
      <c r="F740" s="123">
        <v>4735551.07</v>
      </c>
      <c r="G740" s="123">
        <v>4748598.29</v>
      </c>
      <c r="H740" s="123">
        <v>4756891.25</v>
      </c>
      <c r="I740" s="123">
        <v>4766658.63</v>
      </c>
      <c r="J740" s="123">
        <v>4610298.84</v>
      </c>
      <c r="K740" s="123">
        <v>4618590.34</v>
      </c>
      <c r="L740" s="123">
        <v>4638225</v>
      </c>
      <c r="M740" s="123">
        <v>4664895.68</v>
      </c>
      <c r="N740" s="123">
        <v>4691571.5599999996</v>
      </c>
      <c r="O740" s="123">
        <v>4718235.5</v>
      </c>
      <c r="P740" s="123">
        <v>4745788.62</v>
      </c>
      <c r="Q740" s="123">
        <v>4773341.75</v>
      </c>
      <c r="R740" s="123">
        <v>652097.89</v>
      </c>
      <c r="S740" s="123">
        <v>652203.94999999995</v>
      </c>
      <c r="T740" s="123">
        <v>652307.31000000006</v>
      </c>
      <c r="U740" s="128"/>
      <c r="V740" s="123">
        <v>410791.73</v>
      </c>
      <c r="W740" s="123">
        <v>822277.53</v>
      </c>
      <c r="X740" s="123">
        <v>1234500.5</v>
      </c>
      <c r="Y740" s="123">
        <v>1734425.35</v>
      </c>
      <c r="Z740" s="123">
        <v>2194677.2599999998</v>
      </c>
      <c r="AA740" s="123">
        <v>2357328.19</v>
      </c>
      <c r="AB740" s="123">
        <v>3381328.29</v>
      </c>
      <c r="AC740" s="124">
        <v>3874148.25</v>
      </c>
      <c r="AD740" s="124">
        <v>4228491.38</v>
      </c>
      <c r="AE740" s="124">
        <v>4573405.3</v>
      </c>
      <c r="AF740" s="124">
        <v>5023396.18</v>
      </c>
      <c r="AG740" s="124">
        <v>5451841.4299999997</v>
      </c>
      <c r="AH740" s="124">
        <v>5874992.7300000004</v>
      </c>
      <c r="AI740" s="124">
        <v>6009800.79</v>
      </c>
      <c r="AJ740" s="124">
        <v>6607192.1299999999</v>
      </c>
      <c r="AK740" s="124">
        <v>7109984.1600000001</v>
      </c>
      <c r="AL740" s="124">
        <v>7433019.8600000003</v>
      </c>
      <c r="AM740" s="124">
        <v>11249236.1</v>
      </c>
      <c r="AN740" s="124">
        <v>13331083.52</v>
      </c>
      <c r="AO740" s="125">
        <v>14706022.35</v>
      </c>
      <c r="AP740" s="125">
        <v>16015112.16</v>
      </c>
      <c r="AQ740" s="125">
        <v>17455093.48</v>
      </c>
      <c r="AR740" s="125">
        <v>17824739.859999999</v>
      </c>
      <c r="AS740" s="125">
        <v>18737961.850000001</v>
      </c>
      <c r="AT740" s="125">
        <v>18989630.829999998</v>
      </c>
      <c r="AU740" s="125">
        <v>20464314.640000001</v>
      </c>
      <c r="AV740" s="125">
        <v>20387395.469999999</v>
      </c>
      <c r="AW740" s="125">
        <v>20199543.77</v>
      </c>
      <c r="AX740" s="125">
        <v>20288489.949999999</v>
      </c>
      <c r="AY740" s="126"/>
      <c r="AZ740" s="126"/>
      <c r="BA740" s="126"/>
      <c r="BB740" s="126"/>
      <c r="BC740" s="126"/>
      <c r="BD740" s="126"/>
      <c r="BE740" s="126"/>
      <c r="BF740" s="127">
        <v>719090</v>
      </c>
      <c r="BG740" s="97" t="s">
        <v>641</v>
      </c>
      <c r="BH740" s="127">
        <v>5874992.7300000004</v>
      </c>
      <c r="BI740" s="127">
        <v>719090</v>
      </c>
      <c r="BJ740" s="97" t="s">
        <v>641</v>
      </c>
      <c r="BK740" s="127">
        <v>6009800.79</v>
      </c>
    </row>
    <row r="741" spans="2:63" x14ac:dyDescent="0.25">
      <c r="B741" s="121">
        <v>71909005</v>
      </c>
      <c r="C741" s="152" t="s">
        <v>642</v>
      </c>
      <c r="D741" s="123">
        <v>345029.1</v>
      </c>
      <c r="E741" s="123">
        <v>345029.1</v>
      </c>
      <c r="F741" s="123">
        <v>345029.1</v>
      </c>
      <c r="G741" s="123">
        <v>345029.1</v>
      </c>
      <c r="H741" s="123">
        <v>345029.1</v>
      </c>
      <c r="I741" s="123">
        <v>345029.1</v>
      </c>
      <c r="J741" s="123">
        <v>195966.54</v>
      </c>
      <c r="K741" s="123">
        <v>195966.54</v>
      </c>
      <c r="L741" s="123">
        <v>195966.54</v>
      </c>
      <c r="M741" s="123">
        <v>195966.54</v>
      </c>
      <c r="N741" s="123">
        <v>195966.54</v>
      </c>
      <c r="O741" s="123">
        <v>195966.54</v>
      </c>
      <c r="P741" s="123">
        <v>195966.54</v>
      </c>
      <c r="Q741" s="123">
        <v>195966.54</v>
      </c>
      <c r="R741" s="123">
        <v>195966.54</v>
      </c>
      <c r="S741" s="123">
        <v>195966.54</v>
      </c>
      <c r="T741" s="123">
        <v>195966.54</v>
      </c>
      <c r="U741" s="128"/>
      <c r="V741" s="128"/>
      <c r="W741" s="128"/>
      <c r="X741" s="128"/>
      <c r="Y741" s="128"/>
      <c r="Z741" s="128"/>
      <c r="AA741" s="128"/>
      <c r="AB741" s="128"/>
      <c r="AC741" s="129"/>
      <c r="AD741" s="129"/>
      <c r="AE741" s="129"/>
      <c r="AF741" s="129"/>
      <c r="AG741" s="129"/>
      <c r="AH741" s="129"/>
      <c r="AI741" s="129"/>
      <c r="AJ741" s="124">
        <v>0</v>
      </c>
      <c r="AK741" s="124">
        <v>0</v>
      </c>
      <c r="AL741" s="124">
        <v>0</v>
      </c>
      <c r="AM741" s="124">
        <v>0</v>
      </c>
      <c r="AN741" s="124">
        <v>0</v>
      </c>
      <c r="AO741" s="125">
        <v>0</v>
      </c>
      <c r="AP741" s="125">
        <v>0</v>
      </c>
      <c r="AQ741" s="125">
        <v>0</v>
      </c>
      <c r="AR741" s="125">
        <v>0</v>
      </c>
      <c r="AS741" s="125">
        <v>0</v>
      </c>
      <c r="AT741" s="125">
        <v>0</v>
      </c>
      <c r="AU741" s="125">
        <v>0</v>
      </c>
      <c r="AV741" s="125">
        <v>0</v>
      </c>
      <c r="AW741" s="125">
        <v>0</v>
      </c>
      <c r="AX741" s="125">
        <v>0</v>
      </c>
      <c r="AY741" s="126"/>
      <c r="AZ741" s="126"/>
      <c r="BA741" s="126"/>
      <c r="BB741" s="126"/>
      <c r="BC741" s="126"/>
      <c r="BD741" s="126"/>
      <c r="BE741" s="126"/>
    </row>
    <row r="742" spans="2:63" x14ac:dyDescent="0.25">
      <c r="B742" s="121">
        <v>7190900505</v>
      </c>
      <c r="C742" s="152" t="s">
        <v>643</v>
      </c>
      <c r="D742" s="123">
        <v>57262.080000000002</v>
      </c>
      <c r="E742" s="123">
        <v>57262.080000000002</v>
      </c>
      <c r="F742" s="123">
        <v>57262.080000000002</v>
      </c>
      <c r="G742" s="123">
        <v>57262.080000000002</v>
      </c>
      <c r="H742" s="123">
        <v>57262.080000000002</v>
      </c>
      <c r="I742" s="123">
        <v>57262.080000000002</v>
      </c>
      <c r="J742" s="123">
        <v>57262.080000000002</v>
      </c>
      <c r="K742" s="123">
        <v>57262.080000000002</v>
      </c>
      <c r="L742" s="123">
        <v>57262.080000000002</v>
      </c>
      <c r="M742" s="123">
        <v>57262.080000000002</v>
      </c>
      <c r="N742" s="123">
        <v>57262.080000000002</v>
      </c>
      <c r="O742" s="123">
        <v>57262.080000000002</v>
      </c>
      <c r="P742" s="123">
        <v>57262.080000000002</v>
      </c>
      <c r="Q742" s="123">
        <v>57262.080000000002</v>
      </c>
      <c r="R742" s="123">
        <v>57262.080000000002</v>
      </c>
      <c r="S742" s="123">
        <v>57262.080000000002</v>
      </c>
      <c r="T742" s="123">
        <v>57262.080000000002</v>
      </c>
      <c r="U742" s="128"/>
      <c r="V742" s="128"/>
      <c r="W742" s="128"/>
      <c r="X742" s="128"/>
      <c r="Y742" s="128"/>
      <c r="Z742" s="128"/>
      <c r="AA742" s="128"/>
      <c r="AB742" s="128"/>
      <c r="AC742" s="129"/>
      <c r="AD742" s="129"/>
      <c r="AE742" s="129"/>
      <c r="AF742" s="129"/>
      <c r="AG742" s="129"/>
      <c r="AH742" s="129"/>
      <c r="AI742" s="129"/>
      <c r="AJ742" s="124">
        <v>0</v>
      </c>
      <c r="AK742" s="124">
        <v>0</v>
      </c>
      <c r="AL742" s="124">
        <v>0</v>
      </c>
      <c r="AM742" s="124">
        <v>0</v>
      </c>
      <c r="AN742" s="124">
        <v>0</v>
      </c>
      <c r="AO742" s="125">
        <v>0</v>
      </c>
      <c r="AP742" s="125">
        <v>0</v>
      </c>
      <c r="AQ742" s="125">
        <v>0</v>
      </c>
      <c r="AR742" s="125">
        <v>0</v>
      </c>
      <c r="AS742" s="125">
        <v>0</v>
      </c>
      <c r="AT742" s="125">
        <v>0</v>
      </c>
      <c r="AU742" s="125">
        <v>0</v>
      </c>
      <c r="AV742" s="125">
        <v>0</v>
      </c>
      <c r="AW742" s="125">
        <v>0</v>
      </c>
      <c r="AX742" s="125">
        <v>0</v>
      </c>
      <c r="AY742" s="126"/>
      <c r="AZ742" s="126"/>
      <c r="BA742" s="126"/>
      <c r="BB742" s="126"/>
      <c r="BC742" s="126"/>
      <c r="BD742" s="126"/>
      <c r="BE742" s="126"/>
    </row>
    <row r="743" spans="2:63" x14ac:dyDescent="0.25">
      <c r="B743" s="121">
        <v>7190900510</v>
      </c>
      <c r="C743" s="152" t="s">
        <v>644</v>
      </c>
      <c r="D743" s="123">
        <v>32.700000000000003</v>
      </c>
      <c r="E743" s="123">
        <v>32.700000000000003</v>
      </c>
      <c r="F743" s="123">
        <v>32.700000000000003</v>
      </c>
      <c r="G743" s="123">
        <v>32.700000000000003</v>
      </c>
      <c r="H743" s="123">
        <v>32.700000000000003</v>
      </c>
      <c r="I743" s="123">
        <v>32.700000000000003</v>
      </c>
      <c r="J743" s="123">
        <v>32.700000000000003</v>
      </c>
      <c r="K743" s="123">
        <v>32.700000000000003</v>
      </c>
      <c r="L743" s="123">
        <v>32.700000000000003</v>
      </c>
      <c r="M743" s="123">
        <v>32.700000000000003</v>
      </c>
      <c r="N743" s="123">
        <v>32.700000000000003</v>
      </c>
      <c r="O743" s="123">
        <v>32.700000000000003</v>
      </c>
      <c r="P743" s="123">
        <v>32.700000000000003</v>
      </c>
      <c r="Q743" s="123">
        <v>32.700000000000003</v>
      </c>
      <c r="R743" s="123">
        <v>32.700000000000003</v>
      </c>
      <c r="S743" s="123">
        <v>32.700000000000003</v>
      </c>
      <c r="T743" s="123">
        <v>32.700000000000003</v>
      </c>
      <c r="U743" s="128"/>
      <c r="V743" s="128"/>
      <c r="W743" s="128"/>
      <c r="X743" s="128"/>
      <c r="Y743" s="128"/>
      <c r="Z743" s="128"/>
      <c r="AA743" s="128"/>
      <c r="AB743" s="128"/>
      <c r="AC743" s="129"/>
      <c r="AD743" s="129"/>
      <c r="AE743" s="129"/>
      <c r="AF743" s="129"/>
      <c r="AG743" s="129"/>
      <c r="AH743" s="129"/>
      <c r="AI743" s="129"/>
      <c r="AJ743" s="124">
        <v>0</v>
      </c>
      <c r="AK743" s="124">
        <v>0</v>
      </c>
      <c r="AL743" s="124">
        <v>0</v>
      </c>
      <c r="AM743" s="124">
        <v>0</v>
      </c>
      <c r="AN743" s="124">
        <v>0</v>
      </c>
      <c r="AO743" s="125">
        <v>0</v>
      </c>
      <c r="AP743" s="125">
        <v>0</v>
      </c>
      <c r="AQ743" s="125">
        <v>0</v>
      </c>
      <c r="AR743" s="125">
        <v>0</v>
      </c>
      <c r="AS743" s="125">
        <v>0</v>
      </c>
      <c r="AT743" s="125">
        <v>0</v>
      </c>
      <c r="AU743" s="125">
        <v>0</v>
      </c>
      <c r="AV743" s="125">
        <v>0</v>
      </c>
      <c r="AW743" s="125">
        <v>0</v>
      </c>
      <c r="AX743" s="125">
        <v>0</v>
      </c>
      <c r="AY743" s="126"/>
      <c r="AZ743" s="126"/>
      <c r="BA743" s="126"/>
      <c r="BB743" s="126"/>
      <c r="BC743" s="126"/>
      <c r="BD743" s="126"/>
      <c r="BE743" s="126"/>
    </row>
    <row r="744" spans="2:63" x14ac:dyDescent="0.25">
      <c r="B744" s="121">
        <v>7190900515</v>
      </c>
      <c r="C744" s="152" t="s">
        <v>634</v>
      </c>
      <c r="D744" s="123">
        <v>138671.76</v>
      </c>
      <c r="E744" s="123">
        <v>138671.76</v>
      </c>
      <c r="F744" s="123">
        <v>138671.76</v>
      </c>
      <c r="G744" s="123">
        <v>138671.76</v>
      </c>
      <c r="H744" s="123">
        <v>138671.76</v>
      </c>
      <c r="I744" s="123">
        <v>138671.76</v>
      </c>
      <c r="J744" s="123">
        <v>138671.76</v>
      </c>
      <c r="K744" s="123">
        <v>138671.76</v>
      </c>
      <c r="L744" s="123">
        <v>138671.76</v>
      </c>
      <c r="M744" s="123">
        <v>138671.76</v>
      </c>
      <c r="N744" s="123">
        <v>138671.76</v>
      </c>
      <c r="O744" s="123">
        <v>138671.76</v>
      </c>
      <c r="P744" s="123">
        <v>138671.76</v>
      </c>
      <c r="Q744" s="123">
        <v>138671.76</v>
      </c>
      <c r="R744" s="123">
        <v>138671.76</v>
      </c>
      <c r="S744" s="123">
        <v>138671.76</v>
      </c>
      <c r="T744" s="123">
        <v>138671.76</v>
      </c>
      <c r="U744" s="128"/>
      <c r="V744" s="128"/>
      <c r="W744" s="128"/>
      <c r="X744" s="128"/>
      <c r="Y744" s="128"/>
      <c r="Z744" s="128"/>
      <c r="AA744" s="128"/>
      <c r="AB744" s="128"/>
      <c r="AC744" s="129"/>
      <c r="AD744" s="129"/>
      <c r="AE744" s="129"/>
      <c r="AF744" s="129"/>
      <c r="AG744" s="129"/>
      <c r="AH744" s="129"/>
      <c r="AI744" s="129"/>
      <c r="AJ744" s="124">
        <v>0</v>
      </c>
      <c r="AK744" s="124">
        <v>0</v>
      </c>
      <c r="AL744" s="124">
        <v>0</v>
      </c>
      <c r="AM744" s="124">
        <v>0</v>
      </c>
      <c r="AN744" s="124">
        <v>0</v>
      </c>
      <c r="AO744" s="125">
        <v>0</v>
      </c>
      <c r="AP744" s="125">
        <v>0</v>
      </c>
      <c r="AQ744" s="125">
        <v>0</v>
      </c>
      <c r="AR744" s="125">
        <v>0</v>
      </c>
      <c r="AS744" s="125">
        <v>0</v>
      </c>
      <c r="AT744" s="125">
        <v>0</v>
      </c>
      <c r="AU744" s="125">
        <v>0</v>
      </c>
      <c r="AV744" s="125">
        <v>0</v>
      </c>
      <c r="AW744" s="125">
        <v>0</v>
      </c>
      <c r="AX744" s="125">
        <v>0</v>
      </c>
      <c r="AY744" s="126"/>
      <c r="AZ744" s="126"/>
      <c r="BA744" s="126"/>
      <c r="BB744" s="126"/>
      <c r="BC744" s="126"/>
      <c r="BD744" s="126"/>
      <c r="BE744" s="126"/>
    </row>
    <row r="745" spans="2:63" x14ac:dyDescent="0.25">
      <c r="B745" s="121">
        <v>7190900520</v>
      </c>
      <c r="C745" s="152" t="s">
        <v>645</v>
      </c>
      <c r="D745" s="123">
        <v>149062.56</v>
      </c>
      <c r="E745" s="123">
        <v>149062.56</v>
      </c>
      <c r="F745" s="123">
        <v>149062.56</v>
      </c>
      <c r="G745" s="123">
        <v>149062.56</v>
      </c>
      <c r="H745" s="123">
        <v>149062.56</v>
      </c>
      <c r="I745" s="123">
        <v>149062.56</v>
      </c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  <c r="AA745" s="128"/>
      <c r="AB745" s="128"/>
      <c r="AC745" s="129"/>
      <c r="AD745" s="129"/>
      <c r="AE745" s="129"/>
      <c r="AF745" s="129"/>
      <c r="AG745" s="129"/>
      <c r="AH745" s="129"/>
      <c r="AI745" s="129"/>
      <c r="AJ745" s="124">
        <v>0</v>
      </c>
      <c r="AK745" s="124">
        <v>0</v>
      </c>
      <c r="AL745" s="124">
        <v>0</v>
      </c>
      <c r="AM745" s="124">
        <v>0</v>
      </c>
      <c r="AN745" s="124">
        <v>0</v>
      </c>
      <c r="AO745" s="125">
        <v>0</v>
      </c>
      <c r="AP745" s="125">
        <v>0</v>
      </c>
      <c r="AQ745" s="125">
        <v>0</v>
      </c>
      <c r="AR745" s="125">
        <v>0</v>
      </c>
      <c r="AS745" s="125">
        <v>0</v>
      </c>
      <c r="AT745" s="125">
        <v>0</v>
      </c>
      <c r="AU745" s="125">
        <v>0</v>
      </c>
      <c r="AV745" s="125">
        <v>0</v>
      </c>
      <c r="AW745" s="125">
        <v>0</v>
      </c>
      <c r="AX745" s="125">
        <v>0</v>
      </c>
      <c r="AY745" s="126"/>
      <c r="AZ745" s="126"/>
      <c r="BA745" s="126"/>
      <c r="BB745" s="126"/>
      <c r="BC745" s="126"/>
      <c r="BD745" s="126"/>
      <c r="BE745" s="126"/>
    </row>
    <row r="746" spans="2:63" x14ac:dyDescent="0.25">
      <c r="B746" s="121">
        <v>71909010</v>
      </c>
      <c r="C746" s="152" t="s">
        <v>646</v>
      </c>
      <c r="D746" s="123">
        <v>4349414.51</v>
      </c>
      <c r="E746" s="123">
        <v>4372102.79</v>
      </c>
      <c r="F746" s="123">
        <v>4389594.74</v>
      </c>
      <c r="G746" s="123">
        <v>4402641.96</v>
      </c>
      <c r="H746" s="123">
        <v>4410934.92</v>
      </c>
      <c r="I746" s="123">
        <v>4420702.3</v>
      </c>
      <c r="J746" s="123">
        <v>4413405.07</v>
      </c>
      <c r="K746" s="123">
        <v>4421696.57</v>
      </c>
      <c r="L746" s="123">
        <v>4441331.2300000004</v>
      </c>
      <c r="M746" s="123">
        <v>4468001.91</v>
      </c>
      <c r="N746" s="123">
        <v>4494677.79</v>
      </c>
      <c r="O746" s="123">
        <v>4521341.7300000004</v>
      </c>
      <c r="P746" s="123">
        <v>4548894.8499999996</v>
      </c>
      <c r="Q746" s="123">
        <v>4576447.9800000004</v>
      </c>
      <c r="R746" s="123">
        <v>455204.12</v>
      </c>
      <c r="S746" s="123">
        <v>455310.18</v>
      </c>
      <c r="T746" s="123">
        <v>455413.54</v>
      </c>
      <c r="U746" s="128"/>
      <c r="V746" s="123">
        <v>410791.73</v>
      </c>
      <c r="W746" s="123">
        <v>822277.53</v>
      </c>
      <c r="X746" s="123">
        <v>1234500.5</v>
      </c>
      <c r="Y746" s="123">
        <v>1734425.35</v>
      </c>
      <c r="Z746" s="123">
        <v>2194677.2599999998</v>
      </c>
      <c r="AA746" s="123">
        <v>2357328.19</v>
      </c>
      <c r="AB746" s="123">
        <v>3381328.29</v>
      </c>
      <c r="AC746" s="124">
        <v>3874148.25</v>
      </c>
      <c r="AD746" s="124">
        <v>4228491.38</v>
      </c>
      <c r="AE746" s="124">
        <v>4573405.3</v>
      </c>
      <c r="AF746" s="124">
        <v>5023396.18</v>
      </c>
      <c r="AG746" s="124">
        <v>5451841.4299999997</v>
      </c>
      <c r="AH746" s="124">
        <v>5874992.7300000004</v>
      </c>
      <c r="AI746" s="124">
        <v>6009800.79</v>
      </c>
      <c r="AJ746" s="124">
        <v>6607192.1299999999</v>
      </c>
      <c r="AK746" s="124">
        <v>7109984.1600000001</v>
      </c>
      <c r="AL746" s="124">
        <v>7433019.8600000003</v>
      </c>
      <c r="AM746" s="124">
        <v>7991263.5499999998</v>
      </c>
      <c r="AN746" s="124">
        <v>10026097.85</v>
      </c>
      <c r="AO746" s="125">
        <v>11424640.869999999</v>
      </c>
      <c r="AP746" s="125">
        <v>12752505.810000001</v>
      </c>
      <c r="AQ746" s="125">
        <v>14213336.5</v>
      </c>
      <c r="AR746" s="125">
        <v>14474040.4</v>
      </c>
      <c r="AS746" s="125">
        <v>14992119.92</v>
      </c>
      <c r="AT746" s="125">
        <v>15274005.310000001</v>
      </c>
      <c r="AU746" s="125">
        <v>16772291.76</v>
      </c>
      <c r="AV746" s="125">
        <v>16714641.18</v>
      </c>
      <c r="AW746" s="125">
        <v>16545605.390000001</v>
      </c>
      <c r="AX746" s="125">
        <v>16677863.07</v>
      </c>
      <c r="AY746" s="126"/>
      <c r="AZ746" s="126"/>
      <c r="BA746" s="126"/>
      <c r="BB746" s="126"/>
      <c r="BC746" s="126"/>
      <c r="BD746" s="126"/>
      <c r="BE746" s="126"/>
      <c r="BF746" s="127">
        <v>71909010</v>
      </c>
      <c r="BG746" s="97" t="s">
        <v>646</v>
      </c>
      <c r="BH746" s="127">
        <v>5874992.7300000004</v>
      </c>
      <c r="BI746" s="127">
        <v>71909010</v>
      </c>
      <c r="BJ746" s="97" t="s">
        <v>646</v>
      </c>
      <c r="BK746" s="127">
        <v>6009800.79</v>
      </c>
    </row>
    <row r="747" spans="2:63" x14ac:dyDescent="0.25">
      <c r="B747" s="121">
        <v>7190901005</v>
      </c>
      <c r="C747" s="152" t="s">
        <v>643</v>
      </c>
      <c r="D747" s="123">
        <v>2180890.67</v>
      </c>
      <c r="E747" s="123">
        <v>2170343.81</v>
      </c>
      <c r="F747" s="123">
        <v>2161150.83</v>
      </c>
      <c r="G747" s="123">
        <v>2152645.0099999998</v>
      </c>
      <c r="H747" s="123">
        <v>2145554.83</v>
      </c>
      <c r="I747" s="123">
        <v>2138889.65</v>
      </c>
      <c r="J747" s="123">
        <v>2135036.7200000002</v>
      </c>
      <c r="K747" s="123">
        <v>2131881.71</v>
      </c>
      <c r="L747" s="123">
        <v>2131217.59</v>
      </c>
      <c r="M747" s="123">
        <v>2131217.59</v>
      </c>
      <c r="N747" s="123">
        <v>2130678.44</v>
      </c>
      <c r="O747" s="123">
        <v>2130678.44</v>
      </c>
      <c r="P747" s="123">
        <v>2130678.44</v>
      </c>
      <c r="Q747" s="123">
        <v>2130678.44</v>
      </c>
      <c r="R747" s="123">
        <v>10791.23</v>
      </c>
      <c r="S747" s="123">
        <v>10791.23</v>
      </c>
      <c r="T747" s="123">
        <v>10791.23</v>
      </c>
      <c r="U747" s="128"/>
      <c r="V747" s="123">
        <v>406308.53</v>
      </c>
      <c r="W747" s="123">
        <v>811708.41</v>
      </c>
      <c r="X747" s="123">
        <v>1220764.83</v>
      </c>
      <c r="Y747" s="123">
        <v>1713927.82</v>
      </c>
      <c r="Z747" s="123">
        <v>2168308.4900000002</v>
      </c>
      <c r="AA747" s="123">
        <v>2332159.0699999998</v>
      </c>
      <c r="AB747" s="123">
        <v>3342397.4</v>
      </c>
      <c r="AC747" s="124">
        <v>3830000.98</v>
      </c>
      <c r="AD747" s="124">
        <v>4183871.22</v>
      </c>
      <c r="AE747" s="124">
        <v>4521102.0999999996</v>
      </c>
      <c r="AF747" s="124">
        <v>4963122.1500000004</v>
      </c>
      <c r="AG747" s="124">
        <v>5383227.5700000003</v>
      </c>
      <c r="AH747" s="124">
        <v>5805748.1699999999</v>
      </c>
      <c r="AI747" s="124">
        <v>5935153.0899999999</v>
      </c>
      <c r="AJ747" s="124">
        <v>6522949.2400000002</v>
      </c>
      <c r="AK747" s="124">
        <v>7015409.7199999997</v>
      </c>
      <c r="AL747" s="124">
        <v>7332118.29</v>
      </c>
      <c r="AM747" s="124">
        <v>7882951.75</v>
      </c>
      <c r="AN747" s="124">
        <v>9889123.4700000007</v>
      </c>
      <c r="AO747" s="125">
        <v>11259994.58</v>
      </c>
      <c r="AP747" s="125">
        <v>12601170.25</v>
      </c>
      <c r="AQ747" s="125">
        <v>14029512.779999999</v>
      </c>
      <c r="AR747" s="125">
        <v>14301566.58</v>
      </c>
      <c r="AS747" s="125">
        <v>14816324.789999999</v>
      </c>
      <c r="AT747" s="125">
        <v>15099249.75</v>
      </c>
      <c r="AU747" s="125">
        <v>16576295.699999999</v>
      </c>
      <c r="AV747" s="125">
        <v>16531865.109999999</v>
      </c>
      <c r="AW747" s="125">
        <v>16368843.52</v>
      </c>
      <c r="AX747" s="125">
        <v>16464165.65</v>
      </c>
      <c r="AY747" s="126"/>
      <c r="AZ747" s="126"/>
      <c r="BA747" s="126"/>
      <c r="BB747" s="126"/>
      <c r="BC747" s="126"/>
      <c r="BD747" s="126"/>
      <c r="BE747" s="126"/>
      <c r="BF747" s="127">
        <v>7190901005</v>
      </c>
      <c r="BG747" s="97" t="s">
        <v>643</v>
      </c>
      <c r="BH747" s="127">
        <v>5805748.1699999999</v>
      </c>
      <c r="BI747" s="127">
        <v>7190901005</v>
      </c>
      <c r="BJ747" s="97" t="s">
        <v>643</v>
      </c>
      <c r="BK747" s="127">
        <v>5935153.0899999999</v>
      </c>
    </row>
    <row r="748" spans="2:63" x14ac:dyDescent="0.25">
      <c r="B748" s="121">
        <v>7190901010</v>
      </c>
      <c r="C748" s="152" t="s">
        <v>644</v>
      </c>
      <c r="D748" s="123">
        <v>203113.24</v>
      </c>
      <c r="E748" s="123">
        <v>203497.65</v>
      </c>
      <c r="F748" s="123">
        <v>203763.79</v>
      </c>
      <c r="G748" s="123">
        <v>204106.7</v>
      </c>
      <c r="H748" s="123">
        <v>204383.03</v>
      </c>
      <c r="I748" s="123">
        <v>204670.23</v>
      </c>
      <c r="J748" s="123">
        <v>204934.22</v>
      </c>
      <c r="K748" s="123">
        <v>205206.3</v>
      </c>
      <c r="L748" s="123">
        <v>205456.13</v>
      </c>
      <c r="M748" s="123">
        <v>205677.46</v>
      </c>
      <c r="N748" s="123">
        <v>205881.61</v>
      </c>
      <c r="O748" s="123">
        <v>206055.21</v>
      </c>
      <c r="P748" s="123">
        <v>206209.56</v>
      </c>
      <c r="Q748" s="123">
        <v>206338.69</v>
      </c>
      <c r="R748" s="123">
        <v>121.1</v>
      </c>
      <c r="S748" s="123">
        <v>198.93</v>
      </c>
      <c r="T748" s="123">
        <v>249.08</v>
      </c>
      <c r="U748" s="128"/>
      <c r="V748" s="123">
        <v>4483.2</v>
      </c>
      <c r="W748" s="123">
        <v>10568.68</v>
      </c>
      <c r="X748" s="123">
        <v>13734.56</v>
      </c>
      <c r="Y748" s="123">
        <v>20493.34</v>
      </c>
      <c r="Z748" s="123">
        <v>26362.07</v>
      </c>
      <c r="AA748" s="123">
        <v>25136.799999999999</v>
      </c>
      <c r="AB748" s="123">
        <v>38867.269999999997</v>
      </c>
      <c r="AC748" s="124">
        <v>44104.5</v>
      </c>
      <c r="AD748" s="124">
        <v>44529.99</v>
      </c>
      <c r="AE748" s="124">
        <v>52130.8</v>
      </c>
      <c r="AF748" s="124">
        <v>60049.9</v>
      </c>
      <c r="AG748" s="124">
        <v>68437.649999999994</v>
      </c>
      <c r="AH748" s="124">
        <v>69016.25</v>
      </c>
      <c r="AI748" s="124">
        <v>74340.73</v>
      </c>
      <c r="AJ748" s="124">
        <v>83798.94</v>
      </c>
      <c r="AK748" s="124">
        <v>94012.95</v>
      </c>
      <c r="AL748" s="124">
        <v>100169.83</v>
      </c>
      <c r="AM748" s="124">
        <v>107411.44</v>
      </c>
      <c r="AN748" s="124">
        <v>135987.13</v>
      </c>
      <c r="AO748" s="125">
        <v>163394.06</v>
      </c>
      <c r="AP748" s="125">
        <v>150189.26</v>
      </c>
      <c r="AQ748" s="125">
        <v>182309.57</v>
      </c>
      <c r="AR748" s="125">
        <v>171102.58</v>
      </c>
      <c r="AS748" s="125">
        <v>174493.55</v>
      </c>
      <c r="AT748" s="125">
        <v>173226.97</v>
      </c>
      <c r="AU748" s="125">
        <v>194324.7</v>
      </c>
      <c r="AV748" s="125">
        <v>181907.41</v>
      </c>
      <c r="AW748" s="125">
        <v>171988.38</v>
      </c>
      <c r="AX748" s="125">
        <v>196247.38</v>
      </c>
      <c r="AY748" s="126"/>
      <c r="AZ748" s="126"/>
      <c r="BA748" s="126"/>
      <c r="BB748" s="126"/>
      <c r="BC748" s="126"/>
      <c r="BD748" s="126"/>
      <c r="BE748" s="126"/>
      <c r="BF748" s="127">
        <v>7190901010</v>
      </c>
      <c r="BG748" s="97" t="s">
        <v>644</v>
      </c>
      <c r="BH748" s="127">
        <v>69016.25</v>
      </c>
      <c r="BI748" s="127">
        <v>7190901010</v>
      </c>
      <c r="BJ748" s="97" t="s">
        <v>644</v>
      </c>
      <c r="BK748" s="127">
        <v>74340.73</v>
      </c>
    </row>
    <row r="749" spans="2:63" x14ac:dyDescent="0.25">
      <c r="B749" s="121">
        <v>7190901015</v>
      </c>
      <c r="C749" s="152" t="s">
        <v>634</v>
      </c>
      <c r="D749" s="123">
        <v>1965410.6</v>
      </c>
      <c r="E749" s="123">
        <v>1998261.33</v>
      </c>
      <c r="F749" s="123">
        <v>2024680.12</v>
      </c>
      <c r="G749" s="123">
        <v>2045890.25</v>
      </c>
      <c r="H749" s="123">
        <v>2060997.06</v>
      </c>
      <c r="I749" s="123">
        <v>2077142.42</v>
      </c>
      <c r="J749" s="123">
        <v>2073434.13</v>
      </c>
      <c r="K749" s="123">
        <v>2084608.56</v>
      </c>
      <c r="L749" s="123">
        <v>2104657.5099999998</v>
      </c>
      <c r="M749" s="123">
        <v>2131106.86</v>
      </c>
      <c r="N749" s="123">
        <v>2158117.7400000002</v>
      </c>
      <c r="O749" s="123">
        <v>2184608.08</v>
      </c>
      <c r="P749" s="123">
        <v>2212006.85</v>
      </c>
      <c r="Q749" s="123">
        <v>2239430.85</v>
      </c>
      <c r="R749" s="123">
        <v>444291.79</v>
      </c>
      <c r="S749" s="123">
        <v>444320.02</v>
      </c>
      <c r="T749" s="123">
        <v>444373.23</v>
      </c>
      <c r="U749" s="128"/>
      <c r="V749" s="128"/>
      <c r="W749" s="123">
        <v>0.44</v>
      </c>
      <c r="X749" s="123">
        <v>1.1100000000000001</v>
      </c>
      <c r="Y749" s="123">
        <v>4.1900000000000004</v>
      </c>
      <c r="Z749" s="123">
        <v>6.7</v>
      </c>
      <c r="AA749" s="123">
        <v>32.32</v>
      </c>
      <c r="AB749" s="123">
        <v>63.62</v>
      </c>
      <c r="AC749" s="124">
        <v>42.77</v>
      </c>
      <c r="AD749" s="124">
        <v>90.17</v>
      </c>
      <c r="AE749" s="124">
        <v>172.4</v>
      </c>
      <c r="AF749" s="124">
        <v>224.13</v>
      </c>
      <c r="AG749" s="124">
        <v>176.21</v>
      </c>
      <c r="AH749" s="124">
        <v>228.31</v>
      </c>
      <c r="AI749" s="124">
        <v>306.97000000000003</v>
      </c>
      <c r="AJ749" s="124">
        <v>443.95</v>
      </c>
      <c r="AK749" s="124">
        <v>561.49</v>
      </c>
      <c r="AL749" s="124">
        <v>731.74</v>
      </c>
      <c r="AM749" s="124">
        <v>900.36</v>
      </c>
      <c r="AN749" s="124">
        <v>987.25</v>
      </c>
      <c r="AO749" s="125">
        <v>1252.23</v>
      </c>
      <c r="AP749" s="125">
        <v>1146.3</v>
      </c>
      <c r="AQ749" s="125">
        <v>1514.15</v>
      </c>
      <c r="AR749" s="125">
        <v>1371.24</v>
      </c>
      <c r="AS749" s="125">
        <v>1301.58</v>
      </c>
      <c r="AT749" s="125">
        <v>1528.59</v>
      </c>
      <c r="AU749" s="125">
        <v>1671.36</v>
      </c>
      <c r="AV749" s="125">
        <v>868.66</v>
      </c>
      <c r="AW749" s="125">
        <v>4773.49</v>
      </c>
      <c r="AX749" s="125">
        <v>17450.04</v>
      </c>
      <c r="AY749" s="126"/>
      <c r="AZ749" s="126"/>
      <c r="BA749" s="126"/>
      <c r="BB749" s="126"/>
      <c r="BC749" s="126"/>
      <c r="BD749" s="126"/>
      <c r="BE749" s="126"/>
      <c r="BF749" s="127">
        <v>7190901015</v>
      </c>
      <c r="BG749" s="97" t="s">
        <v>634</v>
      </c>
      <c r="BH749" s="127">
        <v>228.31</v>
      </c>
      <c r="BI749" s="127">
        <v>7190901015</v>
      </c>
      <c r="BJ749" s="97" t="s">
        <v>634</v>
      </c>
      <c r="BK749" s="127">
        <v>306.97000000000003</v>
      </c>
    </row>
    <row r="750" spans="2:63" x14ac:dyDescent="0.25">
      <c r="B750" s="121">
        <v>72</v>
      </c>
      <c r="C750" s="152" t="s">
        <v>647</v>
      </c>
      <c r="D750" s="123">
        <v>57690505.320000008</v>
      </c>
      <c r="E750" s="123">
        <v>57869871.289999999</v>
      </c>
      <c r="F750" s="123">
        <v>58112316.560000002</v>
      </c>
      <c r="G750" s="123">
        <v>58125823.68</v>
      </c>
      <c r="H750" s="123">
        <v>58218306.539999999</v>
      </c>
      <c r="I750" s="123">
        <v>58333355.140000001</v>
      </c>
      <c r="J750" s="123">
        <v>58314496.109999999</v>
      </c>
      <c r="K750" s="123">
        <v>58483254.479999997</v>
      </c>
      <c r="L750" s="123">
        <v>58575215.899999999</v>
      </c>
      <c r="M750" s="123">
        <v>58658625.93</v>
      </c>
      <c r="N750" s="123">
        <v>53554071.68</v>
      </c>
      <c r="O750" s="123">
        <v>53635862.729999997</v>
      </c>
      <c r="P750" s="123">
        <v>53804270.200000003</v>
      </c>
      <c r="Q750" s="123">
        <v>54102084.939999998</v>
      </c>
      <c r="R750" s="123">
        <v>50271618.619999997</v>
      </c>
      <c r="S750" s="123">
        <v>50549182.640000001</v>
      </c>
      <c r="T750" s="123">
        <v>50803996.119999997</v>
      </c>
      <c r="U750" s="123">
        <v>50429285.350000001</v>
      </c>
      <c r="V750" s="123">
        <v>51104678.719999999</v>
      </c>
      <c r="W750" s="123">
        <v>51741755.590000004</v>
      </c>
      <c r="X750" s="123">
        <v>52331001.890000001</v>
      </c>
      <c r="Y750" s="123">
        <v>52903208.229999997</v>
      </c>
      <c r="Z750" s="123">
        <v>53624488.020000003</v>
      </c>
      <c r="AA750" s="123">
        <v>53900383.850000001</v>
      </c>
      <c r="AB750" s="123">
        <v>55116647.840000004</v>
      </c>
      <c r="AC750" s="124">
        <v>55619146</v>
      </c>
      <c r="AD750" s="124">
        <v>56094141.159999996</v>
      </c>
      <c r="AE750" s="124">
        <v>56630412.159999996</v>
      </c>
      <c r="AF750" s="124">
        <v>57213118.630000003</v>
      </c>
      <c r="AG750" s="124">
        <v>57788188.509999998</v>
      </c>
      <c r="AH750" s="124">
        <v>58377103.049999997</v>
      </c>
      <c r="AI750" s="124">
        <v>58524999.619999997</v>
      </c>
      <c r="AJ750" s="124">
        <v>59315859</v>
      </c>
      <c r="AK750" s="124">
        <v>60026943.799999997</v>
      </c>
      <c r="AL750" s="124">
        <v>60589259.299999997</v>
      </c>
      <c r="AM750" s="124">
        <v>63056761.060000002</v>
      </c>
      <c r="AN750" s="124">
        <v>65340442.119999997</v>
      </c>
      <c r="AO750" s="125">
        <v>66827397.359999999</v>
      </c>
      <c r="AP750" s="125">
        <v>67976610.020000011</v>
      </c>
      <c r="AQ750" s="125">
        <v>69528844.099999994</v>
      </c>
      <c r="AR750" s="125">
        <v>69952643.010000005</v>
      </c>
      <c r="AS750" s="125">
        <v>70956813</v>
      </c>
      <c r="AT750" s="125">
        <v>71360226.599999994</v>
      </c>
      <c r="AU750" s="125">
        <v>72924661.060000002</v>
      </c>
      <c r="AV750" s="125">
        <v>72994853.769999996</v>
      </c>
      <c r="AW750" s="125">
        <v>72933380.920000002</v>
      </c>
      <c r="AX750" s="125">
        <v>66233411.759999998</v>
      </c>
      <c r="AY750" s="126"/>
      <c r="AZ750" s="126"/>
      <c r="BA750" s="126"/>
      <c r="BB750" s="126"/>
      <c r="BC750" s="126"/>
      <c r="BD750" s="126"/>
      <c r="BE750" s="126"/>
      <c r="BF750" s="127">
        <v>72</v>
      </c>
      <c r="BG750" s="97" t="s">
        <v>647</v>
      </c>
      <c r="BH750" s="127">
        <v>58377103.049999997</v>
      </c>
      <c r="BI750" s="127">
        <v>72</v>
      </c>
      <c r="BJ750" s="97" t="s">
        <v>647</v>
      </c>
      <c r="BK750" s="127">
        <v>58524999.619999997</v>
      </c>
    </row>
    <row r="751" spans="2:63" x14ac:dyDescent="0.25">
      <c r="B751" s="121">
        <v>7201</v>
      </c>
      <c r="C751" s="152" t="s">
        <v>648</v>
      </c>
      <c r="D751" s="123">
        <v>322418.01</v>
      </c>
      <c r="E751" s="123">
        <v>322418.01</v>
      </c>
      <c r="F751" s="123">
        <v>322418.01</v>
      </c>
      <c r="G751" s="123">
        <v>322418.01</v>
      </c>
      <c r="H751" s="123">
        <v>322418.01</v>
      </c>
      <c r="I751" s="123">
        <v>322418.01</v>
      </c>
      <c r="J751" s="123">
        <v>322418.01</v>
      </c>
      <c r="K751" s="123">
        <v>322418.01</v>
      </c>
      <c r="L751" s="123">
        <v>322418.01</v>
      </c>
      <c r="M751" s="123">
        <v>322418.01</v>
      </c>
      <c r="N751" s="123">
        <v>322418.01</v>
      </c>
      <c r="O751" s="123">
        <v>322418.01</v>
      </c>
      <c r="P751" s="123">
        <v>322418.01</v>
      </c>
      <c r="Q751" s="123">
        <v>322418.01</v>
      </c>
      <c r="R751" s="123">
        <v>322418.01</v>
      </c>
      <c r="S751" s="123">
        <v>322418.01</v>
      </c>
      <c r="T751" s="123">
        <v>322418.01</v>
      </c>
      <c r="U751" s="123">
        <v>322418.01</v>
      </c>
      <c r="V751" s="123">
        <v>322418.01</v>
      </c>
      <c r="W751" s="123">
        <v>322418.01</v>
      </c>
      <c r="X751" s="123">
        <v>322418.01</v>
      </c>
      <c r="Y751" s="123">
        <v>322418.01</v>
      </c>
      <c r="Z751" s="123">
        <v>322418.01</v>
      </c>
      <c r="AA751" s="123">
        <v>322418.01</v>
      </c>
      <c r="AB751" s="123">
        <v>322418.01</v>
      </c>
      <c r="AC751" s="124">
        <v>322418.01</v>
      </c>
      <c r="AD751" s="124">
        <v>322418.01</v>
      </c>
      <c r="AE751" s="124">
        <v>322418.01</v>
      </c>
      <c r="AF751" s="124">
        <v>322418.01</v>
      </c>
      <c r="AG751" s="124">
        <v>322418.01</v>
      </c>
      <c r="AH751" s="124">
        <v>322418.01</v>
      </c>
      <c r="AI751" s="124">
        <v>322418.01</v>
      </c>
      <c r="AJ751" s="124">
        <v>322418.01</v>
      </c>
      <c r="AK751" s="124">
        <v>322418.01</v>
      </c>
      <c r="AL751" s="124">
        <v>322418.01</v>
      </c>
      <c r="AM751" s="124">
        <v>322418.01</v>
      </c>
      <c r="AN751" s="124">
        <v>322418.01</v>
      </c>
      <c r="AO751" s="125">
        <v>322418.01</v>
      </c>
      <c r="AP751" s="125">
        <v>322418.01</v>
      </c>
      <c r="AQ751" s="125">
        <v>322418.01</v>
      </c>
      <c r="AR751" s="125">
        <v>322418.01</v>
      </c>
      <c r="AS751" s="125">
        <v>322418.01</v>
      </c>
      <c r="AT751" s="125">
        <v>322418.01</v>
      </c>
      <c r="AU751" s="125">
        <v>322418.01</v>
      </c>
      <c r="AV751" s="125">
        <v>322418.01</v>
      </c>
      <c r="AW751" s="125">
        <v>322418.01</v>
      </c>
      <c r="AX751" s="125">
        <v>0</v>
      </c>
      <c r="AY751" s="126"/>
      <c r="AZ751" s="126"/>
      <c r="BA751" s="126"/>
      <c r="BB751" s="126"/>
      <c r="BC751" s="126"/>
      <c r="BD751" s="126"/>
      <c r="BE751" s="126"/>
      <c r="BF751" s="127">
        <v>7201</v>
      </c>
      <c r="BG751" s="97" t="s">
        <v>648</v>
      </c>
      <c r="BH751" s="127">
        <v>322418.01</v>
      </c>
      <c r="BI751" s="127">
        <v>7201</v>
      </c>
      <c r="BJ751" s="97" t="s">
        <v>648</v>
      </c>
      <c r="BK751" s="127">
        <v>322418.01</v>
      </c>
    </row>
    <row r="752" spans="2:63" x14ac:dyDescent="0.25">
      <c r="B752" s="121">
        <v>7202</v>
      </c>
      <c r="C752" s="152" t="s">
        <v>649</v>
      </c>
      <c r="D752" s="123">
        <v>5066237.75</v>
      </c>
      <c r="E752" s="123">
        <v>5066237.75</v>
      </c>
      <c r="F752" s="123">
        <v>5066237.75</v>
      </c>
      <c r="G752" s="123">
        <v>5066237.75</v>
      </c>
      <c r="H752" s="123">
        <v>5066237.75</v>
      </c>
      <c r="I752" s="123">
        <v>5066237.75</v>
      </c>
      <c r="J752" s="123">
        <v>5066237.75</v>
      </c>
      <c r="K752" s="123">
        <v>5066237.75</v>
      </c>
      <c r="L752" s="123">
        <v>5066237.75</v>
      </c>
      <c r="M752" s="123">
        <v>5066237.75</v>
      </c>
      <c r="N752" s="123">
        <v>5066237.75</v>
      </c>
      <c r="O752" s="123">
        <v>5066237.75</v>
      </c>
      <c r="P752" s="123">
        <v>5066237.75</v>
      </c>
      <c r="Q752" s="123">
        <v>5066237.75</v>
      </c>
      <c r="R752" s="123">
        <v>5066237.75</v>
      </c>
      <c r="S752" s="123">
        <v>5066237.75</v>
      </c>
      <c r="T752" s="123">
        <v>5066237.75</v>
      </c>
      <c r="U752" s="123">
        <v>5066237.75</v>
      </c>
      <c r="V752" s="123">
        <v>5066237.75</v>
      </c>
      <c r="W752" s="123">
        <v>5066237.75</v>
      </c>
      <c r="X752" s="123">
        <v>5066237.75</v>
      </c>
      <c r="Y752" s="123">
        <v>5066237.75</v>
      </c>
      <c r="Z752" s="123">
        <v>5066237.75</v>
      </c>
      <c r="AA752" s="123">
        <v>5066237.75</v>
      </c>
      <c r="AB752" s="123">
        <v>5066237.75</v>
      </c>
      <c r="AC752" s="124">
        <v>5066237.75</v>
      </c>
      <c r="AD752" s="124">
        <v>5066237.75</v>
      </c>
      <c r="AE752" s="124">
        <v>5066237.75</v>
      </c>
      <c r="AF752" s="124">
        <v>5066237.75</v>
      </c>
      <c r="AG752" s="124">
        <v>5066237.75</v>
      </c>
      <c r="AH752" s="124">
        <v>5066237.75</v>
      </c>
      <c r="AI752" s="124">
        <v>5066237.75</v>
      </c>
      <c r="AJ752" s="124">
        <v>5066237.75</v>
      </c>
      <c r="AK752" s="124">
        <v>5066237.75</v>
      </c>
      <c r="AL752" s="124">
        <v>5066237.75</v>
      </c>
      <c r="AM752" s="124">
        <v>5066237.75</v>
      </c>
      <c r="AN752" s="124">
        <v>5066237.75</v>
      </c>
      <c r="AO752" s="125">
        <v>5066237.75</v>
      </c>
      <c r="AP752" s="125">
        <v>5066237.75</v>
      </c>
      <c r="AQ752" s="125">
        <v>5066237.75</v>
      </c>
      <c r="AR752" s="125">
        <v>5066237.75</v>
      </c>
      <c r="AS752" s="125">
        <v>5066237.75</v>
      </c>
      <c r="AT752" s="125">
        <v>5066237.75</v>
      </c>
      <c r="AU752" s="125">
        <v>5066237.75</v>
      </c>
      <c r="AV752" s="125">
        <v>5066237.75</v>
      </c>
      <c r="AW752" s="125">
        <v>5066237.75</v>
      </c>
      <c r="AX752" s="125">
        <v>0</v>
      </c>
      <c r="AY752" s="126"/>
      <c r="AZ752" s="126"/>
      <c r="BA752" s="126"/>
      <c r="BB752" s="126"/>
      <c r="BC752" s="126"/>
      <c r="BD752" s="126"/>
      <c r="BE752" s="126"/>
      <c r="BF752" s="127">
        <v>7202</v>
      </c>
      <c r="BG752" s="97" t="s">
        <v>649</v>
      </c>
      <c r="BH752" s="127">
        <v>5066237.75</v>
      </c>
      <c r="BI752" s="127">
        <v>7202</v>
      </c>
      <c r="BJ752" s="97" t="s">
        <v>649</v>
      </c>
      <c r="BK752" s="127">
        <v>5066237.75</v>
      </c>
    </row>
    <row r="753" spans="2:63" x14ac:dyDescent="0.25">
      <c r="B753" s="121">
        <v>7203</v>
      </c>
      <c r="C753" s="152" t="s">
        <v>615</v>
      </c>
      <c r="D753" s="123">
        <v>11239621.85</v>
      </c>
      <c r="E753" s="123">
        <v>11281060.52</v>
      </c>
      <c r="F753" s="123">
        <v>11384314.35</v>
      </c>
      <c r="G753" s="123">
        <v>11391116.789999999</v>
      </c>
      <c r="H753" s="123">
        <v>11352412.51</v>
      </c>
      <c r="I753" s="123">
        <v>11333021.449999999</v>
      </c>
      <c r="J753" s="123">
        <v>11340889.51</v>
      </c>
      <c r="K753" s="123">
        <v>11364690.619999999</v>
      </c>
      <c r="L753" s="123">
        <v>11334154.17</v>
      </c>
      <c r="M753" s="123">
        <v>11258774.369999999</v>
      </c>
      <c r="N753" s="123">
        <v>11234368.890000001</v>
      </c>
      <c r="O753" s="123">
        <v>11197812.17</v>
      </c>
      <c r="P753" s="123">
        <v>11198370.76</v>
      </c>
      <c r="Q753" s="123">
        <v>11186732.220000001</v>
      </c>
      <c r="R753" s="123">
        <v>11159683.630000001</v>
      </c>
      <c r="S753" s="123">
        <v>11165297.550000001</v>
      </c>
      <c r="T753" s="123">
        <v>11155404.83</v>
      </c>
      <c r="U753" s="123">
        <v>11128771.810000001</v>
      </c>
      <c r="V753" s="123">
        <v>11122158.630000001</v>
      </c>
      <c r="W753" s="123">
        <v>11096193.789999999</v>
      </c>
      <c r="X753" s="123">
        <v>11084959.15</v>
      </c>
      <c r="Y753" s="123">
        <v>11053035.5</v>
      </c>
      <c r="Z753" s="123">
        <v>11083261.32</v>
      </c>
      <c r="AA753" s="123">
        <v>11076835.6</v>
      </c>
      <c r="AB753" s="123">
        <v>11104570.810000001</v>
      </c>
      <c r="AC753" s="124">
        <v>11048071.050000001</v>
      </c>
      <c r="AD753" s="124">
        <v>11035234.24</v>
      </c>
      <c r="AE753" s="124">
        <v>11051662.1</v>
      </c>
      <c r="AF753" s="124">
        <v>11042917.32</v>
      </c>
      <c r="AG753" s="124">
        <v>11031781.58</v>
      </c>
      <c r="AH753" s="124">
        <v>11031495.42</v>
      </c>
      <c r="AI753" s="124">
        <v>10983991.68</v>
      </c>
      <c r="AJ753" s="124">
        <v>10975736.789999999</v>
      </c>
      <c r="AK753" s="124">
        <v>11012986.26</v>
      </c>
      <c r="AL753" s="124">
        <v>11079869.369999999</v>
      </c>
      <c r="AM753" s="124">
        <v>11077486.859999999</v>
      </c>
      <c r="AN753" s="124">
        <v>11137972.66</v>
      </c>
      <c r="AO753" s="125">
        <v>11119419.67</v>
      </c>
      <c r="AP753" s="125">
        <v>10955087.66</v>
      </c>
      <c r="AQ753" s="125">
        <v>10923970.16</v>
      </c>
      <c r="AR753" s="125">
        <v>10900303.52</v>
      </c>
      <c r="AS753" s="125">
        <v>10856155.16</v>
      </c>
      <c r="AT753" s="125">
        <v>10851678.890000001</v>
      </c>
      <c r="AU753" s="125">
        <v>10814944.210000001</v>
      </c>
      <c r="AV753" s="125">
        <v>10813961.41</v>
      </c>
      <c r="AW753" s="125">
        <v>10805441</v>
      </c>
      <c r="AX753" s="125">
        <v>10510897.859999999</v>
      </c>
      <c r="AY753" s="126"/>
      <c r="AZ753" s="126"/>
      <c r="BA753" s="126"/>
      <c r="BB753" s="126"/>
      <c r="BC753" s="126"/>
      <c r="BD753" s="126"/>
      <c r="BE753" s="126"/>
      <c r="BF753" s="127">
        <v>7203</v>
      </c>
      <c r="BG753" s="97" t="s">
        <v>615</v>
      </c>
      <c r="BH753" s="127">
        <v>11031495.42</v>
      </c>
      <c r="BI753" s="127">
        <v>7203</v>
      </c>
      <c r="BJ753" s="97" t="s">
        <v>615</v>
      </c>
      <c r="BK753" s="127">
        <v>10983991.68</v>
      </c>
    </row>
    <row r="754" spans="2:63" x14ac:dyDescent="0.25">
      <c r="B754" s="121">
        <v>7207</v>
      </c>
      <c r="C754" s="152" t="s">
        <v>650</v>
      </c>
      <c r="D754" s="123">
        <v>8630901.8399999999</v>
      </c>
      <c r="E754" s="123">
        <v>8601808.9700000007</v>
      </c>
      <c r="F754" s="123">
        <v>8600847.6199999992</v>
      </c>
      <c r="G754" s="123">
        <v>8524089.6799999997</v>
      </c>
      <c r="H754" s="123">
        <v>8509815.1999999993</v>
      </c>
      <c r="I754" s="123">
        <v>8509815.1999999993</v>
      </c>
      <c r="J754" s="123">
        <v>8496558.8599999994</v>
      </c>
      <c r="K754" s="123">
        <v>8493252.6699999999</v>
      </c>
      <c r="L754" s="123">
        <v>8468428.8499999996</v>
      </c>
      <c r="M754" s="123">
        <v>8466045.5099999998</v>
      </c>
      <c r="N754" s="123">
        <v>8479670.4399999995</v>
      </c>
      <c r="O754" s="123">
        <v>8460986.1899999995</v>
      </c>
      <c r="P754" s="123">
        <v>8468262.4000000004</v>
      </c>
      <c r="Q754" s="123">
        <v>8568353.4399999995</v>
      </c>
      <c r="R754" s="123">
        <v>8753297.7799999993</v>
      </c>
      <c r="S754" s="123">
        <v>8870350.5700000003</v>
      </c>
      <c r="T754" s="123">
        <v>8977816.9000000004</v>
      </c>
      <c r="U754" s="123">
        <v>9119153.3599999994</v>
      </c>
      <c r="V754" s="123">
        <v>9229550.9600000009</v>
      </c>
      <c r="W754" s="123">
        <v>9328816.5199999996</v>
      </c>
      <c r="X754" s="123">
        <v>9366614.0399999991</v>
      </c>
      <c r="Y754" s="123">
        <v>9350583.1699999999</v>
      </c>
      <c r="Z754" s="123">
        <v>9340583.1699999999</v>
      </c>
      <c r="AA754" s="123">
        <v>9379318.6699999999</v>
      </c>
      <c r="AB754" s="123">
        <v>9383656.1799999997</v>
      </c>
      <c r="AC754" s="124">
        <v>9377045.3800000008</v>
      </c>
      <c r="AD754" s="124">
        <v>9354045.3800000008</v>
      </c>
      <c r="AE754" s="124">
        <v>9354045.3800000008</v>
      </c>
      <c r="AF754" s="124">
        <v>9358873.9100000001</v>
      </c>
      <c r="AG754" s="124">
        <v>9369794.7400000002</v>
      </c>
      <c r="AH754" s="124">
        <v>9369794.7400000002</v>
      </c>
      <c r="AI754" s="124">
        <v>9312723.7599999998</v>
      </c>
      <c r="AJ754" s="124">
        <v>9312723.7599999998</v>
      </c>
      <c r="AK754" s="124">
        <v>9312723.7599999998</v>
      </c>
      <c r="AL754" s="124">
        <v>9298000.1699999999</v>
      </c>
      <c r="AM754" s="124">
        <v>8310075.2599999998</v>
      </c>
      <c r="AN754" s="124">
        <v>8310075.2599999998</v>
      </c>
      <c r="AO754" s="125">
        <v>8310075.2599999998</v>
      </c>
      <c r="AP754" s="125">
        <v>8167937.9699999997</v>
      </c>
      <c r="AQ754" s="125">
        <v>8167937.9699999997</v>
      </c>
      <c r="AR754" s="125">
        <v>8150738.1799999997</v>
      </c>
      <c r="AS754" s="125">
        <v>8150738.1799999997</v>
      </c>
      <c r="AT754" s="125">
        <v>8150738.1799999997</v>
      </c>
      <c r="AU754" s="125">
        <v>8132894.0099999998</v>
      </c>
      <c r="AV754" s="125">
        <v>8124378.6399999997</v>
      </c>
      <c r="AW754" s="125">
        <v>8113169.21</v>
      </c>
      <c r="AX754" s="125">
        <v>8043544.96</v>
      </c>
      <c r="AY754" s="126"/>
      <c r="AZ754" s="126"/>
      <c r="BA754" s="126"/>
      <c r="BB754" s="126"/>
      <c r="BC754" s="126"/>
      <c r="BD754" s="126"/>
      <c r="BE754" s="126"/>
      <c r="BF754" s="127">
        <v>7207</v>
      </c>
      <c r="BG754" s="97" t="s">
        <v>650</v>
      </c>
      <c r="BH754" s="127">
        <v>9369794.7400000002</v>
      </c>
      <c r="BI754" s="127">
        <v>7207</v>
      </c>
      <c r="BJ754" s="97" t="s">
        <v>650</v>
      </c>
      <c r="BK754" s="127">
        <v>9312723.7599999998</v>
      </c>
    </row>
    <row r="755" spans="2:63" x14ac:dyDescent="0.25">
      <c r="B755" s="121">
        <v>7209</v>
      </c>
      <c r="C755" s="152" t="s">
        <v>651</v>
      </c>
      <c r="D755" s="123">
        <v>11837876.790000001</v>
      </c>
      <c r="E755" s="123">
        <v>11982208.68</v>
      </c>
      <c r="F755" s="123">
        <v>12104869.52</v>
      </c>
      <c r="G755" s="123">
        <v>12175284.92</v>
      </c>
      <c r="H755" s="123">
        <v>12312453.580000002</v>
      </c>
      <c r="I755" s="123">
        <v>12437125.859999999</v>
      </c>
      <c r="J755" s="123">
        <v>12580014.9</v>
      </c>
      <c r="K755" s="123">
        <v>12719986.85</v>
      </c>
      <c r="L755" s="123">
        <v>12847673.879999999</v>
      </c>
      <c r="M755" s="123">
        <v>12982176.369999999</v>
      </c>
      <c r="N755" s="123">
        <v>13124326.790000001</v>
      </c>
      <c r="O755" s="123">
        <v>13234694.869999999</v>
      </c>
      <c r="P755" s="123">
        <v>13367714.42</v>
      </c>
      <c r="Q755" s="123">
        <v>13549523.529999999</v>
      </c>
      <c r="R755" s="123">
        <v>13682405.32</v>
      </c>
      <c r="S755" s="123">
        <v>13837196.57</v>
      </c>
      <c r="T755" s="123">
        <v>13994333.08</v>
      </c>
      <c r="U755" s="123">
        <v>14157226.18</v>
      </c>
      <c r="V755" s="123">
        <v>14318043.4</v>
      </c>
      <c r="W755" s="123">
        <v>14470333.75</v>
      </c>
      <c r="X755" s="123">
        <v>14620794.199999999</v>
      </c>
      <c r="Y755" s="123">
        <v>14741030.209999999</v>
      </c>
      <c r="Z755" s="123">
        <v>14981832.27</v>
      </c>
      <c r="AA755" s="123">
        <v>15062767.389999999</v>
      </c>
      <c r="AB755" s="123">
        <v>15222958.560000001</v>
      </c>
      <c r="AC755" s="124">
        <v>15295747.319999998</v>
      </c>
      <c r="AD755" s="124">
        <v>15452236.16</v>
      </c>
      <c r="AE755" s="124">
        <v>15627165.380000001</v>
      </c>
      <c r="AF755" s="124">
        <v>15763797.219999999</v>
      </c>
      <c r="AG755" s="124">
        <v>15910636.76</v>
      </c>
      <c r="AH755" s="124">
        <v>16076686.160000002</v>
      </c>
      <c r="AI755" s="124">
        <v>16194349.390000001</v>
      </c>
      <c r="AJ755" s="124">
        <v>16396072.32</v>
      </c>
      <c r="AK755" s="124">
        <v>16567115.619999999</v>
      </c>
      <c r="AL755" s="124">
        <v>16754235.9</v>
      </c>
      <c r="AM755" s="124">
        <v>16395828.84</v>
      </c>
      <c r="AN755" s="124">
        <v>16537176.68</v>
      </c>
      <c r="AO755" s="125">
        <v>16667746.079999998</v>
      </c>
      <c r="AP755" s="125">
        <v>16814338.23</v>
      </c>
      <c r="AQ755" s="125">
        <v>16957708.490000002</v>
      </c>
      <c r="AR755" s="125">
        <v>17052727.449999999</v>
      </c>
      <c r="AS755" s="125">
        <v>17187823.809999999</v>
      </c>
      <c r="AT755" s="125">
        <v>17344044.699999999</v>
      </c>
      <c r="AU755" s="125">
        <v>17488374.199999999</v>
      </c>
      <c r="AV755" s="125">
        <v>17644984.249999996</v>
      </c>
      <c r="AW755" s="125">
        <v>17791092.940000001</v>
      </c>
      <c r="AX755" s="125">
        <v>17218978.989999998</v>
      </c>
      <c r="AY755" s="126"/>
      <c r="AZ755" s="126"/>
      <c r="BA755" s="126"/>
      <c r="BB755" s="126"/>
      <c r="BC755" s="126"/>
      <c r="BD755" s="126"/>
      <c r="BE755" s="126"/>
      <c r="BF755" s="127">
        <v>7209</v>
      </c>
      <c r="BG755" s="97" t="s">
        <v>651</v>
      </c>
      <c r="BH755" s="127">
        <v>16076686.160000002</v>
      </c>
      <c r="BI755" s="127">
        <v>7209</v>
      </c>
      <c r="BJ755" s="97" t="s">
        <v>651</v>
      </c>
      <c r="BK755" s="127">
        <v>16194349.390000001</v>
      </c>
    </row>
    <row r="756" spans="2:63" x14ac:dyDescent="0.25">
      <c r="B756" s="121">
        <v>7210</v>
      </c>
      <c r="C756" s="152" t="s">
        <v>652</v>
      </c>
      <c r="D756" s="123">
        <v>463978.23999999999</v>
      </c>
      <c r="E756" s="123">
        <v>463978.23999999999</v>
      </c>
      <c r="F756" s="123">
        <v>463978.23999999999</v>
      </c>
      <c r="G756" s="123">
        <v>463978.23999999999</v>
      </c>
      <c r="H756" s="123">
        <v>463978.23999999999</v>
      </c>
      <c r="I756" s="123">
        <v>463978.23999999999</v>
      </c>
      <c r="J756" s="123">
        <v>463978.23999999999</v>
      </c>
      <c r="K756" s="123">
        <v>463978.23999999999</v>
      </c>
      <c r="L756" s="123">
        <v>463978.23999999999</v>
      </c>
      <c r="M756" s="123">
        <v>463978.23999999999</v>
      </c>
      <c r="N756" s="123">
        <v>463978.23999999999</v>
      </c>
      <c r="O756" s="123">
        <v>463978.23999999999</v>
      </c>
      <c r="P756" s="123">
        <v>463978.23999999999</v>
      </c>
      <c r="Q756" s="123">
        <v>463978.23999999999</v>
      </c>
      <c r="R756" s="123">
        <v>463978.23999999999</v>
      </c>
      <c r="S756" s="123">
        <v>463978.23999999999</v>
      </c>
      <c r="T756" s="123">
        <v>463978.23999999999</v>
      </c>
      <c r="U756" s="123">
        <v>463978.23999999999</v>
      </c>
      <c r="V756" s="123">
        <v>463978.23999999999</v>
      </c>
      <c r="W756" s="123">
        <v>463978.23999999999</v>
      </c>
      <c r="X756" s="123">
        <v>463978.23999999999</v>
      </c>
      <c r="Y756" s="123">
        <v>463978.23999999999</v>
      </c>
      <c r="Z756" s="123">
        <v>463978.23999999999</v>
      </c>
      <c r="AA756" s="123">
        <v>463978.23999999999</v>
      </c>
      <c r="AB756" s="123">
        <v>463978.23999999999</v>
      </c>
      <c r="AC756" s="124">
        <v>463978.23999999999</v>
      </c>
      <c r="AD756" s="124">
        <v>463978.23999999999</v>
      </c>
      <c r="AE756" s="124">
        <v>463978.23999999999</v>
      </c>
      <c r="AF756" s="124">
        <v>463978.23999999999</v>
      </c>
      <c r="AG756" s="124">
        <v>463978.23999999999</v>
      </c>
      <c r="AH756" s="124">
        <v>463978.23999999999</v>
      </c>
      <c r="AI756" s="124">
        <v>463978.23999999999</v>
      </c>
      <c r="AJ756" s="124">
        <v>463978.23999999999</v>
      </c>
      <c r="AK756" s="124">
        <v>463978.23999999999</v>
      </c>
      <c r="AL756" s="124">
        <v>463978.23999999999</v>
      </c>
      <c r="AM756" s="124">
        <v>463978.23999999999</v>
      </c>
      <c r="AN756" s="124">
        <v>463978.23999999999</v>
      </c>
      <c r="AO756" s="125">
        <v>463978.23999999999</v>
      </c>
      <c r="AP756" s="125">
        <v>463978.23999999999</v>
      </c>
      <c r="AQ756" s="125">
        <v>463978.23999999999</v>
      </c>
      <c r="AR756" s="125">
        <v>463978.23999999999</v>
      </c>
      <c r="AS756" s="125">
        <v>463978.23999999999</v>
      </c>
      <c r="AT756" s="125">
        <v>463978.23999999999</v>
      </c>
      <c r="AU756" s="125">
        <v>463978.23999999999</v>
      </c>
      <c r="AV756" s="125">
        <v>463978.23999999999</v>
      </c>
      <c r="AW756" s="125">
        <v>463978.23999999999</v>
      </c>
      <c r="AX756" s="125">
        <v>0</v>
      </c>
      <c r="AY756" s="126"/>
      <c r="AZ756" s="126"/>
      <c r="BA756" s="126"/>
      <c r="BB756" s="126"/>
      <c r="BC756" s="126"/>
      <c r="BD756" s="126"/>
      <c r="BE756" s="126"/>
      <c r="BF756" s="127">
        <v>7210</v>
      </c>
      <c r="BG756" s="97" t="s">
        <v>652</v>
      </c>
      <c r="BH756" s="127">
        <v>463978.23999999999</v>
      </c>
      <c r="BI756" s="127">
        <v>7210</v>
      </c>
      <c r="BJ756" s="97" t="s">
        <v>652</v>
      </c>
      <c r="BK756" s="127">
        <v>463978.23999999999</v>
      </c>
    </row>
    <row r="757" spans="2:63" x14ac:dyDescent="0.25">
      <c r="B757" s="121">
        <v>7290</v>
      </c>
      <c r="C757" s="152" t="s">
        <v>653</v>
      </c>
      <c r="D757" s="123">
        <v>20129470.84</v>
      </c>
      <c r="E757" s="123">
        <v>20152159.120000001</v>
      </c>
      <c r="F757" s="123">
        <v>20169651.07</v>
      </c>
      <c r="G757" s="123">
        <v>20182698.289999999</v>
      </c>
      <c r="H757" s="123">
        <v>20190991.25</v>
      </c>
      <c r="I757" s="123">
        <v>20200758.629999999</v>
      </c>
      <c r="J757" s="123">
        <v>20044398.84</v>
      </c>
      <c r="K757" s="123">
        <v>20052690.34</v>
      </c>
      <c r="L757" s="123">
        <v>20072325</v>
      </c>
      <c r="M757" s="123">
        <v>20098995.68</v>
      </c>
      <c r="N757" s="123">
        <v>14863071.560000001</v>
      </c>
      <c r="O757" s="123">
        <v>14889735.5</v>
      </c>
      <c r="P757" s="123">
        <v>14917288.619999999</v>
      </c>
      <c r="Q757" s="123">
        <v>14944841.75</v>
      </c>
      <c r="R757" s="123">
        <v>10823597.890000001</v>
      </c>
      <c r="S757" s="123">
        <v>10823703.949999999</v>
      </c>
      <c r="T757" s="123">
        <v>10823807.310000001</v>
      </c>
      <c r="U757" s="123">
        <v>10171500</v>
      </c>
      <c r="V757" s="123">
        <v>10582291.73</v>
      </c>
      <c r="W757" s="123">
        <v>10993777.529999999</v>
      </c>
      <c r="X757" s="123">
        <v>11406000.5</v>
      </c>
      <c r="Y757" s="123">
        <v>11905925.35</v>
      </c>
      <c r="Z757" s="123">
        <v>12366177.26</v>
      </c>
      <c r="AA757" s="123">
        <v>12528828.189999999</v>
      </c>
      <c r="AB757" s="123">
        <v>13552828.289999999</v>
      </c>
      <c r="AC757" s="124">
        <v>14045648.25</v>
      </c>
      <c r="AD757" s="124">
        <v>14399991.380000001</v>
      </c>
      <c r="AE757" s="124">
        <v>14744905.299999999</v>
      </c>
      <c r="AF757" s="124">
        <v>15194896.18</v>
      </c>
      <c r="AG757" s="124">
        <v>15623341.43</v>
      </c>
      <c r="AH757" s="124">
        <v>16046492.729999999</v>
      </c>
      <c r="AI757" s="124">
        <v>16181300.789999999</v>
      </c>
      <c r="AJ757" s="124">
        <v>16778692.130000003</v>
      </c>
      <c r="AK757" s="124">
        <v>17281484.16</v>
      </c>
      <c r="AL757" s="124">
        <v>17604519.859999999</v>
      </c>
      <c r="AM757" s="124">
        <v>21420736.100000001</v>
      </c>
      <c r="AN757" s="124">
        <v>23502583.52</v>
      </c>
      <c r="AO757" s="125">
        <v>24877522.349999998</v>
      </c>
      <c r="AP757" s="125">
        <v>26186612.16</v>
      </c>
      <c r="AQ757" s="125">
        <v>27626593.48</v>
      </c>
      <c r="AR757" s="125">
        <v>27996239.859999999</v>
      </c>
      <c r="AS757" s="125">
        <v>28909461.850000001</v>
      </c>
      <c r="AT757" s="125">
        <v>29161130.829999998</v>
      </c>
      <c r="AU757" s="125">
        <v>30635814.640000001</v>
      </c>
      <c r="AV757" s="125">
        <v>30558895.469999999</v>
      </c>
      <c r="AW757" s="125">
        <v>30371043.77</v>
      </c>
      <c r="AX757" s="125">
        <v>30459989.949999999</v>
      </c>
      <c r="AY757" s="126"/>
      <c r="AZ757" s="126"/>
      <c r="BA757" s="126"/>
      <c r="BB757" s="126"/>
      <c r="BC757" s="126"/>
      <c r="BD757" s="126"/>
      <c r="BE757" s="126"/>
      <c r="BF757" s="127">
        <v>7290</v>
      </c>
      <c r="BG757" s="97" t="s">
        <v>653</v>
      </c>
      <c r="BH757" s="127">
        <v>16046492.729999999</v>
      </c>
      <c r="BI757" s="127">
        <v>7290</v>
      </c>
      <c r="BJ757" s="97" t="s">
        <v>653</v>
      </c>
      <c r="BK757" s="127">
        <v>16181300.789999999</v>
      </c>
    </row>
    <row r="758" spans="2:63" x14ac:dyDescent="0.25">
      <c r="B758" s="114">
        <v>73</v>
      </c>
      <c r="C758" s="161" t="s">
        <v>603</v>
      </c>
      <c r="D758" s="123">
        <v>46713860.270000003</v>
      </c>
      <c r="E758" s="123">
        <v>47150641.140000001</v>
      </c>
      <c r="F758" s="123">
        <v>47355187.810000002</v>
      </c>
      <c r="G758" s="123">
        <v>48037840.799999997</v>
      </c>
      <c r="H758" s="123">
        <v>50433006.539999999</v>
      </c>
      <c r="I758" s="123">
        <v>48461378.399999999</v>
      </c>
      <c r="J758" s="123">
        <v>50134271.460000001</v>
      </c>
      <c r="K758" s="123">
        <v>50345213.579999998</v>
      </c>
      <c r="L758" s="123">
        <v>52378911.549999997</v>
      </c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  <c r="AA758" s="128"/>
      <c r="AB758" s="128"/>
      <c r="AC758" s="151"/>
      <c r="AD758" s="151"/>
      <c r="AE758" s="151"/>
      <c r="AF758" s="151"/>
      <c r="AG758" s="151"/>
      <c r="AH758" s="151"/>
      <c r="AI758" s="151"/>
      <c r="AJ758" s="117">
        <v>0</v>
      </c>
      <c r="AK758" s="117">
        <v>0</v>
      </c>
      <c r="AL758" s="117">
        <v>0</v>
      </c>
      <c r="AM758" s="117">
        <v>0</v>
      </c>
      <c r="AN758" s="117">
        <v>0</v>
      </c>
      <c r="AO758" s="118">
        <v>0</v>
      </c>
      <c r="AP758" s="118">
        <v>0</v>
      </c>
      <c r="AQ758" s="118">
        <v>0</v>
      </c>
      <c r="AR758" s="118">
        <v>0</v>
      </c>
      <c r="AS758" s="118">
        <v>0</v>
      </c>
      <c r="AT758" s="118">
        <v>0</v>
      </c>
      <c r="AU758" s="118">
        <v>0</v>
      </c>
      <c r="AV758" s="118">
        <v>0</v>
      </c>
      <c r="AW758" s="118">
        <v>0</v>
      </c>
      <c r="AX758" s="118">
        <v>0</v>
      </c>
      <c r="AY758" s="119"/>
      <c r="AZ758" s="119"/>
      <c r="BA758" s="119"/>
      <c r="BB758" s="119"/>
      <c r="BC758" s="119"/>
      <c r="BD758" s="119"/>
      <c r="BE758" s="119"/>
    </row>
    <row r="759" spans="2:63" x14ac:dyDescent="0.25">
      <c r="B759" s="121">
        <v>7301</v>
      </c>
      <c r="C759" s="152" t="s">
        <v>654</v>
      </c>
      <c r="D759" s="123">
        <v>35331879.240000002</v>
      </c>
      <c r="E759" s="123">
        <v>35793695.170000002</v>
      </c>
      <c r="F759" s="123">
        <v>35921687.670000002</v>
      </c>
      <c r="G759" s="123">
        <v>36583840.659999996</v>
      </c>
      <c r="H759" s="123">
        <v>38927300.100000001</v>
      </c>
      <c r="I759" s="123">
        <v>36913965.329999998</v>
      </c>
      <c r="J759" s="123">
        <v>38428876.060000002</v>
      </c>
      <c r="K759" s="123">
        <v>38683889.909999996</v>
      </c>
      <c r="L759" s="123">
        <v>40689085.520000003</v>
      </c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  <c r="AA759" s="128"/>
      <c r="AB759" s="128"/>
      <c r="AC759" s="129"/>
      <c r="AD759" s="129"/>
      <c r="AE759" s="129"/>
      <c r="AF759" s="129"/>
      <c r="AG759" s="129"/>
      <c r="AH759" s="129"/>
      <c r="AI759" s="129"/>
      <c r="AJ759" s="124">
        <v>0</v>
      </c>
      <c r="AK759" s="124">
        <v>0</v>
      </c>
      <c r="AL759" s="124">
        <v>0</v>
      </c>
      <c r="AM759" s="124">
        <v>0</v>
      </c>
      <c r="AN759" s="124">
        <v>0</v>
      </c>
      <c r="AO759" s="125">
        <v>0</v>
      </c>
      <c r="AP759" s="125">
        <v>0</v>
      </c>
      <c r="AQ759" s="125">
        <v>0</v>
      </c>
      <c r="AR759" s="125">
        <v>0</v>
      </c>
      <c r="AS759" s="125">
        <v>0</v>
      </c>
      <c r="AT759" s="125">
        <v>0</v>
      </c>
      <c r="AU759" s="125">
        <v>0</v>
      </c>
      <c r="AV759" s="125">
        <v>0</v>
      </c>
      <c r="AW759" s="125">
        <v>0</v>
      </c>
      <c r="AX759" s="125">
        <v>0</v>
      </c>
      <c r="AY759" s="126"/>
      <c r="AZ759" s="126"/>
      <c r="BA759" s="126"/>
      <c r="BB759" s="126"/>
      <c r="BC759" s="126"/>
      <c r="BD759" s="126"/>
      <c r="BE759" s="126"/>
    </row>
    <row r="760" spans="2:63" x14ac:dyDescent="0.25">
      <c r="B760" s="121">
        <v>7307</v>
      </c>
      <c r="C760" s="152" t="s">
        <v>655</v>
      </c>
      <c r="D760" s="128"/>
      <c r="E760" s="128"/>
      <c r="F760" s="128"/>
      <c r="G760" s="123">
        <v>20500</v>
      </c>
      <c r="H760" s="123">
        <v>21592.400000000001</v>
      </c>
      <c r="I760" s="123">
        <v>21592.400000000001</v>
      </c>
      <c r="J760" s="123">
        <v>21592.400000000001</v>
      </c>
      <c r="K760" s="123">
        <v>21592.400000000001</v>
      </c>
      <c r="L760" s="123">
        <v>21592.400000000001</v>
      </c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  <c r="AA760" s="128"/>
      <c r="AB760" s="128"/>
      <c r="AC760" s="129"/>
      <c r="AD760" s="129"/>
      <c r="AE760" s="129"/>
      <c r="AF760" s="129"/>
      <c r="AG760" s="129"/>
      <c r="AH760" s="129"/>
      <c r="AI760" s="129"/>
      <c r="AJ760" s="124">
        <v>0</v>
      </c>
      <c r="AK760" s="124">
        <v>0</v>
      </c>
      <c r="AL760" s="124">
        <v>0</v>
      </c>
      <c r="AM760" s="124">
        <v>0</v>
      </c>
      <c r="AN760" s="124">
        <v>0</v>
      </c>
      <c r="AO760" s="125">
        <v>0</v>
      </c>
      <c r="AP760" s="125">
        <v>0</v>
      </c>
      <c r="AQ760" s="125">
        <v>0</v>
      </c>
      <c r="AR760" s="125">
        <v>0</v>
      </c>
      <c r="AS760" s="125">
        <v>0</v>
      </c>
      <c r="AT760" s="125">
        <v>0</v>
      </c>
      <c r="AU760" s="125">
        <v>0</v>
      </c>
      <c r="AV760" s="125">
        <v>0</v>
      </c>
      <c r="AW760" s="125">
        <v>0</v>
      </c>
      <c r="AX760" s="125">
        <v>0</v>
      </c>
      <c r="AY760" s="126"/>
      <c r="AZ760" s="126"/>
      <c r="BA760" s="126"/>
      <c r="BB760" s="126"/>
      <c r="BC760" s="126"/>
      <c r="BD760" s="126"/>
      <c r="BE760" s="126"/>
    </row>
    <row r="761" spans="2:63" x14ac:dyDescent="0.25">
      <c r="B761" s="121">
        <v>7308</v>
      </c>
      <c r="C761" s="152" t="s">
        <v>656</v>
      </c>
      <c r="D761" s="123">
        <v>11000000</v>
      </c>
      <c r="E761" s="123">
        <v>11000000</v>
      </c>
      <c r="F761" s="123">
        <v>11000000</v>
      </c>
      <c r="G761" s="123">
        <v>11000000</v>
      </c>
      <c r="H761" s="123">
        <v>11000000</v>
      </c>
      <c r="I761" s="123">
        <v>11000000</v>
      </c>
      <c r="J761" s="123">
        <v>11000000</v>
      </c>
      <c r="K761" s="123">
        <v>11000000</v>
      </c>
      <c r="L761" s="123">
        <v>11000000</v>
      </c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  <c r="AA761" s="128"/>
      <c r="AB761" s="128"/>
      <c r="AC761" s="129"/>
      <c r="AD761" s="129"/>
      <c r="AE761" s="129"/>
      <c r="AF761" s="129"/>
      <c r="AG761" s="129"/>
      <c r="AH761" s="129"/>
      <c r="AI761" s="129"/>
      <c r="AJ761" s="124">
        <v>0</v>
      </c>
      <c r="AK761" s="124">
        <v>0</v>
      </c>
      <c r="AL761" s="124">
        <v>0</v>
      </c>
      <c r="AM761" s="124">
        <v>0</v>
      </c>
      <c r="AN761" s="124">
        <v>0</v>
      </c>
      <c r="AO761" s="125">
        <v>0</v>
      </c>
      <c r="AP761" s="125">
        <v>0</v>
      </c>
      <c r="AQ761" s="125">
        <v>0</v>
      </c>
      <c r="AR761" s="125">
        <v>0</v>
      </c>
      <c r="AS761" s="125">
        <v>0</v>
      </c>
      <c r="AT761" s="125">
        <v>0</v>
      </c>
      <c r="AU761" s="125">
        <v>0</v>
      </c>
      <c r="AV761" s="125">
        <v>0</v>
      </c>
      <c r="AW761" s="125">
        <v>0</v>
      </c>
      <c r="AX761" s="125">
        <v>0</v>
      </c>
      <c r="AY761" s="126"/>
      <c r="AZ761" s="126"/>
      <c r="BA761" s="126"/>
      <c r="BB761" s="126"/>
      <c r="BC761" s="126"/>
      <c r="BD761" s="126"/>
      <c r="BE761" s="126"/>
    </row>
    <row r="762" spans="2:63" x14ac:dyDescent="0.25">
      <c r="B762" s="121">
        <v>7314</v>
      </c>
      <c r="C762" s="152" t="s">
        <v>657</v>
      </c>
      <c r="D762" s="123">
        <v>251849.71</v>
      </c>
      <c r="E762" s="123">
        <v>259428.72</v>
      </c>
      <c r="F762" s="123">
        <v>266387.88</v>
      </c>
      <c r="G762" s="123">
        <v>266387.88</v>
      </c>
      <c r="H762" s="123">
        <v>282515.57</v>
      </c>
      <c r="I762" s="123">
        <v>289222.2</v>
      </c>
      <c r="J762" s="123">
        <v>294760.73</v>
      </c>
      <c r="K762" s="123">
        <v>298786.46999999997</v>
      </c>
      <c r="L762" s="123">
        <v>292921.45</v>
      </c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  <c r="AA762" s="128"/>
      <c r="AB762" s="128"/>
      <c r="AC762" s="129"/>
      <c r="AD762" s="129"/>
      <c r="AE762" s="129"/>
      <c r="AF762" s="129"/>
      <c r="AG762" s="129"/>
      <c r="AH762" s="129"/>
      <c r="AI762" s="129"/>
      <c r="AJ762" s="124">
        <v>0</v>
      </c>
      <c r="AK762" s="124">
        <v>0</v>
      </c>
      <c r="AL762" s="124">
        <v>0</v>
      </c>
      <c r="AM762" s="124">
        <v>0</v>
      </c>
      <c r="AN762" s="124">
        <v>0</v>
      </c>
      <c r="AO762" s="125">
        <v>0</v>
      </c>
      <c r="AP762" s="125">
        <v>0</v>
      </c>
      <c r="AQ762" s="125">
        <v>0</v>
      </c>
      <c r="AR762" s="125">
        <v>0</v>
      </c>
      <c r="AS762" s="125">
        <v>0</v>
      </c>
      <c r="AT762" s="125">
        <v>0</v>
      </c>
      <c r="AU762" s="125">
        <v>0</v>
      </c>
      <c r="AV762" s="125">
        <v>0</v>
      </c>
      <c r="AW762" s="125">
        <v>0</v>
      </c>
      <c r="AX762" s="125">
        <v>0</v>
      </c>
      <c r="AY762" s="126"/>
      <c r="AZ762" s="126"/>
      <c r="BA762" s="126"/>
      <c r="BB762" s="126"/>
      <c r="BC762" s="126"/>
      <c r="BD762" s="126"/>
      <c r="BE762" s="126"/>
    </row>
    <row r="763" spans="2:63" x14ac:dyDescent="0.25">
      <c r="B763" s="121">
        <v>7315</v>
      </c>
      <c r="C763" s="152" t="s">
        <v>658</v>
      </c>
      <c r="D763" s="123">
        <v>130131.32</v>
      </c>
      <c r="E763" s="123">
        <v>97517.25</v>
      </c>
      <c r="F763" s="123">
        <v>167112.26</v>
      </c>
      <c r="G763" s="123">
        <v>167112.26</v>
      </c>
      <c r="H763" s="123">
        <v>201598.47</v>
      </c>
      <c r="I763" s="123">
        <v>236598.47</v>
      </c>
      <c r="J763" s="123">
        <v>389042.27</v>
      </c>
      <c r="K763" s="123">
        <v>340944.8</v>
      </c>
      <c r="L763" s="123">
        <v>375312.18</v>
      </c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  <c r="AA763" s="128"/>
      <c r="AB763" s="128"/>
      <c r="AC763" s="129"/>
      <c r="AD763" s="129"/>
      <c r="AE763" s="129"/>
      <c r="AF763" s="129"/>
      <c r="AG763" s="129"/>
      <c r="AH763" s="129"/>
      <c r="AI763" s="129"/>
      <c r="AJ763" s="124">
        <v>0</v>
      </c>
      <c r="AK763" s="124">
        <v>0</v>
      </c>
      <c r="AL763" s="124">
        <v>0</v>
      </c>
      <c r="AM763" s="124">
        <v>0</v>
      </c>
      <c r="AN763" s="124">
        <v>0</v>
      </c>
      <c r="AO763" s="125">
        <v>0</v>
      </c>
      <c r="AP763" s="125">
        <v>0</v>
      </c>
      <c r="AQ763" s="125">
        <v>0</v>
      </c>
      <c r="AR763" s="125">
        <v>0</v>
      </c>
      <c r="AS763" s="125">
        <v>0</v>
      </c>
      <c r="AT763" s="125">
        <v>0</v>
      </c>
      <c r="AU763" s="125">
        <v>0</v>
      </c>
      <c r="AV763" s="125">
        <v>0</v>
      </c>
      <c r="AW763" s="125">
        <v>0</v>
      </c>
      <c r="AX763" s="125">
        <v>0</v>
      </c>
      <c r="AY763" s="126"/>
      <c r="AZ763" s="126"/>
      <c r="BA763" s="126"/>
      <c r="BB763" s="126"/>
      <c r="BC763" s="126"/>
      <c r="BD763" s="126"/>
      <c r="BE763" s="126"/>
    </row>
    <row r="764" spans="2:63" x14ac:dyDescent="0.25">
      <c r="B764" s="114">
        <v>74</v>
      </c>
      <c r="C764" s="161" t="s">
        <v>659</v>
      </c>
      <c r="D764" s="123">
        <v>46713860.270000003</v>
      </c>
      <c r="E764" s="123">
        <v>47150641.140000001</v>
      </c>
      <c r="F764" s="123">
        <v>47355187.810000002</v>
      </c>
      <c r="G764" s="123">
        <v>48037840.799999997</v>
      </c>
      <c r="H764" s="123">
        <v>50433006.539999999</v>
      </c>
      <c r="I764" s="123">
        <v>48461378.399999999</v>
      </c>
      <c r="J764" s="123">
        <v>50134271.460000001</v>
      </c>
      <c r="K764" s="123">
        <v>50345213.579999998</v>
      </c>
      <c r="L764" s="123">
        <v>52378911.549999997</v>
      </c>
      <c r="M764" s="123">
        <v>52511769.210000001</v>
      </c>
      <c r="N764" s="123">
        <v>52708860.549999997</v>
      </c>
      <c r="O764" s="123">
        <v>52908369.149999999</v>
      </c>
      <c r="P764" s="123">
        <v>53680887.060000002</v>
      </c>
      <c r="Q764" s="123">
        <v>54038166.950000003</v>
      </c>
      <c r="R764" s="123">
        <v>54751776.210000001</v>
      </c>
      <c r="S764" s="123">
        <v>54984677.710000001</v>
      </c>
      <c r="T764" s="123">
        <v>55114522.359999999</v>
      </c>
      <c r="U764" s="123">
        <v>55751158.079999998</v>
      </c>
      <c r="V764" s="123">
        <v>53554767.109999999</v>
      </c>
      <c r="W764" s="123">
        <v>53629426.5</v>
      </c>
      <c r="X764" s="123">
        <v>53887891.600000001</v>
      </c>
      <c r="Y764" s="123">
        <v>53715478.600000001</v>
      </c>
      <c r="Z764" s="123">
        <v>54100909.649999999</v>
      </c>
      <c r="AA764" s="123">
        <v>53695324.509999998</v>
      </c>
      <c r="AB764" s="123">
        <v>54427787.490000002</v>
      </c>
      <c r="AC764" s="117">
        <v>54008204.32</v>
      </c>
      <c r="AD764" s="117">
        <v>54256070.030000001</v>
      </c>
      <c r="AE764" s="117">
        <v>54380693.450000003</v>
      </c>
      <c r="AF764" s="117">
        <v>55165413.710000001</v>
      </c>
      <c r="AG764" s="117">
        <v>55670546.039999999</v>
      </c>
      <c r="AH764" s="117">
        <v>56499710.619999997</v>
      </c>
      <c r="AI764" s="117">
        <v>56603156.710000001</v>
      </c>
      <c r="AJ764" s="117">
        <v>57492250.93</v>
      </c>
      <c r="AK764" s="117">
        <v>63908487.729999997</v>
      </c>
      <c r="AL764" s="117">
        <v>64485770.640000001</v>
      </c>
      <c r="AM764" s="117">
        <v>64950194.890000001</v>
      </c>
      <c r="AN764" s="117">
        <v>64806717.170000002</v>
      </c>
      <c r="AO764" s="118">
        <v>66178437.5</v>
      </c>
      <c r="AP764" s="118">
        <v>66095755.390000001</v>
      </c>
      <c r="AQ764" s="118">
        <v>66295965.240000002</v>
      </c>
      <c r="AR764" s="118">
        <v>65539415.109999999</v>
      </c>
      <c r="AS764" s="118">
        <v>65556411.939999998</v>
      </c>
      <c r="AT764" s="118">
        <v>66462396.859999999</v>
      </c>
      <c r="AU764" s="118">
        <v>66552147.43</v>
      </c>
      <c r="AV764" s="118">
        <v>66612785.32</v>
      </c>
      <c r="AW764" s="118">
        <v>67085280.229999997</v>
      </c>
      <c r="AX764" s="118">
        <v>67520353.510000005</v>
      </c>
      <c r="AY764" s="119"/>
      <c r="AZ764" s="119"/>
      <c r="BA764" s="119"/>
      <c r="BB764" s="119"/>
      <c r="BC764" s="119"/>
      <c r="BD764" s="119"/>
      <c r="BE764" s="119"/>
      <c r="BF764" s="127">
        <v>74</v>
      </c>
      <c r="BG764" s="97" t="s">
        <v>659</v>
      </c>
      <c r="BH764" s="127">
        <v>56499710.619999997</v>
      </c>
      <c r="BI764" s="127">
        <v>74</v>
      </c>
      <c r="BJ764" s="97" t="s">
        <v>659</v>
      </c>
      <c r="BK764" s="127">
        <v>56603156.710000001</v>
      </c>
    </row>
    <row r="765" spans="2:63" x14ac:dyDescent="0.25">
      <c r="B765" s="162">
        <v>7401</v>
      </c>
      <c r="C765" s="163" t="s">
        <v>660</v>
      </c>
      <c r="D765" s="123">
        <v>35331879.240000002</v>
      </c>
      <c r="E765" s="123">
        <v>35793695.170000002</v>
      </c>
      <c r="F765" s="123">
        <v>35921687.670000002</v>
      </c>
      <c r="G765" s="123">
        <v>36583840.659999996</v>
      </c>
      <c r="H765" s="123">
        <v>38927300.100000001</v>
      </c>
      <c r="I765" s="123">
        <v>36913965.329999998</v>
      </c>
      <c r="J765" s="123">
        <v>38428876.060000002</v>
      </c>
      <c r="K765" s="123">
        <v>38683889.909999996</v>
      </c>
      <c r="L765" s="123">
        <v>40689085.520000003</v>
      </c>
      <c r="M765" s="123">
        <v>40795418.759999998</v>
      </c>
      <c r="N765" s="123">
        <v>40981130.57</v>
      </c>
      <c r="O765" s="123">
        <v>41268526.649999999</v>
      </c>
      <c r="P765" s="123">
        <v>42407678.479999997</v>
      </c>
      <c r="Q765" s="123">
        <v>42484326.75</v>
      </c>
      <c r="R765" s="123">
        <v>43090465.200000003</v>
      </c>
      <c r="S765" s="123">
        <v>43564000.359999999</v>
      </c>
      <c r="T765" s="123">
        <v>43815608.810000002</v>
      </c>
      <c r="U765" s="123">
        <v>44402816.869999997</v>
      </c>
      <c r="V765" s="123">
        <v>42203581.539999999</v>
      </c>
      <c r="W765" s="123">
        <v>42286241.57</v>
      </c>
      <c r="X765" s="123">
        <v>42286241.57</v>
      </c>
      <c r="Y765" s="123">
        <v>42071781.549999997</v>
      </c>
      <c r="Z765" s="123">
        <v>42604785.57</v>
      </c>
      <c r="AA765" s="123">
        <v>42429073.469999999</v>
      </c>
      <c r="AB765" s="123">
        <v>43152537.090000004</v>
      </c>
      <c r="AC765" s="117">
        <v>42732953.920000002</v>
      </c>
      <c r="AD765" s="117">
        <v>42914438.359999999</v>
      </c>
      <c r="AE765" s="117">
        <v>42992555.479999997</v>
      </c>
      <c r="AF765" s="117">
        <v>43742295.450000003</v>
      </c>
      <c r="AG765" s="117">
        <v>43929427.780000001</v>
      </c>
      <c r="AH765" s="117">
        <v>44690958.090000004</v>
      </c>
      <c r="AI765" s="117">
        <v>44913994.630000003</v>
      </c>
      <c r="AJ765" s="117">
        <v>45757853.960000001</v>
      </c>
      <c r="AK765" s="117">
        <v>46014680.350000001</v>
      </c>
      <c r="AL765" s="117">
        <v>46602199.340000004</v>
      </c>
      <c r="AM765" s="117">
        <v>46944422.049999997</v>
      </c>
      <c r="AN765" s="117">
        <v>46944422.049999997</v>
      </c>
      <c r="AO765" s="118">
        <v>48135572.409999996</v>
      </c>
      <c r="AP765" s="118">
        <v>48041808.380000003</v>
      </c>
      <c r="AQ765" s="118">
        <v>48158910.880000003</v>
      </c>
      <c r="AR765" s="118">
        <v>48683325.810000002</v>
      </c>
      <c r="AS765" s="118">
        <v>48683325.810000002</v>
      </c>
      <c r="AT765" s="118">
        <v>49568208.049999997</v>
      </c>
      <c r="AU765" s="118">
        <v>49650410.460000001</v>
      </c>
      <c r="AV765" s="118">
        <v>49900517.43</v>
      </c>
      <c r="AW765" s="118">
        <v>50091463.170000002</v>
      </c>
      <c r="AX765" s="118">
        <v>50414502.990000002</v>
      </c>
      <c r="AY765" s="119"/>
      <c r="AZ765" s="119"/>
      <c r="BA765" s="119"/>
      <c r="BB765" s="119"/>
      <c r="BC765" s="119"/>
      <c r="BD765" s="119"/>
      <c r="BE765" s="119"/>
      <c r="BF765" s="127">
        <v>7401</v>
      </c>
      <c r="BG765" s="97" t="s">
        <v>660</v>
      </c>
      <c r="BH765" s="127">
        <v>44690958.090000004</v>
      </c>
      <c r="BI765" s="127">
        <v>7401</v>
      </c>
      <c r="BJ765" s="97" t="s">
        <v>660</v>
      </c>
      <c r="BK765" s="127">
        <v>44913994.630000003</v>
      </c>
    </row>
    <row r="766" spans="2:63" x14ac:dyDescent="0.25">
      <c r="B766" s="164">
        <v>740110</v>
      </c>
      <c r="C766" s="165" t="s">
        <v>661</v>
      </c>
      <c r="D766" s="123">
        <v>8395409.9900000002</v>
      </c>
      <c r="E766" s="123">
        <v>8868226.6799999997</v>
      </c>
      <c r="F766" s="123">
        <v>8894423.1799999997</v>
      </c>
      <c r="G766" s="123">
        <v>9567582.9100000001</v>
      </c>
      <c r="H766" s="123">
        <v>10491051.92</v>
      </c>
      <c r="I766" s="123">
        <v>9832234.6199999992</v>
      </c>
      <c r="J766" s="123">
        <v>9851323.4499999993</v>
      </c>
      <c r="K766" s="123">
        <v>9862342.5</v>
      </c>
      <c r="L766" s="123">
        <v>10908324.51</v>
      </c>
      <c r="M766" s="123">
        <v>10931132.91</v>
      </c>
      <c r="N766" s="123">
        <v>10917745.380000001</v>
      </c>
      <c r="O766" s="123">
        <v>10858816.289999999</v>
      </c>
      <c r="P766" s="123">
        <v>11046556.51</v>
      </c>
      <c r="Q766" s="123">
        <v>10982362.050000001</v>
      </c>
      <c r="R766" s="123">
        <v>11037222.689999999</v>
      </c>
      <c r="S766" s="123">
        <v>11116132.220000001</v>
      </c>
      <c r="T766" s="123">
        <v>11081433.91</v>
      </c>
      <c r="U766" s="123">
        <v>11057568.75</v>
      </c>
      <c r="V766" s="123">
        <v>9413902.1199999992</v>
      </c>
      <c r="W766" s="123">
        <v>9251477.6600000001</v>
      </c>
      <c r="X766" s="123">
        <v>9251477.6600000001</v>
      </c>
      <c r="Y766" s="123">
        <v>9204259.1400000006</v>
      </c>
      <c r="Z766" s="123">
        <v>9382623.7899999991</v>
      </c>
      <c r="AA766" s="123">
        <v>9330293.5399999991</v>
      </c>
      <c r="AB766" s="123">
        <v>9428317.0800000001</v>
      </c>
      <c r="AC766" s="124">
        <v>9044091.5899999999</v>
      </c>
      <c r="AD766" s="124">
        <v>9047304.4399999995</v>
      </c>
      <c r="AE766" s="124">
        <v>8998185.9700000007</v>
      </c>
      <c r="AF766" s="124">
        <v>8970657.2699999996</v>
      </c>
      <c r="AG766" s="124">
        <v>9029781.3499999996</v>
      </c>
      <c r="AH766" s="124">
        <v>8945956.3100000005</v>
      </c>
      <c r="AI766" s="124">
        <v>8949575.9900000002</v>
      </c>
      <c r="AJ766" s="124">
        <v>8824877.5199999996</v>
      </c>
      <c r="AK766" s="124">
        <v>8839968.6999999993</v>
      </c>
      <c r="AL766" s="124">
        <v>8701517.4299999997</v>
      </c>
      <c r="AM766" s="124">
        <v>8674325.9000000004</v>
      </c>
      <c r="AN766" s="124">
        <v>8674325.9000000004</v>
      </c>
      <c r="AO766" s="125">
        <v>8661799.0500000007</v>
      </c>
      <c r="AP766" s="125">
        <v>8665775.1899999995</v>
      </c>
      <c r="AQ766" s="125">
        <v>8662619.3599999994</v>
      </c>
      <c r="AR766" s="125">
        <v>8592608.6099999994</v>
      </c>
      <c r="AS766" s="125">
        <v>8592608.6099999994</v>
      </c>
      <c r="AT766" s="125">
        <v>8644891.9499999993</v>
      </c>
      <c r="AU766" s="125">
        <v>8451399.8800000008</v>
      </c>
      <c r="AV766" s="125">
        <v>8345509.4699999997</v>
      </c>
      <c r="AW766" s="125">
        <v>8300151.0899999999</v>
      </c>
      <c r="AX766" s="125">
        <v>8286823.6299999999</v>
      </c>
      <c r="AY766" s="126"/>
      <c r="AZ766" s="126"/>
      <c r="BA766" s="126"/>
      <c r="BB766" s="126"/>
      <c r="BC766" s="126"/>
      <c r="BD766" s="126"/>
      <c r="BE766" s="126"/>
      <c r="BF766" s="127">
        <v>740110</v>
      </c>
      <c r="BG766" s="97" t="s">
        <v>661</v>
      </c>
      <c r="BH766" s="127">
        <v>8945956.3100000005</v>
      </c>
      <c r="BI766" s="127">
        <v>740110</v>
      </c>
      <c r="BJ766" s="97" t="s">
        <v>661</v>
      </c>
      <c r="BK766" s="127">
        <v>8949575.9900000002</v>
      </c>
    </row>
    <row r="767" spans="2:63" x14ac:dyDescent="0.25">
      <c r="B767" s="153">
        <v>740115</v>
      </c>
      <c r="C767" s="154" t="s">
        <v>662</v>
      </c>
      <c r="D767" s="123">
        <v>3284199.99</v>
      </c>
      <c r="E767" s="123">
        <v>3284199.99</v>
      </c>
      <c r="F767" s="123">
        <v>3284199.99</v>
      </c>
      <c r="G767" s="123">
        <v>3284199.99</v>
      </c>
      <c r="H767" s="123">
        <v>3270399.99</v>
      </c>
      <c r="I767" s="123">
        <v>3245109.99</v>
      </c>
      <c r="J767" s="123">
        <v>3245109.99</v>
      </c>
      <c r="K767" s="123">
        <v>3245109.99</v>
      </c>
      <c r="L767" s="123">
        <v>3245109.99</v>
      </c>
      <c r="M767" s="123">
        <v>3245109.99</v>
      </c>
      <c r="N767" s="123">
        <v>3245109.99</v>
      </c>
      <c r="O767" s="123">
        <v>3300828.35</v>
      </c>
      <c r="P767" s="123">
        <v>3901652.43</v>
      </c>
      <c r="Q767" s="123">
        <v>4038125.43</v>
      </c>
      <c r="R767" s="123">
        <v>4396318.42</v>
      </c>
      <c r="S767" s="123">
        <v>4900350.45</v>
      </c>
      <c r="T767" s="123">
        <v>5284439.45</v>
      </c>
      <c r="U767" s="123">
        <v>5703567.4500000002</v>
      </c>
      <c r="V767" s="123">
        <v>6708803.2400000002</v>
      </c>
      <c r="W767" s="123">
        <v>6886770.2400000002</v>
      </c>
      <c r="X767" s="123">
        <v>6886770.2400000002</v>
      </c>
      <c r="Y767" s="123">
        <v>6530316.7400000002</v>
      </c>
      <c r="Z767" s="123">
        <v>7561134.5099999998</v>
      </c>
      <c r="AA767" s="123">
        <v>7790706.0499999998</v>
      </c>
      <c r="AB767" s="123">
        <v>8616189.3499999996</v>
      </c>
      <c r="AC767" s="124">
        <v>9709188.1400000006</v>
      </c>
      <c r="AD767" s="124">
        <v>9956495.7300000004</v>
      </c>
      <c r="AE767" s="124">
        <v>10228600.130000001</v>
      </c>
      <c r="AF767" s="124">
        <v>11083457.6</v>
      </c>
      <c r="AG767" s="124">
        <v>11333021.050000001</v>
      </c>
      <c r="AH767" s="124">
        <v>12635292.24</v>
      </c>
      <c r="AI767" s="124">
        <v>12960635.58</v>
      </c>
      <c r="AJ767" s="124">
        <v>14097075.25</v>
      </c>
      <c r="AK767" s="124">
        <v>14526897.65</v>
      </c>
      <c r="AL767" s="124">
        <v>15296647.720000001</v>
      </c>
      <c r="AM767" s="124">
        <v>15817013.970000001</v>
      </c>
      <c r="AN767" s="124">
        <v>15817013.970000001</v>
      </c>
      <c r="AO767" s="125">
        <v>17342187.370000001</v>
      </c>
      <c r="AP767" s="125">
        <v>17466033.43</v>
      </c>
      <c r="AQ767" s="125">
        <v>17662854.32</v>
      </c>
      <c r="AR767" s="125">
        <v>18310811.199999999</v>
      </c>
      <c r="AS767" s="125">
        <v>18310811.199999999</v>
      </c>
      <c r="AT767" s="125">
        <v>19288389.300000001</v>
      </c>
      <c r="AU767" s="125">
        <v>19730004.850000001</v>
      </c>
      <c r="AV767" s="125">
        <v>20177324.34</v>
      </c>
      <c r="AW767" s="125">
        <v>20557005.77</v>
      </c>
      <c r="AX767" s="125">
        <v>21120816.82</v>
      </c>
      <c r="AY767" s="126"/>
      <c r="AZ767" s="126"/>
      <c r="BA767" s="126"/>
      <c r="BB767" s="126"/>
      <c r="BC767" s="126"/>
      <c r="BD767" s="126"/>
      <c r="BE767" s="126"/>
      <c r="BF767" s="127">
        <v>740115</v>
      </c>
      <c r="BG767" s="97" t="s">
        <v>662</v>
      </c>
      <c r="BH767" s="127">
        <v>12635292.24</v>
      </c>
      <c r="BI767" s="127">
        <v>740115</v>
      </c>
      <c r="BJ767" s="97" t="s">
        <v>662</v>
      </c>
      <c r="BK767" s="127">
        <v>12960635.58</v>
      </c>
    </row>
    <row r="768" spans="2:63" x14ac:dyDescent="0.25">
      <c r="B768" s="153">
        <v>740120</v>
      </c>
      <c r="C768" s="154" t="s">
        <v>663</v>
      </c>
      <c r="D768" s="123">
        <v>5719146.2300000004</v>
      </c>
      <c r="E768" s="123">
        <v>894027.67</v>
      </c>
      <c r="F768" s="123">
        <v>894027.67</v>
      </c>
      <c r="G768" s="123">
        <v>894027.67</v>
      </c>
      <c r="H768" s="123">
        <v>914931.63</v>
      </c>
      <c r="I768" s="123">
        <v>894027.67</v>
      </c>
      <c r="J768" s="123">
        <v>894027.67</v>
      </c>
      <c r="K768" s="123">
        <v>981857.67</v>
      </c>
      <c r="L768" s="123">
        <v>1045522.91</v>
      </c>
      <c r="M768" s="123">
        <v>1010207.74</v>
      </c>
      <c r="N768" s="123">
        <v>1126596.68</v>
      </c>
      <c r="O768" s="123">
        <v>1112995.48</v>
      </c>
      <c r="P768" s="123">
        <v>1112995.48</v>
      </c>
      <c r="Q768" s="123">
        <v>1308254.01</v>
      </c>
      <c r="R768" s="123">
        <v>1524706.03</v>
      </c>
      <c r="S768" s="123">
        <v>1524706.03</v>
      </c>
      <c r="T768" s="123">
        <v>1565842.99</v>
      </c>
      <c r="U768" s="123">
        <v>1840318.6</v>
      </c>
      <c r="V768" s="123">
        <v>1735798.78</v>
      </c>
      <c r="W768" s="123">
        <v>1941439.53</v>
      </c>
      <c r="X768" s="123">
        <v>1941439.53</v>
      </c>
      <c r="Y768" s="123">
        <v>1941439.53</v>
      </c>
      <c r="Z768" s="123">
        <v>1941439.53</v>
      </c>
      <c r="AA768" s="123">
        <v>1722652.7</v>
      </c>
      <c r="AB768" s="123">
        <v>1722652.7</v>
      </c>
      <c r="AC768" s="124">
        <v>1722652.7</v>
      </c>
      <c r="AD768" s="124">
        <v>1722652.7</v>
      </c>
      <c r="AE768" s="124">
        <v>1722652.7</v>
      </c>
      <c r="AF768" s="124">
        <v>1722652.7</v>
      </c>
      <c r="AG768" s="124">
        <v>1722652.7</v>
      </c>
      <c r="AH768" s="124">
        <v>1722652.7</v>
      </c>
      <c r="AI768" s="124">
        <v>1679891.42</v>
      </c>
      <c r="AJ768" s="124">
        <v>1679891.42</v>
      </c>
      <c r="AK768" s="124">
        <v>1679891.42</v>
      </c>
      <c r="AL768" s="124">
        <v>1679891.42</v>
      </c>
      <c r="AM768" s="124">
        <v>1679891.42</v>
      </c>
      <c r="AN768" s="124">
        <v>1679891.42</v>
      </c>
      <c r="AO768" s="125">
        <v>1623891.42</v>
      </c>
      <c r="AP768" s="125">
        <v>1623891.4200000002</v>
      </c>
      <c r="AQ768" s="125">
        <v>1623891.42</v>
      </c>
      <c r="AR768" s="125">
        <v>1623891.42</v>
      </c>
      <c r="AS768" s="125">
        <v>1623891.42</v>
      </c>
      <c r="AT768" s="125">
        <v>1623891.42</v>
      </c>
      <c r="AU768" s="125">
        <v>1623891.42</v>
      </c>
      <c r="AV768" s="125">
        <v>1623891.42</v>
      </c>
      <c r="AW768" s="125">
        <v>1623891.42</v>
      </c>
      <c r="AX768" s="125">
        <v>1485370.85</v>
      </c>
      <c r="AY768" s="126"/>
      <c r="AZ768" s="126"/>
      <c r="BA768" s="126"/>
      <c r="BB768" s="126"/>
      <c r="BC768" s="126"/>
      <c r="BD768" s="126"/>
      <c r="BE768" s="126"/>
      <c r="BF768" s="127">
        <v>740120</v>
      </c>
      <c r="BG768" s="97" t="s">
        <v>663</v>
      </c>
      <c r="BH768" s="127">
        <v>1722652.7</v>
      </c>
      <c r="BI768" s="127">
        <v>740120</v>
      </c>
      <c r="BJ768" s="97" t="s">
        <v>663</v>
      </c>
      <c r="BK768" s="127">
        <v>1679891.42</v>
      </c>
    </row>
    <row r="769" spans="2:63" x14ac:dyDescent="0.25">
      <c r="B769" s="153">
        <v>740125</v>
      </c>
      <c r="C769" s="154" t="s">
        <v>664</v>
      </c>
      <c r="D769" s="123">
        <v>17933123.030000001</v>
      </c>
      <c r="E769" s="123">
        <v>22747240.829999998</v>
      </c>
      <c r="F769" s="123">
        <v>22849036.829999998</v>
      </c>
      <c r="G769" s="123">
        <v>22838030.09</v>
      </c>
      <c r="H769" s="123">
        <v>24250916.559999999</v>
      </c>
      <c r="I769" s="123">
        <v>22942593.050000001</v>
      </c>
      <c r="J769" s="123">
        <v>24438414.949999999</v>
      </c>
      <c r="K769" s="123">
        <v>24594579.75</v>
      </c>
      <c r="L769" s="123">
        <v>25490128.109999999</v>
      </c>
      <c r="M769" s="123">
        <v>25608968.120000001</v>
      </c>
      <c r="N769" s="123">
        <v>25691678.52</v>
      </c>
      <c r="O769" s="123">
        <v>25995886.530000001</v>
      </c>
      <c r="P769" s="123">
        <v>26346474.059999999</v>
      </c>
      <c r="Q769" s="123">
        <v>26155585.260000002</v>
      </c>
      <c r="R769" s="123">
        <v>26132218.059999999</v>
      </c>
      <c r="S769" s="123">
        <v>26022811.66</v>
      </c>
      <c r="T769" s="123">
        <v>25883892.460000001</v>
      </c>
      <c r="U769" s="123">
        <v>25801362.07</v>
      </c>
      <c r="V769" s="123">
        <v>24345077.399999999</v>
      </c>
      <c r="W769" s="123">
        <v>24206554.140000001</v>
      </c>
      <c r="X769" s="123">
        <v>24206554.140000001</v>
      </c>
      <c r="Y769" s="123">
        <v>24395766.140000001</v>
      </c>
      <c r="Z769" s="123">
        <v>23719587.739999998</v>
      </c>
      <c r="AA769" s="123">
        <v>23585421.18</v>
      </c>
      <c r="AB769" s="123">
        <v>23385377.960000001</v>
      </c>
      <c r="AC769" s="124">
        <v>22257021.489999998</v>
      </c>
      <c r="AD769" s="124">
        <v>22187985.489999998</v>
      </c>
      <c r="AE769" s="124">
        <v>22043116.68</v>
      </c>
      <c r="AF769" s="124">
        <v>21965527.879999999</v>
      </c>
      <c r="AG769" s="124">
        <v>21843972.68</v>
      </c>
      <c r="AH769" s="124">
        <v>21387056.84</v>
      </c>
      <c r="AI769" s="124">
        <v>21323891.640000001</v>
      </c>
      <c r="AJ769" s="124">
        <v>21156009.77</v>
      </c>
      <c r="AK769" s="124">
        <v>20967922.579999998</v>
      </c>
      <c r="AL769" s="124">
        <v>20924142.77</v>
      </c>
      <c r="AM769" s="124">
        <v>20773190.760000002</v>
      </c>
      <c r="AN769" s="124">
        <v>20773190.760000002</v>
      </c>
      <c r="AO769" s="125">
        <v>20507694.57</v>
      </c>
      <c r="AP769" s="125">
        <v>20286108.34</v>
      </c>
      <c r="AQ769" s="125">
        <v>20209545.780000001</v>
      </c>
      <c r="AR769" s="125">
        <v>20156014.579999998</v>
      </c>
      <c r="AS769" s="125">
        <v>20156014.579999998</v>
      </c>
      <c r="AT769" s="125">
        <v>20011035.379999999</v>
      </c>
      <c r="AU769" s="125">
        <v>19845114.309999999</v>
      </c>
      <c r="AV769" s="125">
        <v>19753792.199999999</v>
      </c>
      <c r="AW769" s="125">
        <v>19610414.890000001</v>
      </c>
      <c r="AX769" s="125">
        <v>19521491.690000001</v>
      </c>
      <c r="AY769" s="126"/>
      <c r="AZ769" s="126"/>
      <c r="BA769" s="126"/>
      <c r="BB769" s="126"/>
      <c r="BC769" s="126"/>
      <c r="BD769" s="126"/>
      <c r="BE769" s="126"/>
      <c r="BF769" s="127">
        <v>740125</v>
      </c>
      <c r="BG769" s="97" t="s">
        <v>664</v>
      </c>
      <c r="BH769" s="127">
        <v>21387056.84</v>
      </c>
      <c r="BI769" s="127">
        <v>740125</v>
      </c>
      <c r="BJ769" s="97" t="s">
        <v>664</v>
      </c>
      <c r="BK769" s="127">
        <v>21323891.640000001</v>
      </c>
    </row>
    <row r="770" spans="2:63" x14ac:dyDescent="0.25">
      <c r="B770" s="153">
        <v>7407</v>
      </c>
      <c r="C770" s="154" t="s">
        <v>665</v>
      </c>
      <c r="D770" s="128"/>
      <c r="E770" s="128"/>
      <c r="F770" s="128"/>
      <c r="G770" s="123">
        <v>20500</v>
      </c>
      <c r="H770" s="123">
        <v>21592.400000000001</v>
      </c>
      <c r="I770" s="123">
        <v>21592.400000000001</v>
      </c>
      <c r="J770" s="123">
        <v>21592.400000000001</v>
      </c>
      <c r="K770" s="123">
        <v>21592.400000000001</v>
      </c>
      <c r="L770" s="123">
        <v>21592.400000000001</v>
      </c>
      <c r="M770" s="123">
        <v>21592.400000000001</v>
      </c>
      <c r="N770" s="123">
        <v>21592.400000000001</v>
      </c>
      <c r="O770" s="123">
        <v>21592.400000000001</v>
      </c>
      <c r="P770" s="123">
        <v>21592.400000000001</v>
      </c>
      <c r="Q770" s="123">
        <v>21592.400000000001</v>
      </c>
      <c r="R770" s="128"/>
      <c r="S770" s="128"/>
      <c r="T770" s="128"/>
      <c r="U770" s="128"/>
      <c r="V770" s="128"/>
      <c r="W770" s="128"/>
      <c r="X770" s="128"/>
      <c r="Y770" s="128"/>
      <c r="Z770" s="128"/>
      <c r="AA770" s="128"/>
      <c r="AB770" s="128"/>
      <c r="AC770" s="129"/>
      <c r="AD770" s="129"/>
      <c r="AE770" s="129"/>
      <c r="AF770" s="129"/>
      <c r="AG770" s="129"/>
      <c r="AH770" s="129"/>
      <c r="AI770" s="129"/>
      <c r="AJ770" s="124">
        <v>0</v>
      </c>
      <c r="AK770" s="124">
        <v>0</v>
      </c>
      <c r="AL770" s="124">
        <v>0</v>
      </c>
      <c r="AM770" s="124">
        <v>0</v>
      </c>
      <c r="AN770" s="124">
        <v>0</v>
      </c>
      <c r="AO770" s="125">
        <v>0</v>
      </c>
      <c r="AP770" s="125">
        <v>0</v>
      </c>
      <c r="AQ770" s="125">
        <v>0</v>
      </c>
      <c r="AR770" s="125">
        <v>0</v>
      </c>
      <c r="AS770" s="125">
        <v>0</v>
      </c>
      <c r="AT770" s="125">
        <v>0</v>
      </c>
      <c r="AU770" s="125">
        <v>0</v>
      </c>
      <c r="AV770" s="125">
        <v>0</v>
      </c>
      <c r="AW770" s="125">
        <v>0</v>
      </c>
      <c r="AX770" s="125">
        <v>0</v>
      </c>
      <c r="AY770" s="126"/>
      <c r="AZ770" s="126"/>
      <c r="BA770" s="126"/>
      <c r="BB770" s="126"/>
      <c r="BC770" s="126"/>
      <c r="BD770" s="126"/>
      <c r="BE770" s="126"/>
    </row>
    <row r="771" spans="2:63" x14ac:dyDescent="0.25">
      <c r="B771" s="153">
        <v>740725</v>
      </c>
      <c r="C771" s="154" t="s">
        <v>302</v>
      </c>
      <c r="D771" s="128"/>
      <c r="E771" s="128"/>
      <c r="F771" s="128"/>
      <c r="G771" s="123">
        <v>20500</v>
      </c>
      <c r="H771" s="123">
        <v>21592.400000000001</v>
      </c>
      <c r="I771" s="123">
        <v>21592.400000000001</v>
      </c>
      <c r="J771" s="123">
        <v>21592.400000000001</v>
      </c>
      <c r="K771" s="123">
        <v>21592.400000000001</v>
      </c>
      <c r="L771" s="123">
        <v>21592.400000000001</v>
      </c>
      <c r="M771" s="123">
        <v>21592.400000000001</v>
      </c>
      <c r="N771" s="123">
        <v>21592.400000000001</v>
      </c>
      <c r="O771" s="123">
        <v>21592.400000000001</v>
      </c>
      <c r="P771" s="123">
        <v>21592.400000000001</v>
      </c>
      <c r="Q771" s="123">
        <v>21592.400000000001</v>
      </c>
      <c r="R771" s="128"/>
      <c r="S771" s="128"/>
      <c r="T771" s="128"/>
      <c r="U771" s="128"/>
      <c r="V771" s="128"/>
      <c r="W771" s="128"/>
      <c r="X771" s="128"/>
      <c r="Y771" s="128"/>
      <c r="Z771" s="128"/>
      <c r="AA771" s="128"/>
      <c r="AB771" s="128"/>
      <c r="AC771" s="129"/>
      <c r="AD771" s="129"/>
      <c r="AE771" s="129"/>
      <c r="AF771" s="129"/>
      <c r="AG771" s="129"/>
      <c r="AH771" s="129"/>
      <c r="AI771" s="129"/>
      <c r="AJ771" s="124">
        <v>0</v>
      </c>
      <c r="AK771" s="124">
        <v>0</v>
      </c>
      <c r="AL771" s="124">
        <v>0</v>
      </c>
      <c r="AM771" s="124">
        <v>0</v>
      </c>
      <c r="AN771" s="124">
        <v>0</v>
      </c>
      <c r="AO771" s="125">
        <v>0</v>
      </c>
      <c r="AP771" s="125">
        <v>0</v>
      </c>
      <c r="AQ771" s="125">
        <v>0</v>
      </c>
      <c r="AR771" s="125">
        <v>0</v>
      </c>
      <c r="AS771" s="125">
        <v>0</v>
      </c>
      <c r="AT771" s="125">
        <v>0</v>
      </c>
      <c r="AU771" s="125">
        <v>0</v>
      </c>
      <c r="AV771" s="125">
        <v>0</v>
      </c>
      <c r="AW771" s="125">
        <v>0</v>
      </c>
      <c r="AX771" s="125">
        <v>0</v>
      </c>
      <c r="AY771" s="126"/>
      <c r="AZ771" s="126"/>
      <c r="BA771" s="126"/>
      <c r="BB771" s="126"/>
      <c r="BC771" s="126"/>
      <c r="BD771" s="126"/>
      <c r="BE771" s="126"/>
    </row>
    <row r="772" spans="2:63" x14ac:dyDescent="0.25">
      <c r="B772" s="166">
        <v>7408</v>
      </c>
      <c r="C772" s="167" t="s">
        <v>666</v>
      </c>
      <c r="D772" s="123">
        <v>11000000</v>
      </c>
      <c r="E772" s="123">
        <v>11000000</v>
      </c>
      <c r="F772" s="123">
        <v>11000000</v>
      </c>
      <c r="G772" s="123">
        <v>11000000</v>
      </c>
      <c r="H772" s="123">
        <v>11000000</v>
      </c>
      <c r="I772" s="123">
        <v>11000000</v>
      </c>
      <c r="J772" s="123">
        <v>11000000</v>
      </c>
      <c r="K772" s="123">
        <v>11000000</v>
      </c>
      <c r="L772" s="123">
        <v>11000000</v>
      </c>
      <c r="M772" s="123">
        <v>11000000</v>
      </c>
      <c r="N772" s="123">
        <v>11000000</v>
      </c>
      <c r="O772" s="123">
        <v>11000000</v>
      </c>
      <c r="P772" s="123">
        <v>11000000</v>
      </c>
      <c r="Q772" s="123">
        <v>11000000</v>
      </c>
      <c r="R772" s="123">
        <v>11000000</v>
      </c>
      <c r="S772" s="123">
        <v>11000000</v>
      </c>
      <c r="T772" s="123">
        <v>11000000</v>
      </c>
      <c r="U772" s="123">
        <v>11000000</v>
      </c>
      <c r="V772" s="123">
        <v>11000000</v>
      </c>
      <c r="W772" s="123">
        <v>11000000</v>
      </c>
      <c r="X772" s="123">
        <v>11000000</v>
      </c>
      <c r="Y772" s="123">
        <v>11000000</v>
      </c>
      <c r="Z772" s="123">
        <v>11000000</v>
      </c>
      <c r="AA772" s="123">
        <v>11000000</v>
      </c>
      <c r="AB772" s="123">
        <v>11000000</v>
      </c>
      <c r="AC772" s="117">
        <v>11000000</v>
      </c>
      <c r="AD772" s="117">
        <v>11000000</v>
      </c>
      <c r="AE772" s="117">
        <v>11000000</v>
      </c>
      <c r="AF772" s="117">
        <v>11000000</v>
      </c>
      <c r="AG772" s="117">
        <v>11000000</v>
      </c>
      <c r="AH772" s="117">
        <v>11000000</v>
      </c>
      <c r="AI772" s="117">
        <v>11000000</v>
      </c>
      <c r="AJ772" s="117">
        <v>11000000</v>
      </c>
      <c r="AK772" s="117">
        <v>17000000</v>
      </c>
      <c r="AL772" s="117">
        <v>17000000</v>
      </c>
      <c r="AM772" s="117">
        <v>17000000</v>
      </c>
      <c r="AN772" s="117">
        <v>17000000</v>
      </c>
      <c r="AO772" s="118">
        <v>17000000</v>
      </c>
      <c r="AP772" s="118">
        <v>17000000</v>
      </c>
      <c r="AQ772" s="118">
        <v>17000000</v>
      </c>
      <c r="AR772" s="118">
        <v>16050000</v>
      </c>
      <c r="AS772" s="118">
        <v>16050000</v>
      </c>
      <c r="AT772" s="118">
        <v>16050000</v>
      </c>
      <c r="AU772" s="118">
        <v>16050000</v>
      </c>
      <c r="AV772" s="118">
        <v>16050000</v>
      </c>
      <c r="AW772" s="118">
        <v>16050000</v>
      </c>
      <c r="AX772" s="118">
        <v>16050000</v>
      </c>
      <c r="AY772" s="119"/>
      <c r="AZ772" s="119"/>
      <c r="BA772" s="119"/>
      <c r="BB772" s="119"/>
      <c r="BC772" s="119"/>
      <c r="BD772" s="119"/>
      <c r="BE772" s="119"/>
      <c r="BF772" s="127">
        <v>7408</v>
      </c>
      <c r="BG772" s="97" t="s">
        <v>666</v>
      </c>
      <c r="BH772" s="127">
        <v>11000000</v>
      </c>
      <c r="BI772" s="127">
        <v>7408</v>
      </c>
      <c r="BJ772" s="97" t="s">
        <v>666</v>
      </c>
      <c r="BK772" s="127">
        <v>11000000</v>
      </c>
    </row>
    <row r="773" spans="2:63" x14ac:dyDescent="0.25">
      <c r="B773" s="121">
        <v>740805</v>
      </c>
      <c r="C773" s="152" t="s">
        <v>667</v>
      </c>
      <c r="D773" s="123">
        <v>2441316.42</v>
      </c>
      <c r="E773" s="123">
        <v>2441316.42</v>
      </c>
      <c r="F773" s="123">
        <v>2441316.42</v>
      </c>
      <c r="G773" s="123">
        <v>2441316.42</v>
      </c>
      <c r="H773" s="123">
        <v>2441316.42</v>
      </c>
      <c r="I773" s="123">
        <v>2441316.42</v>
      </c>
      <c r="J773" s="123">
        <v>2441316.42</v>
      </c>
      <c r="K773" s="123">
        <v>2441316.42</v>
      </c>
      <c r="L773" s="123">
        <v>2441316.42</v>
      </c>
      <c r="M773" s="123">
        <v>2441316.42</v>
      </c>
      <c r="N773" s="123">
        <v>2441316.42</v>
      </c>
      <c r="O773" s="123">
        <v>2441316.42</v>
      </c>
      <c r="P773" s="123">
        <v>2441316.42</v>
      </c>
      <c r="Q773" s="123">
        <v>2441316.42</v>
      </c>
      <c r="R773" s="123">
        <v>2441316.42</v>
      </c>
      <c r="S773" s="123">
        <v>2441316.42</v>
      </c>
      <c r="T773" s="123">
        <v>2441316.42</v>
      </c>
      <c r="U773" s="123">
        <v>2441316.42</v>
      </c>
      <c r="V773" s="123">
        <v>2441316.42</v>
      </c>
      <c r="W773" s="123">
        <v>2441316.42</v>
      </c>
      <c r="X773" s="123">
        <v>2441316.42</v>
      </c>
      <c r="Y773" s="123">
        <v>2441316.42</v>
      </c>
      <c r="Z773" s="123">
        <v>2441316.42</v>
      </c>
      <c r="AA773" s="123">
        <v>2441316.42</v>
      </c>
      <c r="AB773" s="123">
        <v>2441316.42</v>
      </c>
      <c r="AC773" s="124">
        <v>2441316.42</v>
      </c>
      <c r="AD773" s="124">
        <v>2441316.42</v>
      </c>
      <c r="AE773" s="124">
        <v>2441316.42</v>
      </c>
      <c r="AF773" s="124">
        <v>2441316.42</v>
      </c>
      <c r="AG773" s="124">
        <v>2441316.42</v>
      </c>
      <c r="AH773" s="124">
        <v>2441316.42</v>
      </c>
      <c r="AI773" s="124">
        <v>2441316.42</v>
      </c>
      <c r="AJ773" s="124">
        <v>2441316.42</v>
      </c>
      <c r="AK773" s="124">
        <v>8441316.4199999999</v>
      </c>
      <c r="AL773" s="124">
        <v>8441316.4199999999</v>
      </c>
      <c r="AM773" s="124">
        <v>8441316.4199999999</v>
      </c>
      <c r="AN773" s="124">
        <v>8441316.4199999999</v>
      </c>
      <c r="AO773" s="125">
        <v>8441316.4199999999</v>
      </c>
      <c r="AP773" s="125">
        <v>8441316.4199999999</v>
      </c>
      <c r="AQ773" s="125">
        <v>8441316.4199999999</v>
      </c>
      <c r="AR773" s="125">
        <v>7491316.4199999999</v>
      </c>
      <c r="AS773" s="125">
        <v>7491316.4199999999</v>
      </c>
      <c r="AT773" s="125">
        <v>7491316.4199999999</v>
      </c>
      <c r="AU773" s="125">
        <v>7491316.4199999999</v>
      </c>
      <c r="AV773" s="125">
        <v>7491316.4199999999</v>
      </c>
      <c r="AW773" s="125">
        <v>7491316.4199999999</v>
      </c>
      <c r="AX773" s="125">
        <v>7491316.4199999999</v>
      </c>
      <c r="AY773" s="126"/>
      <c r="AZ773" s="126"/>
      <c r="BA773" s="126"/>
      <c r="BB773" s="126"/>
      <c r="BC773" s="126"/>
      <c r="BD773" s="126"/>
      <c r="BE773" s="126"/>
      <c r="BF773" s="127">
        <v>740805</v>
      </c>
      <c r="BG773" s="97" t="s">
        <v>667</v>
      </c>
      <c r="BH773" s="127">
        <v>2441316.42</v>
      </c>
      <c r="BI773" s="127">
        <v>740805</v>
      </c>
      <c r="BJ773" s="97" t="s">
        <v>667</v>
      </c>
      <c r="BK773" s="127">
        <v>2441316.42</v>
      </c>
    </row>
    <row r="774" spans="2:63" x14ac:dyDescent="0.25">
      <c r="B774" s="121">
        <v>740815</v>
      </c>
      <c r="C774" s="152" t="s">
        <v>668</v>
      </c>
      <c r="D774" s="123">
        <v>8518642.0199999996</v>
      </c>
      <c r="E774" s="123">
        <v>8518642.0199999996</v>
      </c>
      <c r="F774" s="123">
        <v>8518642.0199999996</v>
      </c>
      <c r="G774" s="123">
        <v>8518642.0199999996</v>
      </c>
      <c r="H774" s="123">
        <v>8518642.0199999996</v>
      </c>
      <c r="I774" s="123">
        <v>8518642.0199999996</v>
      </c>
      <c r="J774" s="123">
        <v>8518642.0199999996</v>
      </c>
      <c r="K774" s="123">
        <v>8518642.0199999996</v>
      </c>
      <c r="L774" s="123">
        <v>8518642.0199999996</v>
      </c>
      <c r="M774" s="123">
        <v>8518642.0199999996</v>
      </c>
      <c r="N774" s="123">
        <v>8518642.0199999996</v>
      </c>
      <c r="O774" s="123">
        <v>8518642.0199999996</v>
      </c>
      <c r="P774" s="123">
        <v>8518642.0199999996</v>
      </c>
      <c r="Q774" s="123">
        <v>8518642.0199999996</v>
      </c>
      <c r="R774" s="123">
        <v>8518642.0199999996</v>
      </c>
      <c r="S774" s="123">
        <v>8518642.0199999996</v>
      </c>
      <c r="T774" s="123">
        <v>8518642.0199999996</v>
      </c>
      <c r="U774" s="123">
        <v>8518642.0199999996</v>
      </c>
      <c r="V774" s="123">
        <v>8518642.0199999996</v>
      </c>
      <c r="W774" s="123">
        <v>8518642.0199999996</v>
      </c>
      <c r="X774" s="123">
        <v>8518642.0199999996</v>
      </c>
      <c r="Y774" s="123">
        <v>8518642.0199999996</v>
      </c>
      <c r="Z774" s="123">
        <v>8518642.0199999996</v>
      </c>
      <c r="AA774" s="123">
        <v>8518642.0199999996</v>
      </c>
      <c r="AB774" s="123">
        <v>8518642.0199999996</v>
      </c>
      <c r="AC774" s="124">
        <v>8518642.0199999996</v>
      </c>
      <c r="AD774" s="124">
        <v>8518642.0199999996</v>
      </c>
      <c r="AE774" s="124">
        <v>8518642.0199999996</v>
      </c>
      <c r="AF774" s="124">
        <v>8518642.0199999996</v>
      </c>
      <c r="AG774" s="124">
        <v>8518642.0199999996</v>
      </c>
      <c r="AH774" s="124">
        <v>8518642.0199999996</v>
      </c>
      <c r="AI774" s="124">
        <v>8518642.0199999996</v>
      </c>
      <c r="AJ774" s="124">
        <v>8518642.0199999996</v>
      </c>
      <c r="AK774" s="124">
        <v>8518642.0199999996</v>
      </c>
      <c r="AL774" s="124">
        <v>8518642.0199999996</v>
      </c>
      <c r="AM774" s="124">
        <v>8518642.0199999996</v>
      </c>
      <c r="AN774" s="124">
        <v>8518642.0199999996</v>
      </c>
      <c r="AO774" s="125">
        <v>8518642.0199999996</v>
      </c>
      <c r="AP774" s="125">
        <v>8518642.0199999996</v>
      </c>
      <c r="AQ774" s="125">
        <v>8518642.0199999996</v>
      </c>
      <c r="AR774" s="125">
        <v>8518642.0199999996</v>
      </c>
      <c r="AS774" s="125">
        <v>8518642.0199999996</v>
      </c>
      <c r="AT774" s="125">
        <v>8518642.0199999996</v>
      </c>
      <c r="AU774" s="125">
        <v>8518642.0199999996</v>
      </c>
      <c r="AV774" s="125">
        <v>8518642.0199999996</v>
      </c>
      <c r="AW774" s="125">
        <v>8518642.0199999996</v>
      </c>
      <c r="AX774" s="125">
        <v>8518642.0199999996</v>
      </c>
      <c r="AY774" s="126"/>
      <c r="AZ774" s="126"/>
      <c r="BA774" s="126"/>
      <c r="BB774" s="126"/>
      <c r="BC774" s="126"/>
      <c r="BD774" s="126"/>
      <c r="BE774" s="126"/>
      <c r="BF774" s="127">
        <v>740815</v>
      </c>
      <c r="BG774" s="97" t="s">
        <v>668</v>
      </c>
      <c r="BH774" s="127">
        <v>8518642.0199999996</v>
      </c>
      <c r="BI774" s="127">
        <v>740815</v>
      </c>
      <c r="BJ774" s="97" t="s">
        <v>668</v>
      </c>
      <c r="BK774" s="127">
        <v>8518642.0199999996</v>
      </c>
    </row>
    <row r="775" spans="2:63" x14ac:dyDescent="0.25">
      <c r="B775" s="121">
        <v>740820</v>
      </c>
      <c r="C775" s="168" t="s">
        <v>669</v>
      </c>
      <c r="D775" s="123">
        <v>40041.56</v>
      </c>
      <c r="E775" s="123">
        <v>40041.56</v>
      </c>
      <c r="F775" s="123">
        <v>40041.56</v>
      </c>
      <c r="G775" s="123">
        <v>40041.56</v>
      </c>
      <c r="H775" s="123">
        <v>40041.56</v>
      </c>
      <c r="I775" s="123">
        <v>40041.56</v>
      </c>
      <c r="J775" s="123">
        <v>40041.56</v>
      </c>
      <c r="K775" s="123">
        <v>40041.56</v>
      </c>
      <c r="L775" s="123">
        <v>40041.56</v>
      </c>
      <c r="M775" s="123">
        <v>40041.56</v>
      </c>
      <c r="N775" s="123">
        <v>40041.56</v>
      </c>
      <c r="O775" s="123">
        <v>40041.56</v>
      </c>
      <c r="P775" s="123">
        <v>40041.56</v>
      </c>
      <c r="Q775" s="123">
        <v>40041.56</v>
      </c>
      <c r="R775" s="123">
        <v>40041.56</v>
      </c>
      <c r="S775" s="123">
        <v>40041.56</v>
      </c>
      <c r="T775" s="123">
        <v>40041.56</v>
      </c>
      <c r="U775" s="123">
        <v>40041.56</v>
      </c>
      <c r="V775" s="123">
        <v>40041.56</v>
      </c>
      <c r="W775" s="123">
        <v>40041.56</v>
      </c>
      <c r="X775" s="123">
        <v>40041.56</v>
      </c>
      <c r="Y775" s="123">
        <v>40041.56</v>
      </c>
      <c r="Z775" s="123">
        <v>40041.56</v>
      </c>
      <c r="AA775" s="123">
        <v>40041.56</v>
      </c>
      <c r="AB775" s="123">
        <v>40041.56</v>
      </c>
      <c r="AC775" s="169">
        <v>40041.56</v>
      </c>
      <c r="AD775" s="169">
        <v>40041.56</v>
      </c>
      <c r="AE775" s="169">
        <v>40041.56</v>
      </c>
      <c r="AF775" s="169">
        <v>40041.56</v>
      </c>
      <c r="AG775" s="169">
        <v>40041.56</v>
      </c>
      <c r="AH775" s="169">
        <v>40041.56</v>
      </c>
      <c r="AI775" s="169">
        <v>40041.56</v>
      </c>
      <c r="AJ775" s="169">
        <v>40041.56</v>
      </c>
      <c r="AK775" s="169">
        <v>40041.56</v>
      </c>
      <c r="AL775" s="169">
        <v>40041.56</v>
      </c>
      <c r="AM775" s="169">
        <v>40041.56</v>
      </c>
      <c r="AN775" s="169">
        <v>40041.56</v>
      </c>
      <c r="AO775" s="170">
        <v>40041.56</v>
      </c>
      <c r="AP775" s="170">
        <v>40041.56</v>
      </c>
      <c r="AQ775" s="170">
        <v>40041.56</v>
      </c>
      <c r="AR775" s="170">
        <v>40041.56</v>
      </c>
      <c r="AS775" s="170">
        <v>40041.56</v>
      </c>
      <c r="AT775" s="170">
        <v>40041.56</v>
      </c>
      <c r="AU775" s="170">
        <v>40041.56</v>
      </c>
      <c r="AV775" s="170">
        <v>40041.56</v>
      </c>
      <c r="AW775" s="170">
        <v>40041.56</v>
      </c>
      <c r="AX775" s="170">
        <v>40041.56</v>
      </c>
      <c r="AY775" s="126"/>
      <c r="AZ775" s="126"/>
      <c r="BA775" s="126"/>
      <c r="BB775" s="126"/>
      <c r="BC775" s="126"/>
      <c r="BD775" s="126"/>
      <c r="BE775" s="126"/>
      <c r="BF775" s="127">
        <v>740820</v>
      </c>
      <c r="BG775" s="97" t="s">
        <v>669</v>
      </c>
      <c r="BH775" s="127">
        <v>40041.56</v>
      </c>
      <c r="BI775" s="127">
        <v>740820</v>
      </c>
      <c r="BJ775" s="97" t="s">
        <v>669</v>
      </c>
      <c r="BK775" s="127">
        <v>40041.56</v>
      </c>
    </row>
    <row r="776" spans="2:63" x14ac:dyDescent="0.2">
      <c r="B776" s="114">
        <v>7414</v>
      </c>
      <c r="C776" s="171" t="s">
        <v>657</v>
      </c>
      <c r="D776" s="123">
        <v>251849.71</v>
      </c>
      <c r="E776" s="123">
        <v>259428.72</v>
      </c>
      <c r="F776" s="123">
        <v>266387.88</v>
      </c>
      <c r="G776" s="123">
        <v>266387.88</v>
      </c>
      <c r="H776" s="123">
        <v>282515.57</v>
      </c>
      <c r="I776" s="123">
        <v>289222.2</v>
      </c>
      <c r="J776" s="123">
        <v>294760.73</v>
      </c>
      <c r="K776" s="123">
        <v>298786.46999999997</v>
      </c>
      <c r="L776" s="123">
        <v>292921.45</v>
      </c>
      <c r="M776" s="123">
        <v>294145.87</v>
      </c>
      <c r="N776" s="123">
        <v>298211.05</v>
      </c>
      <c r="O776" s="123">
        <v>301537.91999999998</v>
      </c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  <c r="AA776" s="128"/>
      <c r="AB776" s="128"/>
      <c r="AC776" s="172"/>
      <c r="AD776" s="172"/>
      <c r="AE776" s="172"/>
      <c r="AF776" s="172"/>
      <c r="AG776" s="172"/>
      <c r="AH776" s="172"/>
      <c r="AI776" s="172"/>
      <c r="AJ776" s="173">
        <v>0</v>
      </c>
      <c r="AK776" s="173">
        <v>0</v>
      </c>
      <c r="AL776" s="173">
        <v>0</v>
      </c>
      <c r="AM776" s="173">
        <v>0</v>
      </c>
      <c r="AN776" s="173">
        <v>0</v>
      </c>
      <c r="AO776" s="174">
        <v>0</v>
      </c>
      <c r="AP776" s="174">
        <v>0</v>
      </c>
      <c r="AQ776" s="174">
        <v>0</v>
      </c>
      <c r="AR776" s="174">
        <v>0</v>
      </c>
      <c r="AS776" s="174">
        <v>0</v>
      </c>
      <c r="AT776" s="174">
        <v>0</v>
      </c>
      <c r="AU776" s="174">
        <v>0</v>
      </c>
      <c r="AV776" s="174">
        <v>0</v>
      </c>
      <c r="AW776" s="174">
        <v>0</v>
      </c>
      <c r="AX776" s="174">
        <v>0</v>
      </c>
      <c r="AY776" s="175"/>
      <c r="AZ776" s="175"/>
      <c r="BA776" s="175"/>
      <c r="BB776" s="175"/>
      <c r="BC776" s="175"/>
      <c r="BD776" s="175"/>
      <c r="BE776" s="175"/>
    </row>
    <row r="777" spans="2:63" x14ac:dyDescent="0.2">
      <c r="B777" s="121">
        <v>741417</v>
      </c>
      <c r="C777" s="176" t="s">
        <v>670</v>
      </c>
      <c r="D777" s="123">
        <v>241990.08</v>
      </c>
      <c r="E777" s="123">
        <v>249783.37</v>
      </c>
      <c r="F777" s="123">
        <v>256761.8</v>
      </c>
      <c r="G777" s="123">
        <v>256761.8</v>
      </c>
      <c r="H777" s="123">
        <v>265659.86</v>
      </c>
      <c r="I777" s="123">
        <v>265735.44</v>
      </c>
      <c r="J777" s="123">
        <v>266415.67</v>
      </c>
      <c r="K777" s="123">
        <v>266758.81</v>
      </c>
      <c r="L777" s="123">
        <v>250218.79</v>
      </c>
      <c r="M777" s="123">
        <v>249145.83</v>
      </c>
      <c r="N777" s="123">
        <v>247809.06</v>
      </c>
      <c r="O777" s="123">
        <v>246158.91</v>
      </c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  <c r="AA777" s="128"/>
      <c r="AB777" s="128"/>
      <c r="AC777" s="177"/>
      <c r="AD777" s="177"/>
      <c r="AE777" s="177"/>
      <c r="AF777" s="177"/>
      <c r="AG777" s="177"/>
      <c r="AH777" s="177"/>
      <c r="AI777" s="177"/>
      <c r="AJ777" s="178">
        <v>0</v>
      </c>
      <c r="AK777" s="178">
        <v>0</v>
      </c>
      <c r="AL777" s="178">
        <v>0</v>
      </c>
      <c r="AM777" s="178">
        <v>0</v>
      </c>
      <c r="AN777" s="178">
        <v>0</v>
      </c>
      <c r="AO777" s="179">
        <v>0</v>
      </c>
      <c r="AP777" s="179">
        <v>0</v>
      </c>
      <c r="AQ777" s="179">
        <v>0</v>
      </c>
      <c r="AR777" s="179">
        <v>0</v>
      </c>
      <c r="AS777" s="179">
        <v>0</v>
      </c>
      <c r="AT777" s="179">
        <v>0</v>
      </c>
      <c r="AU777" s="179">
        <v>0</v>
      </c>
      <c r="AV777" s="179">
        <v>0</v>
      </c>
      <c r="AW777" s="179">
        <v>0</v>
      </c>
      <c r="AX777" s="179">
        <v>0</v>
      </c>
      <c r="AY777" s="180"/>
      <c r="AZ777" s="180"/>
      <c r="BA777" s="180"/>
      <c r="BB777" s="180"/>
      <c r="BC777" s="180"/>
      <c r="BD777" s="180"/>
      <c r="BE777" s="180"/>
    </row>
    <row r="778" spans="2:63" x14ac:dyDescent="0.2">
      <c r="B778" s="121">
        <v>741418</v>
      </c>
      <c r="C778" s="97" t="s">
        <v>671</v>
      </c>
      <c r="D778" s="123">
        <v>9859.6299999999992</v>
      </c>
      <c r="E778" s="123">
        <v>9645.35</v>
      </c>
      <c r="F778" s="123">
        <v>9626.08</v>
      </c>
      <c r="G778" s="123">
        <v>9626.08</v>
      </c>
      <c r="H778" s="123">
        <v>16855.71</v>
      </c>
      <c r="I778" s="123">
        <v>23486.76</v>
      </c>
      <c r="J778" s="123">
        <v>28345.06</v>
      </c>
      <c r="K778" s="123">
        <v>32027.66</v>
      </c>
      <c r="L778" s="123">
        <v>42702.66</v>
      </c>
      <c r="M778" s="123">
        <v>45000.04</v>
      </c>
      <c r="N778" s="123">
        <v>50401.99</v>
      </c>
      <c r="O778" s="123">
        <v>55379.01</v>
      </c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  <c r="AA778" s="128"/>
      <c r="AB778" s="128"/>
      <c r="AC778" s="180"/>
      <c r="AD778" s="180"/>
      <c r="AE778" s="180"/>
      <c r="AF778" s="180"/>
      <c r="AG778" s="180"/>
      <c r="AH778" s="180"/>
      <c r="AI778" s="180"/>
      <c r="AJ778" s="181">
        <v>0</v>
      </c>
      <c r="AK778" s="181">
        <v>0</v>
      </c>
      <c r="AL778" s="181">
        <v>0</v>
      </c>
      <c r="AM778" s="181">
        <v>0</v>
      </c>
      <c r="AN778" s="181">
        <v>0</v>
      </c>
      <c r="AO778" s="182">
        <v>0</v>
      </c>
      <c r="AP778" s="182">
        <v>0</v>
      </c>
      <c r="AQ778" s="182">
        <v>0</v>
      </c>
      <c r="AR778" s="182">
        <v>0</v>
      </c>
      <c r="AS778" s="182">
        <v>0</v>
      </c>
      <c r="AT778" s="182">
        <v>0</v>
      </c>
      <c r="AU778" s="182">
        <v>0</v>
      </c>
      <c r="AV778" s="182">
        <v>0</v>
      </c>
      <c r="AW778" s="182">
        <v>0</v>
      </c>
      <c r="AX778" s="182">
        <v>0</v>
      </c>
      <c r="AY778" s="180"/>
      <c r="AZ778" s="180"/>
      <c r="BA778" s="180"/>
      <c r="BB778" s="180"/>
      <c r="BC778" s="180"/>
      <c r="BD778" s="180"/>
      <c r="BE778" s="180"/>
    </row>
    <row r="779" spans="2:63" x14ac:dyDescent="0.2">
      <c r="B779" s="114">
        <v>7415</v>
      </c>
      <c r="C779" s="183" t="s">
        <v>672</v>
      </c>
      <c r="D779" s="123">
        <v>130131.32</v>
      </c>
      <c r="E779" s="123">
        <v>97517.25</v>
      </c>
      <c r="F779" s="123">
        <v>167112.26</v>
      </c>
      <c r="G779" s="123">
        <v>167112.26</v>
      </c>
      <c r="H779" s="123">
        <v>201598.47</v>
      </c>
      <c r="I779" s="123">
        <v>236598.47</v>
      </c>
      <c r="J779" s="123">
        <v>389042.27</v>
      </c>
      <c r="K779" s="123">
        <v>340944.8</v>
      </c>
      <c r="L779" s="123">
        <v>375312.18</v>
      </c>
      <c r="M779" s="123">
        <v>400612.18</v>
      </c>
      <c r="N779" s="123">
        <v>407926.53</v>
      </c>
      <c r="O779" s="123">
        <v>316712.18</v>
      </c>
      <c r="P779" s="123">
        <v>251616.18</v>
      </c>
      <c r="Q779" s="123">
        <v>532247.80000000005</v>
      </c>
      <c r="R779" s="123">
        <v>661311.01</v>
      </c>
      <c r="S779" s="123">
        <v>420677.35</v>
      </c>
      <c r="T779" s="123">
        <v>298913.55</v>
      </c>
      <c r="U779" s="123">
        <v>348341.21</v>
      </c>
      <c r="V779" s="123">
        <v>351185.57</v>
      </c>
      <c r="W779" s="123">
        <v>343184.93</v>
      </c>
      <c r="X779" s="123">
        <v>601650.03</v>
      </c>
      <c r="Y779" s="123">
        <v>643697.05000000005</v>
      </c>
      <c r="Z779" s="123">
        <v>496124.08</v>
      </c>
      <c r="AA779" s="123">
        <v>266251.03999999998</v>
      </c>
      <c r="AB779" s="123">
        <v>275250.40000000002</v>
      </c>
      <c r="AC779" s="184">
        <v>275250.40000000002</v>
      </c>
      <c r="AD779" s="184">
        <v>341631.67</v>
      </c>
      <c r="AE779" s="184">
        <v>388137.97</v>
      </c>
      <c r="AF779" s="184">
        <v>423118.26</v>
      </c>
      <c r="AG779" s="184">
        <v>741118.26</v>
      </c>
      <c r="AH779" s="184">
        <v>808752.53</v>
      </c>
      <c r="AI779" s="184">
        <v>689162.08</v>
      </c>
      <c r="AJ779" s="184">
        <v>734396.97</v>
      </c>
      <c r="AK779" s="184">
        <v>893807.38</v>
      </c>
      <c r="AL779" s="184">
        <v>883571.3</v>
      </c>
      <c r="AM779" s="184">
        <v>1005772.84</v>
      </c>
      <c r="AN779" s="184">
        <v>718772.84</v>
      </c>
      <c r="AO779" s="185">
        <v>903329.54</v>
      </c>
      <c r="AP779" s="185">
        <v>918329.54</v>
      </c>
      <c r="AQ779" s="185">
        <v>1005329.54</v>
      </c>
      <c r="AR779" s="185">
        <v>674364.48</v>
      </c>
      <c r="AS779" s="185">
        <v>696176.38</v>
      </c>
      <c r="AT779" s="185">
        <v>718979.79</v>
      </c>
      <c r="AU779" s="185">
        <v>728228.68</v>
      </c>
      <c r="AV779" s="185">
        <v>540460.32999999996</v>
      </c>
      <c r="AW779" s="185">
        <v>822773.66</v>
      </c>
      <c r="AX779" s="185">
        <v>935571.28</v>
      </c>
      <c r="AY779" s="175"/>
      <c r="AZ779" s="175"/>
      <c r="BA779" s="175"/>
      <c r="BB779" s="175"/>
      <c r="BC779" s="175"/>
      <c r="BD779" s="175"/>
      <c r="BE779" s="175"/>
      <c r="BF779" s="127">
        <v>7415</v>
      </c>
      <c r="BG779" s="97" t="s">
        <v>672</v>
      </c>
      <c r="BH779" s="127">
        <v>808752.53</v>
      </c>
      <c r="BI779" s="127">
        <v>7415</v>
      </c>
      <c r="BJ779" s="97" t="s">
        <v>672</v>
      </c>
      <c r="BK779" s="127">
        <v>689162.08</v>
      </c>
    </row>
    <row r="780" spans="2:63" x14ac:dyDescent="0.2">
      <c r="B780" s="121">
        <v>741505</v>
      </c>
      <c r="C780" s="145" t="s">
        <v>673</v>
      </c>
      <c r="D780" s="128"/>
      <c r="E780" s="128"/>
      <c r="F780" s="128"/>
      <c r="G780" s="128"/>
      <c r="H780" s="128"/>
      <c r="I780" s="128"/>
      <c r="J780" s="128"/>
      <c r="K780" s="128"/>
      <c r="L780" s="123">
        <v>90000</v>
      </c>
      <c r="M780" s="123">
        <v>90000</v>
      </c>
      <c r="N780" s="123">
        <v>90000</v>
      </c>
      <c r="O780" s="128"/>
      <c r="P780" s="128"/>
      <c r="Q780" s="128"/>
      <c r="R780" s="128"/>
      <c r="S780" s="128"/>
      <c r="T780" s="128"/>
      <c r="U780" s="128"/>
      <c r="V780" s="128"/>
      <c r="W780" s="123">
        <v>50000</v>
      </c>
      <c r="X780" s="123">
        <v>207770.43</v>
      </c>
      <c r="Y780" s="123">
        <v>207770.43</v>
      </c>
      <c r="Z780" s="123">
        <v>157770.43</v>
      </c>
      <c r="AA780" s="128"/>
      <c r="AB780" s="128"/>
      <c r="AC780" s="186"/>
      <c r="AD780" s="186"/>
      <c r="AE780" s="186"/>
      <c r="AF780" s="186"/>
      <c r="AG780" s="186"/>
      <c r="AH780" s="186"/>
      <c r="AI780" s="186"/>
      <c r="AJ780" s="184">
        <v>0</v>
      </c>
      <c r="AK780" s="184">
        <v>0</v>
      </c>
      <c r="AL780" s="184">
        <v>0</v>
      </c>
      <c r="AM780" s="184">
        <v>0</v>
      </c>
      <c r="AN780" s="184">
        <v>0</v>
      </c>
      <c r="AO780" s="185">
        <v>0</v>
      </c>
      <c r="AP780" s="185">
        <v>0</v>
      </c>
      <c r="AQ780" s="185">
        <v>0</v>
      </c>
      <c r="AR780" s="185">
        <v>0</v>
      </c>
      <c r="AS780" s="185">
        <v>0</v>
      </c>
      <c r="AT780" s="185">
        <v>0</v>
      </c>
      <c r="AU780" s="185">
        <v>0</v>
      </c>
      <c r="AV780" s="185">
        <v>0</v>
      </c>
      <c r="AW780" s="185">
        <v>0</v>
      </c>
      <c r="AX780" s="185">
        <v>0</v>
      </c>
      <c r="AY780" s="175"/>
      <c r="AZ780" s="175"/>
      <c r="BA780" s="175"/>
      <c r="BB780" s="175"/>
      <c r="BC780" s="175"/>
      <c r="BD780" s="175"/>
      <c r="BE780" s="175"/>
    </row>
    <row r="781" spans="2:63" x14ac:dyDescent="0.2">
      <c r="B781" s="121">
        <v>741510</v>
      </c>
      <c r="C781" s="145" t="s">
        <v>674</v>
      </c>
      <c r="D781" s="123">
        <v>130131.32</v>
      </c>
      <c r="E781" s="123">
        <v>97517.25</v>
      </c>
      <c r="F781" s="123">
        <v>167112.26</v>
      </c>
      <c r="G781" s="123">
        <v>167112.26</v>
      </c>
      <c r="H781" s="123">
        <v>201598.47</v>
      </c>
      <c r="I781" s="123">
        <v>236598.47</v>
      </c>
      <c r="J781" s="123">
        <v>389042.27</v>
      </c>
      <c r="K781" s="123">
        <v>340944.8</v>
      </c>
      <c r="L781" s="123">
        <v>115367.38</v>
      </c>
      <c r="M781" s="123">
        <v>140667.38</v>
      </c>
      <c r="N781" s="123">
        <v>147981.73000000001</v>
      </c>
      <c r="O781" s="123">
        <v>198211.18</v>
      </c>
      <c r="P781" s="123">
        <v>133115.18</v>
      </c>
      <c r="Q781" s="123">
        <v>423747.8</v>
      </c>
      <c r="R781" s="123">
        <v>552811.01</v>
      </c>
      <c r="S781" s="123">
        <v>312177.34999999998</v>
      </c>
      <c r="T781" s="123">
        <v>240413.55</v>
      </c>
      <c r="U781" s="123">
        <v>289841.21000000002</v>
      </c>
      <c r="V781" s="123">
        <v>317685.57</v>
      </c>
      <c r="W781" s="123">
        <v>259684.93</v>
      </c>
      <c r="X781" s="123">
        <v>360379.6</v>
      </c>
      <c r="Y781" s="123">
        <v>402426.62</v>
      </c>
      <c r="Z781" s="123">
        <v>338353.65</v>
      </c>
      <c r="AA781" s="123">
        <v>266251.03999999998</v>
      </c>
      <c r="AB781" s="123">
        <v>275250.40000000002</v>
      </c>
      <c r="AC781" s="187">
        <v>275250.40000000002</v>
      </c>
      <c r="AD781" s="187">
        <v>341631.67</v>
      </c>
      <c r="AE781" s="187">
        <v>388137.97</v>
      </c>
      <c r="AF781" s="187">
        <v>423118.26</v>
      </c>
      <c r="AG781" s="187">
        <v>741118.26</v>
      </c>
      <c r="AH781" s="187">
        <v>808752.53</v>
      </c>
      <c r="AI781" s="187">
        <v>689162.08</v>
      </c>
      <c r="AJ781" s="187">
        <v>734396.97</v>
      </c>
      <c r="AK781" s="187">
        <v>893807.38</v>
      </c>
      <c r="AL781" s="187">
        <v>883571.3</v>
      </c>
      <c r="AM781" s="187">
        <v>1005772.84</v>
      </c>
      <c r="AN781" s="187">
        <v>718772.84</v>
      </c>
      <c r="AO781" s="188">
        <v>903329.54</v>
      </c>
      <c r="AP781" s="188">
        <v>918329.54</v>
      </c>
      <c r="AQ781" s="188">
        <v>1005329.54</v>
      </c>
      <c r="AR781" s="188">
        <v>674364.48</v>
      </c>
      <c r="AS781" s="188">
        <v>696176.38</v>
      </c>
      <c r="AT781" s="188">
        <v>718979.79</v>
      </c>
      <c r="AU781" s="188">
        <v>728228.68</v>
      </c>
      <c r="AV781" s="188">
        <v>540460.32999999996</v>
      </c>
      <c r="AW781" s="188">
        <v>772773.66</v>
      </c>
      <c r="AX781" s="188">
        <v>885571.28</v>
      </c>
      <c r="AY781" s="180"/>
      <c r="AZ781" s="180"/>
      <c r="BA781" s="180"/>
      <c r="BB781" s="180"/>
      <c r="BC781" s="180"/>
      <c r="BD781" s="180"/>
      <c r="BE781" s="180"/>
      <c r="BF781" s="127">
        <v>741510</v>
      </c>
      <c r="BG781" s="97" t="s">
        <v>674</v>
      </c>
      <c r="BH781" s="127">
        <v>808752.53</v>
      </c>
      <c r="BI781" s="127">
        <v>741510</v>
      </c>
      <c r="BJ781" s="97" t="s">
        <v>674</v>
      </c>
      <c r="BK781" s="127">
        <v>689162.08</v>
      </c>
    </row>
    <row r="782" spans="2:63" x14ac:dyDescent="0.2">
      <c r="B782" s="121">
        <v>741520</v>
      </c>
      <c r="C782" s="145" t="s">
        <v>194</v>
      </c>
      <c r="D782" s="128"/>
      <c r="E782" s="128"/>
      <c r="F782" s="128"/>
      <c r="G782" s="128"/>
      <c r="H782" s="128"/>
      <c r="I782" s="128"/>
      <c r="J782" s="128"/>
      <c r="K782" s="128"/>
      <c r="L782" s="123">
        <v>169944.8</v>
      </c>
      <c r="M782" s="123">
        <v>169944.8</v>
      </c>
      <c r="N782" s="123">
        <v>169944.8</v>
      </c>
      <c r="O782" s="123">
        <v>118501</v>
      </c>
      <c r="P782" s="123">
        <v>118501</v>
      </c>
      <c r="Q782" s="123">
        <v>108500</v>
      </c>
      <c r="R782" s="123">
        <v>108500</v>
      </c>
      <c r="S782" s="123">
        <v>108500</v>
      </c>
      <c r="T782" s="123">
        <v>58500</v>
      </c>
      <c r="U782" s="123">
        <v>58500</v>
      </c>
      <c r="V782" s="123">
        <v>33500</v>
      </c>
      <c r="W782" s="123">
        <v>33500</v>
      </c>
      <c r="X782" s="123">
        <v>33500</v>
      </c>
      <c r="Y782" s="123">
        <v>33500</v>
      </c>
      <c r="Z782" s="128"/>
      <c r="AA782" s="128"/>
      <c r="AB782" s="128"/>
      <c r="AC782" s="189"/>
      <c r="AD782" s="189"/>
      <c r="AE782" s="189"/>
      <c r="AF782" s="189"/>
      <c r="AG782" s="189"/>
      <c r="AH782" s="189"/>
      <c r="AI782" s="189"/>
      <c r="AJ782" s="187">
        <v>0</v>
      </c>
      <c r="AK782" s="187">
        <v>0</v>
      </c>
      <c r="AL782" s="187">
        <v>0</v>
      </c>
      <c r="AM782" s="187">
        <v>0</v>
      </c>
      <c r="AN782" s="187">
        <v>0</v>
      </c>
      <c r="AO782" s="188">
        <v>0</v>
      </c>
      <c r="AP782" s="188">
        <v>0</v>
      </c>
      <c r="AQ782" s="188">
        <v>0</v>
      </c>
      <c r="AR782" s="188">
        <v>0</v>
      </c>
      <c r="AS782" s="188">
        <v>0</v>
      </c>
      <c r="AT782" s="188">
        <v>0</v>
      </c>
      <c r="AU782" s="188">
        <v>0</v>
      </c>
      <c r="AV782" s="188">
        <v>0</v>
      </c>
      <c r="AW782" s="188">
        <v>0</v>
      </c>
      <c r="AX782" s="188">
        <v>0</v>
      </c>
      <c r="AY782" s="180"/>
      <c r="AZ782" s="180"/>
      <c r="BA782" s="180"/>
      <c r="BB782" s="180"/>
      <c r="BC782" s="180"/>
      <c r="BD782" s="180"/>
      <c r="BE782" s="180"/>
    </row>
    <row r="783" spans="2:63" x14ac:dyDescent="0.2">
      <c r="B783" s="121">
        <v>75</v>
      </c>
      <c r="C783" s="145" t="s">
        <v>603</v>
      </c>
      <c r="D783" s="128"/>
      <c r="E783" s="128"/>
      <c r="F783" s="128"/>
      <c r="G783" s="128"/>
      <c r="H783" s="128"/>
      <c r="I783" s="128"/>
      <c r="J783" s="128"/>
      <c r="K783" s="128"/>
      <c r="L783" s="128"/>
      <c r="M783" s="123">
        <v>52511769.210000001</v>
      </c>
      <c r="N783" s="123">
        <v>52708860.549999997</v>
      </c>
      <c r="O783" s="123">
        <v>52908369.149999999</v>
      </c>
      <c r="P783" s="123">
        <v>53680887.060000002</v>
      </c>
      <c r="Q783" s="123">
        <v>54038166.950000003</v>
      </c>
      <c r="R783" s="123">
        <v>54751776.210000001</v>
      </c>
      <c r="S783" s="123">
        <v>54984677.710000001</v>
      </c>
      <c r="T783" s="123">
        <v>55114522.359999999</v>
      </c>
      <c r="U783" s="123">
        <v>55751158.079999998</v>
      </c>
      <c r="V783" s="123">
        <v>53554767.109999999</v>
      </c>
      <c r="W783" s="123">
        <v>53629426.5</v>
      </c>
      <c r="X783" s="123">
        <v>53887891.600000001</v>
      </c>
      <c r="Y783" s="123">
        <v>53715478.600000001</v>
      </c>
      <c r="Z783" s="123">
        <v>54100909.649999999</v>
      </c>
      <c r="AA783" s="123">
        <v>53695324.509999998</v>
      </c>
      <c r="AB783" s="123">
        <v>54444554.829999998</v>
      </c>
      <c r="AC783" s="187">
        <v>54008204.32</v>
      </c>
      <c r="AD783" s="187">
        <v>54256070.030000001</v>
      </c>
      <c r="AE783" s="187">
        <v>54380693.450000003</v>
      </c>
      <c r="AF783" s="187">
        <v>55165413.710000001</v>
      </c>
      <c r="AG783" s="187">
        <v>55670546.039999999</v>
      </c>
      <c r="AH783" s="187">
        <v>56499710.619999997</v>
      </c>
      <c r="AI783" s="187">
        <v>56603156.710000001</v>
      </c>
      <c r="AJ783" s="187">
        <v>57492250.93</v>
      </c>
      <c r="AK783" s="187">
        <v>63908487.729999997</v>
      </c>
      <c r="AL783" s="187">
        <v>64485770.640000001</v>
      </c>
      <c r="AM783" s="187">
        <v>64950194.890000001</v>
      </c>
      <c r="AN783" s="187">
        <v>64806717.170000002</v>
      </c>
      <c r="AO783" s="188">
        <v>66178437.5</v>
      </c>
      <c r="AP783" s="188">
        <v>66095755.390000001</v>
      </c>
      <c r="AQ783" s="188">
        <v>66295965.240000002</v>
      </c>
      <c r="AR783" s="188">
        <v>65539415.109999999</v>
      </c>
      <c r="AS783" s="188">
        <v>65556411.939999998</v>
      </c>
      <c r="AT783" s="188">
        <v>66464097.590000004</v>
      </c>
      <c r="AU783" s="188">
        <v>66552147.43</v>
      </c>
      <c r="AV783" s="188">
        <v>66612785.32</v>
      </c>
      <c r="AW783" s="188">
        <v>67085280.229999997</v>
      </c>
      <c r="AX783" s="188">
        <v>0</v>
      </c>
      <c r="AY783" s="180"/>
      <c r="AZ783" s="180"/>
      <c r="BA783" s="180"/>
      <c r="BB783" s="180"/>
      <c r="BC783" s="180"/>
      <c r="BD783" s="180"/>
      <c r="BE783" s="180"/>
      <c r="BF783" s="127">
        <v>75</v>
      </c>
      <c r="BG783" s="97" t="s">
        <v>603</v>
      </c>
      <c r="BH783" s="127">
        <v>56499710.619999997</v>
      </c>
      <c r="BI783" s="127">
        <v>75</v>
      </c>
      <c r="BJ783" s="97" t="s">
        <v>603</v>
      </c>
      <c r="BK783" s="127">
        <v>56603156.710000001</v>
      </c>
    </row>
    <row r="784" spans="2:63" x14ac:dyDescent="0.2">
      <c r="B784" s="121">
        <v>7501</v>
      </c>
      <c r="C784" s="145" t="s">
        <v>654</v>
      </c>
      <c r="D784" s="128"/>
      <c r="E784" s="128"/>
      <c r="F784" s="128"/>
      <c r="G784" s="128"/>
      <c r="H784" s="128"/>
      <c r="I784" s="128"/>
      <c r="J784" s="128"/>
      <c r="K784" s="128"/>
      <c r="L784" s="128"/>
      <c r="M784" s="123">
        <v>40795418.759999998</v>
      </c>
      <c r="N784" s="123">
        <v>40981130.57</v>
      </c>
      <c r="O784" s="123">
        <v>41268526.649999999</v>
      </c>
      <c r="P784" s="123">
        <v>42407678.479999997</v>
      </c>
      <c r="Q784" s="123">
        <v>42484326.75</v>
      </c>
      <c r="R784" s="123">
        <v>43090465.200000003</v>
      </c>
      <c r="S784" s="123">
        <v>43564000.359999999</v>
      </c>
      <c r="T784" s="123">
        <v>43815608.810000002</v>
      </c>
      <c r="U784" s="123">
        <v>44402816.869999997</v>
      </c>
      <c r="V784" s="123">
        <v>42203581.539999999</v>
      </c>
      <c r="W784" s="123">
        <v>42286241.57</v>
      </c>
      <c r="X784" s="123">
        <v>42286241.57</v>
      </c>
      <c r="Y784" s="123">
        <v>42071781.549999997</v>
      </c>
      <c r="Z784" s="123">
        <v>42604785.57</v>
      </c>
      <c r="AA784" s="123">
        <v>42429073.469999999</v>
      </c>
      <c r="AB784" s="123">
        <v>43169304.43</v>
      </c>
      <c r="AC784" s="187">
        <v>42732953.920000002</v>
      </c>
      <c r="AD784" s="187">
        <v>42914438.359999999</v>
      </c>
      <c r="AE784" s="187">
        <v>42992555.479999997</v>
      </c>
      <c r="AF784" s="187">
        <v>43742295.450000003</v>
      </c>
      <c r="AG784" s="187">
        <v>43929427.780000001</v>
      </c>
      <c r="AH784" s="187">
        <v>44690958.090000004</v>
      </c>
      <c r="AI784" s="187">
        <v>44913994.630000003</v>
      </c>
      <c r="AJ784" s="187">
        <v>45757853.960000001</v>
      </c>
      <c r="AK784" s="187">
        <v>46014680.350000001</v>
      </c>
      <c r="AL784" s="187">
        <v>46602199.340000004</v>
      </c>
      <c r="AM784" s="187">
        <v>46944422.049999997</v>
      </c>
      <c r="AN784" s="187">
        <v>46944422.049999997</v>
      </c>
      <c r="AO784" s="188">
        <v>48135572.409999996</v>
      </c>
      <c r="AP784" s="188">
        <v>48041808.380000003</v>
      </c>
      <c r="AQ784" s="188">
        <v>48158910.880000003</v>
      </c>
      <c r="AR784" s="188">
        <v>48683325.810000002</v>
      </c>
      <c r="AS784" s="188">
        <v>48683325.810000002</v>
      </c>
      <c r="AT784" s="188">
        <v>49568208.049999997</v>
      </c>
      <c r="AU784" s="188">
        <v>49650410.460000001</v>
      </c>
      <c r="AV784" s="188">
        <v>49900517.43</v>
      </c>
      <c r="AW784" s="188">
        <v>50091463.170000002</v>
      </c>
      <c r="AX784" s="188">
        <v>0</v>
      </c>
      <c r="AY784" s="180"/>
      <c r="AZ784" s="180"/>
      <c r="BA784" s="180"/>
      <c r="BB784" s="180"/>
      <c r="BC784" s="180"/>
      <c r="BD784" s="180"/>
      <c r="BE784" s="180"/>
      <c r="BF784" s="127">
        <v>7501</v>
      </c>
      <c r="BG784" s="97" t="s">
        <v>675</v>
      </c>
      <c r="BH784" s="127">
        <v>44690958.090000004</v>
      </c>
      <c r="BI784" s="127">
        <v>7501</v>
      </c>
      <c r="BJ784" s="97" t="s">
        <v>675</v>
      </c>
      <c r="BK784" s="127">
        <v>44913994.630000003</v>
      </c>
    </row>
    <row r="785" spans="1:63" x14ac:dyDescent="0.2">
      <c r="B785" s="121">
        <v>7507</v>
      </c>
      <c r="C785" s="145" t="s">
        <v>655</v>
      </c>
      <c r="D785" s="128"/>
      <c r="E785" s="128"/>
      <c r="F785" s="128"/>
      <c r="G785" s="128"/>
      <c r="H785" s="128"/>
      <c r="I785" s="128"/>
      <c r="J785" s="128"/>
      <c r="K785" s="128"/>
      <c r="L785" s="128"/>
      <c r="M785" s="123">
        <v>21592.400000000001</v>
      </c>
      <c r="N785" s="123">
        <v>21592.400000000001</v>
      </c>
      <c r="O785" s="123">
        <v>21592.400000000001</v>
      </c>
      <c r="P785" s="123">
        <v>21592.400000000001</v>
      </c>
      <c r="Q785" s="123">
        <v>21592.400000000001</v>
      </c>
      <c r="R785" s="128"/>
      <c r="S785" s="128"/>
      <c r="T785" s="128"/>
      <c r="U785" s="128"/>
      <c r="V785" s="128"/>
      <c r="W785" s="128"/>
      <c r="X785" s="128"/>
      <c r="Y785" s="128"/>
      <c r="Z785" s="128"/>
      <c r="AA785" s="128"/>
      <c r="AB785" s="128"/>
      <c r="AC785" s="189"/>
      <c r="AD785" s="189"/>
      <c r="AE785" s="189"/>
      <c r="AF785" s="189"/>
      <c r="AG785" s="189"/>
      <c r="AH785" s="189"/>
      <c r="AI785" s="189"/>
      <c r="AJ785" s="187">
        <v>0</v>
      </c>
      <c r="AK785" s="187">
        <v>0</v>
      </c>
      <c r="AL785" s="187">
        <v>0</v>
      </c>
      <c r="AM785" s="187">
        <v>0</v>
      </c>
      <c r="AN785" s="187">
        <v>0</v>
      </c>
      <c r="AO785" s="188">
        <v>0</v>
      </c>
      <c r="AP785" s="188">
        <v>0</v>
      </c>
      <c r="AQ785" s="188">
        <v>0</v>
      </c>
      <c r="AR785" s="188">
        <v>0</v>
      </c>
      <c r="AS785" s="188">
        <v>0</v>
      </c>
      <c r="AT785" s="188">
        <v>0</v>
      </c>
      <c r="AU785" s="188">
        <v>0</v>
      </c>
      <c r="AV785" s="188">
        <v>0</v>
      </c>
      <c r="AW785" s="188">
        <v>0</v>
      </c>
      <c r="AX785" s="188">
        <v>0</v>
      </c>
      <c r="AY785" s="180"/>
      <c r="AZ785" s="180"/>
      <c r="BA785" s="180"/>
      <c r="BB785" s="180"/>
      <c r="BC785" s="180"/>
      <c r="BD785" s="180"/>
      <c r="BE785" s="180"/>
    </row>
    <row r="786" spans="1:63" x14ac:dyDescent="0.2">
      <c r="B786" s="121">
        <v>7508</v>
      </c>
      <c r="C786" s="145" t="s">
        <v>656</v>
      </c>
      <c r="D786" s="128"/>
      <c r="E786" s="128"/>
      <c r="F786" s="128"/>
      <c r="G786" s="128"/>
      <c r="H786" s="128"/>
      <c r="I786" s="128"/>
      <c r="J786" s="128"/>
      <c r="K786" s="128"/>
      <c r="L786" s="128"/>
      <c r="M786" s="123">
        <v>11000000</v>
      </c>
      <c r="N786" s="123">
        <v>11000000</v>
      </c>
      <c r="O786" s="123">
        <v>11000000</v>
      </c>
      <c r="P786" s="123">
        <v>11000000</v>
      </c>
      <c r="Q786" s="123">
        <v>11000000</v>
      </c>
      <c r="R786" s="123">
        <v>11000000</v>
      </c>
      <c r="S786" s="123">
        <v>11000000</v>
      </c>
      <c r="T786" s="123">
        <v>11000000</v>
      </c>
      <c r="U786" s="123">
        <v>11000000</v>
      </c>
      <c r="V786" s="123">
        <v>11000000</v>
      </c>
      <c r="W786" s="123">
        <v>11000000</v>
      </c>
      <c r="X786" s="123">
        <v>11000000</v>
      </c>
      <c r="Y786" s="123">
        <v>11000000</v>
      </c>
      <c r="Z786" s="123">
        <v>11000000</v>
      </c>
      <c r="AA786" s="123">
        <v>11000000</v>
      </c>
      <c r="AB786" s="123">
        <v>11000000</v>
      </c>
      <c r="AC786" s="187">
        <v>11000000</v>
      </c>
      <c r="AD786" s="187">
        <v>11000000</v>
      </c>
      <c r="AE786" s="187">
        <v>11000000</v>
      </c>
      <c r="AF786" s="187">
        <v>11000000</v>
      </c>
      <c r="AG786" s="187">
        <v>11000000</v>
      </c>
      <c r="AH786" s="187">
        <v>11000000</v>
      </c>
      <c r="AI786" s="187">
        <v>11000000</v>
      </c>
      <c r="AJ786" s="187">
        <v>11000000</v>
      </c>
      <c r="AK786" s="187">
        <v>17000000</v>
      </c>
      <c r="AL786" s="187">
        <v>17000000</v>
      </c>
      <c r="AM786" s="187">
        <v>17000000</v>
      </c>
      <c r="AN786" s="187">
        <v>17000000</v>
      </c>
      <c r="AO786" s="188">
        <v>17000000</v>
      </c>
      <c r="AP786" s="188">
        <v>17000000</v>
      </c>
      <c r="AQ786" s="188">
        <v>17000000</v>
      </c>
      <c r="AR786" s="188">
        <v>16050000</v>
      </c>
      <c r="AS786" s="188">
        <v>16050000</v>
      </c>
      <c r="AT786" s="188">
        <v>16050000</v>
      </c>
      <c r="AU786" s="188">
        <v>16050000</v>
      </c>
      <c r="AV786" s="188">
        <v>16050000</v>
      </c>
      <c r="AW786" s="188">
        <v>16050000</v>
      </c>
      <c r="AX786" s="188">
        <v>0</v>
      </c>
      <c r="AY786" s="180"/>
      <c r="AZ786" s="180"/>
      <c r="BA786" s="180"/>
      <c r="BB786" s="180"/>
      <c r="BC786" s="180"/>
      <c r="BD786" s="180"/>
      <c r="BE786" s="180"/>
      <c r="BF786" s="127">
        <v>7508</v>
      </c>
      <c r="BG786" s="97" t="s">
        <v>656</v>
      </c>
      <c r="BH786" s="127">
        <v>11000000</v>
      </c>
      <c r="BI786" s="127">
        <v>7508</v>
      </c>
      <c r="BJ786" s="97" t="s">
        <v>656</v>
      </c>
      <c r="BK786" s="127">
        <v>11000000</v>
      </c>
    </row>
    <row r="787" spans="1:63" x14ac:dyDescent="0.2">
      <c r="B787" s="121">
        <v>7514</v>
      </c>
      <c r="C787" s="145" t="s">
        <v>657</v>
      </c>
      <c r="D787" s="128"/>
      <c r="E787" s="128"/>
      <c r="F787" s="128"/>
      <c r="G787" s="128"/>
      <c r="H787" s="128"/>
      <c r="I787" s="128"/>
      <c r="J787" s="128"/>
      <c r="K787" s="128"/>
      <c r="L787" s="128"/>
      <c r="M787" s="123">
        <v>294145.87</v>
      </c>
      <c r="N787" s="123">
        <v>298211.05</v>
      </c>
      <c r="O787" s="123">
        <v>301537.91999999998</v>
      </c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  <c r="AA787" s="128"/>
      <c r="AB787" s="128"/>
      <c r="AC787" s="189"/>
      <c r="AD787" s="189"/>
      <c r="AE787" s="189"/>
      <c r="AF787" s="189"/>
      <c r="AG787" s="189"/>
      <c r="AH787" s="189"/>
      <c r="AI787" s="189"/>
      <c r="AJ787" s="187">
        <v>0</v>
      </c>
      <c r="AK787" s="187">
        <v>0</v>
      </c>
      <c r="AL787" s="187">
        <v>0</v>
      </c>
      <c r="AM787" s="187">
        <v>0</v>
      </c>
      <c r="AN787" s="187">
        <v>0</v>
      </c>
      <c r="AO787" s="188">
        <v>0</v>
      </c>
      <c r="AP787" s="188">
        <v>0</v>
      </c>
      <c r="AQ787" s="188">
        <v>0</v>
      </c>
      <c r="AR787" s="188">
        <v>0</v>
      </c>
      <c r="AS787" s="188">
        <v>0</v>
      </c>
      <c r="AT787" s="188">
        <v>0</v>
      </c>
      <c r="AU787" s="188">
        <v>0</v>
      </c>
      <c r="AV787" s="188">
        <v>0</v>
      </c>
      <c r="AW787" s="188">
        <v>0</v>
      </c>
      <c r="AX787" s="188">
        <v>0</v>
      </c>
      <c r="AY787" s="180"/>
      <c r="AZ787" s="180"/>
      <c r="BA787" s="180"/>
      <c r="BB787" s="180"/>
      <c r="BC787" s="180"/>
      <c r="BD787" s="180"/>
      <c r="BE787" s="180"/>
    </row>
    <row r="788" spans="1:63" x14ac:dyDescent="0.2">
      <c r="B788" s="121">
        <v>7515</v>
      </c>
      <c r="C788" s="145" t="s">
        <v>658</v>
      </c>
      <c r="D788" s="128"/>
      <c r="E788" s="128"/>
      <c r="F788" s="128"/>
      <c r="G788" s="128"/>
      <c r="H788" s="128"/>
      <c r="I788" s="128"/>
      <c r="J788" s="128"/>
      <c r="K788" s="128"/>
      <c r="L788" s="128"/>
      <c r="M788" s="123">
        <v>400612.18</v>
      </c>
      <c r="N788" s="123">
        <v>407926.53</v>
      </c>
      <c r="O788" s="123">
        <v>316712.18</v>
      </c>
      <c r="P788" s="123">
        <v>251616.18</v>
      </c>
      <c r="Q788" s="123">
        <v>532247.80000000005</v>
      </c>
      <c r="R788" s="123">
        <v>661311.01</v>
      </c>
      <c r="S788" s="123">
        <v>420677.35</v>
      </c>
      <c r="T788" s="123">
        <v>298913.55</v>
      </c>
      <c r="U788" s="123">
        <v>348341.21</v>
      </c>
      <c r="V788" s="123">
        <v>351185.57</v>
      </c>
      <c r="W788" s="123">
        <v>343184.93</v>
      </c>
      <c r="X788" s="123">
        <v>601650.03</v>
      </c>
      <c r="Y788" s="123">
        <v>643697.05000000005</v>
      </c>
      <c r="Z788" s="123">
        <v>496124.08</v>
      </c>
      <c r="AA788" s="123">
        <v>266251.03999999998</v>
      </c>
      <c r="AB788" s="123">
        <v>275250.40000000002</v>
      </c>
      <c r="AC788" s="187">
        <v>275250.40000000002</v>
      </c>
      <c r="AD788" s="187">
        <v>341631.67</v>
      </c>
      <c r="AE788" s="187">
        <v>388137.97</v>
      </c>
      <c r="AF788" s="187">
        <v>423118.26</v>
      </c>
      <c r="AG788" s="187">
        <v>741118.26</v>
      </c>
      <c r="AH788" s="187">
        <v>808752.53</v>
      </c>
      <c r="AI788" s="187">
        <v>689162.08</v>
      </c>
      <c r="AJ788" s="187">
        <v>734396.97</v>
      </c>
      <c r="AK788" s="187">
        <v>893807.38</v>
      </c>
      <c r="AL788" s="187">
        <v>883571.3</v>
      </c>
      <c r="AM788" s="187">
        <v>1005772.84</v>
      </c>
      <c r="AN788" s="187">
        <v>718772.84</v>
      </c>
      <c r="AO788" s="188">
        <v>903329.54</v>
      </c>
      <c r="AP788" s="188">
        <v>918329.54</v>
      </c>
      <c r="AQ788" s="188">
        <v>1005329.54</v>
      </c>
      <c r="AR788" s="188">
        <v>674364.48</v>
      </c>
      <c r="AS788" s="188">
        <v>696176.38</v>
      </c>
      <c r="AT788" s="188">
        <v>718979.79</v>
      </c>
      <c r="AU788" s="188">
        <v>728228.68</v>
      </c>
      <c r="AV788" s="188">
        <v>540460.32999999996</v>
      </c>
      <c r="AW788" s="188">
        <v>822773.66</v>
      </c>
      <c r="AX788" s="188">
        <v>0</v>
      </c>
      <c r="AY788" s="180"/>
      <c r="AZ788" s="180"/>
      <c r="BA788" s="180"/>
      <c r="BB788" s="180"/>
      <c r="BC788" s="180"/>
      <c r="BD788" s="180"/>
      <c r="BE788" s="180"/>
      <c r="BF788" s="127">
        <v>7515</v>
      </c>
      <c r="BG788" s="97" t="s">
        <v>676</v>
      </c>
      <c r="BH788" s="127">
        <v>808752.53</v>
      </c>
      <c r="BI788" s="127">
        <v>7515</v>
      </c>
      <c r="BJ788" s="97" t="s">
        <v>676</v>
      </c>
      <c r="BK788" s="127">
        <v>689162.08</v>
      </c>
    </row>
    <row r="789" spans="1:63" x14ac:dyDescent="0.25">
      <c r="A789" s="159"/>
      <c r="B789" s="190" t="s">
        <v>677</v>
      </c>
      <c r="C789" s="191" t="s">
        <v>678</v>
      </c>
      <c r="D789" s="192">
        <f t="shared" ref="D789:AH789" si="102">D618-D475</f>
        <v>-1971750.3599999999</v>
      </c>
      <c r="E789" s="192">
        <f t="shared" si="102"/>
        <v>-152422.75</v>
      </c>
      <c r="F789" s="192">
        <f t="shared" si="102"/>
        <v>-274040.9800000001</v>
      </c>
      <c r="G789" s="192">
        <f t="shared" si="102"/>
        <v>-376879.18999999994</v>
      </c>
      <c r="H789" s="192">
        <f t="shared" si="102"/>
        <v>-479818.97</v>
      </c>
      <c r="I789" s="192">
        <f t="shared" si="102"/>
        <v>-633567.98999999976</v>
      </c>
      <c r="J789" s="192">
        <f t="shared" si="102"/>
        <v>-837198.34000000032</v>
      </c>
      <c r="K789" s="192">
        <f t="shared" si="102"/>
        <v>-934204.28000000026</v>
      </c>
      <c r="L789" s="192">
        <f t="shared" si="102"/>
        <v>-949549.44999999972</v>
      </c>
      <c r="M789" s="192">
        <f t="shared" si="102"/>
        <v>-1017019.5200000005</v>
      </c>
      <c r="N789" s="192">
        <f t="shared" si="102"/>
        <v>-1151804.7199999997</v>
      </c>
      <c r="O789" s="192">
        <f t="shared" si="102"/>
        <v>-1263796.7500000005</v>
      </c>
      <c r="P789" s="192">
        <f t="shared" si="102"/>
        <v>-1126730.8200000003</v>
      </c>
      <c r="Q789" s="192">
        <f t="shared" si="102"/>
        <v>-76637.840000000026</v>
      </c>
      <c r="R789" s="192">
        <f t="shared" si="102"/>
        <v>-72078.399999999907</v>
      </c>
      <c r="S789" s="192">
        <f t="shared" si="102"/>
        <v>-115827.08999999985</v>
      </c>
      <c r="T789" s="192">
        <f t="shared" si="102"/>
        <v>114479.92999999993</v>
      </c>
      <c r="U789" s="192">
        <f t="shared" si="102"/>
        <v>29795.5</v>
      </c>
      <c r="V789" s="192">
        <f t="shared" si="102"/>
        <v>-47085.760000000242</v>
      </c>
      <c r="W789" s="192">
        <f t="shared" si="102"/>
        <v>-108764.04999999981</v>
      </c>
      <c r="X789" s="192">
        <f t="shared" si="102"/>
        <v>-113716.33999999985</v>
      </c>
      <c r="Y789" s="192">
        <f t="shared" si="102"/>
        <v>-186326.85000000009</v>
      </c>
      <c r="Z789" s="192">
        <f t="shared" si="102"/>
        <v>-508137.55000000075</v>
      </c>
      <c r="AA789" s="192">
        <f t="shared" si="102"/>
        <v>-225210.27999999933</v>
      </c>
      <c r="AB789" s="192">
        <f t="shared" si="102"/>
        <v>15796.139999999665</v>
      </c>
      <c r="AC789" s="192">
        <f t="shared" si="102"/>
        <v>3658.9899999999907</v>
      </c>
      <c r="AD789" s="192">
        <f t="shared" si="102"/>
        <v>-153348.75</v>
      </c>
      <c r="AE789" s="192">
        <f t="shared" si="102"/>
        <v>-136154.87000000011</v>
      </c>
      <c r="AF789" s="192">
        <f t="shared" si="102"/>
        <v>-157343.83000000007</v>
      </c>
      <c r="AG789" s="192">
        <f t="shared" si="102"/>
        <v>-241941.87999999989</v>
      </c>
      <c r="AH789" s="192">
        <f t="shared" si="102"/>
        <v>-471220.68999999994</v>
      </c>
      <c r="AI789" s="192">
        <f t="shared" ref="AI789:AJ789" si="103">AI618-AI475</f>
        <v>-375633.39000000013</v>
      </c>
      <c r="AJ789" s="192">
        <f t="shared" si="103"/>
        <v>-721939.41000000015</v>
      </c>
      <c r="AK789" s="192">
        <f t="shared" ref="AK789:AL789" si="104">AK618-AK475</f>
        <v>-1057328.46</v>
      </c>
      <c r="AL789" s="192">
        <f t="shared" si="104"/>
        <v>-1498058.75</v>
      </c>
      <c r="AM789" s="192">
        <f t="shared" ref="AM789:AN789" si="105">AM618-AM475</f>
        <v>-1487335.2999999998</v>
      </c>
      <c r="AN789" s="192">
        <f t="shared" si="105"/>
        <v>-1035781.3500000006</v>
      </c>
      <c r="AO789" s="192">
        <f t="shared" ref="AO789:AX789" si="106">AO618-AO475</f>
        <v>105601.37</v>
      </c>
      <c r="AP789" s="192">
        <f t="shared" si="106"/>
        <v>238874.12000000011</v>
      </c>
      <c r="AQ789" s="192">
        <f t="shared" si="106"/>
        <v>300779.98</v>
      </c>
      <c r="AR789" s="192">
        <f t="shared" si="106"/>
        <v>307585.77</v>
      </c>
      <c r="AS789" s="192">
        <f t="shared" si="106"/>
        <v>321653.62000000011</v>
      </c>
      <c r="AT789" s="192">
        <f t="shared" si="106"/>
        <v>207280.31999999937</v>
      </c>
      <c r="AU789" s="192">
        <f t="shared" si="106"/>
        <v>238529.98000000045</v>
      </c>
      <c r="AV789" s="192">
        <f t="shared" si="106"/>
        <v>244182.8200000003</v>
      </c>
      <c r="AW789" s="192">
        <f t="shared" si="106"/>
        <v>246678.62999999989</v>
      </c>
      <c r="AX789" s="192">
        <f t="shared" si="106"/>
        <v>247911.58999999985</v>
      </c>
      <c r="AY789" s="193"/>
      <c r="AZ789" s="193"/>
      <c r="BA789" s="193"/>
      <c r="BB789" s="193"/>
      <c r="BC789" s="193"/>
      <c r="BD789" s="193"/>
      <c r="BE789" s="193"/>
    </row>
    <row r="790" spans="1:63" x14ac:dyDescent="0.25">
      <c r="B790" s="194"/>
      <c r="C790" s="195" t="s">
        <v>679</v>
      </c>
      <c r="D790" s="196">
        <f t="shared" ref="D790:AI790" si="107">IF(D2=12,D4-D324-D459,D4-D324-D459-D789)</f>
        <v>-1.862645149230957E-9</v>
      </c>
      <c r="E790" s="196">
        <f t="shared" si="107"/>
        <v>1.862645149230957E-9</v>
      </c>
      <c r="F790" s="196">
        <f t="shared" si="107"/>
        <v>-3.4924596548080444E-10</v>
      </c>
      <c r="G790" s="196">
        <f t="shared" si="107"/>
        <v>2.3283064365386963E-9</v>
      </c>
      <c r="H790" s="196">
        <f t="shared" si="107"/>
        <v>-2.5611370801925659E-9</v>
      </c>
      <c r="I790" s="196">
        <f t="shared" si="107"/>
        <v>1.3969838619232178E-9</v>
      </c>
      <c r="J790" s="196">
        <f t="shared" si="107"/>
        <v>5.1222741603851318E-9</v>
      </c>
      <c r="K790" s="196">
        <f t="shared" si="107"/>
        <v>-2.7939677238464355E-9</v>
      </c>
      <c r="L790" s="196">
        <f t="shared" si="107"/>
        <v>-1.3969838619232178E-9</v>
      </c>
      <c r="M790" s="196">
        <f t="shared" si="107"/>
        <v>-1.862645149230957E-9</v>
      </c>
      <c r="N790" s="196">
        <f t="shared" si="107"/>
        <v>0</v>
      </c>
      <c r="O790" s="196">
        <f t="shared" si="107"/>
        <v>3.2596290111541748E-9</v>
      </c>
      <c r="P790" s="196">
        <f t="shared" si="107"/>
        <v>0</v>
      </c>
      <c r="Q790" s="196">
        <f t="shared" si="107"/>
        <v>-7.5669959187507629E-10</v>
      </c>
      <c r="R790" s="196">
        <f t="shared" si="107"/>
        <v>-1.3969838619232178E-9</v>
      </c>
      <c r="S790" s="196">
        <f t="shared" si="107"/>
        <v>1.862645149230957E-9</v>
      </c>
      <c r="T790" s="196">
        <f t="shared" si="107"/>
        <v>3.4924596548080444E-9</v>
      </c>
      <c r="U790" s="196">
        <f t="shared" si="107"/>
        <v>4.6566128730773926E-9</v>
      </c>
      <c r="V790" s="196">
        <f t="shared" si="107"/>
        <v>-3.2596290111541748E-9</v>
      </c>
      <c r="W790" s="196">
        <f t="shared" si="107"/>
        <v>9.3132257461547852E-10</v>
      </c>
      <c r="X790" s="196">
        <f t="shared" si="107"/>
        <v>-1.862645149230957E-9</v>
      </c>
      <c r="Y790" s="196">
        <f t="shared" si="107"/>
        <v>-3.2596290111541748E-9</v>
      </c>
      <c r="Z790" s="196">
        <f t="shared" si="107"/>
        <v>0</v>
      </c>
      <c r="AA790" s="196">
        <f t="shared" si="107"/>
        <v>-5.5879354476928711E-9</v>
      </c>
      <c r="AB790" s="196">
        <f>IF(AB2=12,AB4-AB324-AB459,AB4-AB324-AB459-AB789)</f>
        <v>1.862645149230957E-9</v>
      </c>
      <c r="AC790" s="196">
        <f t="shared" si="107"/>
        <v>-3.4924596548080444E-9</v>
      </c>
      <c r="AD790" s="196">
        <f t="shared" si="107"/>
        <v>-1.862645149230957E-9</v>
      </c>
      <c r="AE790" s="196">
        <f t="shared" si="107"/>
        <v>0</v>
      </c>
      <c r="AF790" s="196">
        <f t="shared" si="107"/>
        <v>-2.7939677238464355E-9</v>
      </c>
      <c r="AG790" s="196">
        <f t="shared" si="107"/>
        <v>3.7252902984619141E-9</v>
      </c>
      <c r="AH790" s="196">
        <f t="shared" si="107"/>
        <v>-4.1909515857696533E-9</v>
      </c>
      <c r="AI790" s="196">
        <f t="shared" si="107"/>
        <v>2.3283064365386963E-9</v>
      </c>
      <c r="AJ790" s="196">
        <f t="shared" ref="AJ790:AK790" si="108">IF(AJ2=12,AJ4-AJ324-AJ459,AJ4-AJ324-AJ459-AJ789)</f>
        <v>1.862645149230957E-9</v>
      </c>
      <c r="AK790" s="196">
        <f t="shared" si="108"/>
        <v>4.6566128730773926E-9</v>
      </c>
      <c r="AL790" s="196">
        <f t="shared" ref="AL790:AM790" si="109">IF(AL2=12,AL4-AL324-AL459,AL4-AL324-AL459-AL789)</f>
        <v>-3.7252902984619141E-9</v>
      </c>
      <c r="AM790" s="196">
        <f t="shared" si="109"/>
        <v>9.3132257461547852E-10</v>
      </c>
      <c r="AN790" s="196">
        <f t="shared" ref="AN790:AX790" si="110">IF(AN2=12,AN4-AN324-AN459,AN4-AN324-AN459-AN789)</f>
        <v>0</v>
      </c>
      <c r="AO790" s="196">
        <f t="shared" si="110"/>
        <v>2.9103830456733704E-9</v>
      </c>
      <c r="AP790" s="196">
        <f t="shared" si="110"/>
        <v>9.3132257461547852E-10</v>
      </c>
      <c r="AQ790" s="196">
        <f t="shared" si="110"/>
        <v>4.6566128730773926E-10</v>
      </c>
      <c r="AR790" s="196">
        <f t="shared" si="110"/>
        <v>3.2596290111541748E-9</v>
      </c>
      <c r="AS790" s="196">
        <f t="shared" si="110"/>
        <v>-9.3132257461547852E-10</v>
      </c>
      <c r="AT790" s="196">
        <f t="shared" si="110"/>
        <v>2.7939677238464355E-9</v>
      </c>
      <c r="AU790" s="196">
        <f t="shared" si="110"/>
        <v>0</v>
      </c>
      <c r="AV790" s="196">
        <f t="shared" si="110"/>
        <v>-5.5879354476928711E-9</v>
      </c>
      <c r="AW790" s="196">
        <f t="shared" si="110"/>
        <v>9.3132257461547852E-10</v>
      </c>
      <c r="AX790" s="196">
        <f t="shared" si="110"/>
        <v>-3.7252902984619141E-9</v>
      </c>
      <c r="AY790" s="197"/>
      <c r="AZ790" s="197"/>
      <c r="BA790" s="197"/>
      <c r="BB790" s="197"/>
      <c r="BC790" s="197"/>
      <c r="BD790" s="197"/>
      <c r="BE790" s="197"/>
    </row>
    <row r="839" spans="58:63" x14ac:dyDescent="0.25">
      <c r="BI839" s="159"/>
      <c r="BJ839" s="159"/>
      <c r="BK839" s="159"/>
    </row>
    <row r="843" spans="58:63" x14ac:dyDescent="0.25">
      <c r="BF843" s="159"/>
      <c r="BG843" s="159"/>
      <c r="BH843" s="159"/>
    </row>
  </sheetData>
  <pageMargins left="0.7" right="0.7" top="0.75" bottom="0.75" header="0.3" footer="0.3"/>
  <pageSetup paperSize="9"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BD387"/>
  <sheetViews>
    <sheetView showGridLines="0" zoomScaleNormal="100" workbookViewId="0">
      <pane xSplit="3" ySplit="4" topLeftCell="AK140" activePane="bottomRight" state="frozen"/>
      <selection pane="topRight"/>
      <selection pane="bottomLeft"/>
      <selection pane="bottomRight" activeCell="AM151" sqref="AM151"/>
    </sheetView>
  </sheetViews>
  <sheetFormatPr baseColWidth="10" defaultColWidth="11.42578125" defaultRowHeight="11.25" customHeight="1" outlineLevelRow="2" x14ac:dyDescent="0.25"/>
  <cols>
    <col min="1" max="1" width="3.140625" style="198" customWidth="1"/>
    <col min="2" max="2" width="14.7109375" style="199" customWidth="1"/>
    <col min="3" max="3" width="38.140625" style="200" customWidth="1"/>
    <col min="4" max="19" width="10.85546875" style="201" customWidth="1"/>
    <col min="20" max="28" width="10.7109375" style="201" customWidth="1"/>
    <col min="29" max="29" width="14.7109375" style="201" customWidth="1"/>
    <col min="30" max="38" width="10.7109375" style="201" customWidth="1"/>
    <col min="39" max="39" width="12.28515625" style="201" customWidth="1"/>
    <col min="40" max="40" width="11.7109375" style="201" customWidth="1"/>
    <col min="41" max="41" width="14.28515625" style="201" customWidth="1"/>
    <col min="42" max="42" width="11.7109375" style="201" customWidth="1"/>
    <col min="43" max="44" width="11.85546875" style="201" customWidth="1"/>
    <col min="45" max="45" width="12.28515625" style="201" customWidth="1"/>
    <col min="46" max="46" width="13" style="201" customWidth="1"/>
    <col min="47" max="48" width="12.28515625" style="201" customWidth="1"/>
    <col min="49" max="49" width="13" style="201" customWidth="1"/>
    <col min="50" max="50" width="12.28515625" style="201" customWidth="1"/>
    <col min="51" max="52" width="11.7109375" style="201" customWidth="1"/>
    <col min="53" max="53" width="7" style="200" customWidth="1"/>
    <col min="54" max="54" width="7.42578125" style="200" customWidth="1"/>
    <col min="55" max="55" width="11.28515625" style="200" customWidth="1"/>
    <col min="56" max="56" width="8.5703125" style="200" customWidth="1"/>
    <col min="57" max="57" width="11.42578125" style="200" customWidth="1"/>
    <col min="58" max="16384" width="11.42578125" style="200"/>
  </cols>
  <sheetData>
    <row r="1" spans="1:55" s="202" customFormat="1" ht="36.75" customHeight="1" x14ac:dyDescent="0.25">
      <c r="B1" s="99" t="str">
        <f>Premisas!A1</f>
        <v>BANCO CAPITAL S.A.</v>
      </c>
      <c r="C1" s="203"/>
      <c r="J1" s="204"/>
      <c r="K1" s="204"/>
      <c r="L1" s="204"/>
      <c r="M1" s="204"/>
      <c r="N1" s="204"/>
      <c r="O1" s="204"/>
    </row>
    <row r="2" spans="1:55" s="205" customFormat="1" ht="33.75" customHeight="1" x14ac:dyDescent="0.25">
      <c r="B2" s="206" t="s">
        <v>680</v>
      </c>
      <c r="D2" s="207" t="s">
        <v>681</v>
      </c>
      <c r="E2" s="207" t="s">
        <v>681</v>
      </c>
      <c r="F2" s="207" t="s">
        <v>681</v>
      </c>
      <c r="G2" s="207" t="s">
        <v>681</v>
      </c>
      <c r="H2" s="207" t="s">
        <v>681</v>
      </c>
      <c r="I2" s="207" t="s">
        <v>681</v>
      </c>
      <c r="J2" s="207" t="s">
        <v>681</v>
      </c>
      <c r="K2" s="207" t="s">
        <v>681</v>
      </c>
      <c r="L2" s="207" t="s">
        <v>681</v>
      </c>
      <c r="M2" s="207" t="s">
        <v>681</v>
      </c>
      <c r="N2" s="207" t="s">
        <v>681</v>
      </c>
      <c r="O2" s="207" t="s">
        <v>681</v>
      </c>
      <c r="P2" s="207" t="s">
        <v>681</v>
      </c>
      <c r="Q2" s="207" t="s">
        <v>681</v>
      </c>
      <c r="R2" s="207" t="s">
        <v>681</v>
      </c>
      <c r="S2" s="207" t="s">
        <v>681</v>
      </c>
      <c r="T2" s="207" t="s">
        <v>681</v>
      </c>
      <c r="U2" s="207" t="s">
        <v>681</v>
      </c>
      <c r="V2" s="207" t="s">
        <v>681</v>
      </c>
      <c r="W2" s="207" t="s">
        <v>681</v>
      </c>
      <c r="X2" s="207" t="s">
        <v>681</v>
      </c>
      <c r="Y2" s="207" t="s">
        <v>681</v>
      </c>
      <c r="Z2" s="207" t="s">
        <v>681</v>
      </c>
      <c r="AA2" s="207" t="s">
        <v>681</v>
      </c>
      <c r="AB2" s="207" t="s">
        <v>681</v>
      </c>
      <c r="AC2" s="207" t="s">
        <v>681</v>
      </c>
      <c r="AD2" s="207" t="s">
        <v>681</v>
      </c>
      <c r="AE2" s="207" t="s">
        <v>681</v>
      </c>
      <c r="AF2" s="207" t="s">
        <v>681</v>
      </c>
      <c r="AG2" s="207" t="s">
        <v>681</v>
      </c>
      <c r="AH2" s="207" t="s">
        <v>681</v>
      </c>
      <c r="AI2" s="207" t="s">
        <v>681</v>
      </c>
      <c r="AJ2" s="207" t="s">
        <v>681</v>
      </c>
      <c r="AK2" s="207" t="s">
        <v>681</v>
      </c>
      <c r="AL2" s="207" t="s">
        <v>681</v>
      </c>
      <c r="AM2" s="208" t="s">
        <v>682</v>
      </c>
      <c r="AN2" s="208" t="s">
        <v>682</v>
      </c>
      <c r="AO2" s="208" t="s">
        <v>682</v>
      </c>
      <c r="AP2" s="208" t="s">
        <v>682</v>
      </c>
      <c r="AQ2" s="208" t="s">
        <v>682</v>
      </c>
      <c r="AR2" s="208" t="s">
        <v>682</v>
      </c>
      <c r="AS2" s="208" t="s">
        <v>682</v>
      </c>
      <c r="AT2" s="208" t="s">
        <v>682</v>
      </c>
      <c r="AU2" s="208" t="s">
        <v>682</v>
      </c>
      <c r="AV2" s="208" t="s">
        <v>682</v>
      </c>
      <c r="AW2" s="208" t="s">
        <v>682</v>
      </c>
      <c r="AX2" s="208" t="s">
        <v>682</v>
      </c>
      <c r="BA2" s="209" t="s">
        <v>683</v>
      </c>
      <c r="BB2" s="209" t="s">
        <v>683</v>
      </c>
    </row>
    <row r="3" spans="1:55" ht="15" customHeight="1" x14ac:dyDescent="0.25">
      <c r="B3" s="200"/>
      <c r="D3" s="210">
        <f>EEFFun!P2</f>
        <v>12</v>
      </c>
      <c r="E3" s="210">
        <f>EEFFun!Q2</f>
        <v>1</v>
      </c>
      <c r="F3" s="210">
        <f>EEFFun!R2</f>
        <v>2</v>
      </c>
      <c r="G3" s="210">
        <f>EEFFun!S2</f>
        <v>3</v>
      </c>
      <c r="H3" s="210">
        <f>EEFFun!T2</f>
        <v>4</v>
      </c>
      <c r="I3" s="211">
        <v>5</v>
      </c>
      <c r="J3" s="211">
        <v>6</v>
      </c>
      <c r="K3" s="211">
        <v>7</v>
      </c>
      <c r="L3" s="211">
        <v>8</v>
      </c>
      <c r="M3" s="211">
        <v>9</v>
      </c>
      <c r="N3" s="211">
        <v>10</v>
      </c>
      <c r="O3" s="211">
        <v>11</v>
      </c>
      <c r="P3" s="211">
        <v>12</v>
      </c>
      <c r="Q3" s="211">
        <v>1</v>
      </c>
      <c r="R3" s="211">
        <v>2</v>
      </c>
      <c r="S3" s="211">
        <v>3</v>
      </c>
      <c r="T3" s="211">
        <v>4</v>
      </c>
      <c r="U3" s="211">
        <v>5</v>
      </c>
      <c r="V3" s="211">
        <v>6</v>
      </c>
      <c r="W3" s="211">
        <v>7</v>
      </c>
      <c r="X3" s="211">
        <v>8</v>
      </c>
      <c r="Y3" s="211">
        <v>0</v>
      </c>
      <c r="Z3" s="211">
        <v>10</v>
      </c>
      <c r="AA3" s="211">
        <v>11</v>
      </c>
      <c r="AB3" s="211">
        <v>12</v>
      </c>
      <c r="AC3" s="211">
        <v>1</v>
      </c>
      <c r="AD3" s="211">
        <v>2</v>
      </c>
      <c r="AE3" s="211">
        <v>3</v>
      </c>
      <c r="AF3" s="211">
        <v>4</v>
      </c>
      <c r="AG3" s="211">
        <v>5</v>
      </c>
      <c r="AH3" s="211">
        <v>6</v>
      </c>
      <c r="AI3" s="211">
        <v>7</v>
      </c>
      <c r="AJ3" s="211">
        <v>8</v>
      </c>
      <c r="AK3" s="211">
        <v>9</v>
      </c>
      <c r="AL3" s="211">
        <v>10</v>
      </c>
      <c r="AM3" s="211">
        <v>1</v>
      </c>
      <c r="AN3" s="211">
        <v>2</v>
      </c>
      <c r="AO3" s="211">
        <v>3</v>
      </c>
      <c r="AP3" s="211">
        <v>4</v>
      </c>
      <c r="AQ3" s="211">
        <v>5</v>
      </c>
      <c r="AR3" s="211">
        <v>6</v>
      </c>
      <c r="AS3" s="211">
        <v>7</v>
      </c>
      <c r="AT3" s="211">
        <v>8</v>
      </c>
      <c r="AU3" s="211">
        <v>9</v>
      </c>
      <c r="AV3" s="211">
        <v>10</v>
      </c>
      <c r="AW3" s="211">
        <v>11</v>
      </c>
      <c r="AX3" s="211">
        <v>12</v>
      </c>
      <c r="AY3" s="212" t="s">
        <v>684</v>
      </c>
      <c r="AZ3" s="212" t="s">
        <v>685</v>
      </c>
      <c r="BA3" s="213">
        <v>2023</v>
      </c>
      <c r="BB3" s="213">
        <v>2024</v>
      </c>
    </row>
    <row r="4" spans="1:55" s="214" customFormat="1" ht="15.75" customHeight="1" x14ac:dyDescent="0.25">
      <c r="A4" s="215" t="s">
        <v>76</v>
      </c>
      <c r="B4" s="216" t="s">
        <v>686</v>
      </c>
      <c r="C4" s="217"/>
      <c r="D4" s="218">
        <f>EEFFun!P3</f>
        <v>44926</v>
      </c>
      <c r="E4" s="218">
        <f>EEFFun!Q3</f>
        <v>44957</v>
      </c>
      <c r="F4" s="218">
        <f>EEFFun!R3</f>
        <v>44985</v>
      </c>
      <c r="G4" s="218">
        <f>EEFFun!S3</f>
        <v>45016</v>
      </c>
      <c r="H4" s="218">
        <f>EEFFun!T3</f>
        <v>45046</v>
      </c>
      <c r="I4" s="218">
        <f>EEFFun!U3</f>
        <v>45077</v>
      </c>
      <c r="J4" s="218">
        <f>EEFFun!V3</f>
        <v>45107</v>
      </c>
      <c r="K4" s="218">
        <f>EEFFun!W3</f>
        <v>45138</v>
      </c>
      <c r="L4" s="218">
        <f>EEFFun!X3</f>
        <v>45169</v>
      </c>
      <c r="M4" s="218">
        <f>EEFFun!Y3</f>
        <v>45199</v>
      </c>
      <c r="N4" s="218">
        <f>EEFFun!Z3</f>
        <v>45230</v>
      </c>
      <c r="O4" s="218">
        <f>EEFFun!AA3</f>
        <v>45260</v>
      </c>
      <c r="P4" s="218">
        <f>EEFFun!AB3</f>
        <v>45291</v>
      </c>
      <c r="Q4" s="218">
        <f>EEFFun!AC3</f>
        <v>45322</v>
      </c>
      <c r="R4" s="218">
        <f>EEFFun!AD3</f>
        <v>45351</v>
      </c>
      <c r="S4" s="218">
        <f>EEFFun!AE3</f>
        <v>45382</v>
      </c>
      <c r="T4" s="218">
        <f>EEFFun!AF3</f>
        <v>45412</v>
      </c>
      <c r="U4" s="218">
        <f>EEFFun!AG3</f>
        <v>45443</v>
      </c>
      <c r="V4" s="218">
        <f>EEFFun!AH3</f>
        <v>45473</v>
      </c>
      <c r="W4" s="218">
        <f>EEFFun!AI3</f>
        <v>45504</v>
      </c>
      <c r="X4" s="218">
        <f>EEFFun!AJ3</f>
        <v>45535</v>
      </c>
      <c r="Y4" s="218">
        <f>EEFFun!AK3</f>
        <v>45565</v>
      </c>
      <c r="Z4" s="218">
        <f>EEFFun!AL3</f>
        <v>45596</v>
      </c>
      <c r="AA4" s="218">
        <f>EEFFun!AM3</f>
        <v>45626</v>
      </c>
      <c r="AB4" s="218">
        <f>EEFFun!AN3</f>
        <v>45657</v>
      </c>
      <c r="AC4" s="219" t="s">
        <v>687</v>
      </c>
      <c r="AD4" s="219" t="s">
        <v>688</v>
      </c>
      <c r="AE4" s="219" t="s">
        <v>689</v>
      </c>
      <c r="AF4" s="219" t="s">
        <v>690</v>
      </c>
      <c r="AG4" s="219" t="s">
        <v>691</v>
      </c>
      <c r="AH4" s="219" t="s">
        <v>692</v>
      </c>
      <c r="AI4" s="219" t="s">
        <v>693</v>
      </c>
      <c r="AJ4" s="219" t="s">
        <v>694</v>
      </c>
      <c r="AK4" s="219" t="s">
        <v>695</v>
      </c>
      <c r="AL4" s="219" t="s">
        <v>696</v>
      </c>
      <c r="AM4" s="220">
        <v>45688</v>
      </c>
      <c r="AN4" s="220">
        <v>45716</v>
      </c>
      <c r="AO4" s="220">
        <v>45747</v>
      </c>
      <c r="AP4" s="220">
        <v>45777</v>
      </c>
      <c r="AQ4" s="220">
        <v>45808</v>
      </c>
      <c r="AR4" s="220">
        <v>45838</v>
      </c>
      <c r="AS4" s="220">
        <v>45869</v>
      </c>
      <c r="AT4" s="220">
        <v>45900</v>
      </c>
      <c r="AU4" s="220">
        <v>45930</v>
      </c>
      <c r="AV4" s="220">
        <v>45961</v>
      </c>
      <c r="AW4" s="220">
        <v>45991</v>
      </c>
      <c r="AX4" s="221">
        <v>46022</v>
      </c>
      <c r="AY4" s="220" t="s">
        <v>697</v>
      </c>
      <c r="AZ4" s="220" t="s">
        <v>697</v>
      </c>
      <c r="BA4" s="220" t="s">
        <v>698</v>
      </c>
      <c r="BB4" s="220" t="s">
        <v>698</v>
      </c>
    </row>
    <row r="5" spans="1:55" x14ac:dyDescent="0.25">
      <c r="A5" s="222">
        <v>1</v>
      </c>
      <c r="B5" s="223">
        <f>EEFFun!B4</f>
        <v>1</v>
      </c>
      <c r="C5" s="224" t="str">
        <f>EEFFun!C4</f>
        <v>ACTIVOS</v>
      </c>
      <c r="D5" s="225">
        <f>EEFFun!P4</f>
        <v>41871994.719999999</v>
      </c>
      <c r="E5" s="225">
        <f>EEFFun!Q4</f>
        <v>41428485.109999999</v>
      </c>
      <c r="F5" s="225">
        <f>EEFFun!R4</f>
        <v>41342572.390000001</v>
      </c>
      <c r="G5" s="225">
        <f>EEFFun!S4</f>
        <v>41608836.780000001</v>
      </c>
      <c r="H5" s="225">
        <f>EEFFun!T4</f>
        <v>41402927.380000003</v>
      </c>
      <c r="I5" s="225">
        <f>EEFFun!U4</f>
        <v>40814797.310000002</v>
      </c>
      <c r="J5" s="225">
        <f>EEFFun!V4</f>
        <v>39918747.289999999</v>
      </c>
      <c r="K5" s="225">
        <f>EEFFun!W4</f>
        <v>38859683.630000003</v>
      </c>
      <c r="L5" s="225">
        <f>EEFFun!X4</f>
        <v>38554649.969999999</v>
      </c>
      <c r="M5" s="225">
        <f>EEFFun!Y4</f>
        <v>38446164.329999998</v>
      </c>
      <c r="N5" s="225">
        <f>EEFFun!Z4</f>
        <v>39087529.869999997</v>
      </c>
      <c r="O5" s="225">
        <f>EEFFun!AA4</f>
        <v>38587002.549999997</v>
      </c>
      <c r="P5" s="225">
        <f>EEFFun!AB4</f>
        <v>38163617.950000003</v>
      </c>
      <c r="Q5" s="225">
        <f>EEFFun!AC4</f>
        <v>38284841.659999996</v>
      </c>
      <c r="R5" s="225">
        <f>EEFFun!AD4</f>
        <v>37819571.289999999</v>
      </c>
      <c r="S5" s="225">
        <f>EEFFun!AE4</f>
        <v>38313322.43</v>
      </c>
      <c r="T5" s="225">
        <f>EEFFun!AF4</f>
        <v>38567039.909999996</v>
      </c>
      <c r="U5" s="225">
        <f>EEFFun!AG4</f>
        <v>41817124.310000002</v>
      </c>
      <c r="V5" s="225">
        <f>EEFFun!AH4</f>
        <v>47062540.159999996</v>
      </c>
      <c r="W5" s="225">
        <f>EEFFun!AI4</f>
        <v>47113340.789999999</v>
      </c>
      <c r="X5" s="225">
        <f>EEFFun!AJ4</f>
        <v>47711065.100000001</v>
      </c>
      <c r="Y5" s="225">
        <f>EEFFun!AK4</f>
        <v>48144336.090000004</v>
      </c>
      <c r="Z5" s="225">
        <f>EEFFun!AL4</f>
        <v>49311534.219999999</v>
      </c>
      <c r="AA5" s="225">
        <f>EEFFun!AM4</f>
        <v>50621766.299999997</v>
      </c>
      <c r="AB5" s="225">
        <f>EEFFun!AN4</f>
        <v>51800193.119999997</v>
      </c>
      <c r="AC5" s="225">
        <f>EEFFun!AO4</f>
        <v>54248199.350000001</v>
      </c>
      <c r="AD5" s="225">
        <f>EEFFun!AP4</f>
        <v>56369251.25</v>
      </c>
      <c r="AE5" s="225">
        <f>EEFFun!AQ4</f>
        <v>61925193.32</v>
      </c>
      <c r="AF5" s="225">
        <f>EEFFun!AR4</f>
        <v>59395368.609999999</v>
      </c>
      <c r="AG5" s="225">
        <f>EEFFun!AS4</f>
        <v>61701050.649999999</v>
      </c>
      <c r="AH5" s="225">
        <f>EEFFun!AT4</f>
        <v>63381053.350000001</v>
      </c>
      <c r="AI5" s="225">
        <f>EEFFun!AU4</f>
        <v>66525948.43</v>
      </c>
      <c r="AJ5" s="225">
        <f>EEFFun!AV4</f>
        <v>68613984.159999996</v>
      </c>
      <c r="AK5" s="225">
        <f>EEFFun!AW4</f>
        <v>69701630.200000003</v>
      </c>
      <c r="AL5" s="225">
        <f>EEFFun!AX4</f>
        <v>72243574.269999996</v>
      </c>
      <c r="AM5" s="226">
        <f t="shared" ref="AM5:AS5" si="0">AM6+AM20+AM39+AM102+AM112+AM122+AM134</f>
        <v>76988040.792370021</v>
      </c>
      <c r="AN5" s="226">
        <f t="shared" si="0"/>
        <v>82087920.98190552</v>
      </c>
      <c r="AO5" s="226">
        <f t="shared" si="0"/>
        <v>87307823.656834647</v>
      </c>
      <c r="AP5" s="226">
        <f t="shared" si="0"/>
        <v>92258594.831075907</v>
      </c>
      <c r="AQ5" s="226">
        <f t="shared" si="0"/>
        <v>97129482.603494808</v>
      </c>
      <c r="AR5" s="226">
        <f t="shared" si="0"/>
        <v>102254495.47539596</v>
      </c>
      <c r="AS5" s="226">
        <f t="shared" si="0"/>
        <v>108381125.05894034</v>
      </c>
      <c r="AT5" s="226">
        <f t="shared" ref="AT5" si="1">AT6+AT20+AT39+AT102+AT112+AT122+AT134</f>
        <v>113459521.09463328</v>
      </c>
      <c r="AU5" s="226">
        <f t="shared" ref="AU5" si="2">AU6+AU20+AU39+AU102+AU112+AU122+AU134</f>
        <v>118231540.10507554</v>
      </c>
      <c r="AV5" s="226">
        <f t="shared" ref="AV5" si="3">AV6+AV20+AV39+AV102+AV112+AV122+AV134</f>
        <v>123313141.04900251</v>
      </c>
      <c r="AW5" s="226">
        <f t="shared" ref="AW5" si="4">AW6+AW20+AW39+AW102+AW112+AW122+AW134</f>
        <v>128959291.04023996</v>
      </c>
      <c r="AX5" s="226">
        <f t="shared" ref="AX5" si="5">AX6+AX20+AX39+AX102+AX112+AX122+AX134</f>
        <v>133742378.68024893</v>
      </c>
      <c r="AY5" s="226">
        <f t="shared" ref="AY5:AY36" si="6">AX5-V5</f>
        <v>86679838.520248935</v>
      </c>
      <c r="AZ5" s="226">
        <f t="shared" ref="AZ5:AZ32" si="7">AX5-P5</f>
        <v>95578760.730248928</v>
      </c>
      <c r="BA5" s="227">
        <f>BA6+BA20+BA39+BA102+BA112+BA122+BA134</f>
        <v>0.99999999999999989</v>
      </c>
      <c r="BB5" s="227">
        <f>BB6+BB20+BB39+BB102+BB112+BB122+BB134</f>
        <v>1.0000000000000002</v>
      </c>
      <c r="BC5" s="228">
        <f t="shared" ref="BC5:BC68" si="8">AT5-W5</f>
        <v>66346180.304633282</v>
      </c>
    </row>
    <row r="6" spans="1:55" s="229" customFormat="1" outlineLevel="1" x14ac:dyDescent="0.25">
      <c r="A6" s="222">
        <v>2</v>
      </c>
      <c r="B6" s="223">
        <f>EEFFun!B5</f>
        <v>11</v>
      </c>
      <c r="C6" s="230" t="str">
        <f>EEFFun!C5</f>
        <v>FONDOS DISPONIBLES</v>
      </c>
      <c r="D6" s="225">
        <f>EEFFun!P5</f>
        <v>1875049.31</v>
      </c>
      <c r="E6" s="225">
        <f>EEFFun!Q5</f>
        <v>2157721.77</v>
      </c>
      <c r="F6" s="225">
        <f>EEFFun!R5</f>
        <v>1067075.47</v>
      </c>
      <c r="G6" s="225">
        <f>EEFFun!S5</f>
        <v>1371077.22</v>
      </c>
      <c r="H6" s="225">
        <f>EEFFun!T5</f>
        <v>1367417.18</v>
      </c>
      <c r="I6" s="225">
        <f>EEFFun!U5</f>
        <v>639585.39</v>
      </c>
      <c r="J6" s="225">
        <f>EEFFun!V5</f>
        <v>1015149.9</v>
      </c>
      <c r="K6" s="225">
        <f>EEFFun!W5</f>
        <v>1439298.38</v>
      </c>
      <c r="L6" s="225">
        <f>EEFFun!X5</f>
        <v>1405357.67</v>
      </c>
      <c r="M6" s="225">
        <f>EEFFun!Y5</f>
        <v>1420921.5</v>
      </c>
      <c r="N6" s="225">
        <f>EEFFun!Z5</f>
        <v>3468050.72</v>
      </c>
      <c r="O6" s="225">
        <f>EEFFun!AA5</f>
        <v>1823814.01</v>
      </c>
      <c r="P6" s="225">
        <f>EEFFun!AB5</f>
        <v>2030867.1</v>
      </c>
      <c r="Q6" s="225">
        <f>EEFFun!AC5</f>
        <v>2478250.66</v>
      </c>
      <c r="R6" s="225">
        <f>EEFFun!AD5</f>
        <v>2693317.64</v>
      </c>
      <c r="S6" s="225">
        <f>EEFFun!AE5</f>
        <v>2647740</v>
      </c>
      <c r="T6" s="225">
        <f>EEFFun!AF5</f>
        <v>2607961.33</v>
      </c>
      <c r="U6" s="225">
        <f>EEFFun!AG5</f>
        <v>5634923.0800000001</v>
      </c>
      <c r="V6" s="225">
        <f>EEFFun!AH5</f>
        <v>4254536.54</v>
      </c>
      <c r="W6" s="225">
        <f>EEFFun!AI5</f>
        <v>4099295.95</v>
      </c>
      <c r="X6" s="225">
        <f>EEFFun!AJ5</f>
        <v>4958217.28</v>
      </c>
      <c r="Y6" s="225">
        <f>EEFFun!AK5</f>
        <v>4296254.51</v>
      </c>
      <c r="Z6" s="225">
        <f>EEFFun!AL5</f>
        <v>4298604.66</v>
      </c>
      <c r="AA6" s="225">
        <f>EEFFun!AM5</f>
        <v>3676654.58</v>
      </c>
      <c r="AB6" s="225">
        <f>EEFFun!AN5</f>
        <v>4049699.83</v>
      </c>
      <c r="AC6" s="225">
        <f>EEFFun!AO5</f>
        <v>5062709.0999999996</v>
      </c>
      <c r="AD6" s="225">
        <f>EEFFun!AP5</f>
        <v>5849402.1399999997</v>
      </c>
      <c r="AE6" s="225">
        <f>EEFFun!AQ5</f>
        <v>10155982.23</v>
      </c>
      <c r="AF6" s="225">
        <f>EEFFun!AR5</f>
        <v>4699001.74</v>
      </c>
      <c r="AG6" s="225">
        <f>EEFFun!AS5</f>
        <v>4336396.09</v>
      </c>
      <c r="AH6" s="225">
        <f>EEFFun!AT5</f>
        <v>4550594.75</v>
      </c>
      <c r="AI6" s="225">
        <f>EEFFun!AU5</f>
        <v>5911836.3600000003</v>
      </c>
      <c r="AJ6" s="225">
        <f>EEFFun!AV5</f>
        <v>4866030.07</v>
      </c>
      <c r="AK6" s="225">
        <f>EEFFun!AW5</f>
        <v>3430395.23</v>
      </c>
      <c r="AL6" s="225">
        <f>EEFFun!AX5</f>
        <v>4340169.01</v>
      </c>
      <c r="AM6" s="226">
        <f t="shared" ref="AM6:AS6" si="9">AM7+AM12+AM14+AM17</f>
        <v>4832852.8783030566</v>
      </c>
      <c r="AN6" s="226">
        <f t="shared" si="9"/>
        <v>5768827.0510733137</v>
      </c>
      <c r="AO6" s="226">
        <f t="shared" si="9"/>
        <v>5905297.5510705039</v>
      </c>
      <c r="AP6" s="226">
        <f t="shared" si="9"/>
        <v>5932709.8439351255</v>
      </c>
      <c r="AQ6" s="226">
        <f t="shared" si="9"/>
        <v>6786992.602239673</v>
      </c>
      <c r="AR6" s="226">
        <f t="shared" si="9"/>
        <v>6451153.7762577487</v>
      </c>
      <c r="AS6" s="226">
        <f t="shared" si="9"/>
        <v>6515681.237046483</v>
      </c>
      <c r="AT6" s="226">
        <f t="shared" ref="AT6" si="10">AT7+AT12+AT14+AT17</f>
        <v>6227035.6951325573</v>
      </c>
      <c r="AU6" s="226">
        <f t="shared" ref="AU6" si="11">AU7+AU12+AU14+AU17</f>
        <v>6240232.3597981725</v>
      </c>
      <c r="AV6" s="226">
        <f t="shared" ref="AV6" si="12">AV7+AV12+AV14+AV17</f>
        <v>6575121.4397907564</v>
      </c>
      <c r="AW6" s="226">
        <f t="shared" ref="AW6" si="13">AW7+AW12+AW14+AW17</f>
        <v>7445984.2136263074</v>
      </c>
      <c r="AX6" s="226">
        <f t="shared" ref="AX6" si="14">AX7+AX12+AX14+AX17</f>
        <v>8116267.3890738869</v>
      </c>
      <c r="AY6" s="226">
        <f t="shared" si="6"/>
        <v>3861730.8490738869</v>
      </c>
      <c r="AZ6" s="226">
        <f t="shared" si="7"/>
        <v>6085400.2890738863</v>
      </c>
      <c r="BA6" s="231">
        <f t="shared" ref="BA6:BA45" si="15">P6/$P$5</f>
        <v>5.3214742445559987E-2</v>
      </c>
      <c r="BB6" s="231">
        <f t="shared" ref="BB6:BB45" si="16">AX6/$AX$5</f>
        <v>6.0685830992121402E-2</v>
      </c>
      <c r="BC6" s="228">
        <f t="shared" si="8"/>
        <v>2127739.7451325571</v>
      </c>
    </row>
    <row r="7" spans="1:55" s="229" customFormat="1" outlineLevel="2" collapsed="1" x14ac:dyDescent="0.25">
      <c r="A7" s="222">
        <v>4</v>
      </c>
      <c r="B7" s="223">
        <f>EEFFun!B6</f>
        <v>1101</v>
      </c>
      <c r="C7" s="230" t="str">
        <f>EEFFun!C6</f>
        <v>Caja</v>
      </c>
      <c r="D7" s="225">
        <f>EEFFun!P6</f>
        <v>214026.13</v>
      </c>
      <c r="E7" s="225">
        <f>EEFFun!Q6</f>
        <v>277847.71999999997</v>
      </c>
      <c r="F7" s="225">
        <f>EEFFun!R6</f>
        <v>286876.51</v>
      </c>
      <c r="G7" s="225">
        <f>EEFFun!S6</f>
        <v>204150.86</v>
      </c>
      <c r="H7" s="225">
        <f>EEFFun!T6</f>
        <v>160152.06</v>
      </c>
      <c r="I7" s="225">
        <f>EEFFun!U6</f>
        <v>131044.46</v>
      </c>
      <c r="J7" s="225">
        <f>EEFFun!V6</f>
        <v>176055.54</v>
      </c>
      <c r="K7" s="225">
        <f>EEFFun!W6</f>
        <v>198561.99</v>
      </c>
      <c r="L7" s="225">
        <f>EEFFun!X6</f>
        <v>195871.78</v>
      </c>
      <c r="M7" s="225">
        <f>EEFFun!Y6</f>
        <v>228922.32</v>
      </c>
      <c r="N7" s="225">
        <f>EEFFun!Z6</f>
        <v>283560.03999999998</v>
      </c>
      <c r="O7" s="225">
        <f>EEFFun!AA6</f>
        <v>222619.25</v>
      </c>
      <c r="P7" s="225">
        <f>EEFFun!AB6</f>
        <v>208164.9</v>
      </c>
      <c r="Q7" s="225">
        <f>EEFFun!AC6</f>
        <v>251432.59</v>
      </c>
      <c r="R7" s="225">
        <f>EEFFun!AD6</f>
        <v>240875.19</v>
      </c>
      <c r="S7" s="225">
        <f>EEFFun!AE6</f>
        <v>253033.42</v>
      </c>
      <c r="T7" s="225">
        <f>EEFFun!AF6</f>
        <v>187632.89</v>
      </c>
      <c r="U7" s="225">
        <f>EEFFun!AG6</f>
        <v>220439.2</v>
      </c>
      <c r="V7" s="225">
        <f>EEFFun!AH6</f>
        <v>310851.53999999998</v>
      </c>
      <c r="W7" s="225">
        <f>EEFFun!AI6</f>
        <v>283281.65999999997</v>
      </c>
      <c r="X7" s="225">
        <f>EEFFun!AJ6</f>
        <v>199494.72</v>
      </c>
      <c r="Y7" s="225">
        <f>EEFFun!AK6</f>
        <v>278582.65999999997</v>
      </c>
      <c r="Z7" s="225">
        <f>EEFFun!AL6</f>
        <v>259551.5</v>
      </c>
      <c r="AA7" s="225">
        <f>EEFFun!AM6</f>
        <v>199927.71</v>
      </c>
      <c r="AB7" s="225">
        <f>EEFFun!AN6</f>
        <v>262062.05</v>
      </c>
      <c r="AC7" s="225">
        <f>EEFFun!AO6</f>
        <v>277749.15999999997</v>
      </c>
      <c r="AD7" s="225">
        <f>EEFFun!AP6</f>
        <v>318505.87</v>
      </c>
      <c r="AE7" s="225">
        <f>EEFFun!AQ6</f>
        <v>230466.86</v>
      </c>
      <c r="AF7" s="225">
        <f>EEFFun!AR6</f>
        <v>234403.27</v>
      </c>
      <c r="AG7" s="225">
        <f>EEFFun!AS6</f>
        <v>253245.71</v>
      </c>
      <c r="AH7" s="225">
        <f>EEFFun!AT6</f>
        <v>310211.12</v>
      </c>
      <c r="AI7" s="225">
        <f>EEFFun!AU6</f>
        <v>243391.61</v>
      </c>
      <c r="AJ7" s="225">
        <f>EEFFun!AV6</f>
        <v>197845.36</v>
      </c>
      <c r="AK7" s="225">
        <f>EEFFun!AW6</f>
        <v>112996.15</v>
      </c>
      <c r="AL7" s="225">
        <f>EEFFun!AX6</f>
        <v>163888.03</v>
      </c>
      <c r="AM7" s="226">
        <f t="shared" ref="AM7:AS7" si="17">AM8+AM11</f>
        <v>245580.42749999999</v>
      </c>
      <c r="AN7" s="226">
        <f t="shared" si="17"/>
        <v>240150.73215909096</v>
      </c>
      <c r="AO7" s="226">
        <f t="shared" si="17"/>
        <v>240117.80225723147</v>
      </c>
      <c r="AP7" s="226">
        <f t="shared" si="17"/>
        <v>239530.72872346922</v>
      </c>
      <c r="AQ7" s="226">
        <f t="shared" si="17"/>
        <v>241889.72139271779</v>
      </c>
      <c r="AR7" s="226">
        <f t="shared" si="17"/>
        <v>242864.74509238676</v>
      </c>
      <c r="AS7" s="226">
        <f t="shared" si="17"/>
        <v>239774.43623294981</v>
      </c>
      <c r="AT7" s="226">
        <f t="shared" ref="AT7" si="18">AT8+AT11</f>
        <v>237796.83515262933</v>
      </c>
      <c r="AU7" s="226">
        <f t="shared" ref="AU7" si="19">AU8+AU11</f>
        <v>239587.84038683976</v>
      </c>
      <c r="AV7" s="226">
        <f t="shared" ref="AV7" si="20">AV8+AV11</f>
        <v>237815.3485862416</v>
      </c>
      <c r="AW7" s="226">
        <f t="shared" ref="AW7" si="21">AW8+AW11</f>
        <v>236827.34170379804</v>
      </c>
      <c r="AX7" s="226">
        <f t="shared" ref="AX7" si="22">AX8+AX11</f>
        <v>238504.59769033428</v>
      </c>
      <c r="AY7" s="226">
        <f t="shared" si="6"/>
        <v>-72346.942309665697</v>
      </c>
      <c r="AZ7" s="226">
        <f t="shared" si="7"/>
        <v>30339.697690334287</v>
      </c>
      <c r="BA7" s="232">
        <f t="shared" si="15"/>
        <v>5.4545378866523312E-3</v>
      </c>
      <c r="BB7" s="232">
        <f t="shared" si="16"/>
        <v>1.7833135618183576E-3</v>
      </c>
      <c r="BC7" s="228">
        <f t="shared" si="8"/>
        <v>-45484.824847370648</v>
      </c>
    </row>
    <row r="8" spans="1:55" outlineLevel="2" collapsed="1" x14ac:dyDescent="0.25">
      <c r="A8" s="222">
        <v>6</v>
      </c>
      <c r="B8" s="233">
        <f>EEFFun!B7</f>
        <v>110105</v>
      </c>
      <c r="C8" s="234" t="str">
        <f>EEFFun!C7</f>
        <v>Efectivo</v>
      </c>
      <c r="D8" s="235">
        <f>EEFFun!P7</f>
        <v>213326.13</v>
      </c>
      <c r="E8" s="235">
        <f>EEFFun!Q7</f>
        <v>277147.71999999997</v>
      </c>
      <c r="F8" s="235">
        <f>EEFFun!R7</f>
        <v>286476.51</v>
      </c>
      <c r="G8" s="235">
        <f>EEFFun!S7</f>
        <v>203550.86</v>
      </c>
      <c r="H8" s="235">
        <f>EEFFun!T7</f>
        <v>159552.06</v>
      </c>
      <c r="I8" s="235">
        <f>EEFFun!U7</f>
        <v>130444.46</v>
      </c>
      <c r="J8" s="235">
        <f>EEFFun!V7</f>
        <v>175455.54</v>
      </c>
      <c r="K8" s="235">
        <f>EEFFun!W7</f>
        <v>197961.99</v>
      </c>
      <c r="L8" s="235">
        <f>EEFFun!X7</f>
        <v>195271.78</v>
      </c>
      <c r="M8" s="235">
        <f>EEFFun!Y7</f>
        <v>228322.32</v>
      </c>
      <c r="N8" s="235">
        <f>EEFFun!Z7</f>
        <v>282960.03999999998</v>
      </c>
      <c r="O8" s="235">
        <f>EEFFun!AA7</f>
        <v>222019.25</v>
      </c>
      <c r="P8" s="235">
        <f>EEFFun!AB7</f>
        <v>207564.9</v>
      </c>
      <c r="Q8" s="235">
        <f>EEFFun!AC7</f>
        <v>250832.59</v>
      </c>
      <c r="R8" s="235">
        <f>EEFFun!AD7</f>
        <v>240275.19</v>
      </c>
      <c r="S8" s="235">
        <f>EEFFun!AE7</f>
        <v>252433.42</v>
      </c>
      <c r="T8" s="235">
        <f>EEFFun!AF7</f>
        <v>187032.89</v>
      </c>
      <c r="U8" s="235">
        <f>EEFFun!AG7</f>
        <v>219839.2</v>
      </c>
      <c r="V8" s="235">
        <f>EEFFun!AH7</f>
        <v>310251.53999999998</v>
      </c>
      <c r="W8" s="235">
        <f>EEFFun!AI7</f>
        <v>282681.65999999997</v>
      </c>
      <c r="X8" s="235">
        <f>EEFFun!AJ7</f>
        <v>198894.72</v>
      </c>
      <c r="Y8" s="235">
        <f>EEFFun!AK7</f>
        <v>277932.65999999997</v>
      </c>
      <c r="Z8" s="235">
        <f>EEFFun!AL7</f>
        <v>258901.5</v>
      </c>
      <c r="AA8" s="235">
        <f>EEFFun!AM7</f>
        <v>199277.71</v>
      </c>
      <c r="AB8" s="235">
        <f>EEFFun!AN7</f>
        <v>261412.05</v>
      </c>
      <c r="AC8" s="235">
        <f>EEFFun!AO7</f>
        <v>277099.15999999997</v>
      </c>
      <c r="AD8" s="235">
        <f>EEFFun!AP7</f>
        <v>317855.87</v>
      </c>
      <c r="AE8" s="235">
        <f>EEFFun!AQ7</f>
        <v>229816.86</v>
      </c>
      <c r="AF8" s="235">
        <f>EEFFun!AR7</f>
        <v>233753.27</v>
      </c>
      <c r="AG8" s="235">
        <f>EEFFun!AS7</f>
        <v>252595.71</v>
      </c>
      <c r="AH8" s="235">
        <f>EEFFun!AT7</f>
        <v>309561.12</v>
      </c>
      <c r="AI8" s="235">
        <f>EEFFun!AU7</f>
        <v>242741.61</v>
      </c>
      <c r="AJ8" s="235">
        <f>EEFFun!AV7</f>
        <v>197195.36</v>
      </c>
      <c r="AK8" s="235">
        <f>EEFFun!AW7</f>
        <v>112346.15</v>
      </c>
      <c r="AL8" s="235">
        <f>EEFFun!AX7</f>
        <v>163238.03</v>
      </c>
      <c r="AM8" s="236">
        <f t="shared" ref="AM8:AS8" si="23">SUM(AM9:AM10)</f>
        <v>244980.42749999999</v>
      </c>
      <c r="AN8" s="236">
        <f t="shared" si="23"/>
        <v>239550.73215909096</v>
      </c>
      <c r="AO8" s="236">
        <f t="shared" si="23"/>
        <v>239517.80225723147</v>
      </c>
      <c r="AP8" s="236">
        <f t="shared" si="23"/>
        <v>238930.72872346922</v>
      </c>
      <c r="AQ8" s="236">
        <f t="shared" si="23"/>
        <v>241289.72139271779</v>
      </c>
      <c r="AR8" s="236">
        <f t="shared" si="23"/>
        <v>242264.74509238676</v>
      </c>
      <c r="AS8" s="236">
        <f t="shared" si="23"/>
        <v>239174.43623294981</v>
      </c>
      <c r="AT8" s="236">
        <f t="shared" ref="AT8" si="24">SUM(AT9:AT10)</f>
        <v>237196.83515262933</v>
      </c>
      <c r="AU8" s="236">
        <f t="shared" ref="AU8" si="25">SUM(AU9:AU10)</f>
        <v>238937.84038683976</v>
      </c>
      <c r="AV8" s="236">
        <f t="shared" ref="AV8" si="26">SUM(AV9:AV10)</f>
        <v>237165.3485862416</v>
      </c>
      <c r="AW8" s="236">
        <f t="shared" ref="AW8" si="27">SUM(AW9:AW10)</f>
        <v>236177.34170379804</v>
      </c>
      <c r="AX8" s="236">
        <f t="shared" ref="AX8" si="28">SUM(AX9:AX10)</f>
        <v>237854.59769033428</v>
      </c>
      <c r="AY8" s="236">
        <f t="shared" si="6"/>
        <v>-72396.942309665697</v>
      </c>
      <c r="AZ8" s="236">
        <f t="shared" si="7"/>
        <v>30289.697690334287</v>
      </c>
      <c r="BA8" s="232">
        <f t="shared" si="15"/>
        <v>5.4388161067941932E-3</v>
      </c>
      <c r="BB8" s="232">
        <f t="shared" si="16"/>
        <v>1.7784534717974225E-3</v>
      </c>
      <c r="BC8" s="228">
        <f t="shared" si="8"/>
        <v>-45484.824847370648</v>
      </c>
    </row>
    <row r="9" spans="1:55" outlineLevel="2" collapsed="1" x14ac:dyDescent="0.25">
      <c r="A9" s="222">
        <v>8</v>
      </c>
      <c r="B9" s="233">
        <f>EEFFun!B8</f>
        <v>11010505</v>
      </c>
      <c r="C9" s="234" t="str">
        <f>EEFFun!C8</f>
        <v>EFECTIVO CAJEROS</v>
      </c>
      <c r="D9" s="235">
        <f>EEFFun!P8</f>
        <v>213326.13</v>
      </c>
      <c r="E9" s="235">
        <f>EEFFun!Q8</f>
        <v>277147.71999999997</v>
      </c>
      <c r="F9" s="235">
        <f>EEFFun!R8</f>
        <v>286476.51</v>
      </c>
      <c r="G9" s="235">
        <f>EEFFun!S8</f>
        <v>203550.86</v>
      </c>
      <c r="H9" s="235">
        <f>EEFFun!T8</f>
        <v>159552.06</v>
      </c>
      <c r="I9" s="235">
        <f>EEFFun!U8</f>
        <v>130444.46</v>
      </c>
      <c r="J9" s="235">
        <f>EEFFun!V8</f>
        <v>175455.54</v>
      </c>
      <c r="K9" s="235">
        <f>EEFFun!W8</f>
        <v>197961.99</v>
      </c>
      <c r="L9" s="235">
        <f>EEFFun!X8</f>
        <v>195271.78</v>
      </c>
      <c r="M9" s="235">
        <f>EEFFun!Y8</f>
        <v>228322.32</v>
      </c>
      <c r="N9" s="235">
        <f>EEFFun!Z8</f>
        <v>282960.03999999998</v>
      </c>
      <c r="O9" s="235">
        <f>EEFFun!AA8</f>
        <v>222019.25</v>
      </c>
      <c r="P9" s="235">
        <f>EEFFun!AB8</f>
        <v>207564.9</v>
      </c>
      <c r="Q9" s="235">
        <f>EEFFun!AC8</f>
        <v>250832.59</v>
      </c>
      <c r="R9" s="235">
        <f>EEFFun!AD8</f>
        <v>240275.19</v>
      </c>
      <c r="S9" s="235">
        <f>EEFFun!AE8</f>
        <v>252433.42</v>
      </c>
      <c r="T9" s="235">
        <f>EEFFun!AF8</f>
        <v>187032.89</v>
      </c>
      <c r="U9" s="235">
        <f>EEFFun!AG8</f>
        <v>219839.2</v>
      </c>
      <c r="V9" s="235">
        <f>EEFFun!AH8</f>
        <v>310251.53999999998</v>
      </c>
      <c r="W9" s="235">
        <f>EEFFun!AI8</f>
        <v>282681.65999999997</v>
      </c>
      <c r="X9" s="235">
        <f>EEFFun!AJ8</f>
        <v>198894.72</v>
      </c>
      <c r="Y9" s="235">
        <f>EEFFun!AK8</f>
        <v>277932.65999999997</v>
      </c>
      <c r="Z9" s="235">
        <f>EEFFun!AL8</f>
        <v>258901.5</v>
      </c>
      <c r="AA9" s="235">
        <f>EEFFun!AM8</f>
        <v>199277.71</v>
      </c>
      <c r="AB9" s="235">
        <f>EEFFun!AN8</f>
        <v>261412.05</v>
      </c>
      <c r="AC9" s="235">
        <f>EEFFun!AO8</f>
        <v>277099.15999999997</v>
      </c>
      <c r="AD9" s="235">
        <f>EEFFun!AP8</f>
        <v>317855.87</v>
      </c>
      <c r="AE9" s="235">
        <f>EEFFun!AQ8</f>
        <v>229816.86</v>
      </c>
      <c r="AF9" s="235">
        <f>EEFFun!AR8</f>
        <v>233753.27</v>
      </c>
      <c r="AG9" s="235">
        <f>EEFFun!AS8</f>
        <v>252595.71</v>
      </c>
      <c r="AH9" s="235">
        <f>EEFFun!AT8</f>
        <v>309561.12</v>
      </c>
      <c r="AI9" s="235">
        <f>EEFFun!AU8</f>
        <v>242741.61</v>
      </c>
      <c r="AJ9" s="235">
        <f>EEFFun!AV8</f>
        <v>197195.36</v>
      </c>
      <c r="AK9" s="235">
        <f>EEFFun!AW8</f>
        <v>112346.15</v>
      </c>
      <c r="AL9" s="235">
        <f>EEFFun!AX8</f>
        <v>163238.03</v>
      </c>
      <c r="AM9" s="236">
        <f>AVERAGE(Q9:AB9)</f>
        <v>244980.42749999999</v>
      </c>
      <c r="AN9" s="236">
        <f t="shared" ref="AN9:AX9" si="29">AVERAGE(R9:AM9)</f>
        <v>239550.73215909096</v>
      </c>
      <c r="AO9" s="236">
        <f t="shared" si="29"/>
        <v>239517.80225723147</v>
      </c>
      <c r="AP9" s="236">
        <f t="shared" si="29"/>
        <v>238930.72872346922</v>
      </c>
      <c r="AQ9" s="236">
        <f t="shared" si="29"/>
        <v>241289.72139271779</v>
      </c>
      <c r="AR9" s="236">
        <f t="shared" si="29"/>
        <v>242264.74509238676</v>
      </c>
      <c r="AS9" s="236">
        <f t="shared" si="29"/>
        <v>239174.43623294981</v>
      </c>
      <c r="AT9" s="236">
        <f t="shared" si="29"/>
        <v>237196.83515262933</v>
      </c>
      <c r="AU9" s="236">
        <f t="shared" si="29"/>
        <v>238937.84038683976</v>
      </c>
      <c r="AV9" s="236">
        <f t="shared" si="29"/>
        <v>237165.3485862416</v>
      </c>
      <c r="AW9" s="236">
        <f t="shared" si="29"/>
        <v>236177.34170379804</v>
      </c>
      <c r="AX9" s="236">
        <f t="shared" si="29"/>
        <v>237854.59769033428</v>
      </c>
      <c r="AY9" s="236">
        <f t="shared" si="6"/>
        <v>-72396.942309665697</v>
      </c>
      <c r="AZ9" s="236">
        <f t="shared" si="7"/>
        <v>30289.697690334287</v>
      </c>
      <c r="BA9" s="232">
        <f t="shared" si="15"/>
        <v>5.4388161067941932E-3</v>
      </c>
      <c r="BB9" s="232">
        <f t="shared" si="16"/>
        <v>1.7784534717974225E-3</v>
      </c>
      <c r="BC9" s="228">
        <f t="shared" si="8"/>
        <v>-45484.824847370648</v>
      </c>
    </row>
    <row r="10" spans="1:55" outlineLevel="2" collapsed="1" x14ac:dyDescent="0.25">
      <c r="A10" s="222">
        <v>8</v>
      </c>
      <c r="B10" s="233">
        <f>EEFFun!B9</f>
        <v>11010510</v>
      </c>
      <c r="C10" s="234" t="str">
        <f>EEFFun!C9</f>
        <v>EFECTIVO SERVIPAGOS</v>
      </c>
      <c r="D10" s="235">
        <f>EEFFun!P9</f>
        <v>0</v>
      </c>
      <c r="E10" s="235">
        <f>EEFFun!Q9</f>
        <v>0</v>
      </c>
      <c r="F10" s="235">
        <f>EEFFun!R9</f>
        <v>0</v>
      </c>
      <c r="G10" s="235">
        <f>EEFFun!S9</f>
        <v>0</v>
      </c>
      <c r="H10" s="235">
        <f>EEFFun!T9</f>
        <v>0</v>
      </c>
      <c r="I10" s="235">
        <f>EEFFun!U9</f>
        <v>0</v>
      </c>
      <c r="J10" s="235">
        <f>EEFFun!V9</f>
        <v>0</v>
      </c>
      <c r="K10" s="235">
        <f>EEFFun!W9</f>
        <v>0</v>
      </c>
      <c r="L10" s="235">
        <f>EEFFun!X9</f>
        <v>0</v>
      </c>
      <c r="M10" s="235">
        <f>EEFFun!Y9</f>
        <v>0</v>
      </c>
      <c r="N10" s="235">
        <f>EEFFun!Z9</f>
        <v>0</v>
      </c>
      <c r="O10" s="235">
        <f>EEFFun!AA9</f>
        <v>0</v>
      </c>
      <c r="P10" s="235">
        <f>EEFFun!AB9</f>
        <v>0</v>
      </c>
      <c r="Q10" s="235">
        <f>EEFFun!AC9</f>
        <v>0</v>
      </c>
      <c r="R10" s="235">
        <f>EEFFun!AD9</f>
        <v>0</v>
      </c>
      <c r="S10" s="235">
        <f>EEFFun!AE9</f>
        <v>0</v>
      </c>
      <c r="T10" s="235">
        <f>EEFFun!AF9</f>
        <v>0</v>
      </c>
      <c r="U10" s="235">
        <f>EEFFun!AG9</f>
        <v>0</v>
      </c>
      <c r="V10" s="235">
        <f>EEFFun!AH9</f>
        <v>0</v>
      </c>
      <c r="W10" s="235">
        <f>EEFFun!AI9</f>
        <v>0</v>
      </c>
      <c r="X10" s="235">
        <f>EEFFun!AJ9</f>
        <v>0</v>
      </c>
      <c r="Y10" s="235">
        <f>EEFFun!AK9</f>
        <v>0</v>
      </c>
      <c r="Z10" s="235">
        <f>EEFFun!AL9</f>
        <v>0</v>
      </c>
      <c r="AA10" s="235">
        <f>EEFFun!AM9</f>
        <v>0</v>
      </c>
      <c r="AB10" s="235">
        <f>EEFFun!AN9</f>
        <v>0</v>
      </c>
      <c r="AC10" s="235">
        <f>EEFFun!AO9</f>
        <v>0</v>
      </c>
      <c r="AD10" s="235">
        <f>EEFFun!AP9</f>
        <v>0</v>
      </c>
      <c r="AE10" s="235">
        <f>EEFFun!AQ9</f>
        <v>0</v>
      </c>
      <c r="AF10" s="235">
        <f>EEFFun!AR9</f>
        <v>0</v>
      </c>
      <c r="AG10" s="235">
        <f>EEFFun!AS9</f>
        <v>0</v>
      </c>
      <c r="AH10" s="235">
        <f>EEFFun!AT9</f>
        <v>0</v>
      </c>
      <c r="AI10" s="235">
        <f>EEFFun!AU9</f>
        <v>0</v>
      </c>
      <c r="AJ10" s="235">
        <f>EEFFun!AV9</f>
        <v>0</v>
      </c>
      <c r="AK10" s="235">
        <f>EEFFun!AW9</f>
        <v>0</v>
      </c>
      <c r="AL10" s="235">
        <f>EEFFun!AX9</f>
        <v>0</v>
      </c>
      <c r="AM10" s="236">
        <f t="shared" ref="AM10:AX11" si="30">Q10</f>
        <v>0</v>
      </c>
      <c r="AN10" s="236">
        <f t="shared" si="30"/>
        <v>0</v>
      </c>
      <c r="AO10" s="236">
        <f t="shared" si="30"/>
        <v>0</v>
      </c>
      <c r="AP10" s="236">
        <f t="shared" si="30"/>
        <v>0</v>
      </c>
      <c r="AQ10" s="236">
        <f t="shared" si="30"/>
        <v>0</v>
      </c>
      <c r="AR10" s="236">
        <f t="shared" si="30"/>
        <v>0</v>
      </c>
      <c r="AS10" s="236">
        <f t="shared" si="30"/>
        <v>0</v>
      </c>
      <c r="AT10" s="236">
        <f t="shared" si="30"/>
        <v>0</v>
      </c>
      <c r="AU10" s="236">
        <f t="shared" si="30"/>
        <v>0</v>
      </c>
      <c r="AV10" s="236">
        <f t="shared" si="30"/>
        <v>0</v>
      </c>
      <c r="AW10" s="236">
        <f t="shared" si="30"/>
        <v>0</v>
      </c>
      <c r="AX10" s="236">
        <f t="shared" si="30"/>
        <v>0</v>
      </c>
      <c r="AY10" s="236">
        <f t="shared" si="6"/>
        <v>0</v>
      </c>
      <c r="AZ10" s="236">
        <f t="shared" si="7"/>
        <v>0</v>
      </c>
      <c r="BA10" s="232">
        <f t="shared" si="15"/>
        <v>0</v>
      </c>
      <c r="BB10" s="232">
        <f t="shared" si="16"/>
        <v>0</v>
      </c>
      <c r="BC10" s="228">
        <f t="shared" si="8"/>
        <v>0</v>
      </c>
    </row>
    <row r="11" spans="1:55" outlineLevel="2" collapsed="1" x14ac:dyDescent="0.25">
      <c r="A11" s="222">
        <v>6</v>
      </c>
      <c r="B11" s="233">
        <f>EEFFun!B10</f>
        <v>110110</v>
      </c>
      <c r="C11" s="234" t="str">
        <f>EEFFun!C10</f>
        <v>Caja chica</v>
      </c>
      <c r="D11" s="235">
        <f>EEFFun!P10</f>
        <v>700</v>
      </c>
      <c r="E11" s="235">
        <f>EEFFun!Q10</f>
        <v>700</v>
      </c>
      <c r="F11" s="235">
        <f>EEFFun!R10</f>
        <v>400</v>
      </c>
      <c r="G11" s="235">
        <f>EEFFun!S10</f>
        <v>600</v>
      </c>
      <c r="H11" s="235">
        <f>EEFFun!T10</f>
        <v>600</v>
      </c>
      <c r="I11" s="235">
        <f>EEFFun!U10</f>
        <v>600</v>
      </c>
      <c r="J11" s="235">
        <f>EEFFun!V10</f>
        <v>600</v>
      </c>
      <c r="K11" s="235">
        <f>EEFFun!W10</f>
        <v>600</v>
      </c>
      <c r="L11" s="235">
        <f>EEFFun!X10</f>
        <v>600</v>
      </c>
      <c r="M11" s="235">
        <f>EEFFun!Y10</f>
        <v>600</v>
      </c>
      <c r="N11" s="235">
        <f>EEFFun!Z10</f>
        <v>600</v>
      </c>
      <c r="O11" s="235">
        <f>EEFFun!AA10</f>
        <v>600</v>
      </c>
      <c r="P11" s="235">
        <f>EEFFun!AB10</f>
        <v>600</v>
      </c>
      <c r="Q11" s="235">
        <f>EEFFun!AC10</f>
        <v>600</v>
      </c>
      <c r="R11" s="235">
        <f>EEFFun!AD10</f>
        <v>600</v>
      </c>
      <c r="S11" s="235">
        <f>EEFFun!AE10</f>
        <v>600</v>
      </c>
      <c r="T11" s="235">
        <f>EEFFun!AF10</f>
        <v>600</v>
      </c>
      <c r="U11" s="235">
        <f>EEFFun!AG10</f>
        <v>600</v>
      </c>
      <c r="V11" s="235">
        <f>EEFFun!AH10</f>
        <v>600</v>
      </c>
      <c r="W11" s="235">
        <f>EEFFun!AI10</f>
        <v>600</v>
      </c>
      <c r="X11" s="235">
        <f>EEFFun!AJ10</f>
        <v>600</v>
      </c>
      <c r="Y11" s="235">
        <f>EEFFun!AK10</f>
        <v>650</v>
      </c>
      <c r="Z11" s="235">
        <f>EEFFun!AL10</f>
        <v>650</v>
      </c>
      <c r="AA11" s="235">
        <f>EEFFun!AM10</f>
        <v>650</v>
      </c>
      <c r="AB11" s="235">
        <f>EEFFun!AN10</f>
        <v>650</v>
      </c>
      <c r="AC11" s="235">
        <f>EEFFun!AO10</f>
        <v>650</v>
      </c>
      <c r="AD11" s="235">
        <f>EEFFun!AP10</f>
        <v>650</v>
      </c>
      <c r="AE11" s="235">
        <f>EEFFun!AQ10</f>
        <v>650</v>
      </c>
      <c r="AF11" s="235">
        <f>EEFFun!AR10</f>
        <v>650</v>
      </c>
      <c r="AG11" s="235">
        <f>EEFFun!AS10</f>
        <v>650</v>
      </c>
      <c r="AH11" s="235">
        <f>EEFFun!AT10</f>
        <v>650</v>
      </c>
      <c r="AI11" s="235">
        <f>EEFFun!AU10</f>
        <v>650</v>
      </c>
      <c r="AJ11" s="235">
        <f>EEFFun!AV10</f>
        <v>650</v>
      </c>
      <c r="AK11" s="235">
        <f>EEFFun!AW10</f>
        <v>650</v>
      </c>
      <c r="AL11" s="235">
        <f>EEFFun!AX10</f>
        <v>650</v>
      </c>
      <c r="AM11" s="236">
        <f t="shared" si="30"/>
        <v>600</v>
      </c>
      <c r="AN11" s="236">
        <f t="shared" si="30"/>
        <v>600</v>
      </c>
      <c r="AO11" s="236">
        <f t="shared" si="30"/>
        <v>600</v>
      </c>
      <c r="AP11" s="236">
        <f t="shared" si="30"/>
        <v>600</v>
      </c>
      <c r="AQ11" s="236">
        <f t="shared" si="30"/>
        <v>600</v>
      </c>
      <c r="AR11" s="236">
        <f t="shared" si="30"/>
        <v>600</v>
      </c>
      <c r="AS11" s="236">
        <f t="shared" si="30"/>
        <v>600</v>
      </c>
      <c r="AT11" s="236">
        <f t="shared" si="30"/>
        <v>600</v>
      </c>
      <c r="AU11" s="236">
        <f t="shared" si="30"/>
        <v>650</v>
      </c>
      <c r="AV11" s="236">
        <f t="shared" si="30"/>
        <v>650</v>
      </c>
      <c r="AW11" s="236">
        <f t="shared" si="30"/>
        <v>650</v>
      </c>
      <c r="AX11" s="236">
        <f t="shared" si="30"/>
        <v>650</v>
      </c>
      <c r="AY11" s="236">
        <f t="shared" si="6"/>
        <v>50</v>
      </c>
      <c r="AZ11" s="236">
        <f t="shared" si="7"/>
        <v>50</v>
      </c>
      <c r="BA11" s="232">
        <f t="shared" si="15"/>
        <v>1.5721779858138422E-5</v>
      </c>
      <c r="BB11" s="232">
        <f t="shared" si="16"/>
        <v>4.8600900209350914E-6</v>
      </c>
      <c r="BC11" s="228">
        <f t="shared" si="8"/>
        <v>0</v>
      </c>
    </row>
    <row r="12" spans="1:55" s="229" customFormat="1" outlineLevel="2" collapsed="1" x14ac:dyDescent="0.25">
      <c r="A12" s="222">
        <v>4</v>
      </c>
      <c r="B12" s="223">
        <f>EEFFun!B11</f>
        <v>1102</v>
      </c>
      <c r="C12" s="230" t="str">
        <f>EEFFun!C11</f>
        <v>Depósitos para encaje</v>
      </c>
      <c r="D12" s="225">
        <f>EEFFun!P11</f>
        <v>1458459.15</v>
      </c>
      <c r="E12" s="225">
        <f>EEFFun!Q11</f>
        <v>1655874.5600000001</v>
      </c>
      <c r="F12" s="225">
        <f>EEFFun!R11</f>
        <v>696024.36</v>
      </c>
      <c r="G12" s="225">
        <f>EEFFun!S11</f>
        <v>729617.53</v>
      </c>
      <c r="H12" s="225">
        <f>EEFFun!T11</f>
        <v>914088.16</v>
      </c>
      <c r="I12" s="225">
        <f>EEFFun!U11</f>
        <v>395720.74</v>
      </c>
      <c r="J12" s="225">
        <f>EEFFun!V11</f>
        <v>661246.05000000005</v>
      </c>
      <c r="K12" s="225">
        <f>EEFFun!W11</f>
        <v>905886.15</v>
      </c>
      <c r="L12" s="225">
        <f>EEFFun!X11</f>
        <v>949534.49</v>
      </c>
      <c r="M12" s="225">
        <f>EEFFun!Y11</f>
        <v>1009525.16</v>
      </c>
      <c r="N12" s="225">
        <f>EEFFun!Z11</f>
        <v>2385698.0499999998</v>
      </c>
      <c r="O12" s="225">
        <f>EEFFun!AA11</f>
        <v>1334167.71</v>
      </c>
      <c r="P12" s="225">
        <f>EEFFun!AB11</f>
        <v>1405746.76</v>
      </c>
      <c r="Q12" s="225">
        <f>EEFFun!AC11</f>
        <v>1859123.12</v>
      </c>
      <c r="R12" s="225">
        <f>EEFFun!AD11</f>
        <v>2003168.08</v>
      </c>
      <c r="S12" s="225">
        <f>EEFFun!AE11</f>
        <v>2045474.5</v>
      </c>
      <c r="T12" s="225">
        <f>EEFFun!AF11</f>
        <v>1976303.92</v>
      </c>
      <c r="U12" s="225">
        <f>EEFFun!AG11</f>
        <v>3928148.23</v>
      </c>
      <c r="V12" s="225">
        <f>EEFFun!AH11</f>
        <v>3143750.98</v>
      </c>
      <c r="W12" s="225">
        <f>EEFFun!AI11</f>
        <v>2806503.99</v>
      </c>
      <c r="X12" s="225">
        <f>EEFFun!AJ11</f>
        <v>2163759.4300000002</v>
      </c>
      <c r="Y12" s="225">
        <f>EEFFun!AK11</f>
        <v>2242781.5299999998</v>
      </c>
      <c r="Z12" s="225">
        <f>EEFFun!AL11</f>
        <v>1709911.09</v>
      </c>
      <c r="AA12" s="225">
        <f>EEFFun!AM11</f>
        <v>1638916.85</v>
      </c>
      <c r="AB12" s="225">
        <f>EEFFun!AN11</f>
        <v>2070537.38</v>
      </c>
      <c r="AC12" s="225">
        <f>EEFFun!AO11</f>
        <v>2642596.5</v>
      </c>
      <c r="AD12" s="225">
        <f>EEFFun!AP11</f>
        <v>3166958.69</v>
      </c>
      <c r="AE12" s="225">
        <f>EEFFun!AQ11</f>
        <v>6287760.6600000001</v>
      </c>
      <c r="AF12" s="225">
        <f>EEFFun!AR11</f>
        <v>2911875.46</v>
      </c>
      <c r="AG12" s="225">
        <f>EEFFun!AS11</f>
        <v>2377694.23</v>
      </c>
      <c r="AH12" s="225">
        <f>EEFFun!AT11</f>
        <v>2062558.22</v>
      </c>
      <c r="AI12" s="225">
        <f>EEFFun!AU11</f>
        <v>2061537.22</v>
      </c>
      <c r="AJ12" s="225">
        <f>EEFFun!AV11</f>
        <v>1873146.67</v>
      </c>
      <c r="AK12" s="225">
        <f>EEFFun!AW11</f>
        <v>2308812.4700000002</v>
      </c>
      <c r="AL12" s="225">
        <f>EEFFun!AX11</f>
        <v>1771523.05</v>
      </c>
      <c r="AM12" s="226">
        <f t="shared" ref="AM12:AS12" si="31">AM13</f>
        <v>2311231.9416363901</v>
      </c>
      <c r="AN12" s="226">
        <f t="shared" si="31"/>
        <v>3205437.1751339198</v>
      </c>
      <c r="AO12" s="226">
        <f t="shared" si="31"/>
        <v>3341132.0268884101</v>
      </c>
      <c r="AP12" s="226">
        <f t="shared" si="31"/>
        <v>3501797.4460202102</v>
      </c>
      <c r="AQ12" s="226">
        <f t="shared" si="31"/>
        <v>4287844.4163861703</v>
      </c>
      <c r="AR12" s="226">
        <f t="shared" si="31"/>
        <v>3888320.3730287501</v>
      </c>
      <c r="AS12" s="226">
        <f t="shared" si="31"/>
        <v>3929571.28662307</v>
      </c>
      <c r="AT12" s="226">
        <f t="shared" ref="AT12:AX12" si="32">AT13</f>
        <v>3769054.5669374899</v>
      </c>
      <c r="AU12" s="226">
        <f t="shared" si="32"/>
        <v>3827145.8552484098</v>
      </c>
      <c r="AV12" s="226">
        <f t="shared" si="32"/>
        <v>4040969.4282264998</v>
      </c>
      <c r="AW12" s="226">
        <f t="shared" si="32"/>
        <v>4924504.9410479497</v>
      </c>
      <c r="AX12" s="226">
        <f t="shared" si="32"/>
        <v>5593793.79552285</v>
      </c>
      <c r="AY12" s="226">
        <f t="shared" si="6"/>
        <v>2450042.81552285</v>
      </c>
      <c r="AZ12" s="226">
        <f t="shared" si="7"/>
        <v>4188047.0355228502</v>
      </c>
      <c r="BA12" s="232">
        <f t="shared" si="15"/>
        <v>3.6834735161685582E-2</v>
      </c>
      <c r="BB12" s="232">
        <f t="shared" si="16"/>
        <v>4.1825140622752666E-2</v>
      </c>
      <c r="BC12" s="228">
        <f t="shared" si="8"/>
        <v>962550.57693748968</v>
      </c>
    </row>
    <row r="13" spans="1:55" outlineLevel="2" collapsed="1" x14ac:dyDescent="0.25">
      <c r="A13" s="222">
        <v>6</v>
      </c>
      <c r="B13" s="233">
        <f>EEFFun!B12</f>
        <v>110205</v>
      </c>
      <c r="C13" s="234" t="str">
        <f>EEFFun!C12</f>
        <v>Banco Central del Ecuador</v>
      </c>
      <c r="D13" s="235">
        <f>EEFFun!P12</f>
        <v>1458459.15</v>
      </c>
      <c r="E13" s="235">
        <f>EEFFun!Q12</f>
        <v>1655874.5600000001</v>
      </c>
      <c r="F13" s="235">
        <f>EEFFun!R12</f>
        <v>696024.36</v>
      </c>
      <c r="G13" s="235">
        <f>EEFFun!S12</f>
        <v>729617.53</v>
      </c>
      <c r="H13" s="235">
        <f>EEFFun!T12</f>
        <v>914088.16</v>
      </c>
      <c r="I13" s="235">
        <f>EEFFun!U12</f>
        <v>395720.74</v>
      </c>
      <c r="J13" s="235">
        <f>EEFFun!V12</f>
        <v>661246.05000000005</v>
      </c>
      <c r="K13" s="235">
        <f>EEFFun!W12</f>
        <v>905886.15</v>
      </c>
      <c r="L13" s="235">
        <f>EEFFun!X12</f>
        <v>949534.49</v>
      </c>
      <c r="M13" s="235">
        <f>EEFFun!Y12</f>
        <v>1009525.16</v>
      </c>
      <c r="N13" s="235">
        <f>EEFFun!Z12</f>
        <v>2385698.0499999998</v>
      </c>
      <c r="O13" s="235">
        <f>EEFFun!AA12</f>
        <v>1334167.71</v>
      </c>
      <c r="P13" s="235">
        <f>EEFFun!AB12</f>
        <v>1405746.76</v>
      </c>
      <c r="Q13" s="235">
        <f>EEFFun!AC12</f>
        <v>1859123.12</v>
      </c>
      <c r="R13" s="235">
        <f>EEFFun!AD12</f>
        <v>2003168.08</v>
      </c>
      <c r="S13" s="235">
        <f>EEFFun!AE12</f>
        <v>2045474.5</v>
      </c>
      <c r="T13" s="235">
        <f>EEFFun!AF12</f>
        <v>1976303.92</v>
      </c>
      <c r="U13" s="235">
        <f>EEFFun!AG12</f>
        <v>3928148.23</v>
      </c>
      <c r="V13" s="235">
        <f>EEFFun!AH12</f>
        <v>3143750.98</v>
      </c>
      <c r="W13" s="235">
        <f>EEFFun!AI12</f>
        <v>2806503.99</v>
      </c>
      <c r="X13" s="235">
        <f>EEFFun!AJ12</f>
        <v>2163759.4300000002</v>
      </c>
      <c r="Y13" s="235">
        <f>EEFFun!AK12</f>
        <v>2242781.5299999998</v>
      </c>
      <c r="Z13" s="235">
        <f>EEFFun!AL12</f>
        <v>1709911.09</v>
      </c>
      <c r="AA13" s="235">
        <f>EEFFun!AM12</f>
        <v>1638916.85</v>
      </c>
      <c r="AB13" s="235">
        <f>EEFFun!AN12</f>
        <v>2070537.38</v>
      </c>
      <c r="AC13" s="235">
        <f>EEFFun!AO12</f>
        <v>2642596.5</v>
      </c>
      <c r="AD13" s="235">
        <f>EEFFun!AP12</f>
        <v>3166958.69</v>
      </c>
      <c r="AE13" s="235">
        <f>EEFFun!AQ12</f>
        <v>6287760.6600000001</v>
      </c>
      <c r="AF13" s="235">
        <f>EEFFun!AR12</f>
        <v>2911875.46</v>
      </c>
      <c r="AG13" s="235">
        <f>EEFFun!AS12</f>
        <v>2377694.23</v>
      </c>
      <c r="AH13" s="235">
        <f>EEFFun!AT12</f>
        <v>2062558.22</v>
      </c>
      <c r="AI13" s="235">
        <f>EEFFun!AU12</f>
        <v>2061537.22</v>
      </c>
      <c r="AJ13" s="235">
        <f>EEFFun!AV12</f>
        <v>1873146.67</v>
      </c>
      <c r="AK13" s="235">
        <f>EEFFun!AW12</f>
        <v>2308812.4700000002</v>
      </c>
      <c r="AL13" s="235">
        <f>EEFFun!AX12</f>
        <v>1771523.05</v>
      </c>
      <c r="AM13" s="237">
        <v>2311231.9416363901</v>
      </c>
      <c r="AN13" s="237">
        <v>3205437.1751339198</v>
      </c>
      <c r="AO13" s="237">
        <v>3341132.0268884101</v>
      </c>
      <c r="AP13" s="237">
        <v>3501797.4460202102</v>
      </c>
      <c r="AQ13" s="237">
        <v>4287844.4163861703</v>
      </c>
      <c r="AR13" s="237">
        <v>3888320.3730287501</v>
      </c>
      <c r="AS13" s="237">
        <v>3929571.28662307</v>
      </c>
      <c r="AT13" s="237">
        <v>3769054.5669374899</v>
      </c>
      <c r="AU13" s="237">
        <v>3827145.8552484098</v>
      </c>
      <c r="AV13" s="237">
        <v>4040969.4282264998</v>
      </c>
      <c r="AW13" s="237">
        <v>4924504.9410479497</v>
      </c>
      <c r="AX13" s="237">
        <v>5593793.79552285</v>
      </c>
      <c r="AY13" s="236">
        <f t="shared" si="6"/>
        <v>2450042.81552285</v>
      </c>
      <c r="AZ13" s="236">
        <f t="shared" si="7"/>
        <v>4188047.0355228502</v>
      </c>
      <c r="BA13" s="232">
        <f t="shared" si="15"/>
        <v>3.6834735161685582E-2</v>
      </c>
      <c r="BB13" s="232">
        <f t="shared" si="16"/>
        <v>4.1825140622752666E-2</v>
      </c>
      <c r="BC13" s="228">
        <f t="shared" si="8"/>
        <v>962550.57693748968</v>
      </c>
    </row>
    <row r="14" spans="1:55" s="229" customFormat="1" outlineLevel="2" collapsed="1" x14ac:dyDescent="0.25">
      <c r="A14" s="222">
        <v>4</v>
      </c>
      <c r="B14" s="230">
        <f>EEFFun!B13</f>
        <v>1103</v>
      </c>
      <c r="C14" s="230" t="str">
        <f>EEFFun!C13</f>
        <v>Bancos y otras instituciones financieras</v>
      </c>
      <c r="D14" s="225">
        <f>EEFFun!P13</f>
        <v>158169.60999999999</v>
      </c>
      <c r="E14" s="225">
        <f>EEFFun!Q13</f>
        <v>195182.12</v>
      </c>
      <c r="F14" s="225">
        <f>EEFFun!R13</f>
        <v>71708.75</v>
      </c>
      <c r="G14" s="225">
        <f>EEFFun!S13</f>
        <v>422965.87</v>
      </c>
      <c r="H14" s="225">
        <f>EEFFun!T13</f>
        <v>281591.28999999998</v>
      </c>
      <c r="I14" s="225">
        <f>EEFFun!U13</f>
        <v>98347.3</v>
      </c>
      <c r="J14" s="225">
        <f>EEFFun!V13</f>
        <v>169766.14</v>
      </c>
      <c r="K14" s="225">
        <f>EEFFun!W13</f>
        <v>318895.57</v>
      </c>
      <c r="L14" s="225">
        <f>EEFFun!X13</f>
        <v>232485.38</v>
      </c>
      <c r="M14" s="225">
        <f>EEFFun!Y13</f>
        <v>167037.38</v>
      </c>
      <c r="N14" s="225">
        <f>EEFFun!Z13</f>
        <v>694592.63</v>
      </c>
      <c r="O14" s="225">
        <f>EEFFun!AA13</f>
        <v>235800.14</v>
      </c>
      <c r="P14" s="225">
        <f>EEFFun!AB13</f>
        <v>244049.01</v>
      </c>
      <c r="Q14" s="225">
        <f>EEFFun!AC13</f>
        <v>348962.61</v>
      </c>
      <c r="R14" s="225">
        <f>EEFFun!AD13</f>
        <v>389760.87</v>
      </c>
      <c r="S14" s="225">
        <f>EEFFun!AE13</f>
        <v>336932.08</v>
      </c>
      <c r="T14" s="225">
        <f>EEFFun!AF13</f>
        <v>435474.52</v>
      </c>
      <c r="U14" s="225">
        <f>EEFFun!AG13</f>
        <v>1455911.04</v>
      </c>
      <c r="V14" s="225">
        <f>EEFFun!AH13</f>
        <v>779934.02</v>
      </c>
      <c r="W14" s="225">
        <f>EEFFun!AI13</f>
        <v>1007131.15</v>
      </c>
      <c r="X14" s="225">
        <f>EEFFun!AJ13</f>
        <v>2594573.06</v>
      </c>
      <c r="Y14" s="225">
        <f>EEFFun!AK13</f>
        <v>1758795.59</v>
      </c>
      <c r="Z14" s="225">
        <f>EEFFun!AL13</f>
        <v>2319909.54</v>
      </c>
      <c r="AA14" s="225">
        <f>EEFFun!AM13</f>
        <v>1832736.22</v>
      </c>
      <c r="AB14" s="225">
        <f>EEFFun!AN13</f>
        <v>1675024.8</v>
      </c>
      <c r="AC14" s="225">
        <f>EEFFun!AO13</f>
        <v>2062363.44</v>
      </c>
      <c r="AD14" s="225">
        <f>EEFFun!AP13</f>
        <v>2263741.39</v>
      </c>
      <c r="AE14" s="225">
        <f>EEFFun!AQ13</f>
        <v>3621125.21</v>
      </c>
      <c r="AF14" s="225">
        <f>EEFFun!AR13</f>
        <v>1503949.63</v>
      </c>
      <c r="AG14" s="225">
        <f>EEFFun!AS13</f>
        <v>1590635.16</v>
      </c>
      <c r="AH14" s="225">
        <f>EEFFun!AT13</f>
        <v>2021103.7</v>
      </c>
      <c r="AI14" s="225">
        <f>EEFFun!AU13</f>
        <v>3579970.06</v>
      </c>
      <c r="AJ14" s="225">
        <f>EEFFun!AV13</f>
        <v>2658908.02</v>
      </c>
      <c r="AK14" s="225">
        <f>EEFFun!AW13</f>
        <v>908586.61</v>
      </c>
      <c r="AL14" s="225">
        <f>EEFFun!AX13</f>
        <v>2378842.13</v>
      </c>
      <c r="AM14" s="226">
        <f t="shared" ref="AM14:AS14" si="33">SUM(AM15:AM16)</f>
        <v>2258922.5349999997</v>
      </c>
      <c r="AN14" s="226">
        <f t="shared" si="33"/>
        <v>2278578.4444999998</v>
      </c>
      <c r="AO14" s="226">
        <f t="shared" si="33"/>
        <v>2280062.14995</v>
      </c>
      <c r="AP14" s="226">
        <f t="shared" si="33"/>
        <v>2145955.8439449999</v>
      </c>
      <c r="AQ14" s="226">
        <f t="shared" si="33"/>
        <v>2210156.4653395</v>
      </c>
      <c r="AR14" s="226">
        <f t="shared" si="33"/>
        <v>2272108.5958734499</v>
      </c>
      <c r="AS14" s="226">
        <f t="shared" si="33"/>
        <v>2297209.0854607946</v>
      </c>
      <c r="AT14" s="226">
        <f t="shared" ref="AT14" si="34">SUM(AT15:AT16)</f>
        <v>2168932.9880068745</v>
      </c>
      <c r="AU14" s="226">
        <f t="shared" ref="AU14" si="35">SUM(AU15:AU16)</f>
        <v>2119935.4848075616</v>
      </c>
      <c r="AV14" s="226">
        <f t="shared" ref="AV14" si="36">SUM(AV15:AV16)</f>
        <v>2241070.3722883179</v>
      </c>
      <c r="AW14" s="226">
        <f t="shared" ref="AW14" si="37">SUM(AW15:AW16)</f>
        <v>2227293.1965171495</v>
      </c>
      <c r="AX14" s="226">
        <f t="shared" ref="AX14" si="38">SUM(AX15:AX16)</f>
        <v>2224130.2626688643</v>
      </c>
      <c r="AY14" s="226">
        <f t="shared" si="6"/>
        <v>1444196.2426688643</v>
      </c>
      <c r="AZ14" s="226">
        <f t="shared" si="7"/>
        <v>1980081.2526688643</v>
      </c>
      <c r="BA14" s="232">
        <f t="shared" si="15"/>
        <v>6.3948080163610376E-3</v>
      </c>
      <c r="BB14" s="232">
        <f t="shared" si="16"/>
        <v>1.6629958915164143E-2</v>
      </c>
      <c r="BC14" s="228">
        <f t="shared" si="8"/>
        <v>1161801.8380068745</v>
      </c>
    </row>
    <row r="15" spans="1:55" outlineLevel="2" collapsed="1" x14ac:dyDescent="0.25">
      <c r="A15" s="222">
        <v>6</v>
      </c>
      <c r="B15" s="234">
        <f>EEFFun!B14</f>
        <v>110310</v>
      </c>
      <c r="C15" s="234" t="str">
        <f>EEFFun!C14</f>
        <v>Bancos e instituciones financieras locales</v>
      </c>
      <c r="D15" s="235">
        <f>EEFFun!P14</f>
        <v>149402.60999999999</v>
      </c>
      <c r="E15" s="235">
        <f>EEFFun!Q14</f>
        <v>186391.8</v>
      </c>
      <c r="F15" s="235">
        <f>EEFFun!R14</f>
        <v>62918.43</v>
      </c>
      <c r="G15" s="235">
        <f>EEFFun!S14</f>
        <v>414175.55</v>
      </c>
      <c r="H15" s="235">
        <f>EEFFun!T14</f>
        <v>272800.96999999997</v>
      </c>
      <c r="I15" s="235">
        <f>EEFFun!U14</f>
        <v>89556.98</v>
      </c>
      <c r="J15" s="235">
        <f>EEFFun!V14</f>
        <v>160975.82</v>
      </c>
      <c r="K15" s="235">
        <f>EEFFun!W14</f>
        <v>310105.25</v>
      </c>
      <c r="L15" s="235">
        <f>EEFFun!X14</f>
        <v>223695.06</v>
      </c>
      <c r="M15" s="235">
        <f>EEFFun!Y14</f>
        <v>158247.06</v>
      </c>
      <c r="N15" s="235">
        <f>EEFFun!Z14</f>
        <v>685718.35</v>
      </c>
      <c r="O15" s="235">
        <f>EEFFun!AA14</f>
        <v>226925.86</v>
      </c>
      <c r="P15" s="235">
        <f>EEFFun!AB14</f>
        <v>235174.73</v>
      </c>
      <c r="Q15" s="235">
        <f>EEFFun!AC14</f>
        <v>340088.33</v>
      </c>
      <c r="R15" s="235">
        <f>EEFFun!AD14</f>
        <v>380886.59</v>
      </c>
      <c r="S15" s="235">
        <f>EEFFun!AE14</f>
        <v>328057.8</v>
      </c>
      <c r="T15" s="235">
        <f>EEFFun!AF14</f>
        <v>426600.24</v>
      </c>
      <c r="U15" s="235">
        <f>EEFFun!AG14</f>
        <v>1447036.76</v>
      </c>
      <c r="V15" s="235">
        <f>EEFFun!AH14</f>
        <v>771059.74</v>
      </c>
      <c r="W15" s="235">
        <f>EEFFun!AI14</f>
        <v>998256.87</v>
      </c>
      <c r="X15" s="235">
        <f>EEFFun!AJ14</f>
        <v>2585698.7799999998</v>
      </c>
      <c r="Y15" s="235">
        <f>EEFFun!AK14</f>
        <v>1749921.31</v>
      </c>
      <c r="Z15" s="235">
        <f>EEFFun!AL14</f>
        <v>2311035.2599999998</v>
      </c>
      <c r="AA15" s="235">
        <f>EEFFun!AM14</f>
        <v>1823861.94</v>
      </c>
      <c r="AB15" s="235">
        <f>EEFFun!AN14</f>
        <v>1666150.52</v>
      </c>
      <c r="AC15" s="235">
        <f>EEFFun!AO14</f>
        <v>2053489.16</v>
      </c>
      <c r="AD15" s="235">
        <f>EEFFun!AP14</f>
        <v>2254867.11</v>
      </c>
      <c r="AE15" s="235">
        <f>EEFFun!AQ14</f>
        <v>3612250.93</v>
      </c>
      <c r="AF15" s="235">
        <f>EEFFun!AR14</f>
        <v>1495075.35</v>
      </c>
      <c r="AG15" s="235">
        <f>EEFFun!AS14</f>
        <v>1581760.88</v>
      </c>
      <c r="AH15" s="235">
        <f>EEFFun!AT14</f>
        <v>2012229.42</v>
      </c>
      <c r="AI15" s="235">
        <f>EEFFun!AU14</f>
        <v>3571095.78</v>
      </c>
      <c r="AJ15" s="235">
        <f>EEFFun!AV14</f>
        <v>2650033.7400000002</v>
      </c>
      <c r="AK15" s="235">
        <f>EEFFun!AW14</f>
        <v>899712.33</v>
      </c>
      <c r="AL15" s="235">
        <f>EEFFun!AX14</f>
        <v>2369967.85</v>
      </c>
      <c r="AM15" s="236">
        <f>AVERAGE(AC15:AL15)</f>
        <v>2250048.2549999999</v>
      </c>
      <c r="AN15" s="236">
        <f t="shared" ref="AN15:AX15" si="39">AVERAGE(AD15:AM15)</f>
        <v>2269704.1645</v>
      </c>
      <c r="AO15" s="236">
        <f t="shared" si="39"/>
        <v>2271187.8699500002</v>
      </c>
      <c r="AP15" s="236">
        <f t="shared" si="39"/>
        <v>2137081.5639450001</v>
      </c>
      <c r="AQ15" s="236">
        <f t="shared" si="39"/>
        <v>2201282.1853395002</v>
      </c>
      <c r="AR15" s="236">
        <f t="shared" si="39"/>
        <v>2263234.3158734501</v>
      </c>
      <c r="AS15" s="236">
        <f t="shared" si="39"/>
        <v>2288334.8054607948</v>
      </c>
      <c r="AT15" s="236">
        <f t="shared" si="39"/>
        <v>2160058.7080068747</v>
      </c>
      <c r="AU15" s="236">
        <f t="shared" si="39"/>
        <v>2111061.2048075618</v>
      </c>
      <c r="AV15" s="236">
        <f t="shared" si="39"/>
        <v>2232196.0922883181</v>
      </c>
      <c r="AW15" s="236">
        <f t="shared" si="39"/>
        <v>2218418.9165171497</v>
      </c>
      <c r="AX15" s="236">
        <f t="shared" si="39"/>
        <v>2215255.9826688645</v>
      </c>
      <c r="AY15" s="236">
        <f t="shared" si="6"/>
        <v>1444196.2426688646</v>
      </c>
      <c r="AZ15" s="236">
        <f t="shared" si="7"/>
        <v>1980081.2526688646</v>
      </c>
      <c r="BA15" s="232">
        <f t="shared" si="15"/>
        <v>6.1622755554285704E-3</v>
      </c>
      <c r="BB15" s="232">
        <f t="shared" si="16"/>
        <v>1.6563605377208784E-2</v>
      </c>
      <c r="BC15" s="228">
        <f t="shared" si="8"/>
        <v>1161801.8380068745</v>
      </c>
    </row>
    <row r="16" spans="1:55" outlineLevel="2" collapsed="1" x14ac:dyDescent="0.25">
      <c r="A16" s="222">
        <v>6</v>
      </c>
      <c r="B16" s="233">
        <f>EEFFun!B15</f>
        <v>110315</v>
      </c>
      <c r="C16" s="234" t="str">
        <f>EEFFun!C15</f>
        <v>Bancos e instituciones financieras del exterior</v>
      </c>
      <c r="D16" s="235">
        <f>EEFFun!P15</f>
        <v>8767</v>
      </c>
      <c r="E16" s="235">
        <f>EEFFun!Q15</f>
        <v>8790.32</v>
      </c>
      <c r="F16" s="235">
        <f>EEFFun!R15</f>
        <v>8790.32</v>
      </c>
      <c r="G16" s="235">
        <f>EEFFun!S15</f>
        <v>8790.32</v>
      </c>
      <c r="H16" s="235">
        <f>EEFFun!T15</f>
        <v>8790.32</v>
      </c>
      <c r="I16" s="235">
        <f>EEFFun!U15</f>
        <v>8790.32</v>
      </c>
      <c r="J16" s="235">
        <f>EEFFun!V15</f>
        <v>8790.32</v>
      </c>
      <c r="K16" s="235">
        <f>EEFFun!W15</f>
        <v>8790.32</v>
      </c>
      <c r="L16" s="235">
        <f>EEFFun!X15</f>
        <v>8790.32</v>
      </c>
      <c r="M16" s="235">
        <f>EEFFun!Y15</f>
        <v>8790.32</v>
      </c>
      <c r="N16" s="235">
        <f>EEFFun!Z15</f>
        <v>8874.2800000000007</v>
      </c>
      <c r="O16" s="235">
        <f>EEFFun!AA15</f>
        <v>8874.2800000000007</v>
      </c>
      <c r="P16" s="235">
        <f>EEFFun!AB15</f>
        <v>8874.2800000000007</v>
      </c>
      <c r="Q16" s="235">
        <f>EEFFun!AC15</f>
        <v>8874.2800000000007</v>
      </c>
      <c r="R16" s="235">
        <f>EEFFun!AD15</f>
        <v>8874.2800000000007</v>
      </c>
      <c r="S16" s="235">
        <f>EEFFun!AE15</f>
        <v>8874.2800000000007</v>
      </c>
      <c r="T16" s="235">
        <f>EEFFun!AF15</f>
        <v>8874.2800000000007</v>
      </c>
      <c r="U16" s="235">
        <f>EEFFun!AG15</f>
        <v>8874.2800000000007</v>
      </c>
      <c r="V16" s="235">
        <f>EEFFun!AH15</f>
        <v>8874.2800000000007</v>
      </c>
      <c r="W16" s="235">
        <f>EEFFun!AI15</f>
        <v>8874.2800000000007</v>
      </c>
      <c r="X16" s="235">
        <f>EEFFun!AJ15</f>
        <v>8874.2800000000007</v>
      </c>
      <c r="Y16" s="235">
        <f>EEFFun!AK15</f>
        <v>8874.2800000000007</v>
      </c>
      <c r="Z16" s="235">
        <f>EEFFun!AL15</f>
        <v>8874.2800000000007</v>
      </c>
      <c r="AA16" s="235">
        <f>EEFFun!AM15</f>
        <v>8874.2800000000007</v>
      </c>
      <c r="AB16" s="235">
        <f>EEFFun!AN15</f>
        <v>8874.2800000000007</v>
      </c>
      <c r="AC16" s="235">
        <f>EEFFun!AO15</f>
        <v>8874.2800000000007</v>
      </c>
      <c r="AD16" s="235">
        <f>EEFFun!AP15</f>
        <v>8874.2800000000007</v>
      </c>
      <c r="AE16" s="235">
        <f>EEFFun!AQ15</f>
        <v>8874.2800000000007</v>
      </c>
      <c r="AF16" s="235">
        <f>EEFFun!AR15</f>
        <v>8874.2800000000007</v>
      </c>
      <c r="AG16" s="235">
        <f>EEFFun!AS15</f>
        <v>8874.2800000000007</v>
      </c>
      <c r="AH16" s="235">
        <f>EEFFun!AT15</f>
        <v>8874.2800000000007</v>
      </c>
      <c r="AI16" s="235">
        <f>EEFFun!AU15</f>
        <v>8874.2800000000007</v>
      </c>
      <c r="AJ16" s="235">
        <f>EEFFun!AV15</f>
        <v>8874.2800000000007</v>
      </c>
      <c r="AK16" s="235">
        <f>EEFFun!AW15</f>
        <v>8874.2800000000007</v>
      </c>
      <c r="AL16" s="235">
        <f>EEFFun!AX15</f>
        <v>8874.2800000000007</v>
      </c>
      <c r="AM16" s="236">
        <f t="shared" ref="AM16:AX16" si="40">Q16</f>
        <v>8874.2800000000007</v>
      </c>
      <c r="AN16" s="236">
        <f t="shared" si="40"/>
        <v>8874.2800000000007</v>
      </c>
      <c r="AO16" s="236">
        <f t="shared" si="40"/>
        <v>8874.2800000000007</v>
      </c>
      <c r="AP16" s="236">
        <f t="shared" si="40"/>
        <v>8874.2800000000007</v>
      </c>
      <c r="AQ16" s="236">
        <f t="shared" si="40"/>
        <v>8874.2800000000007</v>
      </c>
      <c r="AR16" s="236">
        <f t="shared" si="40"/>
        <v>8874.2800000000007</v>
      </c>
      <c r="AS16" s="236">
        <f t="shared" si="40"/>
        <v>8874.2800000000007</v>
      </c>
      <c r="AT16" s="236">
        <f t="shared" si="40"/>
        <v>8874.2800000000007</v>
      </c>
      <c r="AU16" s="236">
        <f t="shared" si="40"/>
        <v>8874.2800000000007</v>
      </c>
      <c r="AV16" s="236">
        <f t="shared" si="40"/>
        <v>8874.2800000000007</v>
      </c>
      <c r="AW16" s="236">
        <f t="shared" si="40"/>
        <v>8874.2800000000007</v>
      </c>
      <c r="AX16" s="236">
        <f t="shared" si="40"/>
        <v>8874.2800000000007</v>
      </c>
      <c r="AY16" s="236">
        <f t="shared" si="6"/>
        <v>0</v>
      </c>
      <c r="AZ16" s="236">
        <f t="shared" si="7"/>
        <v>0</v>
      </c>
      <c r="BA16" s="232">
        <f t="shared" si="15"/>
        <v>2.3253246093246776E-4</v>
      </c>
      <c r="BB16" s="232">
        <f t="shared" si="16"/>
        <v>6.6353537955359803E-5</v>
      </c>
      <c r="BC16" s="228">
        <f t="shared" si="8"/>
        <v>0</v>
      </c>
    </row>
    <row r="17" spans="1:55" s="229" customFormat="1" outlineLevel="2" collapsed="1" x14ac:dyDescent="0.25">
      <c r="A17" s="222">
        <v>4</v>
      </c>
      <c r="B17" s="223">
        <f>EEFFun!B16</f>
        <v>1104</v>
      </c>
      <c r="C17" s="230" t="str">
        <f>EEFFun!C16</f>
        <v>Efectos de cobro inmediato</v>
      </c>
      <c r="D17" s="225">
        <f>EEFFun!P16</f>
        <v>44394.42</v>
      </c>
      <c r="E17" s="225">
        <f>EEFFun!Q16</f>
        <v>28817.37</v>
      </c>
      <c r="F17" s="225">
        <f>EEFFun!R16</f>
        <v>12465.85</v>
      </c>
      <c r="G17" s="225">
        <f>EEFFun!S16</f>
        <v>14342.96</v>
      </c>
      <c r="H17" s="225">
        <f>EEFFun!T16</f>
        <v>11585.67</v>
      </c>
      <c r="I17" s="225">
        <f>EEFFun!U16</f>
        <v>14472.89</v>
      </c>
      <c r="J17" s="225">
        <f>EEFFun!V16</f>
        <v>8082.17</v>
      </c>
      <c r="K17" s="225">
        <f>EEFFun!W16</f>
        <v>15954.67</v>
      </c>
      <c r="L17" s="225">
        <f>EEFFun!X16</f>
        <v>27466.02</v>
      </c>
      <c r="M17" s="225">
        <f>EEFFun!Y16</f>
        <v>15436.64</v>
      </c>
      <c r="N17" s="225">
        <f>EEFFun!Z16</f>
        <v>104200</v>
      </c>
      <c r="O17" s="225">
        <f>EEFFun!AA16</f>
        <v>31226.91</v>
      </c>
      <c r="P17" s="225">
        <f>EEFFun!AB16</f>
        <v>172906.43</v>
      </c>
      <c r="Q17" s="225">
        <f>EEFFun!AC16</f>
        <v>18732.34</v>
      </c>
      <c r="R17" s="225">
        <f>EEFFun!AD16</f>
        <v>59513.5</v>
      </c>
      <c r="S17" s="225">
        <f>EEFFun!AE16</f>
        <v>12300</v>
      </c>
      <c r="T17" s="225">
        <f>EEFFun!AF16</f>
        <v>8550</v>
      </c>
      <c r="U17" s="225">
        <f>EEFFun!AG16</f>
        <v>30424.61</v>
      </c>
      <c r="V17" s="225">
        <f>EEFFun!AH16</f>
        <v>20000</v>
      </c>
      <c r="W17" s="225">
        <f>EEFFun!AI16</f>
        <v>2379.15</v>
      </c>
      <c r="X17" s="225">
        <f>EEFFun!AJ16</f>
        <v>390.07</v>
      </c>
      <c r="Y17" s="225">
        <f>EEFFun!AK16</f>
        <v>16094.73</v>
      </c>
      <c r="Z17" s="225">
        <f>EEFFun!AL16</f>
        <v>9232.5300000000007</v>
      </c>
      <c r="AA17" s="225">
        <f>EEFFun!AM16</f>
        <v>5073.8</v>
      </c>
      <c r="AB17" s="225">
        <f>EEFFun!AN16</f>
        <v>42075.6</v>
      </c>
      <c r="AC17" s="225">
        <f>EEFFun!AO16</f>
        <v>80000</v>
      </c>
      <c r="AD17" s="225">
        <f>EEFFun!AP16</f>
        <v>100196.19</v>
      </c>
      <c r="AE17" s="225">
        <f>EEFFun!AQ16</f>
        <v>16629.5</v>
      </c>
      <c r="AF17" s="225">
        <f>EEFFun!AR16</f>
        <v>48773.38</v>
      </c>
      <c r="AG17" s="225">
        <f>EEFFun!AS16</f>
        <v>114820.99</v>
      </c>
      <c r="AH17" s="225">
        <f>EEFFun!AT16</f>
        <v>156721.71</v>
      </c>
      <c r="AI17" s="225">
        <f>EEFFun!AU16</f>
        <v>26937.47</v>
      </c>
      <c r="AJ17" s="225">
        <f>EEFFun!AV16</f>
        <v>136130.01999999999</v>
      </c>
      <c r="AK17" s="225">
        <f>EEFFun!AW16</f>
        <v>100000</v>
      </c>
      <c r="AL17" s="225">
        <f>EEFFun!AX16</f>
        <v>25915.8</v>
      </c>
      <c r="AM17" s="226">
        <f t="shared" ref="AM17:AS17" si="41">AM18+AM19</f>
        <v>17117.97416666667</v>
      </c>
      <c r="AN17" s="226">
        <f t="shared" si="41"/>
        <v>44660.69928030303</v>
      </c>
      <c r="AO17" s="226">
        <f t="shared" si="41"/>
        <v>43985.571974862258</v>
      </c>
      <c r="AP17" s="226">
        <f t="shared" si="41"/>
        <v>45425.825246446911</v>
      </c>
      <c r="AQ17" s="226">
        <f t="shared" si="41"/>
        <v>47101.9991212854</v>
      </c>
      <c r="AR17" s="226">
        <f t="shared" si="41"/>
        <v>47860.062263162014</v>
      </c>
      <c r="AS17" s="226">
        <f t="shared" si="41"/>
        <v>49126.428729669373</v>
      </c>
      <c r="AT17" s="226">
        <f t="shared" ref="AT17" si="42">AT18+AT19</f>
        <v>51251.30503556344</v>
      </c>
      <c r="AU17" s="226">
        <f t="shared" ref="AU17" si="43">AU18+AU19</f>
        <v>53563.179355361775</v>
      </c>
      <c r="AV17" s="226">
        <f t="shared" ref="AV17" si="44">AV18+AV19</f>
        <v>55266.290689696398</v>
      </c>
      <c r="AW17" s="226">
        <f t="shared" ref="AW17" si="45">AW18+AW19</f>
        <v>57358.73435740987</v>
      </c>
      <c r="AX17" s="226">
        <f t="shared" ref="AX17" si="46">AX18+AX19</f>
        <v>59838.733191837586</v>
      </c>
      <c r="AY17" s="226">
        <f t="shared" si="6"/>
        <v>39838.733191837586</v>
      </c>
      <c r="AZ17" s="226">
        <f t="shared" si="7"/>
        <v>-113067.69680816241</v>
      </c>
      <c r="BA17" s="232">
        <f t="shared" si="15"/>
        <v>4.5306613808610346E-3</v>
      </c>
      <c r="BB17" s="232">
        <f t="shared" si="16"/>
        <v>4.4741789238622663E-4</v>
      </c>
      <c r="BC17" s="228">
        <f t="shared" si="8"/>
        <v>48872.155035563439</v>
      </c>
    </row>
    <row r="18" spans="1:55" outlineLevel="2" collapsed="1" x14ac:dyDescent="0.25">
      <c r="A18" s="222">
        <v>6</v>
      </c>
      <c r="B18" s="233">
        <f>EEFFun!B17</f>
        <v>110405</v>
      </c>
      <c r="C18" s="234" t="str">
        <f>EEFFun!C17</f>
        <v>EFECTOS INGRESADOS A CAJA</v>
      </c>
      <c r="D18" s="235">
        <f>EEFFun!P17</f>
        <v>0</v>
      </c>
      <c r="E18" s="235">
        <f>EEFFun!Q17</f>
        <v>0</v>
      </c>
      <c r="F18" s="235">
        <f>EEFFun!R17</f>
        <v>0</v>
      </c>
      <c r="G18" s="235">
        <f>EEFFun!S17</f>
        <v>0</v>
      </c>
      <c r="H18" s="235">
        <f>EEFFun!T17</f>
        <v>0</v>
      </c>
      <c r="I18" s="235">
        <f>EEFFun!U17</f>
        <v>0</v>
      </c>
      <c r="J18" s="235">
        <f>EEFFun!V17</f>
        <v>0</v>
      </c>
      <c r="K18" s="235">
        <f>EEFFun!W17</f>
        <v>0</v>
      </c>
      <c r="L18" s="235">
        <f>EEFFun!X17</f>
        <v>0</v>
      </c>
      <c r="M18" s="235">
        <f>EEFFun!Y17</f>
        <v>0</v>
      </c>
      <c r="N18" s="235">
        <f>EEFFun!Z17</f>
        <v>0</v>
      </c>
      <c r="O18" s="235">
        <f>EEFFun!AA17</f>
        <v>0</v>
      </c>
      <c r="P18" s="235">
        <f>EEFFun!AB17</f>
        <v>0</v>
      </c>
      <c r="Q18" s="235">
        <f>EEFFun!AC17</f>
        <v>0</v>
      </c>
      <c r="R18" s="235">
        <f>EEFFun!AD17</f>
        <v>0</v>
      </c>
      <c r="S18" s="235">
        <f>EEFFun!AE17</f>
        <v>0</v>
      </c>
      <c r="T18" s="235">
        <f>EEFFun!AF17</f>
        <v>0</v>
      </c>
      <c r="U18" s="235">
        <f>EEFFun!AG17</f>
        <v>0</v>
      </c>
      <c r="V18" s="235">
        <f>EEFFun!AH17</f>
        <v>0</v>
      </c>
      <c r="W18" s="235">
        <f>EEFFun!AI17</f>
        <v>0</v>
      </c>
      <c r="X18" s="235">
        <f>EEFFun!AJ17</f>
        <v>0</v>
      </c>
      <c r="Y18" s="235">
        <f>EEFFun!AK17</f>
        <v>0</v>
      </c>
      <c r="Z18" s="235">
        <f>EEFFun!AL17</f>
        <v>0</v>
      </c>
      <c r="AA18" s="235">
        <f>EEFFun!AM17</f>
        <v>0</v>
      </c>
      <c r="AB18" s="235">
        <f>EEFFun!AN17</f>
        <v>0</v>
      </c>
      <c r="AC18" s="235">
        <f>EEFFun!AO17</f>
        <v>0</v>
      </c>
      <c r="AD18" s="235">
        <f>EEFFun!AP17</f>
        <v>0</v>
      </c>
      <c r="AE18" s="235">
        <f>EEFFun!AQ17</f>
        <v>0</v>
      </c>
      <c r="AF18" s="235">
        <f>EEFFun!AR17</f>
        <v>0</v>
      </c>
      <c r="AG18" s="235">
        <f>EEFFun!AS17</f>
        <v>0</v>
      </c>
      <c r="AH18" s="235">
        <f>EEFFun!AT17</f>
        <v>0</v>
      </c>
      <c r="AI18" s="235">
        <f>EEFFun!AU17</f>
        <v>0</v>
      </c>
      <c r="AJ18" s="235">
        <f>EEFFun!AV17</f>
        <v>0</v>
      </c>
      <c r="AK18" s="235">
        <f>EEFFun!AW17</f>
        <v>0</v>
      </c>
      <c r="AL18" s="235">
        <f>EEFFun!AX17</f>
        <v>0</v>
      </c>
      <c r="AM18" s="238"/>
      <c r="AN18" s="238"/>
      <c r="AO18" s="238"/>
      <c r="AP18" s="238"/>
      <c r="AQ18" s="238"/>
      <c r="AR18" s="238"/>
      <c r="AS18" s="238"/>
      <c r="AT18" s="238"/>
      <c r="AU18" s="238"/>
      <c r="AV18" s="238"/>
      <c r="AW18" s="238"/>
      <c r="AX18" s="238"/>
      <c r="AY18" s="236">
        <f t="shared" si="6"/>
        <v>0</v>
      </c>
      <c r="AZ18" s="236">
        <f t="shared" si="7"/>
        <v>0</v>
      </c>
      <c r="BA18" s="232">
        <f t="shared" si="15"/>
        <v>0</v>
      </c>
      <c r="BB18" s="232">
        <f t="shared" si="16"/>
        <v>0</v>
      </c>
      <c r="BC18" s="228">
        <f t="shared" si="8"/>
        <v>0</v>
      </c>
    </row>
    <row r="19" spans="1:55" s="229" customFormat="1" outlineLevel="2" collapsed="1" x14ac:dyDescent="0.25">
      <c r="A19" s="222">
        <v>6</v>
      </c>
      <c r="B19" s="233">
        <f>EEFFun!B18</f>
        <v>110410</v>
      </c>
      <c r="C19" s="234" t="str">
        <f>EEFFun!C18</f>
        <v>VALORES ENVIADOS A CÁMARA DE COMPENSACIÓN</v>
      </c>
      <c r="D19" s="235">
        <f>EEFFun!P18</f>
        <v>44394.42</v>
      </c>
      <c r="E19" s="235">
        <f>EEFFun!Q18</f>
        <v>28817.37</v>
      </c>
      <c r="F19" s="235">
        <f>EEFFun!R18</f>
        <v>12465.85</v>
      </c>
      <c r="G19" s="235">
        <f>EEFFun!S18</f>
        <v>14342.96</v>
      </c>
      <c r="H19" s="235">
        <f>EEFFun!T18</f>
        <v>11585.67</v>
      </c>
      <c r="I19" s="235">
        <f>EEFFun!U18</f>
        <v>14472.89</v>
      </c>
      <c r="J19" s="235">
        <f>EEFFun!V18</f>
        <v>8082.17</v>
      </c>
      <c r="K19" s="235">
        <f>EEFFun!W18</f>
        <v>15954.67</v>
      </c>
      <c r="L19" s="235">
        <f>EEFFun!X18</f>
        <v>27466.02</v>
      </c>
      <c r="M19" s="235">
        <f>EEFFun!Y18</f>
        <v>15436.64</v>
      </c>
      <c r="N19" s="235">
        <f>EEFFun!Z18</f>
        <v>104200</v>
      </c>
      <c r="O19" s="235">
        <f>EEFFun!AA18</f>
        <v>31226.91</v>
      </c>
      <c r="P19" s="235">
        <f>EEFFun!AB18</f>
        <v>172906.43</v>
      </c>
      <c r="Q19" s="235">
        <f>EEFFun!AC18</f>
        <v>18732.34</v>
      </c>
      <c r="R19" s="235">
        <f>EEFFun!AD18</f>
        <v>59513.5</v>
      </c>
      <c r="S19" s="235">
        <f>EEFFun!AE18</f>
        <v>12300</v>
      </c>
      <c r="T19" s="235">
        <f>EEFFun!AF18</f>
        <v>8550</v>
      </c>
      <c r="U19" s="235">
        <f>EEFFun!AG18</f>
        <v>30424.61</v>
      </c>
      <c r="V19" s="235">
        <f>EEFFun!AH18</f>
        <v>20000</v>
      </c>
      <c r="W19" s="235">
        <f>EEFFun!AI18</f>
        <v>2379.15</v>
      </c>
      <c r="X19" s="235">
        <f>EEFFun!AJ18</f>
        <v>390.07</v>
      </c>
      <c r="Y19" s="235">
        <f>EEFFun!AK18</f>
        <v>16094.73</v>
      </c>
      <c r="Z19" s="235">
        <f>EEFFun!AL18</f>
        <v>9232.5300000000007</v>
      </c>
      <c r="AA19" s="235">
        <f>EEFFun!AM18</f>
        <v>2798.76</v>
      </c>
      <c r="AB19" s="235">
        <f>EEFFun!AN18</f>
        <v>25000</v>
      </c>
      <c r="AC19" s="235">
        <f>EEFFun!AO18</f>
        <v>80000</v>
      </c>
      <c r="AD19" s="235">
        <f>EEFFun!AP18</f>
        <v>86700.69</v>
      </c>
      <c r="AE19" s="235">
        <f>EEFFun!AQ18</f>
        <v>3134</v>
      </c>
      <c r="AF19" s="235">
        <f>EEFFun!AR18</f>
        <v>48773.38</v>
      </c>
      <c r="AG19" s="235">
        <f>EEFFun!AS18</f>
        <v>114420.99</v>
      </c>
      <c r="AH19" s="235">
        <f>EEFFun!AT18</f>
        <v>156721.71</v>
      </c>
      <c r="AI19" s="235">
        <f>EEFFun!AU18</f>
        <v>26937.47</v>
      </c>
      <c r="AJ19" s="235">
        <f>EEFFun!AV18</f>
        <v>136130.01999999999</v>
      </c>
      <c r="AK19" s="235">
        <f>EEFFun!AW18</f>
        <v>100000</v>
      </c>
      <c r="AL19" s="235">
        <f>EEFFun!AX18</f>
        <v>25915.8</v>
      </c>
      <c r="AM19" s="236">
        <f>AVERAGE(Q19:AB19)</f>
        <v>17117.97416666667</v>
      </c>
      <c r="AN19" s="236">
        <f t="shared" ref="AN19:AX19" si="47">AVERAGE(R19:AM19)</f>
        <v>44660.69928030303</v>
      </c>
      <c r="AO19" s="236">
        <f t="shared" si="47"/>
        <v>43985.571974862258</v>
      </c>
      <c r="AP19" s="236">
        <f t="shared" si="47"/>
        <v>45425.825246446911</v>
      </c>
      <c r="AQ19" s="236">
        <f t="shared" si="47"/>
        <v>47101.9991212854</v>
      </c>
      <c r="AR19" s="236">
        <f t="shared" si="47"/>
        <v>47860.062263162014</v>
      </c>
      <c r="AS19" s="236">
        <f t="shared" si="47"/>
        <v>49126.428729669373</v>
      </c>
      <c r="AT19" s="236">
        <f t="shared" si="47"/>
        <v>51251.30503556344</v>
      </c>
      <c r="AU19" s="236">
        <f t="shared" si="47"/>
        <v>53563.179355361775</v>
      </c>
      <c r="AV19" s="236">
        <f t="shared" si="47"/>
        <v>55266.290689696398</v>
      </c>
      <c r="AW19" s="236">
        <f t="shared" si="47"/>
        <v>57358.73435740987</v>
      </c>
      <c r="AX19" s="236">
        <f t="shared" si="47"/>
        <v>59838.733191837586</v>
      </c>
      <c r="AY19" s="236">
        <f t="shared" si="6"/>
        <v>39838.733191837586</v>
      </c>
      <c r="AZ19" s="236">
        <f t="shared" si="7"/>
        <v>-113067.69680816241</v>
      </c>
      <c r="BA19" s="232">
        <f t="shared" si="15"/>
        <v>4.5306613808610346E-3</v>
      </c>
      <c r="BB19" s="232">
        <f t="shared" si="16"/>
        <v>4.4741789238622663E-4</v>
      </c>
      <c r="BC19" s="228">
        <f t="shared" si="8"/>
        <v>48872.155035563439</v>
      </c>
    </row>
    <row r="20" spans="1:55" s="229" customFormat="1" outlineLevel="1" x14ac:dyDescent="0.25">
      <c r="A20" s="222">
        <v>2</v>
      </c>
      <c r="B20" s="223">
        <f>EEFFun!B19</f>
        <v>13</v>
      </c>
      <c r="C20" s="230" t="str">
        <f>EEFFun!C19</f>
        <v>INVERSIONES</v>
      </c>
      <c r="D20" s="225">
        <f>EEFFun!P19</f>
        <v>4569816.53</v>
      </c>
      <c r="E20" s="225">
        <f>EEFFun!Q19</f>
        <v>4396213.93</v>
      </c>
      <c r="F20" s="225">
        <f>EEFFun!R19</f>
        <v>4304281.32</v>
      </c>
      <c r="G20" s="225">
        <f>EEFFun!S19</f>
        <v>3882342.1</v>
      </c>
      <c r="H20" s="225">
        <f>EEFFun!T19</f>
        <v>3717634.74</v>
      </c>
      <c r="I20" s="225">
        <f>EEFFun!U19</f>
        <v>3705733.61</v>
      </c>
      <c r="J20" s="225">
        <f>EEFFun!V19</f>
        <v>3355464.66</v>
      </c>
      <c r="K20" s="225">
        <f>EEFFun!W19</f>
        <v>2765240.87</v>
      </c>
      <c r="L20" s="225">
        <f>EEFFun!X19</f>
        <v>2749371.4</v>
      </c>
      <c r="M20" s="225">
        <f>EEFFun!Y19</f>
        <v>2738719.72</v>
      </c>
      <c r="N20" s="225">
        <f>EEFFun!Z19</f>
        <v>2140533.15</v>
      </c>
      <c r="O20" s="225">
        <f>EEFFun!AA19</f>
        <v>3155413.9</v>
      </c>
      <c r="P20" s="225">
        <f>EEFFun!AB19</f>
        <v>5472959.29</v>
      </c>
      <c r="Q20" s="225">
        <f>EEFFun!AC19</f>
        <v>5593231.5499999998</v>
      </c>
      <c r="R20" s="225">
        <f>EEFFun!AD19</f>
        <v>5619865.3899999997</v>
      </c>
      <c r="S20" s="225">
        <f>EEFFun!AE19</f>
        <v>5768860.9100000001</v>
      </c>
      <c r="T20" s="225">
        <f>EEFFun!AF19</f>
        <v>5990434.9500000002</v>
      </c>
      <c r="U20" s="225">
        <f>EEFFun!AG19</f>
        <v>6535690.1799999997</v>
      </c>
      <c r="V20" s="225">
        <f>EEFFun!AH19</f>
        <v>6902967.1699999999</v>
      </c>
      <c r="W20" s="225">
        <f>EEFFun!AI19</f>
        <v>6494256.4500000002</v>
      </c>
      <c r="X20" s="225">
        <f>EEFFun!AJ19</f>
        <v>6306447.71</v>
      </c>
      <c r="Y20" s="225">
        <f>EEFFun!AK19</f>
        <v>6725858.3300000001</v>
      </c>
      <c r="Z20" s="225">
        <f>EEFFun!AL19</f>
        <v>7257820.5599999996</v>
      </c>
      <c r="AA20" s="225">
        <f>EEFFun!AM19</f>
        <v>7421635.3700000001</v>
      </c>
      <c r="AB20" s="225">
        <f>EEFFun!AN19</f>
        <v>7437172.5099999998</v>
      </c>
      <c r="AC20" s="225">
        <f>EEFFun!AO19</f>
        <v>8068951.4500000002</v>
      </c>
      <c r="AD20" s="225">
        <f>EEFFun!AP19</f>
        <v>8156070.3200000003</v>
      </c>
      <c r="AE20" s="225">
        <f>EEFFun!AQ19</f>
        <v>8475496.8900000006</v>
      </c>
      <c r="AF20" s="225">
        <f>EEFFun!AR19</f>
        <v>8588335.0700000003</v>
      </c>
      <c r="AG20" s="225">
        <f>EEFFun!AS19</f>
        <v>8657652.0700000003</v>
      </c>
      <c r="AH20" s="225">
        <f>EEFFun!AT19</f>
        <v>7871172.04</v>
      </c>
      <c r="AI20" s="225">
        <f>EEFFun!AU19</f>
        <v>8339018.96</v>
      </c>
      <c r="AJ20" s="225">
        <f>EEFFun!AV19</f>
        <v>8332154.9400000004</v>
      </c>
      <c r="AK20" s="225">
        <f>EEFFun!AW19</f>
        <v>8240933.21</v>
      </c>
      <c r="AL20" s="225">
        <f>EEFFun!AX19</f>
        <v>6909362.6600000001</v>
      </c>
      <c r="AM20" s="226">
        <f t="shared" ref="AM20:AS20" si="48">AM21+AM27+AM32+AM35+AM37</f>
        <v>6212324.5199999986</v>
      </c>
      <c r="AN20" s="226">
        <f t="shared" si="48"/>
        <v>5602025.54</v>
      </c>
      <c r="AO20" s="226">
        <f t="shared" si="48"/>
        <v>6026932.9099999992</v>
      </c>
      <c r="AP20" s="226">
        <f t="shared" si="48"/>
        <v>6838671.7600000007</v>
      </c>
      <c r="AQ20" s="226">
        <f t="shared" si="48"/>
        <v>6223039.0300000003</v>
      </c>
      <c r="AR20" s="226">
        <f t="shared" si="48"/>
        <v>7237293.5899999999</v>
      </c>
      <c r="AS20" s="226">
        <f t="shared" si="48"/>
        <v>8925517.4600000009</v>
      </c>
      <c r="AT20" s="226">
        <f t="shared" ref="AT20" si="49">AT21+AT27+AT32+AT35+AT37</f>
        <v>9941448.2000000011</v>
      </c>
      <c r="AU20" s="226">
        <f t="shared" ref="AU20" si="50">AU21+AU27+AU32+AU35+AU37</f>
        <v>10282584.76</v>
      </c>
      <c r="AV20" s="226">
        <f t="shared" ref="AV20" si="51">AV21+AV27+AV32+AV35+AV37</f>
        <v>11247615.579999998</v>
      </c>
      <c r="AW20" s="226">
        <f t="shared" ref="AW20" si="52">AW21+AW27+AW32+AW35+AW37</f>
        <v>12086781.42</v>
      </c>
      <c r="AX20" s="226">
        <f t="shared" ref="AX20" si="53">AX21+AX27+AX32+AX35+AX37</f>
        <v>11119798.34</v>
      </c>
      <c r="AY20" s="226">
        <f t="shared" si="6"/>
        <v>4216831.17</v>
      </c>
      <c r="AZ20" s="226">
        <f t="shared" si="7"/>
        <v>5646839.0499999998</v>
      </c>
      <c r="BA20" s="231">
        <f t="shared" si="15"/>
        <v>0.14340776854988926</v>
      </c>
      <c r="BB20" s="231">
        <f t="shared" si="16"/>
        <v>8.3143416841607073E-2</v>
      </c>
      <c r="BC20" s="228">
        <f t="shared" si="8"/>
        <v>3447191.7500000009</v>
      </c>
    </row>
    <row r="21" spans="1:55" s="229" customFormat="1" outlineLevel="2" collapsed="1" x14ac:dyDescent="0.25">
      <c r="A21" s="222">
        <v>4</v>
      </c>
      <c r="B21" s="223">
        <f>EEFFun!B20</f>
        <v>1303</v>
      </c>
      <c r="C21" s="230" t="str">
        <f>EEFFun!C20</f>
        <v>Disponibles para la venta de entidades del sector privado</v>
      </c>
      <c r="D21" s="225">
        <f>EEFFun!P20</f>
        <v>873535.46</v>
      </c>
      <c r="E21" s="225">
        <f>EEFFun!Q20</f>
        <v>675506.01</v>
      </c>
      <c r="F21" s="225">
        <f>EEFFun!R20</f>
        <v>571537.73</v>
      </c>
      <c r="G21" s="225">
        <f>EEFFun!S20</f>
        <v>159326.22</v>
      </c>
      <c r="H21" s="225">
        <f>EEFFun!T20</f>
        <v>0</v>
      </c>
      <c r="I21" s="225">
        <f>EEFFun!U20</f>
        <v>0</v>
      </c>
      <c r="J21" s="225">
        <f>EEFFun!V20</f>
        <v>0</v>
      </c>
      <c r="K21" s="225">
        <f>EEFFun!W20</f>
        <v>0</v>
      </c>
      <c r="L21" s="225">
        <f>EEFFun!X20</f>
        <v>0</v>
      </c>
      <c r="M21" s="225">
        <f>EEFFun!Y20</f>
        <v>0</v>
      </c>
      <c r="N21" s="225">
        <f>EEFFun!Z20</f>
        <v>0</v>
      </c>
      <c r="O21" s="225">
        <f>EEFFun!AA20</f>
        <v>989738.94</v>
      </c>
      <c r="P21" s="225">
        <f>EEFFun!AB20</f>
        <v>3293487.99</v>
      </c>
      <c r="Q21" s="225">
        <f>EEFFun!AC20</f>
        <v>3203321.98</v>
      </c>
      <c r="R21" s="225">
        <f>EEFFun!AD20</f>
        <v>3224550.5</v>
      </c>
      <c r="S21" s="225">
        <f>EEFFun!AE20</f>
        <v>3286442.97</v>
      </c>
      <c r="T21" s="225">
        <f>EEFFun!AF20</f>
        <v>3319558.49</v>
      </c>
      <c r="U21" s="225">
        <f>EEFFun!AG20</f>
        <v>3643661.2</v>
      </c>
      <c r="V21" s="225">
        <f>EEFFun!AH20</f>
        <v>3501862.06</v>
      </c>
      <c r="W21" s="225">
        <f>EEFFun!AI20</f>
        <v>2930627.76</v>
      </c>
      <c r="X21" s="225">
        <f>EEFFun!AJ20</f>
        <v>2951359.48</v>
      </c>
      <c r="Y21" s="225">
        <f>EEFFun!AK20</f>
        <v>3210364.01</v>
      </c>
      <c r="Z21" s="225">
        <f>EEFFun!AL20</f>
        <v>3747714.98</v>
      </c>
      <c r="AA21" s="225">
        <f>EEFFun!AM20</f>
        <v>3772843.14</v>
      </c>
      <c r="AB21" s="225">
        <f>EEFFun!AN20</f>
        <v>3736839.7</v>
      </c>
      <c r="AC21" s="225">
        <f>EEFFun!AO20</f>
        <v>4047091.12</v>
      </c>
      <c r="AD21" s="225">
        <f>EEFFun!AP20</f>
        <v>4071250.84</v>
      </c>
      <c r="AE21" s="225">
        <f>EEFFun!AQ20</f>
        <v>4325367.68</v>
      </c>
      <c r="AF21" s="225">
        <f>EEFFun!AR20</f>
        <v>4170377.27</v>
      </c>
      <c r="AG21" s="225">
        <f>EEFFun!AS20</f>
        <v>4176153.7</v>
      </c>
      <c r="AH21" s="225">
        <f>EEFFun!AT20</f>
        <v>3394593.61</v>
      </c>
      <c r="AI21" s="225">
        <f>EEFFun!AU20</f>
        <v>3638363.83</v>
      </c>
      <c r="AJ21" s="225">
        <f>EEFFun!AV20</f>
        <v>3524422.17</v>
      </c>
      <c r="AK21" s="225">
        <f>EEFFun!AW20</f>
        <v>3244758.12</v>
      </c>
      <c r="AL21" s="225">
        <f>EEFFun!AX20</f>
        <v>1333972.3600000001</v>
      </c>
      <c r="AM21" s="226">
        <f t="shared" ref="AM21:AS21" si="54">SUM(AM22:AM26)</f>
        <v>1290464.1899999997</v>
      </c>
      <c r="AN21" s="226">
        <f t="shared" si="54"/>
        <v>2617206.06</v>
      </c>
      <c r="AO21" s="226">
        <f t="shared" si="54"/>
        <v>2476803.6999999997</v>
      </c>
      <c r="AP21" s="226">
        <f t="shared" si="54"/>
        <v>3719868.04</v>
      </c>
      <c r="AQ21" s="226">
        <f t="shared" si="54"/>
        <v>3641540.66</v>
      </c>
      <c r="AR21" s="226">
        <f t="shared" si="54"/>
        <v>4160715.16</v>
      </c>
      <c r="AS21" s="226">
        <f t="shared" si="54"/>
        <v>4024862.33</v>
      </c>
      <c r="AT21" s="226">
        <f t="shared" ref="AT21" si="55">SUM(AT22:AT26)</f>
        <v>6133715.4300000006</v>
      </c>
      <c r="AU21" s="226">
        <f t="shared" ref="AU21" si="56">SUM(AU22:AU26)</f>
        <v>7026409.6699999999</v>
      </c>
      <c r="AV21" s="226">
        <f t="shared" ref="AV21" si="57">SUM(AV22:AV26)</f>
        <v>9099871.5599999987</v>
      </c>
      <c r="AW21" s="226">
        <f t="shared" ref="AW21" si="58">SUM(AW22:AW26)</f>
        <v>5964921.0899999999</v>
      </c>
      <c r="AX21" s="226">
        <f t="shared" ref="AX21" si="59">SUM(AX22:AX26)</f>
        <v>6434978.8600000003</v>
      </c>
      <c r="AY21" s="236">
        <f t="shared" si="6"/>
        <v>2933116.8000000003</v>
      </c>
      <c r="AZ21" s="236">
        <f t="shared" si="7"/>
        <v>3141490.87</v>
      </c>
      <c r="BA21" s="231">
        <f t="shared" si="15"/>
        <v>8.6299155240338002E-2</v>
      </c>
      <c r="BB21" s="231">
        <f t="shared" si="16"/>
        <v>4.8114733142175806E-2</v>
      </c>
      <c r="BC21" s="228">
        <f t="shared" si="8"/>
        <v>3203087.6700000009</v>
      </c>
    </row>
    <row r="22" spans="1:55" outlineLevel="2" collapsed="1" x14ac:dyDescent="0.25">
      <c r="A22" s="222">
        <v>6</v>
      </c>
      <c r="B22" s="233">
        <f>EEFFun!B21</f>
        <v>130305</v>
      </c>
      <c r="C22" s="234" t="str">
        <f>EEFFun!C21</f>
        <v>De 1 a 30 días</v>
      </c>
      <c r="D22" s="235">
        <f>EEFFun!P21</f>
        <v>202034.17</v>
      </c>
      <c r="E22" s="235">
        <f>EEFFun!Q21</f>
        <v>107021.85</v>
      </c>
      <c r="F22" s="235">
        <f>EEFFun!R21</f>
        <v>413146.67</v>
      </c>
      <c r="G22" s="235">
        <f>EEFFun!S21</f>
        <v>159326.22</v>
      </c>
      <c r="H22" s="235">
        <f>EEFFun!T21</f>
        <v>0</v>
      </c>
      <c r="I22" s="235">
        <f>EEFFun!U21</f>
        <v>0</v>
      </c>
      <c r="J22" s="235">
        <f>EEFFun!V21</f>
        <v>0</v>
      </c>
      <c r="K22" s="235">
        <f>EEFFun!W21</f>
        <v>0</v>
      </c>
      <c r="L22" s="235">
        <f>EEFFun!X21</f>
        <v>0</v>
      </c>
      <c r="M22" s="235">
        <f>EEFFun!Y21</f>
        <v>0</v>
      </c>
      <c r="N22" s="235">
        <f>EEFFun!Z21</f>
        <v>0</v>
      </c>
      <c r="O22" s="235">
        <f>EEFFun!AA21</f>
        <v>0</v>
      </c>
      <c r="P22" s="235">
        <f>EEFFun!AB21</f>
        <v>93029.17</v>
      </c>
      <c r="Q22" s="235">
        <f>EEFFun!AC21</f>
        <v>0</v>
      </c>
      <c r="R22" s="235">
        <f>EEFFun!AD21</f>
        <v>45140.92</v>
      </c>
      <c r="S22" s="235">
        <f>EEFFun!AE21</f>
        <v>94083.53</v>
      </c>
      <c r="T22" s="235">
        <f>EEFFun!AF21</f>
        <v>0</v>
      </c>
      <c r="U22" s="235">
        <f>EEFFun!AG21</f>
        <v>147355.87</v>
      </c>
      <c r="V22" s="235">
        <f>EEFFun!AH21</f>
        <v>549108.12</v>
      </c>
      <c r="W22" s="235">
        <f>EEFFun!AI21</f>
        <v>0</v>
      </c>
      <c r="X22" s="235">
        <f>EEFFun!AJ21</f>
        <v>45311.4</v>
      </c>
      <c r="Y22" s="235">
        <f>EEFFun!AK21</f>
        <v>94104.07</v>
      </c>
      <c r="Z22" s="235">
        <f>EEFFun!AL21</f>
        <v>50014.59</v>
      </c>
      <c r="AA22" s="235">
        <f>EEFFun!AM21</f>
        <v>401448.89</v>
      </c>
      <c r="AB22" s="235">
        <f>EEFFun!AN21</f>
        <v>752988.15</v>
      </c>
      <c r="AC22" s="235">
        <f>EEFFun!AO21</f>
        <v>180958.11</v>
      </c>
      <c r="AD22" s="235">
        <f>EEFFun!AP21</f>
        <v>538713.65</v>
      </c>
      <c r="AE22" s="235">
        <f>EEFFun!AQ21</f>
        <v>1184575.43</v>
      </c>
      <c r="AF22" s="235">
        <f>EEFFun!AR21</f>
        <v>789389</v>
      </c>
      <c r="AG22" s="235">
        <f>EEFFun!AS21</f>
        <v>836215.76</v>
      </c>
      <c r="AH22" s="235">
        <f>EEFFun!AT21</f>
        <v>767890.25</v>
      </c>
      <c r="AI22" s="235">
        <f>EEFFun!AU21</f>
        <v>393345.64</v>
      </c>
      <c r="AJ22" s="235">
        <f>EEFFun!AV21</f>
        <v>1356503.57</v>
      </c>
      <c r="AK22" s="235">
        <f>EEFFun!AW21</f>
        <v>1421996.42</v>
      </c>
      <c r="AL22" s="235">
        <f>EEFFun!AX21</f>
        <v>823359.35</v>
      </c>
      <c r="AM22" s="235">
        <f>AC22-INV!B16+INV!C16+900000-200000</f>
        <v>880958.10999999987</v>
      </c>
      <c r="AN22" s="235">
        <f>AD22-INV!C16+INV!D16+600000-200000</f>
        <v>938713.64999999991</v>
      </c>
      <c r="AO22" s="235">
        <f>AE22-INV!D16+INV!E16-500000+700000-200000</f>
        <v>1184575.43</v>
      </c>
      <c r="AP22" s="235">
        <f>AF22-INV!E16+INV!F16+700000-290000</f>
        <v>1199389</v>
      </c>
      <c r="AQ22" s="235">
        <f>AG22-INV!F16+INV!G16+600000-490000</f>
        <v>946215.76</v>
      </c>
      <c r="AR22" s="235">
        <f>AH22-INV!G16+INV!H16+400000-760000</f>
        <v>407890.25</v>
      </c>
      <c r="AS22" s="235">
        <f>AI22-INV!H16+INV!I16</f>
        <v>393345.64</v>
      </c>
      <c r="AT22" s="235">
        <f>AJ22-INV!I16+INV!J16</f>
        <v>1356503.57</v>
      </c>
      <c r="AU22" s="235">
        <f>AK22-INV!J16+INV!K16+600000</f>
        <v>2021996.42</v>
      </c>
      <c r="AV22" s="235">
        <f>AL22-INV!K16+INV!L16+1000000</f>
        <v>1823359.35</v>
      </c>
      <c r="AW22" s="235">
        <f>AM22-INV!L16+INV!M16</f>
        <v>880958.10999999987</v>
      </c>
      <c r="AX22" s="235">
        <f>AN22-INV!M16+INV!N16</f>
        <v>938713.64999999991</v>
      </c>
      <c r="AY22" s="236">
        <f t="shared" si="6"/>
        <v>389605.52999999991</v>
      </c>
      <c r="AZ22" s="236">
        <f t="shared" si="7"/>
        <v>845684.47999999986</v>
      </c>
      <c r="BA22" s="231">
        <f t="shared" si="15"/>
        <v>2.4376402185422251E-3</v>
      </c>
      <c r="BB22" s="231">
        <f t="shared" si="16"/>
        <v>7.0188197582777782E-3</v>
      </c>
      <c r="BC22" s="228">
        <f t="shared" si="8"/>
        <v>1356503.57</v>
      </c>
    </row>
    <row r="23" spans="1:55" outlineLevel="2" collapsed="1" x14ac:dyDescent="0.25">
      <c r="A23" s="222">
        <v>6</v>
      </c>
      <c r="B23" s="233" t="str">
        <f>EEFFun!B22</f>
        <v>130310</v>
      </c>
      <c r="C23" s="234" t="str">
        <f>EEFFun!C22</f>
        <v>De 31 a 90 días</v>
      </c>
      <c r="D23" s="235">
        <f>EEFFun!P22</f>
        <v>514890.08</v>
      </c>
      <c r="E23" s="235">
        <f>EEFFun!Q22</f>
        <v>568484.16</v>
      </c>
      <c r="F23" s="235">
        <f>EEFFun!R22</f>
        <v>158391.06</v>
      </c>
      <c r="G23" s="235">
        <f>EEFFun!S22</f>
        <v>0</v>
      </c>
      <c r="H23" s="235">
        <f>EEFFun!T22</f>
        <v>0</v>
      </c>
      <c r="I23" s="235">
        <f>EEFFun!U22</f>
        <v>0</v>
      </c>
      <c r="J23" s="235">
        <f>EEFFun!V22</f>
        <v>0</v>
      </c>
      <c r="K23" s="235">
        <f>EEFFun!W22</f>
        <v>0</v>
      </c>
      <c r="L23" s="235">
        <f>EEFFun!X22</f>
        <v>0</v>
      </c>
      <c r="M23" s="235">
        <f>EEFFun!Y22</f>
        <v>0</v>
      </c>
      <c r="N23" s="235">
        <f>EEFFun!Z22</f>
        <v>0</v>
      </c>
      <c r="O23" s="235">
        <f>EEFFun!AA22</f>
        <v>44540.01</v>
      </c>
      <c r="P23" s="235">
        <f>EEFFun!AB22</f>
        <v>44475.87</v>
      </c>
      <c r="Q23" s="235">
        <f>EEFFun!AC22</f>
        <v>137670.47</v>
      </c>
      <c r="R23" s="235">
        <f>EEFFun!AD22</f>
        <v>93446.720000000001</v>
      </c>
      <c r="S23" s="235">
        <f>EEFFun!AE22</f>
        <v>145324.17000000001</v>
      </c>
      <c r="T23" s="235">
        <f>EEFFun!AF22</f>
        <v>389401.73</v>
      </c>
      <c r="U23" s="235">
        <f>EEFFun!AG22</f>
        <v>545416.85</v>
      </c>
      <c r="V23" s="235">
        <f>EEFFun!AH22</f>
        <v>44624.19</v>
      </c>
      <c r="W23" s="235">
        <f>EEFFun!AI22</f>
        <v>137818.79</v>
      </c>
      <c r="X23" s="235">
        <f>EEFFun!AJ22</f>
        <v>0</v>
      </c>
      <c r="Y23" s="235">
        <f>EEFFun!AK22</f>
        <v>0</v>
      </c>
      <c r="Z23" s="235">
        <f>EEFFun!AL22</f>
        <v>0</v>
      </c>
      <c r="AA23" s="235">
        <f>EEFFun!AM22</f>
        <v>0</v>
      </c>
      <c r="AB23" s="235">
        <f>EEFFun!AN22</f>
        <v>0</v>
      </c>
      <c r="AC23" s="235">
        <f>EEFFun!AO22</f>
        <v>0</v>
      </c>
      <c r="AD23" s="235">
        <f>EEFFun!AP22</f>
        <v>0</v>
      </c>
      <c r="AE23" s="235">
        <f>EEFFun!AQ22</f>
        <v>0</v>
      </c>
      <c r="AF23" s="235">
        <f>EEFFun!AR22</f>
        <v>0</v>
      </c>
      <c r="AG23" s="235">
        <f>EEFFun!AS22</f>
        <v>0</v>
      </c>
      <c r="AH23" s="235">
        <f>EEFFun!AT22</f>
        <v>0</v>
      </c>
      <c r="AI23" s="235">
        <f>EEFFun!AU22</f>
        <v>0</v>
      </c>
      <c r="AJ23" s="235">
        <f>EEFFun!AV22</f>
        <v>0</v>
      </c>
      <c r="AK23" s="235">
        <f>EEFFun!AW22</f>
        <v>0</v>
      </c>
      <c r="AL23" s="235">
        <f>EEFFun!AX22</f>
        <v>0</v>
      </c>
      <c r="AM23" s="235">
        <f>AC23-INV!B17+INV!C17</f>
        <v>0</v>
      </c>
      <c r="AN23" s="235">
        <f>R23-INV!C16+INV!D16+INV!$N$16/12</f>
        <v>93446.720000000001</v>
      </c>
      <c r="AO23" s="235">
        <f>S23-INV!D16+INV!E16+INV!$N$16/12</f>
        <v>145324.17000000001</v>
      </c>
      <c r="AP23" s="235">
        <f>T23-INV!E16+INV!F16+INV!$N$16/12</f>
        <v>389401.73</v>
      </c>
      <c r="AQ23" s="235">
        <f>U23-INV!F16+INV!G16+INV!$N$16/12</f>
        <v>545416.85</v>
      </c>
      <c r="AR23" s="235">
        <f>V23-INV!G16+INV!H16+INV!$N$16/12+800000</f>
        <v>844624.19</v>
      </c>
      <c r="AS23" s="235">
        <f>W23-INV!H16+INV!I16+INV!$N$16/12+800000</f>
        <v>937818.79</v>
      </c>
      <c r="AT23" s="237">
        <v>1865632</v>
      </c>
      <c r="AU23" s="237">
        <v>2535411</v>
      </c>
      <c r="AV23" s="236">
        <f>3221436-800000</f>
        <v>2421436</v>
      </c>
      <c r="AW23" s="236">
        <f>3811625-2000000</f>
        <v>1811625</v>
      </c>
      <c r="AX23" s="236">
        <f>4365877-1000000-2000000</f>
        <v>1365877</v>
      </c>
      <c r="AY23" s="236">
        <f t="shared" si="6"/>
        <v>1321252.81</v>
      </c>
      <c r="AZ23" s="236">
        <f t="shared" si="7"/>
        <v>1321401.1299999999</v>
      </c>
      <c r="BA23" s="231">
        <f t="shared" si="15"/>
        <v>1.165399728565305E-3</v>
      </c>
      <c r="BB23" s="231">
        <f t="shared" si="16"/>
        <v>1.021274642696117E-2</v>
      </c>
      <c r="BC23" s="228">
        <f t="shared" si="8"/>
        <v>1727813.21</v>
      </c>
    </row>
    <row r="24" spans="1:55" outlineLevel="2" collapsed="1" x14ac:dyDescent="0.25">
      <c r="A24" s="222">
        <v>6</v>
      </c>
      <c r="B24" s="233" t="str">
        <f>EEFFun!B23</f>
        <v>130315</v>
      </c>
      <c r="C24" s="234" t="str">
        <f>EEFFun!C23</f>
        <v>De 91 a 180 días</v>
      </c>
      <c r="D24" s="235">
        <f>EEFFun!P23</f>
        <v>156611.21</v>
      </c>
      <c r="E24" s="235">
        <f>EEFFun!Q23</f>
        <v>0</v>
      </c>
      <c r="F24" s="235">
        <f>EEFFun!R23</f>
        <v>0</v>
      </c>
      <c r="G24" s="235">
        <f>EEFFun!S23</f>
        <v>0</v>
      </c>
      <c r="H24" s="235">
        <f>EEFFun!T23</f>
        <v>0</v>
      </c>
      <c r="I24" s="235">
        <f>EEFFun!U23</f>
        <v>0</v>
      </c>
      <c r="J24" s="235">
        <f>EEFFun!V23</f>
        <v>0</v>
      </c>
      <c r="K24" s="235">
        <f>EEFFun!W23</f>
        <v>0</v>
      </c>
      <c r="L24" s="235">
        <f>EEFFun!X23</f>
        <v>0</v>
      </c>
      <c r="M24" s="235">
        <f>EEFFun!Y23</f>
        <v>0</v>
      </c>
      <c r="N24" s="235">
        <f>EEFFun!Z23</f>
        <v>0</v>
      </c>
      <c r="O24" s="235">
        <f>EEFFun!AA23</f>
        <v>44540.01</v>
      </c>
      <c r="P24" s="235">
        <f>EEFFun!AB23</f>
        <v>149958.82999999999</v>
      </c>
      <c r="Q24" s="235">
        <f>EEFFun!AC23</f>
        <v>137670.47</v>
      </c>
      <c r="R24" s="235">
        <f>EEFFun!AD23</f>
        <v>138587.64000000001</v>
      </c>
      <c r="S24" s="235">
        <f>EEFFun!AE23</f>
        <v>138718.81</v>
      </c>
      <c r="T24" s="235">
        <f>EEFFun!AF23</f>
        <v>137798.26</v>
      </c>
      <c r="U24" s="235">
        <f>EEFFun!AG23</f>
        <v>138778.69</v>
      </c>
      <c r="V24" s="235">
        <f>EEFFun!AH23</f>
        <v>138707.72</v>
      </c>
      <c r="W24" s="235">
        <f>EEFFun!AI23</f>
        <v>137818.79</v>
      </c>
      <c r="X24" s="235">
        <f>EEFFun!AJ23</f>
        <v>0</v>
      </c>
      <c r="Y24" s="235">
        <f>EEFFun!AK23</f>
        <v>0</v>
      </c>
      <c r="Z24" s="235">
        <f>EEFFun!AL23</f>
        <v>0</v>
      </c>
      <c r="AA24" s="235">
        <f>EEFFun!AM23</f>
        <v>0</v>
      </c>
      <c r="AB24" s="235">
        <f>EEFFun!AN23</f>
        <v>0</v>
      </c>
      <c r="AC24" s="235">
        <f>EEFFun!AO23</f>
        <v>0</v>
      </c>
      <c r="AD24" s="235">
        <f>EEFFun!AP23</f>
        <v>0</v>
      </c>
      <c r="AE24" s="235">
        <f>EEFFun!AQ23</f>
        <v>0</v>
      </c>
      <c r="AF24" s="235">
        <f>EEFFun!AR23</f>
        <v>0</v>
      </c>
      <c r="AG24" s="235">
        <f>EEFFun!AS23</f>
        <v>0</v>
      </c>
      <c r="AH24" s="235">
        <f>EEFFun!AT23</f>
        <v>0</v>
      </c>
      <c r="AI24" s="235">
        <f>EEFFun!AU23</f>
        <v>0</v>
      </c>
      <c r="AJ24" s="235">
        <f>EEFFun!AV23</f>
        <v>0</v>
      </c>
      <c r="AK24" s="235">
        <f>EEFFun!AW23</f>
        <v>0</v>
      </c>
      <c r="AL24" s="235">
        <f>EEFFun!AX23</f>
        <v>0</v>
      </c>
      <c r="AM24" s="235">
        <f>AC24-INV!B18+INV!C18</f>
        <v>0</v>
      </c>
      <c r="AN24" s="235">
        <f>Q24-INV!G16-INV!E16+400000</f>
        <v>537670.47</v>
      </c>
      <c r="AO24" s="235">
        <f>R24-INV!H16-INV!F16</f>
        <v>138587.64000000001</v>
      </c>
      <c r="AP24" s="235">
        <f>S24-INV!I16-INV!G16</f>
        <v>138718.81</v>
      </c>
      <c r="AQ24" s="235">
        <f>T24-INV!J16-INV!H16</f>
        <v>137798.26</v>
      </c>
      <c r="AR24" s="235">
        <f>U24-INV!K16-INV!I16</f>
        <v>138778.69</v>
      </c>
      <c r="AS24" s="235">
        <f>V24-INV!L16-INV!J16</f>
        <v>138707.72</v>
      </c>
      <c r="AT24" s="235">
        <f>W24-INV!M16-INV!K16</f>
        <v>137818.79</v>
      </c>
      <c r="AU24" s="236">
        <f t="shared" ref="AU24" si="60">AT24</f>
        <v>137818.79</v>
      </c>
      <c r="AV24" s="235">
        <f>AU24-INV!M16+INV!K16+600000</f>
        <v>737818.79</v>
      </c>
      <c r="AW24" s="236">
        <f>AV24</f>
        <v>737818.79</v>
      </c>
      <c r="AX24" s="236">
        <f>AW24</f>
        <v>737818.79</v>
      </c>
      <c r="AY24" s="236">
        <f t="shared" si="6"/>
        <v>599111.07000000007</v>
      </c>
      <c r="AZ24" s="236">
        <f t="shared" si="7"/>
        <v>587859.96000000008</v>
      </c>
      <c r="BA24" s="231">
        <f t="shared" si="15"/>
        <v>3.9293661884066723E-3</v>
      </c>
      <c r="BB24" s="231">
        <f t="shared" si="16"/>
        <v>5.5167165208267754E-3</v>
      </c>
      <c r="BC24" s="228">
        <f t="shared" si="8"/>
        <v>0</v>
      </c>
    </row>
    <row r="25" spans="1:55" outlineLevel="2" collapsed="1" x14ac:dyDescent="0.25">
      <c r="A25" s="222">
        <v>6</v>
      </c>
      <c r="B25" s="233">
        <f>EEFFun!B24</f>
        <v>130320</v>
      </c>
      <c r="C25" s="234" t="str">
        <f>EEFFun!C24</f>
        <v>De 181 a 360 días</v>
      </c>
      <c r="D25" s="235">
        <f>EEFFun!P24</f>
        <v>0</v>
      </c>
      <c r="E25" s="235">
        <f>EEFFun!Q24</f>
        <v>0</v>
      </c>
      <c r="F25" s="235">
        <f>EEFFun!R24</f>
        <v>0</v>
      </c>
      <c r="G25" s="235">
        <f>EEFFun!S24</f>
        <v>0</v>
      </c>
      <c r="H25" s="235">
        <f>EEFFun!T24</f>
        <v>0</v>
      </c>
      <c r="I25" s="235">
        <f>EEFFun!U24</f>
        <v>0</v>
      </c>
      <c r="J25" s="235">
        <f>EEFFun!V24</f>
        <v>0</v>
      </c>
      <c r="K25" s="235">
        <f>EEFFun!W24</f>
        <v>0</v>
      </c>
      <c r="L25" s="235">
        <f>EEFFun!X24</f>
        <v>0</v>
      </c>
      <c r="M25" s="235">
        <f>EEFFun!Y24</f>
        <v>0</v>
      </c>
      <c r="N25" s="235">
        <f>EEFFun!Z24</f>
        <v>0</v>
      </c>
      <c r="O25" s="235">
        <f>EEFFun!AA24</f>
        <v>89080.03</v>
      </c>
      <c r="P25" s="235">
        <f>EEFFun!AB24</f>
        <v>262556.32</v>
      </c>
      <c r="Q25" s="235">
        <f>EEFFun!AC24</f>
        <v>275340.96000000002</v>
      </c>
      <c r="R25" s="235">
        <f>EEFFun!AD24</f>
        <v>277175.28999999998</v>
      </c>
      <c r="S25" s="235">
        <f>EEFFun!AE24</f>
        <v>277437.62</v>
      </c>
      <c r="T25" s="235">
        <f>EEFFun!AF24</f>
        <v>275596.52</v>
      </c>
      <c r="U25" s="235">
        <f>EEFFun!AG24</f>
        <v>277557.38</v>
      </c>
      <c r="V25" s="235">
        <f>EEFFun!AH24</f>
        <v>277415.43</v>
      </c>
      <c r="W25" s="235">
        <f>EEFFun!AI24</f>
        <v>275637.57</v>
      </c>
      <c r="X25" s="235">
        <f>EEFFun!AJ24</f>
        <v>277598.40999999997</v>
      </c>
      <c r="Y25" s="235">
        <f>EEFFun!AK24</f>
        <v>277461.81</v>
      </c>
      <c r="Z25" s="235">
        <f>EEFFun!AL24</f>
        <v>275649.21999999997</v>
      </c>
      <c r="AA25" s="235">
        <f>EEFFun!AM24</f>
        <v>277552.96999999997</v>
      </c>
      <c r="AB25" s="235">
        <f>EEFFun!AN24</f>
        <v>277478.68</v>
      </c>
      <c r="AC25" s="235">
        <f>EEFFun!AO24</f>
        <v>275659.74</v>
      </c>
      <c r="AD25" s="235">
        <f>EEFFun!AP24</f>
        <v>277430.82</v>
      </c>
      <c r="AE25" s="235">
        <f>EEFFun!AQ24</f>
        <v>277396.57</v>
      </c>
      <c r="AF25" s="235">
        <f>EEFFun!AR24</f>
        <v>179949.74</v>
      </c>
      <c r="AG25" s="235">
        <f>EEFFun!AS24</f>
        <v>181254.44</v>
      </c>
      <c r="AH25" s="235">
        <f>EEFFun!AT24</f>
        <v>225610.63</v>
      </c>
      <c r="AI25" s="235">
        <f>EEFFun!AU24</f>
        <v>214290.17</v>
      </c>
      <c r="AJ25" s="235">
        <f>EEFFun!AV24</f>
        <v>110414.95</v>
      </c>
      <c r="AK25" s="235">
        <f>EEFFun!AW24</f>
        <v>111142.79</v>
      </c>
      <c r="AL25" s="235">
        <f>EEFFun!AX24</f>
        <v>0</v>
      </c>
      <c r="AM25" s="235">
        <f>AC25-INV!B19+INV!C19</f>
        <v>275659.74</v>
      </c>
      <c r="AN25" s="235">
        <f>R25+INV!$N$16/12</f>
        <v>277175.28999999998</v>
      </c>
      <c r="AO25" s="235">
        <f>S25+INV!$N$16/12</f>
        <v>277437.62</v>
      </c>
      <c r="AP25" s="235">
        <f>T25+INV!$N$16/12</f>
        <v>275596.52</v>
      </c>
      <c r="AQ25" s="235">
        <f>U25+INV!$N$16/12</f>
        <v>277557.38</v>
      </c>
      <c r="AR25" s="235">
        <f>V25+INV!$N$16/12</f>
        <v>277415.43</v>
      </c>
      <c r="AS25" s="235">
        <f>W25+INV!$N$16/12</f>
        <v>275637.57</v>
      </c>
      <c r="AT25" s="235">
        <f>X25+INV!$N$16/12</f>
        <v>277598.40999999997</v>
      </c>
      <c r="AU25" s="235">
        <f>Y25+INV!$N$16/12+500000</f>
        <v>777461.81</v>
      </c>
      <c r="AV25" s="235">
        <f>Z25+INV!$N$16/12+600000</f>
        <v>875649.22</v>
      </c>
      <c r="AW25" s="235">
        <f>AA25+INV!$N$16/12</f>
        <v>277552.96999999997</v>
      </c>
      <c r="AX25" s="235">
        <f>AB25+INV!$N$16/12+900000</f>
        <v>1177478.68</v>
      </c>
      <c r="AY25" s="236">
        <f t="shared" si="6"/>
        <v>900063.25</v>
      </c>
      <c r="AZ25" s="236">
        <f t="shared" si="7"/>
        <v>914922.35999999987</v>
      </c>
      <c r="BA25" s="231">
        <f t="shared" si="15"/>
        <v>6.8797544390049106E-3</v>
      </c>
      <c r="BB25" s="231">
        <f t="shared" si="16"/>
        <v>8.8040805885104979E-3</v>
      </c>
      <c r="BC25" s="228">
        <f t="shared" si="8"/>
        <v>1960.8399999999674</v>
      </c>
    </row>
    <row r="26" spans="1:55" outlineLevel="2" collapsed="1" x14ac:dyDescent="0.25">
      <c r="A26" s="222">
        <v>6</v>
      </c>
      <c r="B26" s="233">
        <f>EEFFun!B25</f>
        <v>130325</v>
      </c>
      <c r="C26" s="234" t="str">
        <f>EEFFun!C25</f>
        <v>De más de 360 días</v>
      </c>
      <c r="D26" s="235">
        <f>EEFFun!P25</f>
        <v>0</v>
      </c>
      <c r="E26" s="235">
        <f>EEFFun!Q25</f>
        <v>0</v>
      </c>
      <c r="F26" s="235">
        <f>EEFFun!R25</f>
        <v>0</v>
      </c>
      <c r="G26" s="235">
        <f>EEFFun!S25</f>
        <v>0</v>
      </c>
      <c r="H26" s="235">
        <f>EEFFun!T25</f>
        <v>0</v>
      </c>
      <c r="I26" s="235">
        <f>EEFFun!U25</f>
        <v>0</v>
      </c>
      <c r="J26" s="235">
        <f>EEFFun!V25</f>
        <v>0</v>
      </c>
      <c r="K26" s="235">
        <f>EEFFun!W25</f>
        <v>0</v>
      </c>
      <c r="L26" s="235">
        <f>EEFFun!X25</f>
        <v>0</v>
      </c>
      <c r="M26" s="235">
        <f>EEFFun!Y25</f>
        <v>0</v>
      </c>
      <c r="N26" s="235">
        <f>EEFFun!Z25</f>
        <v>0</v>
      </c>
      <c r="O26" s="235">
        <f>EEFFun!AA25</f>
        <v>811578.89</v>
      </c>
      <c r="P26" s="235">
        <f>EEFFun!AB25</f>
        <v>2743467.8</v>
      </c>
      <c r="Q26" s="235">
        <f>EEFFun!AC25</f>
        <v>2652640.08</v>
      </c>
      <c r="R26" s="235">
        <f>EEFFun!AD25</f>
        <v>2670199.9300000002</v>
      </c>
      <c r="S26" s="235">
        <f>EEFFun!AE25</f>
        <v>2630878.84</v>
      </c>
      <c r="T26" s="235">
        <f>EEFFun!AF25</f>
        <v>2516761.98</v>
      </c>
      <c r="U26" s="235">
        <f>EEFFun!AG25</f>
        <v>2534552.41</v>
      </c>
      <c r="V26" s="235">
        <f>EEFFun!AH25</f>
        <v>2492006.6</v>
      </c>
      <c r="W26" s="235">
        <f>EEFFun!AI25</f>
        <v>2379352.61</v>
      </c>
      <c r="X26" s="235">
        <f>EEFFun!AJ25</f>
        <v>2396162.66</v>
      </c>
      <c r="Y26" s="235">
        <f>EEFFun!AK25</f>
        <v>2353721.65</v>
      </c>
      <c r="Z26" s="235">
        <f>EEFFun!AL25</f>
        <v>2241608.2000000002</v>
      </c>
      <c r="AA26" s="235">
        <f>EEFFun!AM25</f>
        <v>2256966.2200000002</v>
      </c>
      <c r="AB26" s="235">
        <f>EEFFun!AN25</f>
        <v>2215090.7400000002</v>
      </c>
      <c r="AC26" s="235">
        <f>EEFFun!AO25</f>
        <v>2103846.34</v>
      </c>
      <c r="AD26" s="235">
        <f>EEFFun!AP25</f>
        <v>2117258.52</v>
      </c>
      <c r="AE26" s="235">
        <f>EEFFun!AQ25</f>
        <v>2075655.87</v>
      </c>
      <c r="AF26" s="235">
        <f>EEFFun!AR25</f>
        <v>2022468.68</v>
      </c>
      <c r="AG26" s="235">
        <f>EEFFun!AS25</f>
        <v>2021779.22</v>
      </c>
      <c r="AH26" s="235">
        <f>EEFFun!AT25</f>
        <v>1639782.48</v>
      </c>
      <c r="AI26" s="235">
        <f>EEFFun!AU25</f>
        <v>1511810.09</v>
      </c>
      <c r="AJ26" s="235">
        <f>EEFFun!AV25</f>
        <v>638778.97</v>
      </c>
      <c r="AK26" s="235">
        <f>EEFFun!AW25</f>
        <v>642989.80000000005</v>
      </c>
      <c r="AL26" s="235">
        <f>EEFFun!AX25</f>
        <v>0</v>
      </c>
      <c r="AM26" s="235">
        <f>AC26-INV!B20+INV!C20-1400000-570000</f>
        <v>133846.33999999985</v>
      </c>
      <c r="AN26" s="235">
        <f>R26-INV!$N$16/12-INV!C17-1900000</f>
        <v>770199.93000000017</v>
      </c>
      <c r="AO26" s="235">
        <f>S26-INV!$N$16/12-INV!D17-1900000</f>
        <v>730878.83999999985</v>
      </c>
      <c r="AP26" s="235">
        <f>T26-INV!$N$16/12-INV!E17-1800000+1000000</f>
        <v>1716761.98</v>
      </c>
      <c r="AQ26" s="235">
        <f>U26-INV!$N$16/12-INV!F17-1800000+1000000</f>
        <v>1734552.4100000001</v>
      </c>
      <c r="AR26" s="235">
        <f>V26-INV!$N$16/12-INV!G17</f>
        <v>2492006.6</v>
      </c>
      <c r="AS26" s="235">
        <f>W26-INV!$N$16/12-INV!H17+1000000-1100000</f>
        <v>2279352.61</v>
      </c>
      <c r="AT26" s="235">
        <f>X26-INV!$N$16/12-INV!I17+1500000-600000</f>
        <v>2496162.66</v>
      </c>
      <c r="AU26" s="235">
        <f>Y26-INV!$N$16/12-INV!J17</f>
        <v>1553721.65</v>
      </c>
      <c r="AV26" s="235">
        <f>Z26-INV!$N$16/12-INV!K17+1000000</f>
        <v>3241608.2</v>
      </c>
      <c r="AW26" s="235">
        <f>AA26-INV!$N$16/12-INV!L17</f>
        <v>2256966.2200000002</v>
      </c>
      <c r="AX26" s="235">
        <f>AB26-INV!$N$16/12-INV!M17</f>
        <v>2215090.7400000002</v>
      </c>
      <c r="AY26" s="236">
        <f t="shared" si="6"/>
        <v>-276915.85999999987</v>
      </c>
      <c r="AZ26" s="236">
        <f t="shared" si="7"/>
        <v>-528377.05999999959</v>
      </c>
      <c r="BA26" s="231">
        <f t="shared" si="15"/>
        <v>7.1886994665818882E-2</v>
      </c>
      <c r="BB26" s="231">
        <f t="shared" si="16"/>
        <v>1.6562369847599585E-2</v>
      </c>
      <c r="BC26" s="228">
        <f t="shared" si="8"/>
        <v>116810.05000000028</v>
      </c>
    </row>
    <row r="27" spans="1:55" s="229" customFormat="1" outlineLevel="2" collapsed="1" x14ac:dyDescent="0.25">
      <c r="A27" s="222">
        <v>4</v>
      </c>
      <c r="B27" s="223">
        <f>EEFFun!B26</f>
        <v>1304</v>
      </c>
      <c r="C27" s="230" t="str">
        <f>EEFFun!C26</f>
        <v>Disponibles para la venta del estado o de entidades sector público</v>
      </c>
      <c r="D27" s="225">
        <f>EEFFun!P26</f>
        <v>1195356.73</v>
      </c>
      <c r="E27" s="225">
        <f>EEFFun!Q26</f>
        <v>1198541.3400000001</v>
      </c>
      <c r="F27" s="225">
        <f>EEFFun!R26</f>
        <v>1201417.77</v>
      </c>
      <c r="G27" s="225">
        <f>EEFFun!S26</f>
        <v>1204602.3799999999</v>
      </c>
      <c r="H27" s="225">
        <f>EEFFun!T26</f>
        <v>1207684.26</v>
      </c>
      <c r="I27" s="225">
        <f>EEFFun!U26</f>
        <v>1210868.8799999999</v>
      </c>
      <c r="J27" s="225">
        <f>EEFFun!V26</f>
        <v>892037.29</v>
      </c>
      <c r="K27" s="225">
        <f>EEFFun!W26</f>
        <v>332131.87</v>
      </c>
      <c r="L27" s="225">
        <f>EEFFun!X26</f>
        <v>332972.21000000002</v>
      </c>
      <c r="M27" s="225">
        <f>EEFFun!Y26</f>
        <v>333785.44</v>
      </c>
      <c r="N27" s="225">
        <f>EEFFun!Z26</f>
        <v>119572.78</v>
      </c>
      <c r="O27" s="225">
        <f>EEFFun!AA26</f>
        <v>119864.07</v>
      </c>
      <c r="P27" s="225">
        <f>EEFFun!AB26</f>
        <v>119506.7</v>
      </c>
      <c r="Q27" s="225">
        <f>EEFFun!AC26</f>
        <v>318411.53000000003</v>
      </c>
      <c r="R27" s="225">
        <f>EEFFun!AD26</f>
        <v>319022.94</v>
      </c>
      <c r="S27" s="225">
        <f>EEFFun!AE26</f>
        <v>418285.24</v>
      </c>
      <c r="T27" s="225">
        <f>EEFFun!AF26</f>
        <v>597604.13</v>
      </c>
      <c r="U27" s="225">
        <f>EEFFun!AG26</f>
        <v>798487.53</v>
      </c>
      <c r="V27" s="225">
        <f>EEFFun!AH26</f>
        <v>1243123.0900000001</v>
      </c>
      <c r="W27" s="225">
        <f>EEFFun!AI26</f>
        <v>1243953.33</v>
      </c>
      <c r="X27" s="225">
        <f>EEFFun!AJ26</f>
        <v>1244880.1299999999</v>
      </c>
      <c r="Y27" s="225">
        <f>EEFFun!AK26</f>
        <v>1243156.02</v>
      </c>
      <c r="Z27" s="225">
        <f>EEFFun!AL26</f>
        <v>1243987.3799999999</v>
      </c>
      <c r="AA27" s="225">
        <f>EEFFun!AM26</f>
        <v>1344563.54</v>
      </c>
      <c r="AB27" s="225">
        <f>EEFFun!AN26</f>
        <v>1345585.81</v>
      </c>
      <c r="AC27" s="225">
        <f>EEFFun!AO26</f>
        <v>1543183.88</v>
      </c>
      <c r="AD27" s="225">
        <f>EEFFun!AP26</f>
        <v>1543770.52</v>
      </c>
      <c r="AE27" s="225">
        <f>EEFFun!AQ26</f>
        <v>1544918.53</v>
      </c>
      <c r="AF27" s="225">
        <f>EEFFun!AR26</f>
        <v>1691354.76</v>
      </c>
      <c r="AG27" s="225">
        <f>EEFFun!AS26</f>
        <v>1692858.87</v>
      </c>
      <c r="AH27" s="225">
        <f>EEFFun!AT26</f>
        <v>1694604.49</v>
      </c>
      <c r="AI27" s="225">
        <f>EEFFun!AU26</f>
        <v>1850971.12</v>
      </c>
      <c r="AJ27" s="225">
        <f>EEFFun!AV26</f>
        <v>1852904.2</v>
      </c>
      <c r="AK27" s="225">
        <f>EEFFun!AW26</f>
        <v>1954783.68</v>
      </c>
      <c r="AL27" s="225">
        <f>EEFFun!AX26</f>
        <v>2050883.44</v>
      </c>
      <c r="AM27" s="226">
        <f t="shared" ref="AM27:AS27" si="61">SUM(AM28:AM31)</f>
        <v>1543183.88</v>
      </c>
      <c r="AN27" s="226">
        <f t="shared" si="61"/>
        <v>1543770.52</v>
      </c>
      <c r="AO27" s="226">
        <f t="shared" si="61"/>
        <v>2544918.5299999998</v>
      </c>
      <c r="AP27" s="226">
        <f t="shared" si="61"/>
        <v>2492200.6800000002</v>
      </c>
      <c r="AQ27" s="226">
        <f t="shared" si="61"/>
        <v>2292858.87</v>
      </c>
      <c r="AR27" s="226">
        <f t="shared" si="61"/>
        <v>1694604.49</v>
      </c>
      <c r="AS27" s="226">
        <f t="shared" si="61"/>
        <v>2050971.12</v>
      </c>
      <c r="AT27" s="226">
        <f t="shared" ref="AT27" si="62">SUM(AT28:AT31)</f>
        <v>2352904.2000000002</v>
      </c>
      <c r="AU27" s="226">
        <f t="shared" ref="AU27" si="63">SUM(AU28:AU31)</f>
        <v>1954783.6800000002</v>
      </c>
      <c r="AV27" s="226">
        <f t="shared" ref="AV27" si="64">SUM(AV28:AV31)</f>
        <v>1050883.44</v>
      </c>
      <c r="AW27" s="226">
        <f t="shared" ref="AW27" si="65">SUM(AW28:AW31)</f>
        <v>3043183.88</v>
      </c>
      <c r="AX27" s="226">
        <f t="shared" ref="AX27" si="66">SUM(AX28:AX31)</f>
        <v>3243770.52</v>
      </c>
      <c r="AY27" s="226">
        <f t="shared" si="6"/>
        <v>2000647.43</v>
      </c>
      <c r="AZ27" s="226">
        <f t="shared" si="7"/>
        <v>3124263.82</v>
      </c>
      <c r="BA27" s="231">
        <f t="shared" si="15"/>
        <v>3.1314300482876518E-3</v>
      </c>
      <c r="BB27" s="231">
        <f t="shared" si="16"/>
        <v>2.4253871899162206E-2</v>
      </c>
      <c r="BC27" s="228">
        <f t="shared" si="8"/>
        <v>1108950.8700000001</v>
      </c>
    </row>
    <row r="28" spans="1:55" outlineLevel="2" collapsed="1" x14ac:dyDescent="0.25">
      <c r="A28" s="222">
        <v>6</v>
      </c>
      <c r="B28" s="233">
        <f>EEFFun!B27</f>
        <v>130405</v>
      </c>
      <c r="C28" s="234" t="str">
        <f>EEFFun!C27</f>
        <v>De 1 a 30 días</v>
      </c>
      <c r="D28" s="235">
        <f>EEFFun!P27</f>
        <v>0</v>
      </c>
      <c r="E28" s="235">
        <f>EEFFun!Q27</f>
        <v>0</v>
      </c>
      <c r="F28" s="235">
        <f>EEFFun!R27</f>
        <v>0</v>
      </c>
      <c r="G28" s="235">
        <f>EEFFun!S27</f>
        <v>0</v>
      </c>
      <c r="H28" s="235">
        <f>EEFFun!T27</f>
        <v>0</v>
      </c>
      <c r="I28" s="235">
        <f>EEFFun!U27</f>
        <v>0</v>
      </c>
      <c r="J28" s="235">
        <f>EEFFun!V27</f>
        <v>0</v>
      </c>
      <c r="K28" s="235">
        <f>EEFFun!W27</f>
        <v>0</v>
      </c>
      <c r="L28" s="235">
        <f>EEFFun!X27</f>
        <v>0</v>
      </c>
      <c r="M28" s="235">
        <f>EEFFun!Y27</f>
        <v>109768.59</v>
      </c>
      <c r="N28" s="235">
        <f>EEFFun!Z27</f>
        <v>0</v>
      </c>
      <c r="O28" s="235">
        <f>EEFFun!AA27</f>
        <v>119864.07</v>
      </c>
      <c r="P28" s="235">
        <f>EEFFun!AB27</f>
        <v>0</v>
      </c>
      <c r="Q28" s="235">
        <f>EEFFun!AC27</f>
        <v>0</v>
      </c>
      <c r="R28" s="235">
        <f>EEFFun!AD27</f>
        <v>119906.67</v>
      </c>
      <c r="S28" s="235">
        <f>EEFFun!AE27</f>
        <v>99894.01</v>
      </c>
      <c r="T28" s="235">
        <f>EEFFun!AF27</f>
        <v>99889.73</v>
      </c>
      <c r="U28" s="235">
        <f>EEFFun!AG27</f>
        <v>219795.27</v>
      </c>
      <c r="V28" s="235">
        <f>EEFFun!AH27</f>
        <v>279830.46000000002</v>
      </c>
      <c r="W28" s="235">
        <f>EEFFun!AI27</f>
        <v>300834.71000000002</v>
      </c>
      <c r="X28" s="235">
        <f>EEFFun!AJ27</f>
        <v>666144.12</v>
      </c>
      <c r="Y28" s="235">
        <f>EEFFun!AK27</f>
        <v>279852.86</v>
      </c>
      <c r="Z28" s="235">
        <f>EEFFun!AL27</f>
        <v>300856.03999999998</v>
      </c>
      <c r="AA28" s="235">
        <f>EEFFun!AM27</f>
        <v>284766.08000000002</v>
      </c>
      <c r="AB28" s="235">
        <f>EEFFun!AN27</f>
        <v>662003</v>
      </c>
      <c r="AC28" s="235">
        <f>EEFFun!AO27</f>
        <v>401072.72</v>
      </c>
      <c r="AD28" s="235">
        <f>EEFFun!AP27</f>
        <v>284743.28999999998</v>
      </c>
      <c r="AE28" s="235">
        <f>EEFFun!AQ27</f>
        <v>861728.33</v>
      </c>
      <c r="AF28" s="235">
        <f>EEFFun!AR27</f>
        <v>401013.1</v>
      </c>
      <c r="AG28" s="235">
        <f>EEFFun!AS27</f>
        <v>284688.81</v>
      </c>
      <c r="AH28" s="235">
        <f>EEFFun!AT27</f>
        <v>1011504.49</v>
      </c>
      <c r="AI28" s="235">
        <f>EEFFun!AU27</f>
        <v>401015.27</v>
      </c>
      <c r="AJ28" s="235">
        <f>EEFFun!AV27</f>
        <v>284715.8</v>
      </c>
      <c r="AK28" s="235">
        <f>EEFFun!AW27</f>
        <v>1171879.3</v>
      </c>
      <c r="AL28" s="235">
        <f>EEFFun!AX27</f>
        <v>401046.15</v>
      </c>
      <c r="AM28" s="235">
        <f>AC28-INV!B22+INV!C22</f>
        <v>401072.72</v>
      </c>
      <c r="AN28" s="235">
        <f>AD28-INV!C22+INV!D22</f>
        <v>284743.28999999998</v>
      </c>
      <c r="AO28" s="235">
        <f>AE28-INV!D22+INV!E22</f>
        <v>861728.33</v>
      </c>
      <c r="AP28" s="235">
        <f>AF28-INV!E22+INV!F22</f>
        <v>401013.1</v>
      </c>
      <c r="AQ28" s="235">
        <f>AG28-INV!F22+INV!G22+500000</f>
        <v>784688.81</v>
      </c>
      <c r="AR28" s="235">
        <f>AH28-INV!G22+INV!H22</f>
        <v>1011504.49</v>
      </c>
      <c r="AS28" s="235">
        <f>AI28-INV!H22+INV!I22+1000000</f>
        <v>1401015.27</v>
      </c>
      <c r="AT28" s="235">
        <f>AJ28-INV!I22+INV!J22+1500000</f>
        <v>1784715.8</v>
      </c>
      <c r="AU28" s="235">
        <f>AK28-INV!J22+INV!K22</f>
        <v>1171879.3</v>
      </c>
      <c r="AV28" s="235">
        <f>AL28-INV!K22+INV!L22</f>
        <v>401046.15</v>
      </c>
      <c r="AW28" s="235">
        <f>AM28-INV!L22+INV!M22+2000000-500000</f>
        <v>1901072.7199999997</v>
      </c>
      <c r="AX28" s="235">
        <f>AN28-INV!M22+INV!N22+2500000-1000000</f>
        <v>1784743.29</v>
      </c>
      <c r="AY28" s="236">
        <f t="shared" si="6"/>
        <v>1504912.83</v>
      </c>
      <c r="AZ28" s="236">
        <f t="shared" si="7"/>
        <v>1784743.29</v>
      </c>
      <c r="BA28" s="231">
        <f t="shared" si="15"/>
        <v>0</v>
      </c>
      <c r="BB28" s="231">
        <f t="shared" si="16"/>
        <v>1.3344635467169023E-2</v>
      </c>
      <c r="BC28" s="228">
        <f t="shared" si="8"/>
        <v>1483881.09</v>
      </c>
    </row>
    <row r="29" spans="1:55" outlineLevel="2" collapsed="1" x14ac:dyDescent="0.25">
      <c r="A29" s="222">
        <v>6</v>
      </c>
      <c r="B29" s="233">
        <f>EEFFun!B28</f>
        <v>130410</v>
      </c>
      <c r="C29" s="234" t="str">
        <f>EEFFun!C28</f>
        <v>De 31 a 90 días</v>
      </c>
      <c r="D29" s="235">
        <f>EEFFun!P28</f>
        <v>0</v>
      </c>
      <c r="E29" s="235">
        <f>EEFFun!Q28</f>
        <v>0</v>
      </c>
      <c r="F29" s="235">
        <f>EEFFun!R28</f>
        <v>0</v>
      </c>
      <c r="G29" s="235">
        <f>EEFFun!S28</f>
        <v>0</v>
      </c>
      <c r="H29" s="235">
        <f>EEFFun!T28</f>
        <v>0</v>
      </c>
      <c r="I29" s="235">
        <f>EEFFun!U28</f>
        <v>0</v>
      </c>
      <c r="J29" s="235">
        <f>EEFFun!V28</f>
        <v>0</v>
      </c>
      <c r="K29" s="235">
        <f>EEFFun!W28</f>
        <v>109225.67</v>
      </c>
      <c r="L29" s="235">
        <f>EEFFun!X28</f>
        <v>213991.71</v>
      </c>
      <c r="M29" s="235">
        <f>EEFFun!Y28</f>
        <v>224016.85</v>
      </c>
      <c r="N29" s="235">
        <f>EEFFun!Z28</f>
        <v>119572.78</v>
      </c>
      <c r="O29" s="235">
        <f>EEFFun!AA28</f>
        <v>0</v>
      </c>
      <c r="P29" s="235">
        <f>EEFFun!AB28</f>
        <v>119506.7</v>
      </c>
      <c r="Q29" s="235">
        <f>EEFFun!AC28</f>
        <v>219183.41</v>
      </c>
      <c r="R29" s="235">
        <f>EEFFun!AD28</f>
        <v>199116.27</v>
      </c>
      <c r="S29" s="235">
        <f>EEFFun!AE28</f>
        <v>318391.23</v>
      </c>
      <c r="T29" s="235">
        <f>EEFFun!AF28</f>
        <v>497714.4</v>
      </c>
      <c r="U29" s="235">
        <f>EEFFun!AG28</f>
        <v>578692.26</v>
      </c>
      <c r="V29" s="235">
        <f>EEFFun!AH28</f>
        <v>963292.63</v>
      </c>
      <c r="W29" s="235">
        <f>EEFFun!AI28</f>
        <v>943118.62</v>
      </c>
      <c r="X29" s="235">
        <f>EEFFun!AJ28</f>
        <v>578736.01</v>
      </c>
      <c r="Y29" s="235">
        <f>EEFFun!AK28</f>
        <v>583570.62</v>
      </c>
      <c r="Z29" s="235">
        <f>EEFFun!AL28</f>
        <v>943131.34</v>
      </c>
      <c r="AA29" s="235">
        <f>EEFFun!AM28</f>
        <v>1059797.46</v>
      </c>
      <c r="AB29" s="235">
        <f>EEFFun!AN28</f>
        <v>683582.81</v>
      </c>
      <c r="AC29" s="235">
        <f>EEFFun!AO28</f>
        <v>1142111.1599999999</v>
      </c>
      <c r="AD29" s="235">
        <f>EEFFun!AP28</f>
        <v>1259027.23</v>
      </c>
      <c r="AE29" s="235">
        <f>EEFFun!AQ28</f>
        <v>683190.2</v>
      </c>
      <c r="AF29" s="235">
        <f>EEFFun!AR28</f>
        <v>1091187.58</v>
      </c>
      <c r="AG29" s="235">
        <f>EEFFun!AS28</f>
        <v>1408170.06</v>
      </c>
      <c r="AH29" s="235">
        <f>EEFFun!AT28</f>
        <v>683100</v>
      </c>
      <c r="AI29" s="235">
        <f>EEFFun!AU28</f>
        <v>1449955.85</v>
      </c>
      <c r="AJ29" s="235">
        <f>EEFFun!AV28</f>
        <v>1568188.4</v>
      </c>
      <c r="AK29" s="235">
        <f>EEFFun!AW28</f>
        <v>782904.38</v>
      </c>
      <c r="AL29" s="235">
        <f>EEFFun!AX28</f>
        <v>1649837.29</v>
      </c>
      <c r="AM29" s="235">
        <f>AC29-INV!B23+INV!C23</f>
        <v>1142111.1599999999</v>
      </c>
      <c r="AN29" s="235">
        <f>AD29-INV!C23+INV!D23</f>
        <v>1259027.23</v>
      </c>
      <c r="AO29" s="235">
        <f>AE29-INV!D23+INV!E23+1000000</f>
        <v>1683190.2</v>
      </c>
      <c r="AP29" s="235">
        <f>AF29-INV!E23+INV!F23+1000000</f>
        <v>2091187.58</v>
      </c>
      <c r="AQ29" s="235">
        <f>AG29-INV!F23+INV!G23+100000</f>
        <v>1508170.06</v>
      </c>
      <c r="AR29" s="235">
        <f>AH29-INV!G23+INV!H23</f>
        <v>683100</v>
      </c>
      <c r="AS29" s="235">
        <f>AI29-INV!H23+INV!I23-800000</f>
        <v>649955.85000000009</v>
      </c>
      <c r="AT29" s="235">
        <f>AJ29-INV!I23+INV!J23-1000000</f>
        <v>568188.39999999991</v>
      </c>
      <c r="AU29" s="235">
        <f>AK29-INV!J23+INV!K23</f>
        <v>782904.38</v>
      </c>
      <c r="AV29" s="235">
        <f>AL29-INV!K23+INV!L23-1000000</f>
        <v>649837.29</v>
      </c>
      <c r="AW29" s="235">
        <f>AM29-INV!L23+INV!M23</f>
        <v>1142111.1599999999</v>
      </c>
      <c r="AX29" s="235">
        <f>AN29-INV!M23+INV!N23+2000000-1800000</f>
        <v>1459027.23</v>
      </c>
      <c r="AY29" s="236">
        <f t="shared" si="6"/>
        <v>495734.6</v>
      </c>
      <c r="AZ29" s="236">
        <f t="shared" si="7"/>
        <v>1339520.53</v>
      </c>
      <c r="BA29" s="231">
        <f t="shared" si="15"/>
        <v>3.1314300482876518E-3</v>
      </c>
      <c r="BB29" s="231">
        <f t="shared" si="16"/>
        <v>1.0909236431993184E-2</v>
      </c>
      <c r="BC29" s="228">
        <f t="shared" si="8"/>
        <v>-374930.22000000009</v>
      </c>
    </row>
    <row r="30" spans="1:55" outlineLevel="2" collapsed="1" x14ac:dyDescent="0.25">
      <c r="A30" s="222">
        <v>6</v>
      </c>
      <c r="B30" s="233">
        <f>EEFFun!B29</f>
        <v>130415</v>
      </c>
      <c r="C30" s="234" t="str">
        <f>EEFFun!C29</f>
        <v>De 91 a 180 días</v>
      </c>
      <c r="D30" s="235">
        <f>EEFFun!P29</f>
        <v>0</v>
      </c>
      <c r="E30" s="235">
        <f>EEFFun!Q29</f>
        <v>0</v>
      </c>
      <c r="F30" s="235">
        <f>EEFFun!R29</f>
        <v>0</v>
      </c>
      <c r="G30" s="235">
        <f>EEFFun!S29</f>
        <v>0</v>
      </c>
      <c r="H30" s="235">
        <f>EEFFun!T29</f>
        <v>459793.53</v>
      </c>
      <c r="I30" s="235">
        <f>EEFFun!U29</f>
        <v>1004114.29</v>
      </c>
      <c r="J30" s="235">
        <f>EEFFun!V29</f>
        <v>892037.29</v>
      </c>
      <c r="K30" s="235">
        <f>EEFFun!W29</f>
        <v>222906.2</v>
      </c>
      <c r="L30" s="235">
        <f>EEFFun!X29</f>
        <v>118980.5</v>
      </c>
      <c r="M30" s="235">
        <f>EEFFun!Y29</f>
        <v>0</v>
      </c>
      <c r="N30" s="235">
        <f>EEFFun!Z29</f>
        <v>0</v>
      </c>
      <c r="O30" s="235">
        <f>EEFFun!AA29</f>
        <v>0</v>
      </c>
      <c r="P30" s="235">
        <f>EEFFun!AB29</f>
        <v>0</v>
      </c>
      <c r="Q30" s="235">
        <f>EEFFun!AC29</f>
        <v>99228.12</v>
      </c>
      <c r="R30" s="235">
        <f>EEFFun!AD29</f>
        <v>0</v>
      </c>
      <c r="S30" s="235">
        <f>EEFFun!AE29</f>
        <v>0</v>
      </c>
      <c r="T30" s="235">
        <f>EEFFun!AF29</f>
        <v>0</v>
      </c>
      <c r="U30" s="235">
        <f>EEFFun!AG29</f>
        <v>0</v>
      </c>
      <c r="V30" s="235">
        <f>EEFFun!AH29</f>
        <v>0</v>
      </c>
      <c r="W30" s="235">
        <f>EEFFun!AI29</f>
        <v>0</v>
      </c>
      <c r="X30" s="235">
        <f>EEFFun!AJ29</f>
        <v>0</v>
      </c>
      <c r="Y30" s="235">
        <f>EEFFun!AK29</f>
        <v>0</v>
      </c>
      <c r="Z30" s="235">
        <f>EEFFun!AL29</f>
        <v>0</v>
      </c>
      <c r="AA30" s="235">
        <f>EEFFun!AM29</f>
        <v>0</v>
      </c>
      <c r="AB30" s="235">
        <f>EEFFun!AN29</f>
        <v>0</v>
      </c>
      <c r="AC30" s="235">
        <f>EEFFun!AO29</f>
        <v>0</v>
      </c>
      <c r="AD30" s="235">
        <f>EEFFun!AP29</f>
        <v>0</v>
      </c>
      <c r="AE30" s="235">
        <f>EEFFun!AQ29</f>
        <v>0</v>
      </c>
      <c r="AF30" s="235">
        <f>EEFFun!AR29</f>
        <v>0</v>
      </c>
      <c r="AG30" s="235">
        <f>EEFFun!AS29</f>
        <v>0</v>
      </c>
      <c r="AH30" s="235">
        <f>EEFFun!AT29</f>
        <v>0</v>
      </c>
      <c r="AI30" s="235">
        <f>EEFFun!AU29</f>
        <v>0</v>
      </c>
      <c r="AJ30" s="235">
        <f>EEFFun!AV29</f>
        <v>0</v>
      </c>
      <c r="AK30" s="235">
        <f>EEFFun!AW29</f>
        <v>0</v>
      </c>
      <c r="AL30" s="235">
        <f>EEFFun!AX29</f>
        <v>0</v>
      </c>
      <c r="AM30" s="235">
        <f>AC30-INV!B24+INV!C24</f>
        <v>0</v>
      </c>
      <c r="AN30" s="235">
        <f>AD30-INV!C24+INV!D24</f>
        <v>0</v>
      </c>
      <c r="AO30" s="235">
        <f>AE30-INV!D24+INV!E24</f>
        <v>0</v>
      </c>
      <c r="AP30" s="235">
        <f>AF30-INV!E24+INV!F24</f>
        <v>0</v>
      </c>
      <c r="AQ30" s="235">
        <f>AG30-INV!F24+INV!G24</f>
        <v>0</v>
      </c>
      <c r="AR30" s="235">
        <f>AH30-INV!G24+INV!H24</f>
        <v>0</v>
      </c>
      <c r="AS30" s="235">
        <f>AI30-INV!H24+INV!I24</f>
        <v>0</v>
      </c>
      <c r="AT30" s="235">
        <f>AJ30-INV!I24+INV!J24</f>
        <v>0</v>
      </c>
      <c r="AU30" s="235">
        <f>AK30-INV!J24+INV!K24</f>
        <v>0</v>
      </c>
      <c r="AV30" s="235">
        <f>AL30-INV!K24+INV!L24</f>
        <v>0</v>
      </c>
      <c r="AW30" s="235">
        <f>AM30-INV!L24+INV!M24</f>
        <v>0</v>
      </c>
      <c r="AX30" s="235">
        <f>AN30-INV!M24+INV!N24</f>
        <v>0</v>
      </c>
      <c r="AY30" s="236">
        <f t="shared" si="6"/>
        <v>0</v>
      </c>
      <c r="AZ30" s="236">
        <f t="shared" si="7"/>
        <v>0</v>
      </c>
      <c r="BA30" s="231">
        <f t="shared" si="15"/>
        <v>0</v>
      </c>
      <c r="BB30" s="231">
        <f t="shared" si="16"/>
        <v>0</v>
      </c>
      <c r="BC30" s="228">
        <f t="shared" si="8"/>
        <v>0</v>
      </c>
    </row>
    <row r="31" spans="1:55" outlineLevel="2" collapsed="1" x14ac:dyDescent="0.25">
      <c r="A31" s="222">
        <v>6</v>
      </c>
      <c r="B31" s="233">
        <f>EEFFun!B30</f>
        <v>130420</v>
      </c>
      <c r="C31" s="234" t="str">
        <f>EEFFun!C30</f>
        <v>De 181 a 360 días</v>
      </c>
      <c r="D31" s="235">
        <f>EEFFun!P30</f>
        <v>1195356.73</v>
      </c>
      <c r="E31" s="235">
        <f>EEFFun!Q30</f>
        <v>1198541.3400000001</v>
      </c>
      <c r="F31" s="235">
        <f>EEFFun!R30</f>
        <v>1201417.77</v>
      </c>
      <c r="G31" s="235">
        <f>EEFFun!S30</f>
        <v>1204602.3799999999</v>
      </c>
      <c r="H31" s="235">
        <f>EEFFun!T30</f>
        <v>747890.73</v>
      </c>
      <c r="I31" s="235">
        <f>EEFFun!U30</f>
        <v>206754.59</v>
      </c>
      <c r="J31" s="235">
        <f>EEFFun!V30</f>
        <v>0</v>
      </c>
      <c r="K31" s="235">
        <f>EEFFun!W30</f>
        <v>0</v>
      </c>
      <c r="L31" s="235">
        <f>EEFFun!X30</f>
        <v>0</v>
      </c>
      <c r="M31" s="235">
        <f>EEFFun!Y30</f>
        <v>0</v>
      </c>
      <c r="N31" s="235">
        <f>EEFFun!Z30</f>
        <v>0</v>
      </c>
      <c r="O31" s="235">
        <f>EEFFun!AA30</f>
        <v>0</v>
      </c>
      <c r="P31" s="235">
        <f>EEFFun!AB30</f>
        <v>0</v>
      </c>
      <c r="Q31" s="235">
        <f>EEFFun!AC30</f>
        <v>0</v>
      </c>
      <c r="R31" s="235">
        <f>EEFFun!AD30</f>
        <v>0</v>
      </c>
      <c r="S31" s="235">
        <f>EEFFun!AE30</f>
        <v>0</v>
      </c>
      <c r="T31" s="235">
        <f>EEFFun!AF30</f>
        <v>0</v>
      </c>
      <c r="U31" s="235">
        <f>EEFFun!AG30</f>
        <v>0</v>
      </c>
      <c r="V31" s="235">
        <f>EEFFun!AH30</f>
        <v>0</v>
      </c>
      <c r="W31" s="235">
        <f>EEFFun!AI30</f>
        <v>0</v>
      </c>
      <c r="X31" s="235">
        <f>EEFFun!AJ30</f>
        <v>0</v>
      </c>
      <c r="Y31" s="235">
        <f>EEFFun!AK30</f>
        <v>0</v>
      </c>
      <c r="Z31" s="235">
        <f>EEFFun!AL30</f>
        <v>0</v>
      </c>
      <c r="AA31" s="235">
        <f>EEFFun!AM30</f>
        <v>0</v>
      </c>
      <c r="AB31" s="235">
        <f>EEFFun!AN30</f>
        <v>0</v>
      </c>
      <c r="AC31" s="235">
        <f>EEFFun!AO30</f>
        <v>0</v>
      </c>
      <c r="AD31" s="235">
        <f>EEFFun!AP30</f>
        <v>0</v>
      </c>
      <c r="AE31" s="235">
        <f>EEFFun!AQ30</f>
        <v>0</v>
      </c>
      <c r="AF31" s="235">
        <f>EEFFun!AR30</f>
        <v>0</v>
      </c>
      <c r="AG31" s="235">
        <f>EEFFun!AS30</f>
        <v>0</v>
      </c>
      <c r="AH31" s="235">
        <f>EEFFun!AT30</f>
        <v>0</v>
      </c>
      <c r="AI31" s="235">
        <f>EEFFun!AU30</f>
        <v>0</v>
      </c>
      <c r="AJ31" s="235">
        <f>EEFFun!AV30</f>
        <v>0</v>
      </c>
      <c r="AK31" s="235">
        <f>EEFFun!AW30</f>
        <v>0</v>
      </c>
      <c r="AL31" s="235">
        <f>EEFFun!AX30</f>
        <v>0</v>
      </c>
      <c r="AM31" s="235">
        <f>AC31-INV!B25+INV!C25</f>
        <v>0</v>
      </c>
      <c r="AN31" s="235">
        <f>AD31-INV!C25+INV!D25</f>
        <v>0</v>
      </c>
      <c r="AO31" s="235">
        <f>AE31-INV!D25+INV!E25</f>
        <v>0</v>
      </c>
      <c r="AP31" s="235">
        <f>AF31-INV!E25+INV!F25</f>
        <v>0</v>
      </c>
      <c r="AQ31" s="235">
        <f>AG31-INV!F25+INV!G25</f>
        <v>0</v>
      </c>
      <c r="AR31" s="235">
        <f>AH31-INV!G25+INV!H25</f>
        <v>0</v>
      </c>
      <c r="AS31" s="235">
        <f>AI31-INV!H25+INV!I25</f>
        <v>0</v>
      </c>
      <c r="AT31" s="235">
        <f>AJ31-INV!I25+INV!J25</f>
        <v>0</v>
      </c>
      <c r="AU31" s="235">
        <f>AK31-INV!J25+INV!K25</f>
        <v>0</v>
      </c>
      <c r="AV31" s="235">
        <f>AL31-INV!K25+INV!L25</f>
        <v>0</v>
      </c>
      <c r="AW31" s="235">
        <f>AM31-INV!L25+INV!M25</f>
        <v>0</v>
      </c>
      <c r="AX31" s="235">
        <f>AN31-INV!M25+INV!N25</f>
        <v>0</v>
      </c>
      <c r="AY31" s="236">
        <f t="shared" si="6"/>
        <v>0</v>
      </c>
      <c r="AZ31" s="236">
        <f t="shared" si="7"/>
        <v>0</v>
      </c>
      <c r="BA31" s="231">
        <f t="shared" si="15"/>
        <v>0</v>
      </c>
      <c r="BB31" s="231">
        <f t="shared" si="16"/>
        <v>0</v>
      </c>
      <c r="BC31" s="228">
        <f t="shared" si="8"/>
        <v>0</v>
      </c>
    </row>
    <row r="32" spans="1:55" s="229" customFormat="1" outlineLevel="2" collapsed="1" x14ac:dyDescent="0.25">
      <c r="A32" s="239">
        <v>4</v>
      </c>
      <c r="B32" s="223">
        <f>EEFFun!B31</f>
        <v>1305</v>
      </c>
      <c r="C32" s="230" t="str">
        <f>EEFFun!C31</f>
        <v>Mantenidas hasta el vencimiento de entidades sector privado</v>
      </c>
      <c r="D32" s="225">
        <f>EEFFun!P31</f>
        <v>0</v>
      </c>
      <c r="E32" s="225">
        <f>EEFFun!Q31</f>
        <v>0</v>
      </c>
      <c r="F32" s="225">
        <f>EEFFun!R31</f>
        <v>0</v>
      </c>
      <c r="G32" s="225">
        <f>EEFFun!S31</f>
        <v>0</v>
      </c>
      <c r="H32" s="225">
        <f>EEFFun!T31</f>
        <v>0</v>
      </c>
      <c r="I32" s="225">
        <f>EEFFun!U31</f>
        <v>0</v>
      </c>
      <c r="J32" s="225">
        <f>EEFFun!V31</f>
        <v>0</v>
      </c>
      <c r="K32" s="225">
        <f>EEFFun!W31</f>
        <v>0</v>
      </c>
      <c r="L32" s="225">
        <f>EEFFun!X31</f>
        <v>0</v>
      </c>
      <c r="M32" s="225">
        <f>EEFFun!Y31</f>
        <v>0</v>
      </c>
      <c r="N32" s="225">
        <f>EEFFun!Z31</f>
        <v>0</v>
      </c>
      <c r="O32" s="225">
        <f>EEFFun!AA31</f>
        <v>0</v>
      </c>
      <c r="P32" s="225">
        <f>EEFFun!AB31</f>
        <v>0</v>
      </c>
      <c r="Q32" s="225">
        <f>EEFFun!AC31</f>
        <v>0</v>
      </c>
      <c r="R32" s="225">
        <f>EEFFun!AD31</f>
        <v>0</v>
      </c>
      <c r="S32" s="225">
        <f>EEFFun!AE31</f>
        <v>0</v>
      </c>
      <c r="T32" s="225">
        <f>EEFFun!AF31</f>
        <v>0</v>
      </c>
      <c r="U32" s="225">
        <f>EEFFun!AG31</f>
        <v>0</v>
      </c>
      <c r="V32" s="225">
        <f>EEFFun!AH31</f>
        <v>0</v>
      </c>
      <c r="W32" s="225">
        <f>EEFFun!AI31</f>
        <v>0</v>
      </c>
      <c r="X32" s="225">
        <f>EEFFun!AJ31</f>
        <v>0</v>
      </c>
      <c r="Y32" s="225">
        <f>EEFFun!AK31</f>
        <v>0</v>
      </c>
      <c r="Z32" s="225">
        <f>EEFFun!AL31</f>
        <v>0</v>
      </c>
      <c r="AA32" s="225">
        <f>EEFFun!AM31</f>
        <v>0</v>
      </c>
      <c r="AB32" s="225">
        <f>EEFFun!AN31</f>
        <v>0</v>
      </c>
      <c r="AC32" s="225">
        <f>EEFFun!AO31</f>
        <v>0</v>
      </c>
      <c r="AD32" s="225">
        <f>EEFFun!AP31</f>
        <v>0</v>
      </c>
      <c r="AE32" s="225">
        <f>EEFFun!AQ31</f>
        <v>0</v>
      </c>
      <c r="AF32" s="225">
        <f>EEFFun!AR31</f>
        <v>0</v>
      </c>
      <c r="AG32" s="225">
        <f>EEFFun!AS31</f>
        <v>0</v>
      </c>
      <c r="AH32" s="225">
        <f>EEFFun!AT31</f>
        <v>0</v>
      </c>
      <c r="AI32" s="225">
        <f>EEFFun!AU31</f>
        <v>0</v>
      </c>
      <c r="AJ32" s="225">
        <f>EEFFun!AV31</f>
        <v>0</v>
      </c>
      <c r="AK32" s="225">
        <f>EEFFun!AW31</f>
        <v>0</v>
      </c>
      <c r="AL32" s="225">
        <f>EEFFun!AX31</f>
        <v>0</v>
      </c>
      <c r="AM32" s="226">
        <f t="shared" ref="AM32:AS32" si="67">AM33+AM34</f>
        <v>0</v>
      </c>
      <c r="AN32" s="226">
        <f t="shared" si="67"/>
        <v>0</v>
      </c>
      <c r="AO32" s="226">
        <f t="shared" si="67"/>
        <v>0</v>
      </c>
      <c r="AP32" s="226">
        <f t="shared" si="67"/>
        <v>0</v>
      </c>
      <c r="AQ32" s="226">
        <f t="shared" si="67"/>
        <v>0</v>
      </c>
      <c r="AR32" s="226">
        <f t="shared" si="67"/>
        <v>0</v>
      </c>
      <c r="AS32" s="226">
        <f t="shared" si="67"/>
        <v>0</v>
      </c>
      <c r="AT32" s="226">
        <f t="shared" ref="AT32:AX32" si="68">AT33+AT34</f>
        <v>0</v>
      </c>
      <c r="AU32" s="226">
        <f t="shared" si="68"/>
        <v>0</v>
      </c>
      <c r="AV32" s="226">
        <f t="shared" si="68"/>
        <v>0</v>
      </c>
      <c r="AW32" s="226">
        <f t="shared" si="68"/>
        <v>0</v>
      </c>
      <c r="AX32" s="226">
        <f t="shared" si="68"/>
        <v>0</v>
      </c>
      <c r="AY32" s="226">
        <f t="shared" si="6"/>
        <v>0</v>
      </c>
      <c r="AZ32" s="226">
        <f t="shared" si="7"/>
        <v>0</v>
      </c>
      <c r="BA32" s="231">
        <f t="shared" si="15"/>
        <v>0</v>
      </c>
      <c r="BB32" s="231">
        <f t="shared" si="16"/>
        <v>0</v>
      </c>
      <c r="BC32" s="228">
        <f t="shared" si="8"/>
        <v>0</v>
      </c>
    </row>
    <row r="33" spans="1:56" outlineLevel="2" collapsed="1" x14ac:dyDescent="0.25">
      <c r="A33" s="222">
        <v>6</v>
      </c>
      <c r="B33" s="233">
        <f>EEFFun!B32</f>
        <v>130505</v>
      </c>
      <c r="C33" s="234" t="str">
        <f>EEFFun!C32</f>
        <v>De 1 a 30 días</v>
      </c>
      <c r="D33" s="235">
        <f>EEFFun!P32</f>
        <v>0</v>
      </c>
      <c r="E33" s="235">
        <f>EEFFun!Q32</f>
        <v>0</v>
      </c>
      <c r="F33" s="235">
        <f>EEFFun!R32</f>
        <v>0</v>
      </c>
      <c r="G33" s="235">
        <f>EEFFun!S32</f>
        <v>0</v>
      </c>
      <c r="H33" s="235">
        <f>EEFFun!T32</f>
        <v>0</v>
      </c>
      <c r="I33" s="235">
        <f>EEFFun!U32</f>
        <v>0</v>
      </c>
      <c r="J33" s="235">
        <f>EEFFun!V32</f>
        <v>0</v>
      </c>
      <c r="K33" s="235">
        <f>EEFFun!W32</f>
        <v>0</v>
      </c>
      <c r="L33" s="235">
        <f>EEFFun!X32</f>
        <v>0</v>
      </c>
      <c r="M33" s="235">
        <f>EEFFun!Y32</f>
        <v>0</v>
      </c>
      <c r="N33" s="235">
        <f>EEFFun!Z32</f>
        <v>0</v>
      </c>
      <c r="O33" s="235">
        <f>EEFFun!AA32</f>
        <v>0</v>
      </c>
      <c r="P33" s="235">
        <f>EEFFun!AB32</f>
        <v>0</v>
      </c>
      <c r="Q33" s="235">
        <f>EEFFun!AC32</f>
        <v>0</v>
      </c>
      <c r="R33" s="235">
        <f>EEFFun!AD32</f>
        <v>0</v>
      </c>
      <c r="S33" s="235">
        <f>EEFFun!AE32</f>
        <v>0</v>
      </c>
      <c r="T33" s="235">
        <f>EEFFun!AF32</f>
        <v>0</v>
      </c>
      <c r="U33" s="235">
        <f>EEFFun!AG32</f>
        <v>0</v>
      </c>
      <c r="V33" s="235">
        <f>EEFFun!AH32</f>
        <v>0</v>
      </c>
      <c r="W33" s="235">
        <f>EEFFun!AI32</f>
        <v>0</v>
      </c>
      <c r="X33" s="235">
        <f>EEFFun!AJ32</f>
        <v>0</v>
      </c>
      <c r="Y33" s="235">
        <f>EEFFun!AK32</f>
        <v>0</v>
      </c>
      <c r="Z33" s="235">
        <f>EEFFun!AL32</f>
        <v>0</v>
      </c>
      <c r="AA33" s="235">
        <f>EEFFun!AM32</f>
        <v>0</v>
      </c>
      <c r="AB33" s="235">
        <f>EEFFun!AN32</f>
        <v>0</v>
      </c>
      <c r="AC33" s="235">
        <f>EEFFun!AO32</f>
        <v>0</v>
      </c>
      <c r="AD33" s="235">
        <f>EEFFun!AP32</f>
        <v>0</v>
      </c>
      <c r="AE33" s="235">
        <f>EEFFun!AQ32</f>
        <v>0</v>
      </c>
      <c r="AF33" s="235">
        <f>EEFFun!AR32</f>
        <v>0</v>
      </c>
      <c r="AG33" s="235">
        <f>EEFFun!AS32</f>
        <v>0</v>
      </c>
      <c r="AH33" s="235">
        <f>EEFFun!AT32</f>
        <v>0</v>
      </c>
      <c r="AI33" s="235">
        <f>EEFFun!AU32</f>
        <v>0</v>
      </c>
      <c r="AJ33" s="235">
        <f>EEFFun!AV32</f>
        <v>0</v>
      </c>
      <c r="AK33" s="235">
        <f>EEFFun!AW32</f>
        <v>0</v>
      </c>
      <c r="AL33" s="235">
        <f>EEFFun!AX32</f>
        <v>0</v>
      </c>
      <c r="AM33" s="235">
        <f>AC33-INV!B27+INV!C27</f>
        <v>0</v>
      </c>
      <c r="AN33" s="235">
        <f>AD33-INV!C27+INV!D27</f>
        <v>0</v>
      </c>
      <c r="AO33" s="235">
        <f>AE33-INV!D27+INV!E27</f>
        <v>0</v>
      </c>
      <c r="AP33" s="235">
        <f>AF33-INV!E27+INV!F27</f>
        <v>0</v>
      </c>
      <c r="AQ33" s="235">
        <f>AG33-INV!F27+INV!G27</f>
        <v>0</v>
      </c>
      <c r="AR33" s="235">
        <f>AH33-INV!G27+INV!H27</f>
        <v>0</v>
      </c>
      <c r="AS33" s="235">
        <f>AI33-INV!H27+INV!I27</f>
        <v>0</v>
      </c>
      <c r="AT33" s="235">
        <f>AJ33-INV!I27+INV!J27</f>
        <v>0</v>
      </c>
      <c r="AU33" s="235">
        <f>AK33-INV!J27+INV!K27</f>
        <v>0</v>
      </c>
      <c r="AV33" s="235">
        <f>AL33-INV!K27+INV!L27</f>
        <v>0</v>
      </c>
      <c r="AW33" s="235">
        <f>AM33-INV!L27+INV!M27</f>
        <v>0</v>
      </c>
      <c r="AX33" s="235">
        <f>AN33-INV!M27+INV!N27</f>
        <v>0</v>
      </c>
      <c r="AY33" s="236">
        <f t="shared" si="6"/>
        <v>0</v>
      </c>
      <c r="AZ33" s="237">
        <v>0</v>
      </c>
      <c r="BA33" s="231">
        <f t="shared" si="15"/>
        <v>0</v>
      </c>
      <c r="BB33" s="231">
        <f t="shared" si="16"/>
        <v>0</v>
      </c>
      <c r="BC33" s="228">
        <f t="shared" si="8"/>
        <v>0</v>
      </c>
    </row>
    <row r="34" spans="1:56" outlineLevel="2" collapsed="1" x14ac:dyDescent="0.25">
      <c r="A34" s="222">
        <v>6</v>
      </c>
      <c r="B34" s="233">
        <f>EEFFun!B33</f>
        <v>130510</v>
      </c>
      <c r="C34" s="234" t="str">
        <f>EEFFun!C33</f>
        <v>De 31 a 90 días</v>
      </c>
      <c r="D34" s="235">
        <f>EEFFun!P33</f>
        <v>0</v>
      </c>
      <c r="E34" s="235">
        <f>EEFFun!Q33</f>
        <v>0</v>
      </c>
      <c r="F34" s="235">
        <f>EEFFun!R33</f>
        <v>0</v>
      </c>
      <c r="G34" s="235">
        <f>EEFFun!S33</f>
        <v>0</v>
      </c>
      <c r="H34" s="235">
        <f>EEFFun!T33</f>
        <v>0</v>
      </c>
      <c r="I34" s="235">
        <f>EEFFun!U33</f>
        <v>0</v>
      </c>
      <c r="J34" s="235">
        <f>EEFFun!V33</f>
        <v>0</v>
      </c>
      <c r="K34" s="235">
        <f>EEFFun!W33</f>
        <v>0</v>
      </c>
      <c r="L34" s="235">
        <f>EEFFun!X33</f>
        <v>0</v>
      </c>
      <c r="M34" s="235">
        <f>EEFFun!Y33</f>
        <v>0</v>
      </c>
      <c r="N34" s="235">
        <f>EEFFun!Z33</f>
        <v>0</v>
      </c>
      <c r="O34" s="235">
        <f>EEFFun!AA33</f>
        <v>0</v>
      </c>
      <c r="P34" s="235">
        <f>EEFFun!AB33</f>
        <v>0</v>
      </c>
      <c r="Q34" s="235">
        <f>EEFFun!AC33</f>
        <v>0</v>
      </c>
      <c r="R34" s="235">
        <f>EEFFun!AD33</f>
        <v>0</v>
      </c>
      <c r="S34" s="235">
        <f>EEFFun!AE33</f>
        <v>0</v>
      </c>
      <c r="T34" s="235">
        <f>EEFFun!AF33</f>
        <v>0</v>
      </c>
      <c r="U34" s="235">
        <f>EEFFun!AG33</f>
        <v>0</v>
      </c>
      <c r="V34" s="235">
        <f>EEFFun!AH33</f>
        <v>0</v>
      </c>
      <c r="W34" s="235">
        <f>EEFFun!AI33</f>
        <v>0</v>
      </c>
      <c r="X34" s="235">
        <f>EEFFun!AJ33</f>
        <v>0</v>
      </c>
      <c r="Y34" s="235">
        <f>EEFFun!AK33</f>
        <v>0</v>
      </c>
      <c r="Z34" s="235">
        <f>EEFFun!AL33</f>
        <v>0</v>
      </c>
      <c r="AA34" s="235">
        <f>EEFFun!AM33</f>
        <v>0</v>
      </c>
      <c r="AB34" s="235">
        <f>EEFFun!AN33</f>
        <v>0</v>
      </c>
      <c r="AC34" s="235">
        <f>EEFFun!AO33</f>
        <v>0</v>
      </c>
      <c r="AD34" s="235">
        <f>EEFFun!AP33</f>
        <v>0</v>
      </c>
      <c r="AE34" s="235">
        <f>EEFFun!AQ33</f>
        <v>0</v>
      </c>
      <c r="AF34" s="235">
        <f>EEFFun!AR33</f>
        <v>0</v>
      </c>
      <c r="AG34" s="235">
        <f>EEFFun!AS33</f>
        <v>0</v>
      </c>
      <c r="AH34" s="235">
        <f>EEFFun!AT33</f>
        <v>0</v>
      </c>
      <c r="AI34" s="235">
        <f>EEFFun!AU33</f>
        <v>0</v>
      </c>
      <c r="AJ34" s="235">
        <f>EEFFun!AV33</f>
        <v>0</v>
      </c>
      <c r="AK34" s="235">
        <f>EEFFun!AW33</f>
        <v>0</v>
      </c>
      <c r="AL34" s="235">
        <f>EEFFun!AX33</f>
        <v>0</v>
      </c>
      <c r="AM34" s="235">
        <f>AC34-INV!B28+INV!C28</f>
        <v>0</v>
      </c>
      <c r="AN34" s="235">
        <f>AD34-INV!C28+INV!D28</f>
        <v>0</v>
      </c>
      <c r="AO34" s="235">
        <f>AE34-INV!D28+INV!E28</f>
        <v>0</v>
      </c>
      <c r="AP34" s="235">
        <f>AF34-INV!E28+INV!F28</f>
        <v>0</v>
      </c>
      <c r="AQ34" s="235">
        <f>AG34-INV!F28+INV!G28</f>
        <v>0</v>
      </c>
      <c r="AR34" s="235">
        <f>AH34-INV!G28+INV!H28</f>
        <v>0</v>
      </c>
      <c r="AS34" s="235">
        <f>AI34-INV!H28+INV!I28</f>
        <v>0</v>
      </c>
      <c r="AT34" s="235">
        <f>AJ34-INV!I28+INV!J28</f>
        <v>0</v>
      </c>
      <c r="AU34" s="235">
        <f>AK34-INV!J28+INV!K28</f>
        <v>0</v>
      </c>
      <c r="AV34" s="235">
        <f>AL34-INV!K28+INV!L28</f>
        <v>0</v>
      </c>
      <c r="AW34" s="235">
        <f>AM34-INV!L28+INV!M28</f>
        <v>0</v>
      </c>
      <c r="AX34" s="235">
        <f>AN34-INV!M28+INV!N28</f>
        <v>0</v>
      </c>
      <c r="AY34" s="236">
        <f t="shared" si="6"/>
        <v>0</v>
      </c>
      <c r="AZ34" s="237">
        <v>0</v>
      </c>
      <c r="BA34" s="231">
        <f t="shared" si="15"/>
        <v>0</v>
      </c>
      <c r="BB34" s="231">
        <f t="shared" si="16"/>
        <v>0</v>
      </c>
      <c r="BC34" s="228">
        <f t="shared" si="8"/>
        <v>0</v>
      </c>
    </row>
    <row r="35" spans="1:56" s="229" customFormat="1" outlineLevel="2" collapsed="1" x14ac:dyDescent="0.25">
      <c r="A35" s="222">
        <v>4</v>
      </c>
      <c r="B35" s="223">
        <f>EEFFun!B34</f>
        <v>1306</v>
      </c>
      <c r="C35" s="230" t="str">
        <f>EEFFun!C34</f>
        <v>Mantenidas hasta el vencimiento del estado o de en</v>
      </c>
      <c r="D35" s="225">
        <f>EEFFun!P34</f>
        <v>2138249.71</v>
      </c>
      <c r="E35" s="225">
        <f>EEFFun!Q34</f>
        <v>2159491.9500000002</v>
      </c>
      <c r="F35" s="225">
        <f>EEFFun!R34</f>
        <v>2168711.61</v>
      </c>
      <c r="G35" s="225">
        <f>EEFFun!S34</f>
        <v>2155819.4300000002</v>
      </c>
      <c r="H35" s="225">
        <f>EEFFun!T34</f>
        <v>2147356.41</v>
      </c>
      <c r="I35" s="225">
        <f>EEFFun!U34</f>
        <v>2132310.9300000002</v>
      </c>
      <c r="J35" s="225">
        <f>EEFFun!V34</f>
        <v>2100873.5699999998</v>
      </c>
      <c r="K35" s="225">
        <f>EEFFun!W34</f>
        <v>2070535.07</v>
      </c>
      <c r="L35" s="225">
        <f>EEFFun!X34</f>
        <v>2053825.26</v>
      </c>
      <c r="M35" s="225">
        <f>EEFFun!Y34</f>
        <v>2041836.74</v>
      </c>
      <c r="N35" s="225">
        <f>EEFFun!Z34</f>
        <v>2020960.37</v>
      </c>
      <c r="O35" s="225">
        <f>EEFFun!AA34</f>
        <v>2045810.89</v>
      </c>
      <c r="P35" s="225">
        <f>EEFFun!AB34</f>
        <v>2059964.6</v>
      </c>
      <c r="Q35" s="225">
        <f>EEFFun!AC34</f>
        <v>2071498.04</v>
      </c>
      <c r="R35" s="225">
        <f>EEFFun!AD34</f>
        <v>2076291.95</v>
      </c>
      <c r="S35" s="225">
        <f>EEFFun!AE34</f>
        <v>2064132.7</v>
      </c>
      <c r="T35" s="225">
        <f>EEFFun!AF34</f>
        <v>2073272.33</v>
      </c>
      <c r="U35" s="225">
        <f>EEFFun!AG34</f>
        <v>2093541.45</v>
      </c>
      <c r="V35" s="225">
        <f>EEFFun!AH34</f>
        <v>2157982.02</v>
      </c>
      <c r="W35" s="225">
        <f>EEFFun!AI34</f>
        <v>2319675.36</v>
      </c>
      <c r="X35" s="225">
        <f>EEFFun!AJ34</f>
        <v>2110208.1</v>
      </c>
      <c r="Y35" s="225">
        <f>EEFFun!AK34</f>
        <v>2272338.2999999998</v>
      </c>
      <c r="Z35" s="225">
        <f>EEFFun!AL34</f>
        <v>2266118.2000000002</v>
      </c>
      <c r="AA35" s="225">
        <f>EEFFun!AM34</f>
        <v>2304228.69</v>
      </c>
      <c r="AB35" s="225">
        <f>EEFFun!AN34</f>
        <v>2344713.46</v>
      </c>
      <c r="AC35" s="225">
        <f>EEFFun!AO34</f>
        <v>2468593.39</v>
      </c>
      <c r="AD35" s="225">
        <f>EEFFun!AP34</f>
        <v>2530921.1800000002</v>
      </c>
      <c r="AE35" s="225">
        <f>EEFFun!AQ34</f>
        <v>2595033.39</v>
      </c>
      <c r="AF35" s="225">
        <f>EEFFun!AR34</f>
        <v>2716377.83</v>
      </c>
      <c r="AG35" s="225">
        <f>EEFFun!AS34</f>
        <v>2778364.78</v>
      </c>
      <c r="AH35" s="225">
        <f>EEFFun!AT34</f>
        <v>2771651.3</v>
      </c>
      <c r="AI35" s="225">
        <f>EEFFun!AU34</f>
        <v>2839311.86</v>
      </c>
      <c r="AJ35" s="225">
        <f>EEFFun!AV34</f>
        <v>2944406.9</v>
      </c>
      <c r="AK35" s="225">
        <f>EEFFun!AW34</f>
        <v>3030921.83</v>
      </c>
      <c r="AL35" s="225">
        <f>EEFFun!AX34</f>
        <v>3086341.48</v>
      </c>
      <c r="AM35" s="226">
        <f t="shared" ref="AM35:AS35" si="69">AM36</f>
        <v>3368593.39</v>
      </c>
      <c r="AN35" s="226">
        <f t="shared" si="69"/>
        <v>1430921.1800000002</v>
      </c>
      <c r="AO35" s="226">
        <f t="shared" si="69"/>
        <v>995033.39000000013</v>
      </c>
      <c r="AP35" s="226">
        <f t="shared" si="69"/>
        <v>616377.83000000007</v>
      </c>
      <c r="AQ35" s="226">
        <f t="shared" si="69"/>
        <v>278364.7799999998</v>
      </c>
      <c r="AR35" s="226">
        <f t="shared" si="69"/>
        <v>1371651.2999999998</v>
      </c>
      <c r="AS35" s="226">
        <f t="shared" si="69"/>
        <v>2839311.86</v>
      </c>
      <c r="AT35" s="226">
        <f t="shared" ref="AT35" si="70">AT36</f>
        <v>1444406.9</v>
      </c>
      <c r="AU35" s="226">
        <f t="shared" ref="AU35" si="71">AU36</f>
        <v>1290921.83</v>
      </c>
      <c r="AV35" s="226">
        <f t="shared" ref="AV35" si="72">AV36</f>
        <v>1086341.48</v>
      </c>
      <c r="AW35" s="226">
        <f t="shared" ref="AW35" si="73">AW36</f>
        <v>3068593.3900000006</v>
      </c>
      <c r="AX35" s="226">
        <f t="shared" ref="AX35" si="74">AX36</f>
        <v>1430921.1800000002</v>
      </c>
      <c r="AY35" s="226">
        <f t="shared" si="6"/>
        <v>-727060.83999999985</v>
      </c>
      <c r="AZ35" s="226">
        <f t="shared" ref="AZ35:AZ45" si="75">AX35-P35</f>
        <v>-629043.41999999993</v>
      </c>
      <c r="BA35" s="231">
        <f t="shared" si="15"/>
        <v>5.397718326126362E-2</v>
      </c>
      <c r="BB35" s="231">
        <f t="shared" si="16"/>
        <v>1.0699085765634872E-2</v>
      </c>
      <c r="BC35" s="228">
        <f t="shared" si="8"/>
        <v>-875268.46</v>
      </c>
    </row>
    <row r="36" spans="1:56" outlineLevel="2" collapsed="1" x14ac:dyDescent="0.25">
      <c r="A36" s="222">
        <v>6</v>
      </c>
      <c r="B36" s="233">
        <f>EEFFun!B35</f>
        <v>130615</v>
      </c>
      <c r="C36" s="234" t="str">
        <f>EEFFun!C35</f>
        <v>De 91 a 180 días</v>
      </c>
      <c r="D36" s="235">
        <f>EEFFun!P35</f>
        <v>2138249.71</v>
      </c>
      <c r="E36" s="235">
        <f>EEFFun!Q35</f>
        <v>2159491.9500000002</v>
      </c>
      <c r="F36" s="235">
        <f>EEFFun!R35</f>
        <v>2168711.61</v>
      </c>
      <c r="G36" s="235">
        <f>EEFFun!S35</f>
        <v>2155819.4300000002</v>
      </c>
      <c r="H36" s="235">
        <f>EEFFun!T35</f>
        <v>2147356.41</v>
      </c>
      <c r="I36" s="235">
        <f>EEFFun!U35</f>
        <v>2132310.9300000002</v>
      </c>
      <c r="J36" s="235">
        <f>EEFFun!V35</f>
        <v>2100873.5699999998</v>
      </c>
      <c r="K36" s="235">
        <f>EEFFun!W35</f>
        <v>2070535.07</v>
      </c>
      <c r="L36" s="235">
        <f>EEFFun!X35</f>
        <v>2053825.26</v>
      </c>
      <c r="M36" s="235">
        <f>EEFFun!Y35</f>
        <v>2041836.74</v>
      </c>
      <c r="N36" s="235">
        <f>EEFFun!Z35</f>
        <v>2020960.37</v>
      </c>
      <c r="O36" s="235">
        <f>EEFFun!AA35</f>
        <v>2045810.89</v>
      </c>
      <c r="P36" s="235">
        <f>EEFFun!AB35</f>
        <v>2059964.6</v>
      </c>
      <c r="Q36" s="235">
        <f>EEFFun!AC35</f>
        <v>2071498.04</v>
      </c>
      <c r="R36" s="235">
        <f>EEFFun!AD35</f>
        <v>2076291.95</v>
      </c>
      <c r="S36" s="235">
        <f>EEFFun!AE35</f>
        <v>2064132.7</v>
      </c>
      <c r="T36" s="235">
        <f>EEFFun!AF35</f>
        <v>2073272.33</v>
      </c>
      <c r="U36" s="235">
        <f>EEFFun!AG35</f>
        <v>2093541.45</v>
      </c>
      <c r="V36" s="235">
        <f>EEFFun!AH35</f>
        <v>2157982.02</v>
      </c>
      <c r="W36" s="235">
        <f>EEFFun!AI35</f>
        <v>2319675.36</v>
      </c>
      <c r="X36" s="235">
        <f>EEFFun!AJ35</f>
        <v>2110208.1</v>
      </c>
      <c r="Y36" s="235">
        <f>EEFFun!AK35</f>
        <v>2272338.2999999998</v>
      </c>
      <c r="Z36" s="235">
        <f>EEFFun!AL35</f>
        <v>2266118.2000000002</v>
      </c>
      <c r="AA36" s="235">
        <f>EEFFun!AM35</f>
        <v>2304228.69</v>
      </c>
      <c r="AB36" s="235">
        <f>EEFFun!AN35</f>
        <v>2344713.46</v>
      </c>
      <c r="AC36" s="235">
        <f>EEFFun!AO35</f>
        <v>2468593.39</v>
      </c>
      <c r="AD36" s="235">
        <f>EEFFun!AP35</f>
        <v>2530921.1800000002</v>
      </c>
      <c r="AE36" s="235">
        <f>EEFFun!AQ35</f>
        <v>2595033.39</v>
      </c>
      <c r="AF36" s="235">
        <f>EEFFun!AR35</f>
        <v>2716377.83</v>
      </c>
      <c r="AG36" s="235">
        <f>EEFFun!AS35</f>
        <v>2778364.78</v>
      </c>
      <c r="AH36" s="235">
        <f>EEFFun!AT35</f>
        <v>2771651.3</v>
      </c>
      <c r="AI36" s="235">
        <f>EEFFun!AU35</f>
        <v>2839311.86</v>
      </c>
      <c r="AJ36" s="235">
        <f>EEFFun!AV35</f>
        <v>2944406.9</v>
      </c>
      <c r="AK36" s="235">
        <f>EEFFun!AW35</f>
        <v>3030921.83</v>
      </c>
      <c r="AL36" s="235">
        <f>EEFFun!AX35</f>
        <v>3086341.48</v>
      </c>
      <c r="AM36" s="235">
        <f>AC36-INV!B30+INV!C30+900000</f>
        <v>3368593.39</v>
      </c>
      <c r="AN36" s="235">
        <f>AD36-INV!C30+INV!D30-1100000</f>
        <v>1430921.1800000002</v>
      </c>
      <c r="AO36" s="235">
        <f>AE36-INV!D30+INV!E30-1600000</f>
        <v>995033.39000000013</v>
      </c>
      <c r="AP36" s="235">
        <f>AF36-INV!E30+INV!F30-2100000</f>
        <v>616377.83000000007</v>
      </c>
      <c r="AQ36" s="235">
        <f>AG36-INV!F30+INV!G30-2500000</f>
        <v>278364.7799999998</v>
      </c>
      <c r="AR36" s="235">
        <f>AH36-INV!G30+INV!H30-1400000</f>
        <v>1371651.2999999998</v>
      </c>
      <c r="AS36" s="235">
        <f>AI36-INV!H30+INV!I30</f>
        <v>2839311.86</v>
      </c>
      <c r="AT36" s="235">
        <f>AJ36-INV!I30+INV!J30-1500000</f>
        <v>1444406.9</v>
      </c>
      <c r="AU36" s="235">
        <f>AK36-INV!J30+INV!K30+360000-2100000</f>
        <v>1290921.83</v>
      </c>
      <c r="AV36" s="235">
        <f>AL36-INV!K30+INV!L30-2000000</f>
        <v>1086341.48</v>
      </c>
      <c r="AW36" s="235">
        <f>AM36-INV!L30+INV!M30+1200000-1500000</f>
        <v>3068593.3900000006</v>
      </c>
      <c r="AX36" s="235">
        <f>AN36-INV!M30+INV!N30</f>
        <v>1430921.1800000002</v>
      </c>
      <c r="AY36" s="236">
        <f t="shared" si="6"/>
        <v>-727060.83999999985</v>
      </c>
      <c r="AZ36" s="236">
        <f t="shared" si="75"/>
        <v>-629043.41999999993</v>
      </c>
      <c r="BA36" s="231">
        <f t="shared" si="15"/>
        <v>5.397718326126362E-2</v>
      </c>
      <c r="BB36" s="231">
        <f t="shared" si="16"/>
        <v>1.0699085765634872E-2</v>
      </c>
      <c r="BC36" s="228">
        <f t="shared" si="8"/>
        <v>-875268.46</v>
      </c>
    </row>
    <row r="37" spans="1:56" s="229" customFormat="1" outlineLevel="2" collapsed="1" x14ac:dyDescent="0.25">
      <c r="A37" s="222">
        <v>4</v>
      </c>
      <c r="B37" s="223">
        <f>EEFFun!B36</f>
        <v>1307</v>
      </c>
      <c r="C37" s="230" t="str">
        <f>EEFFun!C36</f>
        <v>De disponibilidad restringida</v>
      </c>
      <c r="D37" s="225">
        <f>EEFFun!P36</f>
        <v>362674.63</v>
      </c>
      <c r="E37" s="225">
        <f>EEFFun!Q36</f>
        <v>362674.63</v>
      </c>
      <c r="F37" s="225">
        <f>EEFFun!R36</f>
        <v>362614.21</v>
      </c>
      <c r="G37" s="225">
        <f>EEFFun!S36</f>
        <v>362594.07</v>
      </c>
      <c r="H37" s="225">
        <f>EEFFun!T36</f>
        <v>362594.07</v>
      </c>
      <c r="I37" s="225">
        <f>EEFFun!U36</f>
        <v>362553.8</v>
      </c>
      <c r="J37" s="225">
        <f>EEFFun!V36</f>
        <v>362553.8</v>
      </c>
      <c r="K37" s="225">
        <f>EEFFun!W36</f>
        <v>362573.93</v>
      </c>
      <c r="L37" s="225">
        <f>EEFFun!X36</f>
        <v>362573.93</v>
      </c>
      <c r="M37" s="225">
        <f>EEFFun!Y36</f>
        <v>363097.54</v>
      </c>
      <c r="N37" s="225">
        <f>EEFFun!Z36</f>
        <v>0</v>
      </c>
      <c r="O37" s="225">
        <f>EEFFun!AA36</f>
        <v>0</v>
      </c>
      <c r="P37" s="225">
        <f>EEFFun!AB36</f>
        <v>0</v>
      </c>
      <c r="Q37" s="225">
        <f>EEFFun!AC36</f>
        <v>0</v>
      </c>
      <c r="R37" s="225">
        <f>EEFFun!AD36</f>
        <v>0</v>
      </c>
      <c r="S37" s="225">
        <f>EEFFun!AE36</f>
        <v>0</v>
      </c>
      <c r="T37" s="225">
        <f>EEFFun!AF36</f>
        <v>0</v>
      </c>
      <c r="U37" s="225">
        <f>EEFFun!AG36</f>
        <v>0</v>
      </c>
      <c r="V37" s="225">
        <f>EEFFun!AH36</f>
        <v>0</v>
      </c>
      <c r="W37" s="225">
        <f>EEFFun!AI36</f>
        <v>0</v>
      </c>
      <c r="X37" s="225">
        <f>EEFFun!AJ36</f>
        <v>0</v>
      </c>
      <c r="Y37" s="225">
        <f>EEFFun!AK36</f>
        <v>0</v>
      </c>
      <c r="Z37" s="225">
        <f>EEFFun!AL36</f>
        <v>0</v>
      </c>
      <c r="AA37" s="225">
        <f>EEFFun!AM36</f>
        <v>0</v>
      </c>
      <c r="AB37" s="225">
        <f>EEFFun!AN36</f>
        <v>10033.540000000001</v>
      </c>
      <c r="AC37" s="225">
        <f>EEFFun!AO36</f>
        <v>10083.06</v>
      </c>
      <c r="AD37" s="225">
        <f>EEFFun!AP36</f>
        <v>10127.780000000001</v>
      </c>
      <c r="AE37" s="225">
        <f>EEFFun!AQ36</f>
        <v>10177.290000000001</v>
      </c>
      <c r="AF37" s="225">
        <f>EEFFun!AR36</f>
        <v>10225.209999999999</v>
      </c>
      <c r="AG37" s="225">
        <f>EEFFun!AS36</f>
        <v>10274.719999999999</v>
      </c>
      <c r="AH37" s="225">
        <f>EEFFun!AT36</f>
        <v>10322.64</v>
      </c>
      <c r="AI37" s="225">
        <f>EEFFun!AU36</f>
        <v>10372.15</v>
      </c>
      <c r="AJ37" s="225">
        <f>EEFFun!AV36</f>
        <v>10421.67</v>
      </c>
      <c r="AK37" s="225">
        <f>EEFFun!AW36</f>
        <v>10469.58</v>
      </c>
      <c r="AL37" s="225">
        <f>EEFFun!AX36</f>
        <v>438165.38</v>
      </c>
      <c r="AM37" s="226">
        <f t="shared" ref="AM37:AS37" si="76">AM38</f>
        <v>10083.06</v>
      </c>
      <c r="AN37" s="226">
        <f t="shared" si="76"/>
        <v>10127.780000000001</v>
      </c>
      <c r="AO37" s="226">
        <f t="shared" si="76"/>
        <v>10177.290000000001</v>
      </c>
      <c r="AP37" s="226">
        <f t="shared" si="76"/>
        <v>10225.209999999999</v>
      </c>
      <c r="AQ37" s="226">
        <f t="shared" si="76"/>
        <v>10274.719999999999</v>
      </c>
      <c r="AR37" s="226">
        <f t="shared" si="76"/>
        <v>10322.64</v>
      </c>
      <c r="AS37" s="226">
        <f t="shared" si="76"/>
        <v>10372.15</v>
      </c>
      <c r="AT37" s="226">
        <f t="shared" ref="AT37" si="77">AT38</f>
        <v>10421.67</v>
      </c>
      <c r="AU37" s="226">
        <f t="shared" ref="AU37" si="78">AU38</f>
        <v>10469.58</v>
      </c>
      <c r="AV37" s="226">
        <f t="shared" ref="AV37" si="79">AV38</f>
        <v>10519.1</v>
      </c>
      <c r="AW37" s="226">
        <f t="shared" ref="AW37" si="80">AW38</f>
        <v>10083.06</v>
      </c>
      <c r="AX37" s="226">
        <f t="shared" ref="AX37" si="81">AX38</f>
        <v>10127.780000000001</v>
      </c>
      <c r="AY37" s="226">
        <f t="shared" ref="AY37:AY68" si="82">AX37-V37</f>
        <v>10127.780000000001</v>
      </c>
      <c r="AZ37" s="226">
        <f t="shared" si="75"/>
        <v>10127.780000000001</v>
      </c>
      <c r="BA37" s="231">
        <f t="shared" si="15"/>
        <v>0</v>
      </c>
      <c r="BB37" s="231">
        <f t="shared" si="16"/>
        <v>7.5726034634193855E-5</v>
      </c>
      <c r="BC37" s="228">
        <f t="shared" si="8"/>
        <v>10421.67</v>
      </c>
    </row>
    <row r="38" spans="1:56" outlineLevel="2" collapsed="1" x14ac:dyDescent="0.25">
      <c r="A38" s="222">
        <v>6</v>
      </c>
      <c r="B38" s="233">
        <f>EEFFun!B37</f>
        <v>130710</v>
      </c>
      <c r="C38" s="234" t="str">
        <f>EEFFun!C37</f>
        <v>Depósitos sujetos a restricción</v>
      </c>
      <c r="D38" s="235">
        <f>EEFFun!P37</f>
        <v>362674.63</v>
      </c>
      <c r="E38" s="235">
        <f>EEFFun!Q37</f>
        <v>362674.63</v>
      </c>
      <c r="F38" s="235">
        <f>EEFFun!R37</f>
        <v>362614.21</v>
      </c>
      <c r="G38" s="235">
        <f>EEFFun!S37</f>
        <v>362594.07</v>
      </c>
      <c r="H38" s="235">
        <f>EEFFun!T37</f>
        <v>362594.07</v>
      </c>
      <c r="I38" s="235">
        <f>EEFFun!U37</f>
        <v>362553.8</v>
      </c>
      <c r="J38" s="235">
        <f>EEFFun!V37</f>
        <v>362553.8</v>
      </c>
      <c r="K38" s="235">
        <f>EEFFun!W37</f>
        <v>362573.93</v>
      </c>
      <c r="L38" s="235">
        <f>EEFFun!X37</f>
        <v>362573.93</v>
      </c>
      <c r="M38" s="235">
        <f>EEFFun!Y37</f>
        <v>363097.54</v>
      </c>
      <c r="N38" s="235">
        <f>EEFFun!Z37</f>
        <v>0</v>
      </c>
      <c r="O38" s="235">
        <f>EEFFun!AA37</f>
        <v>0</v>
      </c>
      <c r="P38" s="235">
        <f>EEFFun!AB37</f>
        <v>0</v>
      </c>
      <c r="Q38" s="235">
        <f>EEFFun!AC37</f>
        <v>0</v>
      </c>
      <c r="R38" s="235">
        <f>EEFFun!AD37</f>
        <v>0</v>
      </c>
      <c r="S38" s="235">
        <f>EEFFun!AE37</f>
        <v>0</v>
      </c>
      <c r="T38" s="235">
        <f>EEFFun!AF37</f>
        <v>0</v>
      </c>
      <c r="U38" s="235">
        <f>EEFFun!AG37</f>
        <v>0</v>
      </c>
      <c r="V38" s="235">
        <f>EEFFun!AH37</f>
        <v>0</v>
      </c>
      <c r="W38" s="235">
        <f>EEFFun!AI37</f>
        <v>0</v>
      </c>
      <c r="X38" s="235">
        <f>EEFFun!AJ37</f>
        <v>0</v>
      </c>
      <c r="Y38" s="235">
        <f>EEFFun!AK37</f>
        <v>0</v>
      </c>
      <c r="Z38" s="235">
        <f>EEFFun!AL37</f>
        <v>0</v>
      </c>
      <c r="AA38" s="235">
        <f>EEFFun!AM37</f>
        <v>0</v>
      </c>
      <c r="AB38" s="235">
        <f>EEFFun!AN37</f>
        <v>10033.540000000001</v>
      </c>
      <c r="AC38" s="235">
        <f>EEFFun!AO37</f>
        <v>10083.06</v>
      </c>
      <c r="AD38" s="235">
        <f>EEFFun!AP37</f>
        <v>10127.780000000001</v>
      </c>
      <c r="AE38" s="235">
        <f>EEFFun!AQ37</f>
        <v>10177.290000000001</v>
      </c>
      <c r="AF38" s="235">
        <f>EEFFun!AR37</f>
        <v>10225.209999999999</v>
      </c>
      <c r="AG38" s="235">
        <f>EEFFun!AS37</f>
        <v>10274.719999999999</v>
      </c>
      <c r="AH38" s="235">
        <f>EEFFun!AT37</f>
        <v>10322.64</v>
      </c>
      <c r="AI38" s="235">
        <f>EEFFun!AU37</f>
        <v>10372.15</v>
      </c>
      <c r="AJ38" s="235">
        <f>EEFFun!AV37</f>
        <v>10421.67</v>
      </c>
      <c r="AK38" s="235">
        <f>EEFFun!AW37</f>
        <v>10469.58</v>
      </c>
      <c r="AL38" s="235">
        <f>EEFFun!AX37</f>
        <v>10519.1</v>
      </c>
      <c r="AM38" s="235">
        <f>AC38-INV!B32+INV!C32</f>
        <v>10083.06</v>
      </c>
      <c r="AN38" s="235">
        <f>AD38-INV!C32+INV!D32</f>
        <v>10127.780000000001</v>
      </c>
      <c r="AO38" s="235">
        <f>AE38-INV!D32+INV!E32</f>
        <v>10177.290000000001</v>
      </c>
      <c r="AP38" s="235">
        <f>AF38-INV!E32+INV!F32</f>
        <v>10225.209999999999</v>
      </c>
      <c r="AQ38" s="235">
        <f>AG38-INV!F32+INV!G32</f>
        <v>10274.719999999999</v>
      </c>
      <c r="AR38" s="235">
        <f>AH38-INV!G32+INV!H32</f>
        <v>10322.64</v>
      </c>
      <c r="AS38" s="235">
        <f>AI38-INV!H32+INV!I32</f>
        <v>10372.15</v>
      </c>
      <c r="AT38" s="235">
        <f>AJ38-INV!I32+INV!J32</f>
        <v>10421.67</v>
      </c>
      <c r="AU38" s="235">
        <f>AK38-INV!J32+INV!K32</f>
        <v>10469.58</v>
      </c>
      <c r="AV38" s="235">
        <f>AL38-INV!K32+INV!L32</f>
        <v>10519.1</v>
      </c>
      <c r="AW38" s="235">
        <f>AM38-INV!L32+INV!M32</f>
        <v>10083.06</v>
      </c>
      <c r="AX38" s="235">
        <f>AN38-INV!M32+INV!N32</f>
        <v>10127.780000000001</v>
      </c>
      <c r="AY38" s="236">
        <f t="shared" si="82"/>
        <v>10127.780000000001</v>
      </c>
      <c r="AZ38" s="236">
        <f t="shared" si="75"/>
        <v>10127.780000000001</v>
      </c>
      <c r="BA38" s="231">
        <f t="shared" si="15"/>
        <v>0</v>
      </c>
      <c r="BB38" s="231">
        <f t="shared" si="16"/>
        <v>7.5726034634193855E-5</v>
      </c>
      <c r="BC38" s="228">
        <f t="shared" si="8"/>
        <v>10421.67</v>
      </c>
    </row>
    <row r="39" spans="1:56" s="229" customFormat="1" outlineLevel="1" x14ac:dyDescent="0.25">
      <c r="A39" s="222">
        <v>2</v>
      </c>
      <c r="B39" s="230">
        <f>EEFFun!B38</f>
        <v>14</v>
      </c>
      <c r="C39" s="240" t="str">
        <f>EEFFun!C38</f>
        <v>CARTERA DE CREDITOS</v>
      </c>
      <c r="D39" s="225">
        <f>EEFFun!P38</f>
        <v>23772498.98</v>
      </c>
      <c r="E39" s="225">
        <f>EEFFun!Q38</f>
        <v>23269792.350000001</v>
      </c>
      <c r="F39" s="225">
        <f>EEFFun!R38</f>
        <v>24359371.780000001</v>
      </c>
      <c r="G39" s="225">
        <f>EEFFun!S38</f>
        <v>24821532.210000001</v>
      </c>
      <c r="H39" s="225">
        <f>EEFFun!T38</f>
        <v>24750622.140000001</v>
      </c>
      <c r="I39" s="225">
        <f>EEFFun!U38</f>
        <v>24906663.699999999</v>
      </c>
      <c r="J39" s="225">
        <f>EEFFun!V38</f>
        <v>24123480.57</v>
      </c>
      <c r="K39" s="225">
        <f>EEFFun!W38</f>
        <v>23259505.210000001</v>
      </c>
      <c r="L39" s="225">
        <f>EEFFun!X38</f>
        <v>23029409.739999998</v>
      </c>
      <c r="M39" s="225">
        <f>EEFFun!Y38</f>
        <v>22965420.199999999</v>
      </c>
      <c r="N39" s="225">
        <f>EEFFun!Z38</f>
        <v>22165634.429999996</v>
      </c>
      <c r="O39" s="225">
        <f>EEFFun!AA38</f>
        <v>22203438.420000002</v>
      </c>
      <c r="P39" s="225">
        <f>EEFFun!AB38</f>
        <v>19180364.02</v>
      </c>
      <c r="Q39" s="225">
        <f>EEFFun!AC38</f>
        <v>18773965.940000001</v>
      </c>
      <c r="R39" s="225">
        <f>EEFFun!AD38</f>
        <v>18008446.530000001</v>
      </c>
      <c r="S39" s="225">
        <f>EEFFun!AE38</f>
        <v>18365493.390000001</v>
      </c>
      <c r="T39" s="225">
        <f>EEFFun!AF38</f>
        <v>18486104.949999999</v>
      </c>
      <c r="U39" s="225">
        <f>EEFFun!AG38</f>
        <v>18109430.370000001</v>
      </c>
      <c r="V39" s="225">
        <f>EEFFun!AH38</f>
        <v>24318700.920000002</v>
      </c>
      <c r="W39" s="225">
        <f>EEFFun!AI38</f>
        <v>24732959.940000001</v>
      </c>
      <c r="X39" s="225">
        <f>EEFFun!AJ38</f>
        <v>24692896.48</v>
      </c>
      <c r="Y39" s="225">
        <f>EEFFun!AK38</f>
        <v>24847675.699999999</v>
      </c>
      <c r="Z39" s="225">
        <f>EEFFun!AL38</f>
        <v>25536074.559999999</v>
      </c>
      <c r="AA39" s="225">
        <f>EEFFun!AM38</f>
        <v>24396646.550000001</v>
      </c>
      <c r="AB39" s="225">
        <f>EEFFun!AN38</f>
        <v>25299258.32</v>
      </c>
      <c r="AC39" s="225">
        <f>EEFFun!AO38</f>
        <v>26164723.23</v>
      </c>
      <c r="AD39" s="225">
        <f>EEFFun!AP38</f>
        <v>27274080.539999999</v>
      </c>
      <c r="AE39" s="225">
        <f>EEFFun!AQ38</f>
        <v>28308347.93</v>
      </c>
      <c r="AF39" s="225">
        <f>EEFFun!AR38</f>
        <v>31045992.699999999</v>
      </c>
      <c r="AG39" s="225">
        <f>EEFFun!AS38</f>
        <v>32984677.84</v>
      </c>
      <c r="AH39" s="225">
        <f>EEFFun!AT38</f>
        <v>35797576.670000002</v>
      </c>
      <c r="AI39" s="225">
        <f>EEFFun!AU38</f>
        <v>36874866.5</v>
      </c>
      <c r="AJ39" s="225">
        <f>EEFFun!AV38</f>
        <v>39485583.210000001</v>
      </c>
      <c r="AK39" s="225">
        <f>EEFFun!AW38</f>
        <v>41678361.310000002</v>
      </c>
      <c r="AL39" s="225">
        <f>EEFFun!AX38</f>
        <v>45825230.670000002</v>
      </c>
      <c r="AM39" s="226">
        <f t="shared" ref="AM39:AS39" si="83">SUM(AM54:AM76)+AM78+AM80+AM82+AM85+AM88+AM91</f>
        <v>50802087.233000889</v>
      </c>
      <c r="AN39" s="226">
        <f t="shared" si="83"/>
        <v>55681480.054699644</v>
      </c>
      <c r="AO39" s="226">
        <f t="shared" si="83"/>
        <v>60406923.328635916</v>
      </c>
      <c r="AP39" s="226">
        <f t="shared" si="83"/>
        <v>64774642.650441594</v>
      </c>
      <c r="AQ39" s="226">
        <f t="shared" si="83"/>
        <v>69317335.069956362</v>
      </c>
      <c r="AR39" s="226">
        <f>SUM(AR54:AR76)+AR78+AR80+AR82+AR85+AR88+AR91+10000</f>
        <v>73811841.782933846</v>
      </c>
      <c r="AS39" s="226">
        <f t="shared" si="83"/>
        <v>78194902.444516405</v>
      </c>
      <c r="AT39" s="226">
        <f t="shared" ref="AT39:AX39" si="84">SUM(AT54:AT76)+AT78+AT80+AT82+AT85+AT88+AT91</f>
        <v>82524913.94694382</v>
      </c>
      <c r="AU39" s="226">
        <f t="shared" si="84"/>
        <v>86762779.697831407</v>
      </c>
      <c r="AV39" s="226">
        <f t="shared" si="84"/>
        <v>90875196.95275186</v>
      </c>
      <c r="AW39" s="226">
        <f t="shared" si="84"/>
        <v>94966949.24302265</v>
      </c>
      <c r="AX39" s="226">
        <f t="shared" si="84"/>
        <v>98467818.336023182</v>
      </c>
      <c r="AY39" s="226">
        <f t="shared" si="82"/>
        <v>74149117.41602318</v>
      </c>
      <c r="AZ39" s="226">
        <f t="shared" si="75"/>
        <v>79287454.316023186</v>
      </c>
      <c r="BA39" s="231">
        <f t="shared" si="15"/>
        <v>0.50258243453566487</v>
      </c>
      <c r="BB39" s="231">
        <f t="shared" si="16"/>
        <v>0.7362499404279319</v>
      </c>
      <c r="BC39" s="228">
        <f t="shared" si="8"/>
        <v>57791954.006943822</v>
      </c>
      <c r="BD39" s="228">
        <f>AU39-AT39</f>
        <v>4237865.7508875877</v>
      </c>
    </row>
    <row r="40" spans="1:56" s="229" customFormat="1" outlineLevel="1" x14ac:dyDescent="0.25">
      <c r="A40" s="198"/>
      <c r="B40" s="241"/>
      <c r="C40" s="240" t="str">
        <f>EEFFun!C39</f>
        <v>CARTERA DE CREDITOS BRUTA</v>
      </c>
      <c r="D40" s="225">
        <f>EEFFun!P39</f>
        <v>25387753.520000003</v>
      </c>
      <c r="E40" s="225">
        <f>EEFFun!Q39</f>
        <v>24883897.790000003</v>
      </c>
      <c r="F40" s="225">
        <f>EEFFun!R39</f>
        <v>25969716.849999998</v>
      </c>
      <c r="G40" s="225">
        <f>EEFFun!S39</f>
        <v>26459544.619999997</v>
      </c>
      <c r="H40" s="225">
        <f>EEFFun!T39</f>
        <v>26422858.460000001</v>
      </c>
      <c r="I40" s="225">
        <f>EEFFun!U39</f>
        <v>26715776.459999997</v>
      </c>
      <c r="J40" s="225">
        <f>EEFFun!V39</f>
        <v>26025707.379999999</v>
      </c>
      <c r="K40" s="225">
        <f>EEFFun!W39</f>
        <v>25235511.310000006</v>
      </c>
      <c r="L40" s="225">
        <f>EEFFun!X39</f>
        <v>25015905.23</v>
      </c>
      <c r="M40" s="225">
        <f>EEFFun!Y39</f>
        <v>25018171.939999998</v>
      </c>
      <c r="N40" s="225">
        <f>EEFFun!Z39</f>
        <v>24427874.290000003</v>
      </c>
      <c r="O40" s="225">
        <f>EEFFun!AA39</f>
        <v>24246558.160000004</v>
      </c>
      <c r="P40" s="225">
        <f>EEFFun!AB39</f>
        <v>21250009.630000003</v>
      </c>
      <c r="Q40" s="225">
        <f>EEFFun!AC39</f>
        <v>20873180.190000001</v>
      </c>
      <c r="R40" s="225">
        <f>EEFFun!AD39</f>
        <v>20228633.880000003</v>
      </c>
      <c r="S40" s="225">
        <f>EEFFun!AE39</f>
        <v>20516212.09</v>
      </c>
      <c r="T40" s="225">
        <f>EEFFun!AF39</f>
        <v>20656217.170000006</v>
      </c>
      <c r="U40" s="225">
        <f>EEFFun!AG39</f>
        <v>20314695.669999998</v>
      </c>
      <c r="V40" s="225">
        <f>EEFFun!AH39</f>
        <v>26693217.189999998</v>
      </c>
      <c r="W40" s="225">
        <f>EEFFun!AI39</f>
        <v>26993684.030000009</v>
      </c>
      <c r="X40" s="225">
        <f>EEFFun!AJ39</f>
        <v>27229187.400000002</v>
      </c>
      <c r="Y40" s="225">
        <f>EEFFun!AK39</f>
        <v>27656703.580000002</v>
      </c>
      <c r="Z40" s="225">
        <f>EEFFun!AL39</f>
        <v>28551143.07</v>
      </c>
      <c r="AA40" s="225">
        <f>EEFFun!AM39</f>
        <v>27390847.079999998</v>
      </c>
      <c r="AB40" s="225">
        <f>EEFFun!AN39</f>
        <v>28009489.479999997</v>
      </c>
      <c r="AC40" s="225">
        <f>EEFFun!AO39</f>
        <v>28771582.719999995</v>
      </c>
      <c r="AD40" s="225">
        <f>EEFFun!AP39</f>
        <v>29878607.229999997</v>
      </c>
      <c r="AE40" s="225">
        <f>EEFFun!AQ39</f>
        <v>30871444.959999993</v>
      </c>
      <c r="AF40" s="225">
        <f>EEFFun!AR39</f>
        <v>33561929.329999998</v>
      </c>
      <c r="AG40" s="225">
        <f>EEFFun!AS39</f>
        <v>35547292.890000008</v>
      </c>
      <c r="AH40" s="225">
        <f>EEFFun!AT39</f>
        <v>38374953.329999991</v>
      </c>
      <c r="AI40" s="225">
        <f>EEFFun!AU39</f>
        <v>39527313.149999999</v>
      </c>
      <c r="AJ40" s="225">
        <f>EEFFun!AV39</f>
        <v>42179513.550000004</v>
      </c>
      <c r="AK40" s="225">
        <f>EEFFun!AW39</f>
        <v>44413427.090000011</v>
      </c>
      <c r="AL40" s="225">
        <f>EEFFun!AX39</f>
        <v>46916087.240000002</v>
      </c>
      <c r="AM40" s="226">
        <f t="shared" ref="AM40:AS40" si="85">SUM(AM41:AM50)</f>
        <v>51974510.719715275</v>
      </c>
      <c r="AN40" s="226">
        <f t="shared" si="85"/>
        <v>56934851.775694437</v>
      </c>
      <c r="AO40" s="226">
        <f t="shared" si="85"/>
        <v>61738504.36793749</v>
      </c>
      <c r="AP40" s="226">
        <f t="shared" si="85"/>
        <v>66178236.906444445</v>
      </c>
      <c r="AQ40" s="226">
        <f t="shared" si="85"/>
        <v>70796026.041215256</v>
      </c>
      <c r="AR40" s="226">
        <f t="shared" si="85"/>
        <v>75354644.252249986</v>
      </c>
      <c r="AS40" s="226">
        <f t="shared" si="85"/>
        <v>79820223.359548584</v>
      </c>
      <c r="AT40" s="226">
        <f t="shared" ref="AT40" si="86">SUM(AT41:AT50)</f>
        <v>84194324.02311112</v>
      </c>
      <c r="AU40" s="226">
        <f t="shared" ref="AU40" si="87">SUM(AU41:AU50)</f>
        <v>88460125.862937525</v>
      </c>
      <c r="AV40" s="226">
        <f t="shared" ref="AV40" si="88">SUM(AV41:AV50)</f>
        <v>92573389.40902777</v>
      </c>
      <c r="AW40" s="226">
        <f t="shared" ref="AW40" si="89">SUM(AW41:AW50)</f>
        <v>96653399.41138196</v>
      </c>
      <c r="AX40" s="226">
        <f t="shared" ref="AX40" si="90">SUM(AX41:AX50)</f>
        <v>100649687.24000001</v>
      </c>
      <c r="AY40" s="226">
        <f t="shared" si="82"/>
        <v>73956470.050000012</v>
      </c>
      <c r="AZ40" s="226">
        <f t="shared" si="75"/>
        <v>79399677.610000014</v>
      </c>
      <c r="BA40" s="231">
        <f t="shared" si="15"/>
        <v>0.55681328897696925</v>
      </c>
      <c r="BB40" s="231">
        <f t="shared" si="16"/>
        <v>0.75256390856209554</v>
      </c>
      <c r="BC40" s="228">
        <f t="shared" si="8"/>
        <v>57200639.993111111</v>
      </c>
    </row>
    <row r="41" spans="1:56" s="242" customFormat="1" outlineLevel="2" collapsed="1" x14ac:dyDescent="0.25">
      <c r="A41" s="243"/>
      <c r="B41" s="244"/>
      <c r="C41" s="234" t="str">
        <f>EEFFun!C40</f>
        <v>PRODUCTIVO</v>
      </c>
      <c r="D41" s="235">
        <f>EEFFun!P40</f>
        <v>1808274.6400000001</v>
      </c>
      <c r="E41" s="235">
        <f>EEFFun!Q40</f>
        <v>1154393.1200000001</v>
      </c>
      <c r="F41" s="235">
        <f>EEFFun!R40</f>
        <v>1510242.77</v>
      </c>
      <c r="G41" s="235">
        <f>EEFFun!S40</f>
        <v>1396704.5799999998</v>
      </c>
      <c r="H41" s="235">
        <f>EEFFun!T40</f>
        <v>1248430.0599999998</v>
      </c>
      <c r="I41" s="235">
        <f>EEFFun!U40</f>
        <v>1350544.01</v>
      </c>
      <c r="J41" s="235">
        <f>EEFFun!V40</f>
        <v>1252603.55</v>
      </c>
      <c r="K41" s="235">
        <f>EEFFun!W40</f>
        <v>1056963.3499999999</v>
      </c>
      <c r="L41" s="235">
        <f>EEFFun!X40</f>
        <v>1096468.1200000001</v>
      </c>
      <c r="M41" s="235">
        <f>EEFFun!Y40</f>
        <v>909421.34</v>
      </c>
      <c r="N41" s="235">
        <f>EEFFun!Z40</f>
        <v>813878.48</v>
      </c>
      <c r="O41" s="235">
        <f>EEFFun!AA40</f>
        <v>736042.50000000012</v>
      </c>
      <c r="P41" s="235">
        <f>EEFFun!AB40</f>
        <v>738183.28</v>
      </c>
      <c r="Q41" s="235">
        <f>EEFFun!AC40</f>
        <v>725550.84</v>
      </c>
      <c r="R41" s="235">
        <f>EEFFun!AD40</f>
        <v>740946.6</v>
      </c>
      <c r="S41" s="235">
        <f>EEFFun!AE40</f>
        <v>892744.77</v>
      </c>
      <c r="T41" s="235">
        <f>EEFFun!AF40</f>
        <v>922383.76</v>
      </c>
      <c r="U41" s="235">
        <f>EEFFun!AG40</f>
        <v>915878.42999999993</v>
      </c>
      <c r="V41" s="235">
        <f>EEFFun!AH40</f>
        <v>812807.65999999992</v>
      </c>
      <c r="W41" s="235">
        <f>EEFFun!AI40</f>
        <v>784109.77</v>
      </c>
      <c r="X41" s="235">
        <f>EEFFun!AJ40</f>
        <v>837103.51</v>
      </c>
      <c r="Y41" s="235">
        <f>EEFFun!AK40</f>
        <v>832375.32000000007</v>
      </c>
      <c r="Z41" s="235">
        <f>EEFFun!AL40</f>
        <v>818130.48</v>
      </c>
      <c r="AA41" s="235">
        <f>EEFFun!AM40</f>
        <v>735459.36</v>
      </c>
      <c r="AB41" s="235">
        <f>EEFFun!AN40</f>
        <v>768148.3</v>
      </c>
      <c r="AC41" s="235">
        <f>EEFFun!AO40</f>
        <v>754371.24999999988</v>
      </c>
      <c r="AD41" s="235">
        <f>EEFFun!AP40</f>
        <v>733895.72</v>
      </c>
      <c r="AE41" s="235">
        <f>EEFFun!AQ40</f>
        <v>738732.99</v>
      </c>
      <c r="AF41" s="235">
        <f>EEFFun!AR40</f>
        <v>725411.93</v>
      </c>
      <c r="AG41" s="235">
        <f>EEFFun!AS40</f>
        <v>734061.78</v>
      </c>
      <c r="AH41" s="235">
        <f>EEFFun!AT40</f>
        <v>771061.99</v>
      </c>
      <c r="AI41" s="235">
        <f>EEFFun!AU40</f>
        <v>754619.06</v>
      </c>
      <c r="AJ41" s="235">
        <f>EEFFun!AV40</f>
        <v>784788.02</v>
      </c>
      <c r="AK41" s="235">
        <f>EEFFun!AW40</f>
        <v>758383.95</v>
      </c>
      <c r="AL41" s="235">
        <f>EEFFun!AX40</f>
        <v>643955.81999999995</v>
      </c>
      <c r="AM41" s="236">
        <f t="shared" ref="AM41:AS41" si="91">AM54+AM61+AM68</f>
        <v>643194.08260416659</v>
      </c>
      <c r="AN41" s="236">
        <f t="shared" si="91"/>
        <v>643154.4229166666</v>
      </c>
      <c r="AO41" s="236">
        <f t="shared" si="91"/>
        <v>642332.14093749993</v>
      </c>
      <c r="AP41" s="236">
        <f t="shared" si="91"/>
        <v>641480.89666666649</v>
      </c>
      <c r="AQ41" s="236">
        <f t="shared" si="91"/>
        <v>641124.9101041666</v>
      </c>
      <c r="AR41" s="236">
        <f t="shared" si="91"/>
        <v>640669.32124999992</v>
      </c>
      <c r="AS41" s="236">
        <f t="shared" si="91"/>
        <v>641216.75010416657</v>
      </c>
      <c r="AT41" s="236">
        <f t="shared" ref="AT41:AX41" si="92">AT54+AT61+AT68</f>
        <v>641650.53666666662</v>
      </c>
      <c r="AU41" s="236">
        <f t="shared" si="92"/>
        <v>641777.47093750001</v>
      </c>
      <c r="AV41" s="236">
        <f t="shared" si="92"/>
        <v>642919.31291666673</v>
      </c>
      <c r="AW41" s="236">
        <f t="shared" si="92"/>
        <v>644426.03260416677</v>
      </c>
      <c r="AX41" s="236">
        <f t="shared" si="92"/>
        <v>643955.82000000007</v>
      </c>
      <c r="AY41" s="236">
        <f t="shared" si="82"/>
        <v>-168851.83999999985</v>
      </c>
      <c r="AZ41" s="236">
        <f t="shared" si="75"/>
        <v>-94227.459999999963</v>
      </c>
      <c r="BA41" s="232">
        <f t="shared" si="15"/>
        <v>1.9342591705197594E-2</v>
      </c>
      <c r="BB41" s="232">
        <f t="shared" si="16"/>
        <v>4.8148973149308837E-3</v>
      </c>
      <c r="BC41" s="228">
        <f t="shared" si="8"/>
        <v>-142459.2333333334</v>
      </c>
    </row>
    <row r="42" spans="1:56" s="242" customFormat="1" outlineLevel="2" collapsed="1" x14ac:dyDescent="0.25">
      <c r="A42" s="243"/>
      <c r="B42" s="244"/>
      <c r="C42" s="234" t="str">
        <f>EEFFun!C41</f>
        <v>CONSUMO</v>
      </c>
      <c r="D42" s="235">
        <f>EEFFun!P41</f>
        <v>17111510.890000001</v>
      </c>
      <c r="E42" s="235">
        <f>EEFFun!Q41</f>
        <v>17008133.699999999</v>
      </c>
      <c r="F42" s="235">
        <f>EEFFun!R41</f>
        <v>17312780.370000001</v>
      </c>
      <c r="G42" s="235">
        <f>EEFFun!S41</f>
        <v>17437063.59</v>
      </c>
      <c r="H42" s="235">
        <f>EEFFun!T41</f>
        <v>17221200.920000002</v>
      </c>
      <c r="I42" s="235">
        <f>EEFFun!U41</f>
        <v>17219407.920000002</v>
      </c>
      <c r="J42" s="235">
        <f>EEFFun!V41</f>
        <v>16723702.620000001</v>
      </c>
      <c r="K42" s="235">
        <f>EEFFun!W41</f>
        <v>16286806.270000001</v>
      </c>
      <c r="L42" s="235">
        <f>EEFFun!X41</f>
        <v>16081685.060000001</v>
      </c>
      <c r="M42" s="235">
        <f>EEFFun!Y41</f>
        <v>16382153.939999999</v>
      </c>
      <c r="N42" s="235">
        <f>EEFFun!Z41</f>
        <v>16008100.600000001</v>
      </c>
      <c r="O42" s="235">
        <f>EEFFun!AA41</f>
        <v>15989873.530000001</v>
      </c>
      <c r="P42" s="235">
        <f>EEFFun!AB41</f>
        <v>13064534.25</v>
      </c>
      <c r="Q42" s="235">
        <f>EEFFun!AC41</f>
        <v>12716000.4</v>
      </c>
      <c r="R42" s="235">
        <f>EEFFun!AD41</f>
        <v>12220862.439999999</v>
      </c>
      <c r="S42" s="235">
        <f>EEFFun!AE41</f>
        <v>12299509.289999999</v>
      </c>
      <c r="T42" s="235">
        <f>EEFFun!AF41</f>
        <v>12390948.4</v>
      </c>
      <c r="U42" s="235">
        <f>EEFFun!AG41</f>
        <v>12147727.539999999</v>
      </c>
      <c r="V42" s="235">
        <f>EEFFun!AH41</f>
        <v>18542573.68</v>
      </c>
      <c r="W42" s="235">
        <f>EEFFun!AI41</f>
        <v>18976793.140000004</v>
      </c>
      <c r="X42" s="235">
        <f>EEFFun!AJ41</f>
        <v>19133290.130000003</v>
      </c>
      <c r="Y42" s="235">
        <f>EEFFun!AK41</f>
        <v>19641243.050000001</v>
      </c>
      <c r="Z42" s="235">
        <f>EEFFun!AL41</f>
        <v>20675391.300000001</v>
      </c>
      <c r="AA42" s="235">
        <f>EEFFun!AM41</f>
        <v>20726663.48</v>
      </c>
      <c r="AB42" s="235">
        <f>EEFFun!AN41</f>
        <v>21166103.179999996</v>
      </c>
      <c r="AC42" s="235">
        <f>EEFFun!AO41</f>
        <v>21387740.969999999</v>
      </c>
      <c r="AD42" s="235">
        <f>EEFFun!AP41</f>
        <v>20988632.830000002</v>
      </c>
      <c r="AE42" s="235">
        <f>EEFFun!AQ41</f>
        <v>20468574.409999996</v>
      </c>
      <c r="AF42" s="235">
        <f>EEFFun!AR41</f>
        <v>21135491.73</v>
      </c>
      <c r="AG42" s="235">
        <f>EEFFun!AS41</f>
        <v>21910297.27</v>
      </c>
      <c r="AH42" s="235">
        <f>EEFFun!AT41</f>
        <v>23965833.990000002</v>
      </c>
      <c r="AI42" s="235">
        <f>EEFFun!AU41</f>
        <v>24809759.43</v>
      </c>
      <c r="AJ42" s="235">
        <f>EEFFun!AV41</f>
        <v>26292701.890000001</v>
      </c>
      <c r="AK42" s="235">
        <f>EEFFun!AW41</f>
        <v>27929694.43</v>
      </c>
      <c r="AL42" s="235">
        <f>EEFFun!AX41</f>
        <v>29829804.759999998</v>
      </c>
      <c r="AM42" s="236">
        <f>AM55+AM62+AM69</f>
        <v>33314860.137770828</v>
      </c>
      <c r="AN42" s="236">
        <f t="shared" ref="AN42:AS42" si="93">AN55+AN62+AN69</f>
        <v>36722583.274583332</v>
      </c>
      <c r="AO42" s="236">
        <f t="shared" si="93"/>
        <v>40003359.780437499</v>
      </c>
      <c r="AP42" s="236">
        <f t="shared" si="93"/>
        <v>42937957.015333332</v>
      </c>
      <c r="AQ42" s="236">
        <f t="shared" si="93"/>
        <v>46072759.299270831</v>
      </c>
      <c r="AR42" s="236">
        <f t="shared" si="93"/>
        <v>49156965.852249995</v>
      </c>
      <c r="AS42" s="236">
        <f t="shared" si="93"/>
        <v>52170307.514270827</v>
      </c>
      <c r="AT42" s="236">
        <f t="shared" ref="AT42:AX42" si="94">AT55+AT62+AT69</f>
        <v>55111999.615333326</v>
      </c>
      <c r="AU42" s="236">
        <f t="shared" si="94"/>
        <v>57982790.955437496</v>
      </c>
      <c r="AV42" s="236">
        <f t="shared" si="94"/>
        <v>60707306.664583333</v>
      </c>
      <c r="AW42" s="236">
        <f t="shared" si="94"/>
        <v>63416692.882770836</v>
      </c>
      <c r="AX42" s="236">
        <f t="shared" si="94"/>
        <v>66067404.759999998</v>
      </c>
      <c r="AY42" s="236">
        <f t="shared" si="82"/>
        <v>47524831.079999998</v>
      </c>
      <c r="AZ42" s="236">
        <f t="shared" si="75"/>
        <v>53002870.509999998</v>
      </c>
      <c r="BA42" s="232">
        <f t="shared" si="15"/>
        <v>0.34232955237934926</v>
      </c>
      <c r="BB42" s="232">
        <f t="shared" si="16"/>
        <v>0.49399005320485473</v>
      </c>
      <c r="BC42" s="228">
        <f t="shared" si="8"/>
        <v>36135206.475333318</v>
      </c>
    </row>
    <row r="43" spans="1:56" s="242" customFormat="1" outlineLevel="2" collapsed="1" x14ac:dyDescent="0.25">
      <c r="A43" s="243"/>
      <c r="B43" s="244"/>
      <c r="C43" s="234" t="str">
        <f>EEFFun!C42</f>
        <v>MICROCREDITO</v>
      </c>
      <c r="D43" s="235">
        <f>EEFFun!P42</f>
        <v>6046285.5999999996</v>
      </c>
      <c r="E43" s="235">
        <f>EEFFun!Q42</f>
        <v>6299039.5999999996</v>
      </c>
      <c r="F43" s="235">
        <f>EEFFun!R42</f>
        <v>6730983.5599999996</v>
      </c>
      <c r="G43" s="235">
        <f>EEFFun!S42</f>
        <v>7226511.6800000006</v>
      </c>
      <c r="H43" s="235">
        <f>EEFFun!T42</f>
        <v>7560747.29</v>
      </c>
      <c r="I43" s="235">
        <f>EEFFun!U42</f>
        <v>7747403.8099999996</v>
      </c>
      <c r="J43" s="235">
        <f>EEFFun!V42</f>
        <v>7658867.7000000002</v>
      </c>
      <c r="K43" s="235">
        <f>EEFFun!W42</f>
        <v>7447687.5800000001</v>
      </c>
      <c r="L43" s="235">
        <f>EEFFun!X42</f>
        <v>7251522.5700000003</v>
      </c>
      <c r="M43" s="235">
        <f>EEFFun!Y42</f>
        <v>7022749.4399999995</v>
      </c>
      <c r="N43" s="235">
        <f>EEFFun!Z42</f>
        <v>6848116.2400000002</v>
      </c>
      <c r="O43" s="235">
        <f>EEFFun!AA42</f>
        <v>6695530.0899999999</v>
      </c>
      <c r="P43" s="235">
        <f>EEFFun!AB42</f>
        <v>6564474.9500000002</v>
      </c>
      <c r="Q43" s="235">
        <f>EEFFun!AC42</f>
        <v>6483538.1799999997</v>
      </c>
      <c r="R43" s="235">
        <f>EEFFun!AD42</f>
        <v>6349780.71</v>
      </c>
      <c r="S43" s="235">
        <f>EEFFun!AE42</f>
        <v>6341494.5900000008</v>
      </c>
      <c r="T43" s="235">
        <f>EEFFun!AF42</f>
        <v>6361098.5800000001</v>
      </c>
      <c r="U43" s="235">
        <f>EEFFun!AG42</f>
        <v>6260956.2999999998</v>
      </c>
      <c r="V43" s="235">
        <f>EEFFun!AH42</f>
        <v>6348837.4899999993</v>
      </c>
      <c r="W43" s="235">
        <f>EEFFun!AI42</f>
        <v>6213982</v>
      </c>
      <c r="X43" s="235">
        <f>EEFFun!AJ42</f>
        <v>6181203.1800000006</v>
      </c>
      <c r="Y43" s="235">
        <f>EEFFun!AK42</f>
        <v>6106336.3700000001</v>
      </c>
      <c r="Z43" s="235">
        <f>EEFFun!AL42</f>
        <v>6002221.1800000006</v>
      </c>
      <c r="AA43" s="235">
        <f>EEFFun!AM42</f>
        <v>5183647.0200000005</v>
      </c>
      <c r="AB43" s="235">
        <f>EEFFun!AN42</f>
        <v>5240277.07</v>
      </c>
      <c r="AC43" s="235">
        <f>EEFFun!AO42</f>
        <v>5787784.1800000006</v>
      </c>
      <c r="AD43" s="235">
        <f>EEFFun!AP42</f>
        <v>7327814.4299999997</v>
      </c>
      <c r="AE43" s="235">
        <f>EEFFun!AQ42</f>
        <v>8869444.8500000015</v>
      </c>
      <c r="AF43" s="235">
        <f>EEFFun!AR42</f>
        <v>10960566.829999998</v>
      </c>
      <c r="AG43" s="235">
        <f>EEFFun!AS42</f>
        <v>12167339.050000001</v>
      </c>
      <c r="AH43" s="235">
        <f>EEFFun!AT42</f>
        <v>12908486.639999999</v>
      </c>
      <c r="AI43" s="235">
        <f>EEFFun!AU42</f>
        <v>13224433.700000001</v>
      </c>
      <c r="AJ43" s="235">
        <f>EEFFun!AV42</f>
        <v>14416528.68</v>
      </c>
      <c r="AK43" s="235">
        <f>EEFFun!AW42</f>
        <v>15073147.039999999</v>
      </c>
      <c r="AL43" s="235">
        <f>EEFFun!AX42</f>
        <v>15825819.060000001</v>
      </c>
      <c r="AM43" s="236">
        <f t="shared" ref="AM43:AS43" si="95">AM56+AM63+AM71</f>
        <v>17399299.906763889</v>
      </c>
      <c r="AN43" s="236">
        <f t="shared" si="95"/>
        <v>18948694.209722221</v>
      </c>
      <c r="AO43" s="236">
        <f t="shared" si="95"/>
        <v>20471660.068875</v>
      </c>
      <c r="AP43" s="236">
        <f t="shared" si="95"/>
        <v>21976222.294222221</v>
      </c>
      <c r="AQ43" s="236">
        <f t="shared" si="95"/>
        <v>23459035.185763888</v>
      </c>
      <c r="AR43" s="236">
        <f t="shared" si="95"/>
        <v>24933318.743499998</v>
      </c>
      <c r="AS43" s="236">
        <f t="shared" si="95"/>
        <v>26385310.607430555</v>
      </c>
      <c r="AT43" s="236">
        <f t="shared" ref="AT43:AX43" si="96">AT56+AT63+AT71</f>
        <v>27817885.537555557</v>
      </c>
      <c r="AU43" s="236">
        <f t="shared" si="96"/>
        <v>29213683.193875004</v>
      </c>
      <c r="AV43" s="236">
        <f t="shared" si="96"/>
        <v>30603077.696388889</v>
      </c>
      <c r="AW43" s="236">
        <f t="shared" si="96"/>
        <v>31973554.265097223</v>
      </c>
      <c r="AX43" s="236">
        <f t="shared" si="96"/>
        <v>33321819.060000002</v>
      </c>
      <c r="AY43" s="236">
        <f t="shared" si="82"/>
        <v>26972981.570000004</v>
      </c>
      <c r="AZ43" s="236">
        <f t="shared" si="75"/>
        <v>26757344.110000003</v>
      </c>
      <c r="BA43" s="232">
        <f t="shared" si="15"/>
        <v>0.17200871674694038</v>
      </c>
      <c r="BB43" s="232">
        <f t="shared" si="16"/>
        <v>0.24914929275832423</v>
      </c>
      <c r="BC43" s="228">
        <f t="shared" si="8"/>
        <v>21603903.537555557</v>
      </c>
    </row>
    <row r="44" spans="1:56" s="242" customFormat="1" outlineLevel="2" collapsed="1" x14ac:dyDescent="0.25">
      <c r="A44" s="243"/>
      <c r="B44" s="244"/>
      <c r="C44" s="234" t="str">
        <f>EEFFun!C43</f>
        <v>INMOBILIARIO</v>
      </c>
      <c r="D44" s="235">
        <f>EEFFun!P43</f>
        <v>1</v>
      </c>
      <c r="E44" s="235">
        <f>EEFFun!Q43</f>
        <v>1</v>
      </c>
      <c r="F44" s="235">
        <f>EEFFun!R43</f>
        <v>1</v>
      </c>
      <c r="G44" s="235">
        <f>EEFFun!S43</f>
        <v>1</v>
      </c>
      <c r="H44" s="235">
        <f>EEFFun!T43</f>
        <v>1</v>
      </c>
      <c r="I44" s="235">
        <f>EEFFun!U43</f>
        <v>1</v>
      </c>
      <c r="J44" s="235">
        <f>EEFFun!V43</f>
        <v>1</v>
      </c>
      <c r="K44" s="235">
        <f>EEFFun!W43</f>
        <v>1</v>
      </c>
      <c r="L44" s="235">
        <f>EEFFun!X43</f>
        <v>1</v>
      </c>
      <c r="M44" s="235">
        <f>EEFFun!Y43</f>
        <v>1</v>
      </c>
      <c r="N44" s="235">
        <f>EEFFun!Z43</f>
        <v>1</v>
      </c>
      <c r="O44" s="235">
        <f>EEFFun!AA43</f>
        <v>1</v>
      </c>
      <c r="P44" s="235">
        <f>EEFFun!AB43</f>
        <v>1</v>
      </c>
      <c r="Q44" s="235">
        <f>EEFFun!AC43</f>
        <v>0</v>
      </c>
      <c r="R44" s="235">
        <f>EEFFun!AD43</f>
        <v>0</v>
      </c>
      <c r="S44" s="235">
        <f>EEFFun!AE43</f>
        <v>0</v>
      </c>
      <c r="T44" s="235">
        <f>EEFFun!AF43</f>
        <v>0</v>
      </c>
      <c r="U44" s="235">
        <f>EEFFun!AG43</f>
        <v>0</v>
      </c>
      <c r="V44" s="235">
        <f>EEFFun!AH43</f>
        <v>0</v>
      </c>
      <c r="W44" s="235">
        <f>EEFFun!AI43</f>
        <v>0</v>
      </c>
      <c r="X44" s="235">
        <f>EEFFun!AJ43</f>
        <v>0</v>
      </c>
      <c r="Y44" s="235">
        <f>EEFFun!AK43</f>
        <v>0</v>
      </c>
      <c r="Z44" s="235">
        <f>EEFFun!AL43</f>
        <v>0</v>
      </c>
      <c r="AA44" s="235">
        <f>EEFFun!AM43</f>
        <v>0</v>
      </c>
      <c r="AB44" s="235">
        <f>EEFFun!AN43</f>
        <v>0</v>
      </c>
      <c r="AC44" s="235">
        <f>EEFFun!AO43</f>
        <v>0</v>
      </c>
      <c r="AD44" s="235">
        <f>EEFFun!AP43</f>
        <v>0</v>
      </c>
      <c r="AE44" s="235">
        <f>EEFFun!AQ43</f>
        <v>0</v>
      </c>
      <c r="AF44" s="235">
        <f>EEFFun!AR43</f>
        <v>0</v>
      </c>
      <c r="AG44" s="235">
        <f>EEFFun!AS43</f>
        <v>0</v>
      </c>
      <c r="AH44" s="235">
        <f>EEFFun!AT43</f>
        <v>0</v>
      </c>
      <c r="AI44" s="235">
        <f>EEFFun!AU43</f>
        <v>0</v>
      </c>
      <c r="AJ44" s="235">
        <f>EEFFun!AV43</f>
        <v>0</v>
      </c>
      <c r="AK44" s="235">
        <f>EEFFun!AW43</f>
        <v>0</v>
      </c>
      <c r="AL44" s="235">
        <f>EEFFun!AX43</f>
        <v>0</v>
      </c>
      <c r="AM44" s="236">
        <f t="shared" ref="AM44:AS44" si="97">AM70</f>
        <v>0</v>
      </c>
      <c r="AN44" s="236">
        <f t="shared" si="97"/>
        <v>0</v>
      </c>
      <c r="AO44" s="236">
        <f t="shared" si="97"/>
        <v>0</v>
      </c>
      <c r="AP44" s="236">
        <f t="shared" si="97"/>
        <v>0</v>
      </c>
      <c r="AQ44" s="236">
        <f t="shared" si="97"/>
        <v>0</v>
      </c>
      <c r="AR44" s="236">
        <f t="shared" si="97"/>
        <v>0</v>
      </c>
      <c r="AS44" s="236">
        <f t="shared" si="97"/>
        <v>0</v>
      </c>
      <c r="AT44" s="236">
        <f t="shared" ref="AT44:AX44" si="98">AT70</f>
        <v>0</v>
      </c>
      <c r="AU44" s="236">
        <f t="shared" si="98"/>
        <v>0</v>
      </c>
      <c r="AV44" s="236">
        <f t="shared" si="98"/>
        <v>0</v>
      </c>
      <c r="AW44" s="236">
        <f t="shared" si="98"/>
        <v>0</v>
      </c>
      <c r="AX44" s="236">
        <f t="shared" si="98"/>
        <v>0</v>
      </c>
      <c r="AY44" s="236">
        <f t="shared" si="82"/>
        <v>0</v>
      </c>
      <c r="AZ44" s="236">
        <f t="shared" si="75"/>
        <v>-1</v>
      </c>
      <c r="BA44" s="232">
        <f t="shared" si="15"/>
        <v>2.6202966430230704E-8</v>
      </c>
      <c r="BB44" s="232">
        <f t="shared" si="16"/>
        <v>0</v>
      </c>
      <c r="BC44" s="228">
        <f t="shared" si="8"/>
        <v>0</v>
      </c>
    </row>
    <row r="45" spans="1:56" s="242" customFormat="1" outlineLevel="2" collapsed="1" x14ac:dyDescent="0.25">
      <c r="A45" s="243"/>
      <c r="B45" s="244"/>
      <c r="C45" s="234" t="str">
        <f>EEFFun!C44</f>
        <v>CONSUMO REFINANCIADO</v>
      </c>
      <c r="D45" s="235">
        <f>EEFFun!P44</f>
        <v>12623.84</v>
      </c>
      <c r="E45" s="235">
        <f>EEFFun!Q44</f>
        <v>19365.96</v>
      </c>
      <c r="F45" s="235">
        <f>EEFFun!R44</f>
        <v>19207.27</v>
      </c>
      <c r="G45" s="235">
        <f>EEFFun!S44</f>
        <v>18889.82</v>
      </c>
      <c r="H45" s="235">
        <f>EEFFun!T44</f>
        <v>18721.37</v>
      </c>
      <c r="I45" s="235">
        <f>EEFFun!U44</f>
        <v>44485.610000000008</v>
      </c>
      <c r="J45" s="235">
        <f>EEFFun!V44</f>
        <v>43869.05</v>
      </c>
      <c r="K45" s="235">
        <f>EEFFun!W44</f>
        <v>57534.57</v>
      </c>
      <c r="L45" s="235">
        <f>EEFFun!X44</f>
        <v>89937.659999999989</v>
      </c>
      <c r="M45" s="235">
        <f>EEFFun!Y44</f>
        <v>124220.15000000001</v>
      </c>
      <c r="N45" s="235">
        <f>EEFFun!Z44</f>
        <v>160655.60999999999</v>
      </c>
      <c r="O45" s="235">
        <f>EEFFun!AA44</f>
        <v>200216.24</v>
      </c>
      <c r="P45" s="235">
        <f>EEFFun!AB44</f>
        <v>198221.88000000003</v>
      </c>
      <c r="Q45" s="235">
        <f>EEFFun!AC44</f>
        <v>214099.97000000003</v>
      </c>
      <c r="R45" s="235">
        <f>EEFFun!AD44</f>
        <v>212883.76</v>
      </c>
      <c r="S45" s="235">
        <f>EEFFun!AE44</f>
        <v>258177.36000000002</v>
      </c>
      <c r="T45" s="235">
        <f>EEFFun!AF44</f>
        <v>248110.37</v>
      </c>
      <c r="U45" s="235">
        <f>EEFFun!AG44</f>
        <v>267357.26</v>
      </c>
      <c r="V45" s="235">
        <f>EEFFun!AH44</f>
        <v>274562.25</v>
      </c>
      <c r="W45" s="235">
        <f>EEFFun!AI44</f>
        <v>305101.12</v>
      </c>
      <c r="X45" s="235">
        <f>EEFFun!AJ44</f>
        <v>267012.35000000003</v>
      </c>
      <c r="Y45" s="235">
        <f>EEFFun!AK44</f>
        <v>279989.49000000005</v>
      </c>
      <c r="Z45" s="235">
        <f>EEFFun!AL44</f>
        <v>316509.88</v>
      </c>
      <c r="AA45" s="235">
        <f>EEFFun!AM44</f>
        <v>187033.74000000002</v>
      </c>
      <c r="AB45" s="235">
        <f>EEFFun!AN44</f>
        <v>179884.79</v>
      </c>
      <c r="AC45" s="235">
        <f>EEFFun!AO44</f>
        <v>173539.13</v>
      </c>
      <c r="AD45" s="235">
        <f>EEFFun!AP44</f>
        <v>171244.62999999998</v>
      </c>
      <c r="AE45" s="235">
        <f>EEFFun!AQ44</f>
        <v>191150.33</v>
      </c>
      <c r="AF45" s="235">
        <f>EEFFun!AR44</f>
        <v>188322.08</v>
      </c>
      <c r="AG45" s="235">
        <f>EEFFun!AS44</f>
        <v>213657.65</v>
      </c>
      <c r="AH45" s="235">
        <f>EEFFun!AT44</f>
        <v>209384.29</v>
      </c>
      <c r="AI45" s="235">
        <f>EEFFun!AU44</f>
        <v>228653.24</v>
      </c>
      <c r="AJ45" s="235">
        <f>EEFFun!AV44</f>
        <v>225502.22</v>
      </c>
      <c r="AK45" s="235">
        <f>EEFFun!AW44</f>
        <v>213355.03</v>
      </c>
      <c r="AL45" s="235">
        <f>EEFFun!AX44</f>
        <v>260130</v>
      </c>
      <c r="AM45" s="236">
        <f t="shared" ref="AM45:AS45" si="99">AM57+AM64+AM72</f>
        <v>288906.61003446562</v>
      </c>
      <c r="AN45" s="236">
        <f t="shared" si="99"/>
        <v>289954.68787098234</v>
      </c>
      <c r="AO45" s="236">
        <f t="shared" si="99"/>
        <v>290165.4536591635</v>
      </c>
      <c r="AP45" s="236">
        <f t="shared" si="99"/>
        <v>290778.31895783986</v>
      </c>
      <c r="AQ45" s="236">
        <f t="shared" si="99"/>
        <v>291135.81735626358</v>
      </c>
      <c r="AR45" s="236">
        <f t="shared" si="99"/>
        <v>291443.3460202993</v>
      </c>
      <c r="AS45" s="236">
        <f t="shared" si="99"/>
        <v>291498.01665135252</v>
      </c>
      <c r="AT45" s="236">
        <f t="shared" ref="AT45:AX45" si="100">AT57+AT64+AT72</f>
        <v>291496.58545307716</v>
      </c>
      <c r="AU45" s="236">
        <f t="shared" si="100"/>
        <v>291339.97395747277</v>
      </c>
      <c r="AV45" s="236">
        <f t="shared" si="100"/>
        <v>290934.426479457</v>
      </c>
      <c r="AW45" s="236">
        <f t="shared" si="100"/>
        <v>290601.50758752658</v>
      </c>
      <c r="AX45" s="236">
        <f t="shared" si="100"/>
        <v>290024.12883121759</v>
      </c>
      <c r="AY45" s="236">
        <f t="shared" si="82"/>
        <v>15461.878831217589</v>
      </c>
      <c r="AZ45" s="236">
        <f t="shared" si="75"/>
        <v>91802.248831217556</v>
      </c>
      <c r="BA45" s="232">
        <f t="shared" si="15"/>
        <v>5.1940012673772195E-3</v>
      </c>
      <c r="BB45" s="232">
        <f t="shared" si="16"/>
        <v>2.16852826825076E-3</v>
      </c>
      <c r="BC45" s="228">
        <f t="shared" si="8"/>
        <v>-13604.534546922834</v>
      </c>
    </row>
    <row r="46" spans="1:56" s="242" customFormat="1" outlineLevel="2" collapsed="1" x14ac:dyDescent="0.25">
      <c r="A46" s="243"/>
      <c r="B46" s="244"/>
      <c r="C46" s="234" t="str">
        <f>EEFFun!C45</f>
        <v>MICROCREDITO REFINANCIADO</v>
      </c>
      <c r="D46" s="235">
        <f>EEFFun!P45</f>
        <v>0</v>
      </c>
      <c r="E46" s="235">
        <f>EEFFun!Q45</f>
        <v>0</v>
      </c>
      <c r="F46" s="235">
        <f>EEFFun!R45</f>
        <v>0</v>
      </c>
      <c r="G46" s="235">
        <f>EEFFun!S45</f>
        <v>0</v>
      </c>
      <c r="H46" s="235">
        <f>EEFFun!T45</f>
        <v>0</v>
      </c>
      <c r="I46" s="235">
        <f>EEFFun!U45</f>
        <v>0</v>
      </c>
      <c r="J46" s="235">
        <f>EEFFun!V45</f>
        <v>0</v>
      </c>
      <c r="K46" s="235">
        <f>EEFFun!W45</f>
        <v>30942.94</v>
      </c>
      <c r="L46" s="235">
        <f>EEFFun!X45</f>
        <v>56130.02</v>
      </c>
      <c r="M46" s="235">
        <f>EEFFun!Y45</f>
        <v>95559.15</v>
      </c>
      <c r="N46" s="235">
        <f>EEFFun!Z45</f>
        <v>117323.1</v>
      </c>
      <c r="O46" s="235">
        <f>EEFFun!AA45</f>
        <v>117323.09999999999</v>
      </c>
      <c r="P46" s="235">
        <f>EEFFun!AB45</f>
        <v>117962.57</v>
      </c>
      <c r="Q46" s="235">
        <f>EEFFun!AC45</f>
        <v>132664.41</v>
      </c>
      <c r="R46" s="235">
        <f>EEFFun!AD45</f>
        <v>106428.81999999999</v>
      </c>
      <c r="S46" s="235">
        <f>EEFFun!AE45</f>
        <v>122081.83</v>
      </c>
      <c r="T46" s="235">
        <f>EEFFun!AF45</f>
        <v>141905.69</v>
      </c>
      <c r="U46" s="235">
        <f>EEFFun!AG45</f>
        <v>140962.99</v>
      </c>
      <c r="V46" s="235">
        <f>EEFFun!AH45</f>
        <v>139984.44999999998</v>
      </c>
      <c r="W46" s="235">
        <f>EEFFun!AI45</f>
        <v>161106.03</v>
      </c>
      <c r="X46" s="235">
        <f>EEFFun!AJ45</f>
        <v>186441.81</v>
      </c>
      <c r="Y46" s="235">
        <f>EEFFun!AK45</f>
        <v>186001.48</v>
      </c>
      <c r="Z46" s="235">
        <f>EEFFun!AL45</f>
        <v>155579.33000000002</v>
      </c>
      <c r="AA46" s="235">
        <f>EEFFun!AM45</f>
        <v>176971.63</v>
      </c>
      <c r="AB46" s="235">
        <f>EEFFun!AN45</f>
        <v>103756.31999999999</v>
      </c>
      <c r="AC46" s="235">
        <f>EEFFun!AO45</f>
        <v>103066.34</v>
      </c>
      <c r="AD46" s="235">
        <f>EEFFun!AP45</f>
        <v>102659.79000000001</v>
      </c>
      <c r="AE46" s="235">
        <f>EEFFun!AQ45</f>
        <v>100346.79</v>
      </c>
      <c r="AF46" s="235">
        <f>EEFFun!AR45</f>
        <v>99300.069999999992</v>
      </c>
      <c r="AG46" s="235">
        <f>EEFFun!AS45</f>
        <v>98422.59</v>
      </c>
      <c r="AH46" s="235">
        <f>EEFFun!AT45</f>
        <v>97437.430000000008</v>
      </c>
      <c r="AI46" s="235">
        <f>EEFFun!AU45</f>
        <v>96267.42</v>
      </c>
      <c r="AJ46" s="235">
        <f>EEFFun!AV45</f>
        <v>95253</v>
      </c>
      <c r="AK46" s="235">
        <f>EEFFun!AW45</f>
        <v>94312.42</v>
      </c>
      <c r="AL46" s="235">
        <f>EEFFun!AX45</f>
        <v>89773.94</v>
      </c>
      <c r="AM46" s="236">
        <f t="shared" ref="AM46:AS46" si="101">AM58+AM65+AM73</f>
        <v>152554.65788985282</v>
      </c>
      <c r="AN46" s="236">
        <f t="shared" si="101"/>
        <v>153108.08640356068</v>
      </c>
      <c r="AO46" s="236">
        <f t="shared" si="101"/>
        <v>153219.37947057292</v>
      </c>
      <c r="AP46" s="236">
        <f t="shared" si="101"/>
        <v>153542.99773586975</v>
      </c>
      <c r="AQ46" s="236">
        <f t="shared" si="101"/>
        <v>153731.77169940484</v>
      </c>
      <c r="AR46" s="236">
        <f t="shared" si="101"/>
        <v>153894.15957321535</v>
      </c>
      <c r="AS46" s="236">
        <f t="shared" si="101"/>
        <v>153923.0279311112</v>
      </c>
      <c r="AT46" s="236">
        <f t="shared" ref="AT46:AX46" si="102">AT58+AT65+AT73</f>
        <v>153922.27219913519</v>
      </c>
      <c r="AU46" s="236">
        <f t="shared" si="102"/>
        <v>153839.57484191415</v>
      </c>
      <c r="AV46" s="236">
        <f t="shared" si="102"/>
        <v>153625.42897394873</v>
      </c>
      <c r="AW46" s="236">
        <f t="shared" si="102"/>
        <v>153449.63400803407</v>
      </c>
      <c r="AX46" s="236">
        <f t="shared" si="102"/>
        <v>153144.75410711704</v>
      </c>
      <c r="AY46" s="236">
        <f t="shared" si="82"/>
        <v>13160.304107117059</v>
      </c>
      <c r="AZ46" s="238"/>
      <c r="BA46" s="245"/>
      <c r="BB46" s="245"/>
      <c r="BC46" s="228">
        <f t="shared" si="8"/>
        <v>-7183.7578008648125</v>
      </c>
    </row>
    <row r="47" spans="1:56" s="242" customFormat="1" outlineLevel="2" collapsed="1" x14ac:dyDescent="0.25">
      <c r="A47" s="243"/>
      <c r="B47" s="244"/>
      <c r="C47" s="234" t="str">
        <f>EEFFun!C46</f>
        <v>CONSUMO REESTRUCTURADO</v>
      </c>
      <c r="D47" s="235">
        <f>EEFFun!P46</f>
        <v>10049.69</v>
      </c>
      <c r="E47" s="235">
        <f>EEFFun!Q46</f>
        <v>9166.07</v>
      </c>
      <c r="F47" s="235">
        <f>EEFFun!R46</f>
        <v>8247.42</v>
      </c>
      <c r="G47" s="235">
        <f>EEFFun!S46</f>
        <v>7231.35</v>
      </c>
      <c r="H47" s="235">
        <f>EEFFun!T46</f>
        <v>6856.37</v>
      </c>
      <c r="I47" s="235">
        <f>EEFFun!U46</f>
        <v>6304.02</v>
      </c>
      <c r="J47" s="235">
        <f>EEFFun!V46</f>
        <v>5744.16</v>
      </c>
      <c r="K47" s="235">
        <f>EEFFun!W46</f>
        <v>20189.48</v>
      </c>
      <c r="L47" s="235">
        <f>EEFFun!X46</f>
        <v>96839.78</v>
      </c>
      <c r="M47" s="235">
        <f>EEFFun!Y46</f>
        <v>126080.62</v>
      </c>
      <c r="N47" s="235">
        <f>EEFFun!Z46</f>
        <v>148107.13999999998</v>
      </c>
      <c r="O47" s="235">
        <f>EEFFun!AA46</f>
        <v>163729.76999999999</v>
      </c>
      <c r="P47" s="235">
        <f>EEFFun!AB46</f>
        <v>170670.09999999998</v>
      </c>
      <c r="Q47" s="235">
        <f>EEFFun!AC46</f>
        <v>189781.85</v>
      </c>
      <c r="R47" s="235">
        <f>EEFFun!AD46</f>
        <v>181734.71</v>
      </c>
      <c r="S47" s="235">
        <f>EEFFun!AE46</f>
        <v>191371.51</v>
      </c>
      <c r="T47" s="235">
        <f>EEFFun!AF46</f>
        <v>189390.77000000002</v>
      </c>
      <c r="U47" s="235">
        <f>EEFFun!AG46</f>
        <v>186035.63999999998</v>
      </c>
      <c r="V47" s="235">
        <f>EEFFun!AH46</f>
        <v>184661.94999999998</v>
      </c>
      <c r="W47" s="235">
        <f>EEFFun!AI46</f>
        <v>169459.12</v>
      </c>
      <c r="X47" s="235">
        <f>EEFFun!AJ46</f>
        <v>203248.22</v>
      </c>
      <c r="Y47" s="235">
        <f>EEFFun!AK46</f>
        <v>203492.84</v>
      </c>
      <c r="Z47" s="235">
        <f>EEFFun!AL46</f>
        <v>216513.52999999997</v>
      </c>
      <c r="AA47" s="235">
        <f>EEFFun!AM46</f>
        <v>124713.39</v>
      </c>
      <c r="AB47" s="235">
        <f>EEFFun!AN46</f>
        <v>115604.88</v>
      </c>
      <c r="AC47" s="235">
        <f>EEFFun!AO46</f>
        <v>113840.68000000001</v>
      </c>
      <c r="AD47" s="235">
        <f>EEFFun!AP46</f>
        <v>112006.66</v>
      </c>
      <c r="AE47" s="235">
        <f>EEFFun!AQ46</f>
        <v>109482.1</v>
      </c>
      <c r="AF47" s="235">
        <f>EEFFun!AR46</f>
        <v>108040.27</v>
      </c>
      <c r="AG47" s="235">
        <f>EEFFun!AS46</f>
        <v>110361.85</v>
      </c>
      <c r="AH47" s="235">
        <f>EEFFun!AT46</f>
        <v>116821.23</v>
      </c>
      <c r="AI47" s="235">
        <f>EEFFun!AU46</f>
        <v>115241.01</v>
      </c>
      <c r="AJ47" s="235">
        <f>EEFFun!AV46</f>
        <v>85597.51</v>
      </c>
      <c r="AK47" s="235">
        <f>EEFFun!AW46</f>
        <v>83839.200000000012</v>
      </c>
      <c r="AL47" s="235">
        <f>EEFFun!AX46</f>
        <v>69182.77</v>
      </c>
      <c r="AM47" s="236">
        <f t="shared" ref="AM47:AS47" si="103">AM59+AM66+AM74</f>
        <v>49065.574545919546</v>
      </c>
      <c r="AN47" s="236">
        <f t="shared" si="103"/>
        <v>49571.901448721401</v>
      </c>
      <c r="AO47" s="236">
        <f t="shared" si="103"/>
        <v>49698.168799243249</v>
      </c>
      <c r="AP47" s="236">
        <f t="shared" si="103"/>
        <v>49839.15399090432</v>
      </c>
      <c r="AQ47" s="236">
        <f t="shared" si="103"/>
        <v>49824.95380277474</v>
      </c>
      <c r="AR47" s="236">
        <f t="shared" si="103"/>
        <v>49853.705326245996</v>
      </c>
      <c r="AS47" s="236">
        <f t="shared" si="103"/>
        <v>49728.813130920142</v>
      </c>
      <c r="AT47" s="236">
        <f t="shared" ref="AT47:AX47" si="104">AT59+AT66+AT74</f>
        <v>49537.193563621848</v>
      </c>
      <c r="AU47" s="236">
        <f t="shared" si="104"/>
        <v>49324.84645507711</v>
      </c>
      <c r="AV47" s="236">
        <f t="shared" si="104"/>
        <v>48960.400493845205</v>
      </c>
      <c r="AW47" s="236">
        <f t="shared" si="104"/>
        <v>48696.063085165697</v>
      </c>
      <c r="AX47" s="236">
        <f t="shared" si="104"/>
        <v>48282.222968091664</v>
      </c>
      <c r="AY47" s="236">
        <f t="shared" si="82"/>
        <v>-136379.72703190832</v>
      </c>
      <c r="AZ47" s="236">
        <f t="shared" ref="AZ47:AZ57" si="105">AX47-P47</f>
        <v>-122387.87703190831</v>
      </c>
      <c r="BA47" s="232">
        <f t="shared" ref="BA47:BA57" si="106">P47/$P$5</f>
        <v>4.4720629009441168E-3</v>
      </c>
      <c r="BB47" s="232">
        <f t="shared" ref="BB47:BB57" si="107">AX47/$AX$5</f>
        <v>3.6100915390120826E-4</v>
      </c>
      <c r="BC47" s="228">
        <f t="shared" si="8"/>
        <v>-119921.92643637815</v>
      </c>
    </row>
    <row r="48" spans="1:56" s="242" customFormat="1" outlineLevel="2" collapsed="1" x14ac:dyDescent="0.25">
      <c r="A48" s="243"/>
      <c r="B48" s="244"/>
      <c r="C48" s="234" t="str">
        <f>EEFFun!C47</f>
        <v>MICROCREDITO REESTRUCTURADO</v>
      </c>
      <c r="D48" s="235">
        <f>EEFFun!P47</f>
        <v>7478.2699999999995</v>
      </c>
      <c r="E48" s="235">
        <f>EEFFun!Q47</f>
        <v>7478.2699999999995</v>
      </c>
      <c r="F48" s="235">
        <f>EEFFun!R47</f>
        <v>7436.58</v>
      </c>
      <c r="G48" s="235">
        <f>EEFFun!S47</f>
        <v>7236.58</v>
      </c>
      <c r="H48" s="235">
        <f>EEFFun!T47</f>
        <v>6438.2900000000009</v>
      </c>
      <c r="I48" s="235">
        <f>EEFFun!U47</f>
        <v>4438.29</v>
      </c>
      <c r="J48" s="235">
        <f>EEFFun!V47</f>
        <v>3538.29</v>
      </c>
      <c r="K48" s="235">
        <f>EEFFun!W47</f>
        <v>2828.6</v>
      </c>
      <c r="L48" s="235">
        <f>EEFFun!X47</f>
        <v>15200.52</v>
      </c>
      <c r="M48" s="235">
        <f>EEFFun!Y47</f>
        <v>35282.42</v>
      </c>
      <c r="N48" s="235">
        <f>EEFFun!Z47</f>
        <v>35131.78</v>
      </c>
      <c r="O48" s="235">
        <f>EEFFun!AA47</f>
        <v>51875.01</v>
      </c>
      <c r="P48" s="235">
        <f>EEFFun!AB47</f>
        <v>109551.42</v>
      </c>
      <c r="Q48" s="235">
        <f>EEFFun!AC47</f>
        <v>144481.53999999998</v>
      </c>
      <c r="R48" s="235">
        <f>EEFFun!AD47</f>
        <v>154908.31</v>
      </c>
      <c r="S48" s="235">
        <f>EEFFun!AE47</f>
        <v>153309.94</v>
      </c>
      <c r="T48" s="235">
        <f>EEFFun!AF47</f>
        <v>152050.67000000001</v>
      </c>
      <c r="U48" s="235">
        <f>EEFFun!AG47</f>
        <v>149999.93</v>
      </c>
      <c r="V48" s="235">
        <f>EEFFun!AH47</f>
        <v>149473.01999999999</v>
      </c>
      <c r="W48" s="235">
        <f>EEFFun!AI47</f>
        <v>148422.78</v>
      </c>
      <c r="X48" s="235">
        <f>EEFFun!AJ47</f>
        <v>192083.75</v>
      </c>
      <c r="Y48" s="235">
        <f>EEFFun!AK47</f>
        <v>183109.59</v>
      </c>
      <c r="Z48" s="235">
        <f>EEFFun!AL47</f>
        <v>229141.27</v>
      </c>
      <c r="AA48" s="235">
        <f>EEFFun!AM47</f>
        <v>152213.12</v>
      </c>
      <c r="AB48" s="235">
        <f>EEFFun!AN47</f>
        <v>152001.23000000001</v>
      </c>
      <c r="AC48" s="235">
        <f>EEFFun!AO47</f>
        <v>151423.51999999999</v>
      </c>
      <c r="AD48" s="235">
        <f>EEFFun!AP47</f>
        <v>149093.62</v>
      </c>
      <c r="AE48" s="235">
        <f>EEFFun!AQ47</f>
        <v>122884.23999999999</v>
      </c>
      <c r="AF48" s="235">
        <f>EEFFun!AR47</f>
        <v>81022.12000000001</v>
      </c>
      <c r="AG48" s="235">
        <f>EEFFun!AS47</f>
        <v>68912.97</v>
      </c>
      <c r="AH48" s="235">
        <f>EEFFun!AT47</f>
        <v>68361.100000000006</v>
      </c>
      <c r="AI48" s="235">
        <f>EEFFun!AU47</f>
        <v>67796.200000000012</v>
      </c>
      <c r="AJ48" s="235">
        <f>EEFFun!AV47</f>
        <v>58485.15</v>
      </c>
      <c r="AK48" s="235">
        <f>EEFFun!AW47</f>
        <v>50762.020000000004</v>
      </c>
      <c r="AL48" s="235">
        <f>EEFFun!AX47</f>
        <v>24197.46</v>
      </c>
      <c r="AM48" s="236">
        <f t="shared" ref="AM48:AS48" si="108">AM60+AM67+AM75</f>
        <v>42974.665372997428</v>
      </c>
      <c r="AN48" s="236">
        <f t="shared" si="108"/>
        <v>43418.137795742463</v>
      </c>
      <c r="AO48" s="236">
        <f t="shared" si="108"/>
        <v>43528.730552200126</v>
      </c>
      <c r="AP48" s="236">
        <f t="shared" si="108"/>
        <v>43652.21410436993</v>
      </c>
      <c r="AQ48" s="236">
        <f t="shared" si="108"/>
        <v>43639.776701185503</v>
      </c>
      <c r="AR48" s="236">
        <f t="shared" si="108"/>
        <v>43664.959064004572</v>
      </c>
      <c r="AS48" s="236">
        <f t="shared" si="108"/>
        <v>43555.570753534383</v>
      </c>
      <c r="AT48" s="236">
        <f t="shared" ref="AT48:AX48" si="109">AT60+AT67+AT75</f>
        <v>43387.738482950117</v>
      </c>
      <c r="AU48" s="236">
        <f t="shared" si="109"/>
        <v>43201.751749541065</v>
      </c>
      <c r="AV48" s="236">
        <f t="shared" si="109"/>
        <v>42882.547432146923</v>
      </c>
      <c r="AW48" s="236">
        <f t="shared" si="109"/>
        <v>42651.024377771282</v>
      </c>
      <c r="AX48" s="236">
        <f t="shared" si="109"/>
        <v>42288.557603178961</v>
      </c>
      <c r="AY48" s="236">
        <f t="shared" si="82"/>
        <v>-107184.46239682104</v>
      </c>
      <c r="AZ48" s="236">
        <f t="shared" si="105"/>
        <v>-67262.86239682103</v>
      </c>
      <c r="BA48" s="232">
        <f t="shared" si="106"/>
        <v>2.8705721806441043E-3</v>
      </c>
      <c r="BB48" s="232">
        <f t="shared" si="107"/>
        <v>3.161941489337675E-4</v>
      </c>
      <c r="BC48" s="228">
        <f t="shared" si="8"/>
        <v>-105035.04151704989</v>
      </c>
    </row>
    <row r="49" spans="1:55" s="242" customFormat="1" outlineLevel="2" collapsed="1" x14ac:dyDescent="0.25">
      <c r="A49" s="243"/>
      <c r="B49" s="244"/>
      <c r="C49" s="234" t="str">
        <f>EEFFun!C48</f>
        <v>REFINANCIADO COVID 19</v>
      </c>
      <c r="D49" s="235">
        <f>EEFFun!P48</f>
        <v>40716.68</v>
      </c>
      <c r="E49" s="235">
        <f>EEFFun!Q48</f>
        <v>39926.21</v>
      </c>
      <c r="F49" s="235">
        <f>EEFFun!R48</f>
        <v>39124.810000000005</v>
      </c>
      <c r="G49" s="235">
        <f>EEFFun!S48</f>
        <v>38268.980000000003</v>
      </c>
      <c r="H49" s="235">
        <f>EEFFun!T48</f>
        <v>37725.43</v>
      </c>
      <c r="I49" s="235">
        <f>EEFFun!U48</f>
        <v>36595.24</v>
      </c>
      <c r="J49" s="235">
        <f>EEFFun!V48</f>
        <v>35896.219999999994</v>
      </c>
      <c r="K49" s="235">
        <f>EEFFun!W48</f>
        <v>34734.54</v>
      </c>
      <c r="L49" s="235">
        <f>EEFFun!X48</f>
        <v>34004.39</v>
      </c>
      <c r="M49" s="235">
        <f>EEFFun!Y48</f>
        <v>33340.450000000004</v>
      </c>
      <c r="N49" s="235">
        <f>EEFFun!Z48</f>
        <v>31213.8</v>
      </c>
      <c r="O49" s="235">
        <f>EEFFun!AA48</f>
        <v>30614.350000000002</v>
      </c>
      <c r="P49" s="235">
        <f>EEFFun!AB48</f>
        <v>29844.43</v>
      </c>
      <c r="Q49" s="235">
        <f>EEFFun!AC48</f>
        <v>28710.010000000002</v>
      </c>
      <c r="R49" s="235">
        <f>EEFFun!AD48</f>
        <v>27864.43</v>
      </c>
      <c r="S49" s="235">
        <f>EEFFun!AE48</f>
        <v>27373.119999999995</v>
      </c>
      <c r="T49" s="235">
        <f>EEFFun!AF48</f>
        <v>26048.75</v>
      </c>
      <c r="U49" s="235">
        <f>EEFFun!AG48</f>
        <v>25551.34</v>
      </c>
      <c r="V49" s="235">
        <f>EEFFun!AH48</f>
        <v>24722.350000000002</v>
      </c>
      <c r="W49" s="235">
        <f>EEFFun!AI48</f>
        <v>23877.57</v>
      </c>
      <c r="X49" s="235">
        <f>EEFFun!AJ48</f>
        <v>22985.58</v>
      </c>
      <c r="Y49" s="235">
        <f>EEFFun!AK48</f>
        <v>21824.440000000002</v>
      </c>
      <c r="Z49" s="235">
        <f>EEFFun!AL48</f>
        <v>20588.07</v>
      </c>
      <c r="AA49" s="235">
        <f>EEFFun!AM48</f>
        <v>13554.21</v>
      </c>
      <c r="AB49" s="235">
        <f>EEFFun!AN48</f>
        <v>139832.85</v>
      </c>
      <c r="AC49" s="235">
        <f>EEFFun!AO48</f>
        <v>159712.29</v>
      </c>
      <c r="AD49" s="235">
        <f>EEFFun!AP48</f>
        <v>156589.47</v>
      </c>
      <c r="AE49" s="235">
        <f>EEFFun!AQ48</f>
        <v>140423.82</v>
      </c>
      <c r="AF49" s="235">
        <f>EEFFun!AR48</f>
        <v>137913.59</v>
      </c>
      <c r="AG49" s="235">
        <f>EEFFun!AS48</f>
        <v>134762.99000000002</v>
      </c>
      <c r="AH49" s="235">
        <f>EEFFun!AT48</f>
        <v>132104.87</v>
      </c>
      <c r="AI49" s="235">
        <f>EEFFun!AU48</f>
        <v>129109.19</v>
      </c>
      <c r="AJ49" s="235">
        <f>EEFFun!AV48</f>
        <v>126380.63</v>
      </c>
      <c r="AK49" s="235">
        <f>EEFFun!AW48</f>
        <v>119199.63999999998</v>
      </c>
      <c r="AL49" s="235">
        <f>EEFFun!AX48</f>
        <v>115962.57</v>
      </c>
      <c r="AM49" s="236">
        <f t="shared" ref="AM49:AS49" si="110">AM76+AM78+AM80</f>
        <v>22610.168735403717</v>
      </c>
      <c r="AN49" s="236">
        <f t="shared" si="110"/>
        <v>22692.192531012453</v>
      </c>
      <c r="AO49" s="236">
        <f t="shared" si="110"/>
        <v>22708.687307763517</v>
      </c>
      <c r="AP49" s="236">
        <f t="shared" si="110"/>
        <v>22756.650861845897</v>
      </c>
      <c r="AQ49" s="236">
        <f t="shared" si="110"/>
        <v>22784.629104053762</v>
      </c>
      <c r="AR49" s="236">
        <f t="shared" si="110"/>
        <v>22808.696656485296</v>
      </c>
      <c r="AS49" s="236">
        <f t="shared" si="110"/>
        <v>22812.97524392515</v>
      </c>
      <c r="AT49" s="236">
        <f t="shared" ref="AT49:AX49" si="111">AT76+AT78+AT80</f>
        <v>22812.863236676523</v>
      </c>
      <c r="AU49" s="236">
        <f t="shared" si="111"/>
        <v>22800.606638113073</v>
      </c>
      <c r="AV49" s="236">
        <f t="shared" si="111"/>
        <v>22768.86801881648</v>
      </c>
      <c r="AW49" s="236">
        <f t="shared" si="111"/>
        <v>22742.813397494894</v>
      </c>
      <c r="AX49" s="236">
        <f t="shared" si="111"/>
        <v>22697.627061665378</v>
      </c>
      <c r="AY49" s="236">
        <f t="shared" si="82"/>
        <v>-2024.7229383346239</v>
      </c>
      <c r="AZ49" s="236">
        <f t="shared" si="105"/>
        <v>-7146.802938334622</v>
      </c>
      <c r="BA49" s="232">
        <f t="shared" si="106"/>
        <v>7.8201259741937017E-4</v>
      </c>
      <c r="BB49" s="232">
        <f t="shared" si="107"/>
        <v>1.6971155504816337E-4</v>
      </c>
      <c r="BC49" s="228">
        <f t="shared" si="8"/>
        <v>-1064.7067633234765</v>
      </c>
    </row>
    <row r="50" spans="1:55" outlineLevel="2" collapsed="1" x14ac:dyDescent="0.25">
      <c r="B50" s="246"/>
      <c r="C50" s="234" t="str">
        <f>EEFFun!C49</f>
        <v>REESTRUCTURADO COVID 19</v>
      </c>
      <c r="D50" s="235">
        <f>EEFFun!P49</f>
        <v>350812.91000000003</v>
      </c>
      <c r="E50" s="235">
        <f>EEFFun!Q49</f>
        <v>346393.86</v>
      </c>
      <c r="F50" s="235">
        <f>EEFFun!R49</f>
        <v>341693.07</v>
      </c>
      <c r="G50" s="235">
        <f>EEFFun!S49</f>
        <v>327637.04000000004</v>
      </c>
      <c r="H50" s="235">
        <f>EEFFun!T49</f>
        <v>322737.73</v>
      </c>
      <c r="I50" s="235">
        <f>EEFFun!U49</f>
        <v>306596.56</v>
      </c>
      <c r="J50" s="235">
        <f>EEFFun!V49</f>
        <v>301484.78999999998</v>
      </c>
      <c r="K50" s="235">
        <f>EEFFun!W49</f>
        <v>297822.98</v>
      </c>
      <c r="L50" s="235">
        <f>EEFFun!X49</f>
        <v>294116.11</v>
      </c>
      <c r="M50" s="235">
        <f>EEFFun!Y49</f>
        <v>289363.43</v>
      </c>
      <c r="N50" s="235">
        <f>EEFFun!Z49</f>
        <v>265346.53999999998</v>
      </c>
      <c r="O50" s="235">
        <f>EEFFun!AA49</f>
        <v>261352.57</v>
      </c>
      <c r="P50" s="235">
        <f>EEFFun!AB49</f>
        <v>256565.75</v>
      </c>
      <c r="Q50" s="235">
        <f>EEFFun!AC49</f>
        <v>238352.99</v>
      </c>
      <c r="R50" s="235">
        <f>EEFFun!AD49</f>
        <v>233224.1</v>
      </c>
      <c r="S50" s="235">
        <f>EEFFun!AE49</f>
        <v>230149.68</v>
      </c>
      <c r="T50" s="235">
        <f>EEFFun!AF49</f>
        <v>224280.18</v>
      </c>
      <c r="U50" s="235">
        <f>EEFFun!AG49</f>
        <v>220226.24</v>
      </c>
      <c r="V50" s="235">
        <f>EEFFun!AH49</f>
        <v>215594.34</v>
      </c>
      <c r="W50" s="235">
        <f>EEFFun!AI49</f>
        <v>210832.5</v>
      </c>
      <c r="X50" s="235">
        <f>EEFFun!AJ49</f>
        <v>205818.87000000002</v>
      </c>
      <c r="Y50" s="235">
        <f>EEFFun!AK49</f>
        <v>202331</v>
      </c>
      <c r="Z50" s="235">
        <f>EEFFun!AL49</f>
        <v>117068.03</v>
      </c>
      <c r="AA50" s="235">
        <f>EEFFun!AM49</f>
        <v>90591.13</v>
      </c>
      <c r="AB50" s="235">
        <f>EEFFun!AN49</f>
        <v>143880.85999999999</v>
      </c>
      <c r="AC50" s="235">
        <f>EEFFun!AO49</f>
        <v>140104.35999999999</v>
      </c>
      <c r="AD50" s="235">
        <f>EEFFun!AP49</f>
        <v>136670.08000000002</v>
      </c>
      <c r="AE50" s="235">
        <f>EEFFun!AQ49</f>
        <v>130405.43000000001</v>
      </c>
      <c r="AF50" s="235">
        <f>EEFFun!AR49</f>
        <v>125860.70999999999</v>
      </c>
      <c r="AG50" s="235">
        <f>EEFFun!AS49</f>
        <v>109476.74</v>
      </c>
      <c r="AH50" s="235">
        <f>EEFFun!AT49</f>
        <v>105461.79000000001</v>
      </c>
      <c r="AI50" s="235">
        <f>EEFFun!AU49</f>
        <v>101433.90000000001</v>
      </c>
      <c r="AJ50" s="235">
        <f>EEFFun!AV49</f>
        <v>94276.45</v>
      </c>
      <c r="AK50" s="235">
        <f>EEFFun!AW49</f>
        <v>90733.36</v>
      </c>
      <c r="AL50" s="235">
        <f>EEFFun!AX49</f>
        <v>57260.859999999993</v>
      </c>
      <c r="AM50" s="236">
        <f t="shared" ref="AM50:AS50" si="112">AM82+AM85+AM88</f>
        <v>61044.915997749682</v>
      </c>
      <c r="AN50" s="236">
        <f t="shared" si="112"/>
        <v>61674.862422202801</v>
      </c>
      <c r="AO50" s="236">
        <f t="shared" si="112"/>
        <v>61831.957898556619</v>
      </c>
      <c r="AP50" s="236">
        <f t="shared" si="112"/>
        <v>62007.364571392412</v>
      </c>
      <c r="AQ50" s="236">
        <f t="shared" si="112"/>
        <v>61989.69741270641</v>
      </c>
      <c r="AR50" s="236">
        <f t="shared" si="112"/>
        <v>62025.46860974942</v>
      </c>
      <c r="AS50" s="236">
        <f t="shared" si="112"/>
        <v>61870.084032212137</v>
      </c>
      <c r="AT50" s="236">
        <f t="shared" ref="AT50:AX50" si="113">AT82+AT85+AT88</f>
        <v>61631.680620094703</v>
      </c>
      <c r="AU50" s="236">
        <f t="shared" si="113"/>
        <v>61367.48904538183</v>
      </c>
      <c r="AV50" s="236">
        <f t="shared" si="113"/>
        <v>60914.063740674552</v>
      </c>
      <c r="AW50" s="236">
        <f t="shared" si="113"/>
        <v>60585.188453729701</v>
      </c>
      <c r="AX50" s="236">
        <f t="shared" si="113"/>
        <v>60070.309428729393</v>
      </c>
      <c r="AY50" s="236">
        <f t="shared" si="82"/>
        <v>-155524.03057127062</v>
      </c>
      <c r="AZ50" s="236">
        <f t="shared" si="105"/>
        <v>-196495.44057127059</v>
      </c>
      <c r="BA50" s="247">
        <f t="shared" si="106"/>
        <v>6.7227837343969629E-3</v>
      </c>
      <c r="BB50" s="247">
        <f t="shared" si="107"/>
        <v>4.4914940216777058E-4</v>
      </c>
      <c r="BC50" s="228">
        <f t="shared" si="8"/>
        <v>-149200.8193799053</v>
      </c>
    </row>
    <row r="51" spans="1:55" s="229" customFormat="1" outlineLevel="2" collapsed="1" x14ac:dyDescent="0.25">
      <c r="A51" s="248"/>
      <c r="B51" s="249"/>
      <c r="C51" s="250" t="str">
        <f>EEFFun!C50</f>
        <v>PROVISIONES PARA CREDITOS INCOBRABLES</v>
      </c>
      <c r="D51" s="225">
        <f>EEFFun!P50</f>
        <v>-1615254.54</v>
      </c>
      <c r="E51" s="225">
        <f>EEFFun!Q50</f>
        <v>-1614105.44</v>
      </c>
      <c r="F51" s="225">
        <f>EEFFun!R50</f>
        <v>-1610345.07</v>
      </c>
      <c r="G51" s="225">
        <f>EEFFun!S50</f>
        <v>-1638012.41</v>
      </c>
      <c r="H51" s="225">
        <f>EEFFun!T50</f>
        <v>-1672236.32</v>
      </c>
      <c r="I51" s="225">
        <f>EEFFun!U50</f>
        <v>-1809112.76</v>
      </c>
      <c r="J51" s="225">
        <f>EEFFun!V50</f>
        <v>-1902226.81</v>
      </c>
      <c r="K51" s="225">
        <f>EEFFun!W50</f>
        <v>-1976006.1</v>
      </c>
      <c r="L51" s="225">
        <f>EEFFun!X50</f>
        <v>-1986495.49</v>
      </c>
      <c r="M51" s="225">
        <f>EEFFun!Y50</f>
        <v>-2052751.74</v>
      </c>
      <c r="N51" s="225">
        <f>EEFFun!Z50</f>
        <v>-2262239.86</v>
      </c>
      <c r="O51" s="225">
        <f>EEFFun!AA50</f>
        <v>-2043119.74</v>
      </c>
      <c r="P51" s="225">
        <f>EEFFun!AB50</f>
        <v>-2069645.61</v>
      </c>
      <c r="Q51" s="225">
        <f>EEFFun!AC50</f>
        <v>-2099214.25</v>
      </c>
      <c r="R51" s="225">
        <f>EEFFun!AD50</f>
        <v>-2220187.35</v>
      </c>
      <c r="S51" s="225">
        <f>EEFFun!AE50</f>
        <v>-2150718.7000000002</v>
      </c>
      <c r="T51" s="225">
        <f>EEFFun!AF50</f>
        <v>-2170112.2200000002</v>
      </c>
      <c r="U51" s="225">
        <f>EEFFun!AG50</f>
        <v>-2205265.2999999998</v>
      </c>
      <c r="V51" s="225">
        <f>EEFFun!AH50</f>
        <v>-2374516.27</v>
      </c>
      <c r="W51" s="225">
        <f>EEFFun!AI50</f>
        <v>-2260724.09</v>
      </c>
      <c r="X51" s="225">
        <f>EEFFun!AJ50</f>
        <v>-2536290.92</v>
      </c>
      <c r="Y51" s="225">
        <f>EEFFun!AK50</f>
        <v>-2809027.88</v>
      </c>
      <c r="Z51" s="225">
        <f>EEFFun!AL50</f>
        <v>-3015068.51</v>
      </c>
      <c r="AA51" s="225">
        <f>EEFFun!AM50</f>
        <v>-2994200.53</v>
      </c>
      <c r="AB51" s="225">
        <f>EEFFun!AN50</f>
        <v>-2710231.16</v>
      </c>
      <c r="AC51" s="225">
        <f>EEFFun!AO50</f>
        <v>-2606859.4900000002</v>
      </c>
      <c r="AD51" s="225">
        <f>EEFFun!AP50</f>
        <v>-2604526.69</v>
      </c>
      <c r="AE51" s="225">
        <f>EEFFun!AQ50</f>
        <v>-2563097.0299999998</v>
      </c>
      <c r="AF51" s="225">
        <f>EEFFun!AR50</f>
        <v>-2515936.63</v>
      </c>
      <c r="AG51" s="225">
        <f>EEFFun!AS50</f>
        <v>-2562615.0499999998</v>
      </c>
      <c r="AH51" s="225">
        <f>EEFFun!AT50</f>
        <v>-2577376.66</v>
      </c>
      <c r="AI51" s="225">
        <f>EEFFun!AU50</f>
        <v>-2652446.65</v>
      </c>
      <c r="AJ51" s="225">
        <f>EEFFun!AV50</f>
        <v>-2693930.34</v>
      </c>
      <c r="AK51" s="225">
        <f>EEFFun!AW50</f>
        <v>-2735065.78</v>
      </c>
      <c r="AL51" s="225">
        <f>EEFFun!AX50</f>
        <v>-1090856.57</v>
      </c>
      <c r="AM51" s="226">
        <f t="shared" ref="AM51:AS51" si="114">AM91</f>
        <v>-1172423.4867143782</v>
      </c>
      <c r="AN51" s="226">
        <f t="shared" si="114"/>
        <v>-1253371.7209947878</v>
      </c>
      <c r="AO51" s="226">
        <f t="shared" si="114"/>
        <v>-1331581.039301587</v>
      </c>
      <c r="AP51" s="226">
        <f t="shared" si="114"/>
        <v>-1403594.2560028466</v>
      </c>
      <c r="AQ51" s="226">
        <f t="shared" si="114"/>
        <v>-1478690.9712589432</v>
      </c>
      <c r="AR51" s="226">
        <f t="shared" si="114"/>
        <v>-1552802.4693161289</v>
      </c>
      <c r="AS51" s="226">
        <f t="shared" si="114"/>
        <v>-1625320.9150321614</v>
      </c>
      <c r="AT51" s="226">
        <f t="shared" ref="AT51:AX51" si="115">AT91</f>
        <v>-1669410.0761672717</v>
      </c>
      <c r="AU51" s="226">
        <f t="shared" si="115"/>
        <v>-1697346.1651061012</v>
      </c>
      <c r="AV51" s="226">
        <f t="shared" si="115"/>
        <v>-1698192.4562759202</v>
      </c>
      <c r="AW51" s="226">
        <f t="shared" si="115"/>
        <v>-1686450.1683592827</v>
      </c>
      <c r="AX51" s="226">
        <f t="shared" si="115"/>
        <v>-2181868.903976813</v>
      </c>
      <c r="AY51" s="226">
        <f t="shared" si="82"/>
        <v>192647.36602318706</v>
      </c>
      <c r="AZ51" s="226">
        <f t="shared" si="105"/>
        <v>-112223.29397681286</v>
      </c>
      <c r="BA51" s="232">
        <f t="shared" si="106"/>
        <v>-5.4230854441304349E-2</v>
      </c>
      <c r="BB51" s="232">
        <f t="shared" si="107"/>
        <v>-1.6313968134163529E-2</v>
      </c>
      <c r="BC51" s="228">
        <f t="shared" si="8"/>
        <v>591314.01383272815</v>
      </c>
    </row>
    <row r="52" spans="1:55" s="229" customFormat="1" outlineLevel="2" collapsed="1" x14ac:dyDescent="0.25">
      <c r="A52" s="248"/>
      <c r="B52" s="249"/>
      <c r="C52" s="251" t="str">
        <f>EEFFun!C51</f>
        <v>TOTAL CARTERA DE CREDITO POR VENCER</v>
      </c>
      <c r="D52" s="225">
        <f>EEFFun!P51</f>
        <v>24150369.069999997</v>
      </c>
      <c r="E52" s="225">
        <f>EEFFun!Q51</f>
        <v>22833546.489999998</v>
      </c>
      <c r="F52" s="225">
        <f>EEFFun!R51</f>
        <v>23612209.700000003</v>
      </c>
      <c r="G52" s="225">
        <f>EEFFun!S51</f>
        <v>24251601.940000001</v>
      </c>
      <c r="H52" s="225">
        <f>EEFFun!T51</f>
        <v>24141085.529999997</v>
      </c>
      <c r="I52" s="225">
        <f>EEFFun!U51</f>
        <v>24208872.57</v>
      </c>
      <c r="J52" s="225">
        <f>EEFFun!V51</f>
        <v>23407312.000000004</v>
      </c>
      <c r="K52" s="225">
        <f>EEFFun!W51</f>
        <v>22413044.110000003</v>
      </c>
      <c r="L52" s="225">
        <f>EEFFun!X51</f>
        <v>22474106.560000002</v>
      </c>
      <c r="M52" s="225">
        <f>EEFFun!Y51</f>
        <v>22432999.189999994</v>
      </c>
      <c r="N52" s="225">
        <f>EEFFun!Z51</f>
        <v>19662511.109999999</v>
      </c>
      <c r="O52" s="225">
        <f>EEFFun!AA51</f>
        <v>21279535.18</v>
      </c>
      <c r="P52" s="225">
        <f>EEFFun!AB51</f>
        <v>18221027.850000001</v>
      </c>
      <c r="Q52" s="225">
        <f>EEFFun!AC51</f>
        <v>17698397.980000004</v>
      </c>
      <c r="R52" s="225">
        <f>EEFFun!AD51</f>
        <v>16888112.969999999</v>
      </c>
      <c r="S52" s="225">
        <f>EEFFun!AE51</f>
        <v>16823528.470000003</v>
      </c>
      <c r="T52" s="225">
        <f>EEFFun!AF51</f>
        <v>17710786.849999998</v>
      </c>
      <c r="U52" s="225">
        <f>EEFFun!AG51</f>
        <v>16900408.760000002</v>
      </c>
      <c r="V52" s="225">
        <f>EEFFun!AH51</f>
        <v>23283892.510000002</v>
      </c>
      <c r="W52" s="225">
        <f>EEFFun!AI51</f>
        <v>23552235.529999997</v>
      </c>
      <c r="X52" s="225">
        <f>EEFFun!AJ51</f>
        <v>23125170.030000001</v>
      </c>
      <c r="Y52" s="225">
        <f>EEFFun!AK51</f>
        <v>23661740.130000003</v>
      </c>
      <c r="Z52" s="225">
        <f>EEFFun!AL51</f>
        <v>24403664.800000001</v>
      </c>
      <c r="AA52" s="225">
        <f>EEFFun!AM51</f>
        <v>26034317.890000004</v>
      </c>
      <c r="AB52" s="225">
        <f>EEFFun!AN51</f>
        <v>27092679.559999999</v>
      </c>
      <c r="AC52" s="225">
        <f>EEFFun!AO51</f>
        <v>28009529.269999996</v>
      </c>
      <c r="AD52" s="225">
        <f>EEFFun!AP51</f>
        <v>29033638.75</v>
      </c>
      <c r="AE52" s="225">
        <f>EEFFun!AQ51</f>
        <v>30023309.289999995</v>
      </c>
      <c r="AF52" s="225">
        <f>EEFFun!AR51</f>
        <v>32838143.309999999</v>
      </c>
      <c r="AG52" s="225">
        <f>EEFFun!AS51</f>
        <v>34981869.720000006</v>
      </c>
      <c r="AH52" s="225">
        <f>EEFFun!AT51</f>
        <v>37719188.880000003</v>
      </c>
      <c r="AI52" s="225">
        <f>EEFFun!AU51</f>
        <v>38783322.11999999</v>
      </c>
      <c r="AJ52" s="225">
        <f>EEFFun!AV51</f>
        <v>41391638.240000002</v>
      </c>
      <c r="AK52" s="225">
        <f>EEFFun!AW51</f>
        <v>43694347.679999992</v>
      </c>
      <c r="AL52" s="225">
        <f>EEFFun!AX51</f>
        <v>46080174.839999996</v>
      </c>
      <c r="AM52" s="226">
        <f t="shared" ref="AM52:AS52" si="116">AM54+AM55+AM56+AM57+AM58+AM59+AM60+AM76+AM82</f>
        <v>50627997.666993998</v>
      </c>
      <c r="AN52" s="226">
        <f t="shared" si="116"/>
        <v>55487464.690108746</v>
      </c>
      <c r="AO52" s="226">
        <f t="shared" si="116"/>
        <v>60194667.753254645</v>
      </c>
      <c r="AP52" s="226">
        <f t="shared" si="116"/>
        <v>64544892.147013903</v>
      </c>
      <c r="AQ52" s="226">
        <f t="shared" si="116"/>
        <v>69070071.855283543</v>
      </c>
      <c r="AR52" s="226">
        <f t="shared" si="116"/>
        <v>73537230.460352167</v>
      </c>
      <c r="AS52" s="226">
        <f t="shared" si="116"/>
        <v>77913666.047396019</v>
      </c>
      <c r="AT52" s="226">
        <f t="shared" ref="AT52:AX52" si="117">AT54+AT55+AT56+AT57+AT58+AT59+AT60+AT76+AT82</f>
        <v>82200608.791357115</v>
      </c>
      <c r="AU52" s="226">
        <f t="shared" si="117"/>
        <v>86381574.114530027</v>
      </c>
      <c r="AV52" s="226">
        <f t="shared" si="117"/>
        <v>90413501.564277828</v>
      </c>
      <c r="AW52" s="226">
        <f t="shared" si="117"/>
        <v>94412615.411913723</v>
      </c>
      <c r="AX52" s="226">
        <f t="shared" si="117"/>
        <v>98330123.332348511</v>
      </c>
      <c r="AY52" s="226">
        <f t="shared" si="82"/>
        <v>75046230.822348505</v>
      </c>
      <c r="AZ52" s="226">
        <f t="shared" si="105"/>
        <v>80109095.482348502</v>
      </c>
      <c r="BA52" s="232">
        <f t="shared" si="106"/>
        <v>0.47744498107784877</v>
      </c>
      <c r="BB52" s="232">
        <f t="shared" si="107"/>
        <v>0.73522038640748277</v>
      </c>
      <c r="BC52" s="228">
        <f t="shared" si="8"/>
        <v>58648373.261357114</v>
      </c>
    </row>
    <row r="53" spans="1:55" s="229" customFormat="1" outlineLevel="2" collapsed="1" x14ac:dyDescent="0.25">
      <c r="A53" s="248"/>
      <c r="B53" s="249"/>
      <c r="C53" s="252" t="str">
        <f>EEFFun!C52</f>
        <v>TOTAL CARTERA DE CREDITO EN RIESGO</v>
      </c>
      <c r="D53" s="225">
        <f>EEFFun!P52</f>
        <v>1237384.4500000002</v>
      </c>
      <c r="E53" s="225">
        <f>EEFFun!Q52</f>
        <v>2050351.3</v>
      </c>
      <c r="F53" s="225">
        <f>EEFFun!R52</f>
        <v>2357507.1500000004</v>
      </c>
      <c r="G53" s="225">
        <f>EEFFun!S52</f>
        <v>2207942.6799999997</v>
      </c>
      <c r="H53" s="225">
        <f>EEFFun!T52</f>
        <v>2281772.9299999997</v>
      </c>
      <c r="I53" s="225">
        <f>EEFFun!U52</f>
        <v>2506903.89</v>
      </c>
      <c r="J53" s="225">
        <f>EEFFun!V52</f>
        <v>2618395.38</v>
      </c>
      <c r="K53" s="225">
        <f>EEFFun!W52</f>
        <v>2822467.1999999997</v>
      </c>
      <c r="L53" s="225">
        <f>EEFFun!X52</f>
        <v>2541798.67</v>
      </c>
      <c r="M53" s="225">
        <f>EEFFun!Y52</f>
        <v>2585172.7500000009</v>
      </c>
      <c r="N53" s="225">
        <f>EEFFun!Z52</f>
        <v>4765363.18</v>
      </c>
      <c r="O53" s="225">
        <f>EEFFun!AA52</f>
        <v>2967022.9800000004</v>
      </c>
      <c r="P53" s="225">
        <f>EEFFun!AB52</f>
        <v>3028981.78</v>
      </c>
      <c r="Q53" s="225">
        <f>EEFFun!AC52</f>
        <v>3174782.2099999995</v>
      </c>
      <c r="R53" s="225">
        <f>EEFFun!AD52</f>
        <v>3340520.9100000015</v>
      </c>
      <c r="S53" s="225">
        <f>EEFFun!AE52</f>
        <v>3692683.6199999996</v>
      </c>
      <c r="T53" s="225">
        <f>EEFFun!AF52</f>
        <v>2945430.3200000003</v>
      </c>
      <c r="U53" s="225">
        <f>EEFFun!AG52</f>
        <v>3414286.9099999997</v>
      </c>
      <c r="V53" s="225">
        <f>EEFFun!AH52</f>
        <v>3409324.6800000006</v>
      </c>
      <c r="W53" s="225">
        <f>EEFFun!AI52</f>
        <v>3441448.5</v>
      </c>
      <c r="X53" s="225">
        <f>EEFFun!AJ52</f>
        <v>4104017.3700000006</v>
      </c>
      <c r="Y53" s="225">
        <f>EEFFun!AK52</f>
        <v>3994963.4499999997</v>
      </c>
      <c r="Z53" s="225">
        <f>EEFFun!AL52</f>
        <v>4147478.27</v>
      </c>
      <c r="AA53" s="225">
        <f>EEFFun!AM52</f>
        <v>1356529.1899999997</v>
      </c>
      <c r="AB53" s="225">
        <f>EEFFun!AN52</f>
        <v>916809.91999999993</v>
      </c>
      <c r="AC53" s="225">
        <f>EEFFun!AO52</f>
        <v>762053.44999999984</v>
      </c>
      <c r="AD53" s="225">
        <f>EEFFun!AP52</f>
        <v>844968.4800000001</v>
      </c>
      <c r="AE53" s="225">
        <f>EEFFun!AQ52</f>
        <v>848135.67000000016</v>
      </c>
      <c r="AF53" s="225">
        <f>EEFFun!AR52</f>
        <v>723786.02000000014</v>
      </c>
      <c r="AG53" s="225">
        <f>EEFFun!AS52</f>
        <v>565423.17000000016</v>
      </c>
      <c r="AH53" s="225">
        <f>EEFFun!AT52</f>
        <v>655764.44999999995</v>
      </c>
      <c r="AI53" s="225">
        <f>EEFFun!AU52</f>
        <v>743991.02999999991</v>
      </c>
      <c r="AJ53" s="225">
        <f>EEFFun!AV52</f>
        <v>787875.31</v>
      </c>
      <c r="AK53" s="225">
        <f>EEFFun!AW52</f>
        <v>719079.41000000015</v>
      </c>
      <c r="AL53" s="225">
        <f>EEFFun!AX52</f>
        <v>835912.40000000014</v>
      </c>
      <c r="AM53" s="226">
        <f t="shared" ref="AM53:AS53" si="118">AM61+AM62+AM63+AM64+AM65+AM66+AM67+AM68+AM69+AM70+AM71+AM72+AM73+AM74+AM75+AM78+AM80+AM85+AM88</f>
        <v>1346513.0527212759</v>
      </c>
      <c r="AN53" s="226">
        <f t="shared" si="118"/>
        <v>1447387.0855856983</v>
      </c>
      <c r="AO53" s="226">
        <f t="shared" si="118"/>
        <v>1543836.6146828546</v>
      </c>
      <c r="AP53" s="226">
        <f t="shared" si="118"/>
        <v>1633344.75943054</v>
      </c>
      <c r="AQ53" s="226">
        <f t="shared" si="118"/>
        <v>1725954.1859317434</v>
      </c>
      <c r="AR53" s="226">
        <f t="shared" si="118"/>
        <v>1817413.791897832</v>
      </c>
      <c r="AS53" s="226">
        <f t="shared" si="118"/>
        <v>1906557.3121525776</v>
      </c>
      <c r="AT53" s="226">
        <f t="shared" ref="AT53:AX53" si="119">AT61+AT62+AT63+AT64+AT65+AT66+AT67+AT68+AT69+AT70+AT71+AT72+AT73+AT74+AT75+AT78+AT80+AT85+AT88</f>
        <v>1993715.2317539845</v>
      </c>
      <c r="AU53" s="226">
        <f t="shared" si="119"/>
        <v>2078551.7484074738</v>
      </c>
      <c r="AV53" s="226">
        <f t="shared" si="119"/>
        <v>2159887.8447499559</v>
      </c>
      <c r="AW53" s="226">
        <f t="shared" si="119"/>
        <v>2240783.9994682274</v>
      </c>
      <c r="AX53" s="226">
        <f t="shared" si="119"/>
        <v>2319563.9076514868</v>
      </c>
      <c r="AY53" s="226">
        <f t="shared" si="82"/>
        <v>-1089760.7723485138</v>
      </c>
      <c r="AZ53" s="226">
        <f t="shared" si="105"/>
        <v>-709417.87234851299</v>
      </c>
      <c r="BA53" s="232">
        <f t="shared" si="106"/>
        <v>7.9368307899120444E-2</v>
      </c>
      <c r="BB53" s="232">
        <f t="shared" si="107"/>
        <v>1.7343522154612611E-2</v>
      </c>
      <c r="BC53" s="228">
        <f t="shared" si="8"/>
        <v>-1447733.2682460155</v>
      </c>
    </row>
    <row r="54" spans="1:55" outlineLevel="2" collapsed="1" x14ac:dyDescent="0.25">
      <c r="A54" s="222">
        <v>4</v>
      </c>
      <c r="B54" s="233">
        <f>EEFFun!B53</f>
        <v>1401</v>
      </c>
      <c r="C54" s="233" t="str">
        <f>EEFFun!C53</f>
        <v>CARTERA DE CRÉDITOS PRODUCTIVO POR VENCER</v>
      </c>
      <c r="D54" s="235">
        <f>EEFFun!P53</f>
        <v>1734072.31</v>
      </c>
      <c r="E54" s="235">
        <f>EEFFun!Q53</f>
        <v>1080190.79</v>
      </c>
      <c r="F54" s="235">
        <f>EEFFun!R53</f>
        <v>1436040.44</v>
      </c>
      <c r="G54" s="235">
        <f>EEFFun!S53</f>
        <v>1322502.25</v>
      </c>
      <c r="H54" s="235">
        <f>EEFFun!T53</f>
        <v>1174227.73</v>
      </c>
      <c r="I54" s="235">
        <f>EEFFun!U53</f>
        <v>1276341.68</v>
      </c>
      <c r="J54" s="235">
        <f>EEFFun!V53</f>
        <v>1178401.22</v>
      </c>
      <c r="K54" s="235">
        <f>EEFFun!W53</f>
        <v>982762.02</v>
      </c>
      <c r="L54" s="235">
        <f>EEFFun!X53</f>
        <v>1021419.27</v>
      </c>
      <c r="M54" s="235">
        <f>EEFFun!Y53</f>
        <v>835220.01</v>
      </c>
      <c r="N54" s="235">
        <f>EEFFun!Z53</f>
        <v>714034.35</v>
      </c>
      <c r="O54" s="235">
        <f>EEFFun!AA53</f>
        <v>661841.17000000004</v>
      </c>
      <c r="P54" s="235">
        <f>EEFFun!AB53</f>
        <v>639271.61</v>
      </c>
      <c r="Q54" s="235">
        <f>EEFFun!AC53</f>
        <v>627114.89</v>
      </c>
      <c r="R54" s="235">
        <f>EEFFun!AD53</f>
        <v>666746.27</v>
      </c>
      <c r="S54" s="235">
        <f>EEFFun!AE53</f>
        <v>795258.68</v>
      </c>
      <c r="T54" s="235">
        <f>EEFFun!AF53</f>
        <v>783862.58</v>
      </c>
      <c r="U54" s="235">
        <f>EEFFun!AG53</f>
        <v>807364.88</v>
      </c>
      <c r="V54" s="235">
        <f>EEFFun!AH53</f>
        <v>726963.57</v>
      </c>
      <c r="W54" s="235">
        <f>EEFFun!AI53</f>
        <v>677485.24</v>
      </c>
      <c r="X54" s="235">
        <f>EEFFun!AJ53</f>
        <v>720768.96</v>
      </c>
      <c r="Y54" s="235">
        <f>EEFFun!AK53</f>
        <v>737369.17</v>
      </c>
      <c r="Z54" s="235">
        <f>EEFFun!AL53</f>
        <v>723611.95</v>
      </c>
      <c r="AA54" s="235">
        <f>EEFFun!AM53</f>
        <v>735372.36</v>
      </c>
      <c r="AB54" s="235">
        <f>EEFFun!AN53</f>
        <v>768061.3</v>
      </c>
      <c r="AC54" s="235">
        <f>EEFFun!AO53</f>
        <v>685119.83</v>
      </c>
      <c r="AD54" s="235">
        <f>EEFFun!AP53</f>
        <v>733823.72</v>
      </c>
      <c r="AE54" s="235">
        <f>EEFFun!AQ53</f>
        <v>728836.98</v>
      </c>
      <c r="AF54" s="235">
        <f>EEFFun!AR53</f>
        <v>725339.93</v>
      </c>
      <c r="AG54" s="235">
        <f>EEFFun!AS53</f>
        <v>733989.78</v>
      </c>
      <c r="AH54" s="235">
        <f>EEFFun!AT53</f>
        <v>770989.99</v>
      </c>
      <c r="AI54" s="235">
        <f>EEFFun!AU53</f>
        <v>754548.06</v>
      </c>
      <c r="AJ54" s="235">
        <f>EEFFun!AV53</f>
        <v>775381.5</v>
      </c>
      <c r="AK54" s="235">
        <f>EEFFun!AW53</f>
        <v>758312.95</v>
      </c>
      <c r="AL54" s="235">
        <f>EEFFun!AX53</f>
        <v>643884.81999999995</v>
      </c>
      <c r="AM54" s="235">
        <f>CalcIntCart!E6-CalcIntCart!E7</f>
        <v>630330.20095208322</v>
      </c>
      <c r="AN54" s="235">
        <f>CalcIntCart!F6-CalcIntCart!F7</f>
        <v>630291.33445833332</v>
      </c>
      <c r="AO54" s="235">
        <f>CalcIntCart!G6-CalcIntCart!G7</f>
        <v>629485.49811874994</v>
      </c>
      <c r="AP54" s="235">
        <f>CalcIntCart!H6-CalcIntCart!H7</f>
        <v>628651.27873333322</v>
      </c>
      <c r="AQ54" s="235">
        <f>CalcIntCart!I6-CalcIntCart!I7</f>
        <v>628302.41190208332</v>
      </c>
      <c r="AR54" s="235">
        <f>CalcIntCart!J6-CalcIntCart!J7</f>
        <v>627855.93482499989</v>
      </c>
      <c r="AS54" s="235">
        <f>CalcIntCart!K6-CalcIntCart!K7</f>
        <v>628392.41510208324</v>
      </c>
      <c r="AT54" s="235">
        <f>CalcIntCart!L6-CalcIntCart!L7</f>
        <v>628817.52593333332</v>
      </c>
      <c r="AU54" s="235">
        <f>CalcIntCart!M6-CalcIntCart!M7</f>
        <v>628941.92151875002</v>
      </c>
      <c r="AV54" s="235">
        <f>CalcIntCart!N6-CalcIntCart!N7</f>
        <v>630060.9266583334</v>
      </c>
      <c r="AW54" s="235">
        <f>CalcIntCart!O6-CalcIntCart!O7</f>
        <v>631537.51195208344</v>
      </c>
      <c r="AX54" s="235">
        <f>CalcIntCart!P6-CalcIntCart!P7</f>
        <v>631076.70360000001</v>
      </c>
      <c r="AY54" s="236">
        <f t="shared" si="82"/>
        <v>-95886.866399999941</v>
      </c>
      <c r="AZ54" s="236">
        <f t="shared" si="105"/>
        <v>-8194.906399999978</v>
      </c>
      <c r="BA54" s="232">
        <f t="shared" si="106"/>
        <v>1.6750812536629533E-2</v>
      </c>
      <c r="BB54" s="232">
        <f t="shared" si="107"/>
        <v>4.7185993686322657E-3</v>
      </c>
      <c r="BC54" s="228">
        <f t="shared" si="8"/>
        <v>-48667.714066666667</v>
      </c>
    </row>
    <row r="55" spans="1:55" outlineLevel="2" collapsed="1" x14ac:dyDescent="0.25">
      <c r="A55" s="222">
        <v>4</v>
      </c>
      <c r="B55" s="233">
        <f>EEFFun!B59</f>
        <v>1402</v>
      </c>
      <c r="C55" s="233" t="str">
        <f>EEFFun!C59</f>
        <v>CARTERA DE CRÉDITOS CONSUMO POR VENCER</v>
      </c>
      <c r="D55" s="235">
        <f>EEFFun!P59</f>
        <v>16240949.039999999</v>
      </c>
      <c r="E55" s="235">
        <f>EEFFun!Q59</f>
        <v>15544856.949999999</v>
      </c>
      <c r="F55" s="235">
        <f>EEFFun!R59</f>
        <v>15671930.109999999</v>
      </c>
      <c r="G55" s="235">
        <f>EEFFun!S59</f>
        <v>15875617.82</v>
      </c>
      <c r="H55" s="235">
        <f>EEFFun!T59</f>
        <v>15704959.41</v>
      </c>
      <c r="I55" s="235">
        <f>EEFFun!U59</f>
        <v>15600109.140000001</v>
      </c>
      <c r="J55" s="235">
        <f>EEFFun!V59</f>
        <v>15083712.66</v>
      </c>
      <c r="K55" s="235">
        <f>EEFFun!W59</f>
        <v>14607269.23</v>
      </c>
      <c r="L55" s="235">
        <f>EEFFun!X59</f>
        <v>14550816.4</v>
      </c>
      <c r="M55" s="235">
        <f>EEFFun!Y59</f>
        <v>14746900.689999999</v>
      </c>
      <c r="N55" s="235">
        <f>EEFFun!Z59</f>
        <v>12338339.560000001</v>
      </c>
      <c r="O55" s="235">
        <f>EEFFun!AA59</f>
        <v>14282299.890000001</v>
      </c>
      <c r="P55" s="235">
        <f>EEFFun!AB59</f>
        <v>11356754.32</v>
      </c>
      <c r="Q55" s="235">
        <f>EEFFun!AC59</f>
        <v>10967269.65</v>
      </c>
      <c r="R55" s="235">
        <f>EEFFun!AD59</f>
        <v>10304698.41</v>
      </c>
      <c r="S55" s="235">
        <f>EEFFun!AE59</f>
        <v>10188543.58</v>
      </c>
      <c r="T55" s="235">
        <f>EEFFun!AF59</f>
        <v>10790436.890000001</v>
      </c>
      <c r="U55" s="235">
        <f>EEFFun!AG59</f>
        <v>10361066.66</v>
      </c>
      <c r="V55" s="235">
        <f>EEFFun!AH59</f>
        <v>16655882.720000001</v>
      </c>
      <c r="W55" s="235">
        <f>EEFFun!AI59</f>
        <v>17200840.010000002</v>
      </c>
      <c r="X55" s="235">
        <f>EEFFun!AJ59</f>
        <v>17064999.960000001</v>
      </c>
      <c r="Y55" s="235">
        <f>EEFFun!AK59</f>
        <v>17640924.449999999</v>
      </c>
      <c r="Z55" s="235">
        <f>EEFFun!AL59</f>
        <v>18466470.34</v>
      </c>
      <c r="AA55" s="235">
        <f>EEFFun!AM59</f>
        <v>20025987.620000001</v>
      </c>
      <c r="AB55" s="235">
        <f>EEFFun!AN59</f>
        <v>20757554.719999999</v>
      </c>
      <c r="AC55" s="235">
        <f>EEFFun!AO59</f>
        <v>21091095.789999999</v>
      </c>
      <c r="AD55" s="235">
        <f>EEFFun!AP59</f>
        <v>20569154.609999999</v>
      </c>
      <c r="AE55" s="235">
        <f>EEFFun!AQ59</f>
        <v>20077242.239999998</v>
      </c>
      <c r="AF55" s="235">
        <f>EEFFun!AR59</f>
        <v>20683092.379999999</v>
      </c>
      <c r="AG55" s="235">
        <f>EEFFun!AS59</f>
        <v>21564666.489999998</v>
      </c>
      <c r="AH55" s="235">
        <f>EEFFun!AT59</f>
        <v>23620654.760000002</v>
      </c>
      <c r="AI55" s="235">
        <f>EEFFun!AU59</f>
        <v>24421931.359999999</v>
      </c>
      <c r="AJ55" s="235">
        <f>EEFFun!AV59</f>
        <v>25935733.100000001</v>
      </c>
      <c r="AK55" s="235">
        <f>EEFFun!AW59</f>
        <v>27557040.75</v>
      </c>
      <c r="AL55" s="235">
        <f>EEFFun!AX59</f>
        <v>29255983.16</v>
      </c>
      <c r="AM55" s="235">
        <f>CalcIntCart!E12-CalcIntCart!E13</f>
        <v>32648562.935015414</v>
      </c>
      <c r="AN55" s="235">
        <f>CalcIntCart!F12-CalcIntCart!F13</f>
        <v>35988131.609091669</v>
      </c>
      <c r="AO55" s="235">
        <f>CalcIntCart!G12-CalcIntCart!G13</f>
        <v>39203292.584828749</v>
      </c>
      <c r="AP55" s="235">
        <f>CalcIntCart!H12-CalcIntCart!H13</f>
        <v>42079197.875026666</v>
      </c>
      <c r="AQ55" s="235">
        <f>CalcIntCart!I12-CalcIntCart!I13</f>
        <v>45151304.113285415</v>
      </c>
      <c r="AR55" s="235">
        <f>CalcIntCart!J12-CalcIntCart!J13</f>
        <v>48173826.535204992</v>
      </c>
      <c r="AS55" s="235">
        <f>CalcIntCart!K12-CalcIntCart!K13</f>
        <v>51126901.363985412</v>
      </c>
      <c r="AT55" s="235">
        <f>CalcIntCart!L12-CalcIntCart!L13</f>
        <v>54009759.623026662</v>
      </c>
      <c r="AU55" s="235">
        <f>CalcIntCart!M12-CalcIntCart!M13</f>
        <v>56823135.136328749</v>
      </c>
      <c r="AV55" s="235">
        <f>CalcIntCart!N12-CalcIntCart!N13</f>
        <v>59493160.531291664</v>
      </c>
      <c r="AW55" s="235">
        <f>CalcIntCart!O12-CalcIntCart!O13</f>
        <v>62148359.025115423</v>
      </c>
      <c r="AX55" s="235">
        <f>CalcIntCart!P12-CalcIntCart!P13</f>
        <v>64746056.664800003</v>
      </c>
      <c r="AY55" s="236">
        <f t="shared" si="82"/>
        <v>48090173.944800004</v>
      </c>
      <c r="AZ55" s="236">
        <f t="shared" si="105"/>
        <v>53389302.344800003</v>
      </c>
      <c r="BA55" s="232">
        <f t="shared" si="106"/>
        <v>0.29758065220333751</v>
      </c>
      <c r="BB55" s="232">
        <f t="shared" si="107"/>
        <v>0.48411025214075765</v>
      </c>
      <c r="BC55" s="228">
        <f t="shared" si="8"/>
        <v>36808919.613026664</v>
      </c>
    </row>
    <row r="56" spans="1:55" outlineLevel="2" collapsed="1" x14ac:dyDescent="0.25">
      <c r="A56" s="222">
        <v>4</v>
      </c>
      <c r="B56" s="233">
        <f>EEFFun!B65</f>
        <v>1404</v>
      </c>
      <c r="C56" s="233" t="str">
        <f>EEFFun!C65</f>
        <v>CARTERA DE MICROCRÉDITO POR VENCER</v>
      </c>
      <c r="D56" s="235">
        <f>EEFFun!P65</f>
        <v>5885580.8499999996</v>
      </c>
      <c r="E56" s="235">
        <f>EEFFun!Q65</f>
        <v>5973834</v>
      </c>
      <c r="F56" s="235">
        <f>EEFFun!R65</f>
        <v>6248944.4299999997</v>
      </c>
      <c r="G56" s="235">
        <f>EEFFun!S65</f>
        <v>6834974.1100000003</v>
      </c>
      <c r="H56" s="235">
        <f>EEFFun!T65</f>
        <v>7019536.4800000004</v>
      </c>
      <c r="I56" s="235">
        <f>EEFFun!U65</f>
        <v>7111801.1399999997</v>
      </c>
      <c r="J56" s="235">
        <f>EEFFun!V65</f>
        <v>6876551.9699999997</v>
      </c>
      <c r="K56" s="235">
        <f>EEFFun!W65</f>
        <v>6528684.8600000003</v>
      </c>
      <c r="L56" s="235">
        <f>EEFFun!X65</f>
        <v>6490742.0499999998</v>
      </c>
      <c r="M56" s="235">
        <f>EEFFun!Y65</f>
        <v>6293953.3099999996</v>
      </c>
      <c r="N56" s="235">
        <f>EEFFun!Z65</f>
        <v>6011629.6399999997</v>
      </c>
      <c r="O56" s="235">
        <f>EEFFun!AA65</f>
        <v>5762684.8099999996</v>
      </c>
      <c r="P56" s="235">
        <f>EEFFun!AB65</f>
        <v>5652215.71</v>
      </c>
      <c r="Q56" s="235">
        <f>EEFFun!AC65</f>
        <v>5497492.5099999998</v>
      </c>
      <c r="R56" s="235">
        <f>EEFFun!AD65</f>
        <v>5326071.5599999996</v>
      </c>
      <c r="S56" s="235">
        <f>EEFFun!AE65</f>
        <v>5223183.9800000004</v>
      </c>
      <c r="T56" s="235">
        <f>EEFFun!AF65</f>
        <v>5483838.6399999997</v>
      </c>
      <c r="U56" s="235">
        <f>EEFFun!AG65</f>
        <v>5150380.93</v>
      </c>
      <c r="V56" s="235">
        <f>EEFFun!AH65</f>
        <v>5347185.8899999997</v>
      </c>
      <c r="W56" s="235">
        <f>EEFFun!AI65</f>
        <v>5198012.29</v>
      </c>
      <c r="X56" s="235">
        <f>EEFFun!AJ65</f>
        <v>4776159.16</v>
      </c>
      <c r="Y56" s="235">
        <f>EEFFun!AK65</f>
        <v>4790011.54</v>
      </c>
      <c r="Z56" s="235">
        <f>EEFFun!AL65</f>
        <v>4649697.91</v>
      </c>
      <c r="AA56" s="235">
        <f>EEFFun!AM65</f>
        <v>4650630.45</v>
      </c>
      <c r="AB56" s="235">
        <f>EEFFun!AN65</f>
        <v>4878238.1900000004</v>
      </c>
      <c r="AC56" s="235">
        <f>EEFFun!AO65</f>
        <v>5525103.3700000001</v>
      </c>
      <c r="AD56" s="235">
        <f>EEFFun!AP65</f>
        <v>6978000.71</v>
      </c>
      <c r="AE56" s="235">
        <f>EEFFun!AQ65</f>
        <v>8563406.2200000007</v>
      </c>
      <c r="AF56" s="235">
        <f>EEFFun!AR65</f>
        <v>10771892.67</v>
      </c>
      <c r="AG56" s="235">
        <f>EEFFun!AS65</f>
        <v>12036032.32</v>
      </c>
      <c r="AH56" s="235">
        <f>EEFFun!AT65</f>
        <v>12698023.029999999</v>
      </c>
      <c r="AI56" s="235">
        <f>EEFFun!AU65</f>
        <v>12963056.74</v>
      </c>
      <c r="AJ56" s="235">
        <f>EEFFun!AV65</f>
        <v>14075878.210000001</v>
      </c>
      <c r="AK56" s="235">
        <f>EEFFun!AW65</f>
        <v>14783239.68</v>
      </c>
      <c r="AL56" s="235">
        <f>EEFFun!AX65</f>
        <v>15623787.800000001</v>
      </c>
      <c r="AM56" s="235">
        <f>CalcIntCart!E18-CalcIntCart!E19</f>
        <v>17051313.908628613</v>
      </c>
      <c r="AN56" s="235">
        <f>CalcIntCart!F18-CalcIntCart!F19</f>
        <v>18569720.325527776</v>
      </c>
      <c r="AO56" s="235">
        <f>CalcIntCart!G18-CalcIntCart!G19</f>
        <v>20062226.8674975</v>
      </c>
      <c r="AP56" s="235">
        <f>CalcIntCart!H18-CalcIntCart!H19</f>
        <v>21536697.848337777</v>
      </c>
      <c r="AQ56" s="235">
        <f>CalcIntCart!I18-CalcIntCart!I19</f>
        <v>22989854.482048612</v>
      </c>
      <c r="AR56" s="235">
        <f>CalcIntCart!J18-CalcIntCart!J19</f>
        <v>24434652.368629999</v>
      </c>
      <c r="AS56" s="235">
        <f>CalcIntCart!K18-CalcIntCart!K19</f>
        <v>25857604.395281944</v>
      </c>
      <c r="AT56" s="235">
        <f>CalcIntCart!L18-CalcIntCart!L19</f>
        <v>27261527.826804444</v>
      </c>
      <c r="AU56" s="235">
        <f>CalcIntCart!M18-CalcIntCart!M19</f>
        <v>28629409.529997502</v>
      </c>
      <c r="AV56" s="235">
        <f>CalcIntCart!N18-CalcIntCart!N19</f>
        <v>29991016.14246111</v>
      </c>
      <c r="AW56" s="235">
        <f>CalcIntCart!O18-CalcIntCart!O19</f>
        <v>31334083.17979528</v>
      </c>
      <c r="AX56" s="235">
        <f>CalcIntCart!P18-CalcIntCart!P19</f>
        <v>32655382.678800002</v>
      </c>
      <c r="AY56" s="236">
        <f t="shared" si="82"/>
        <v>27308196.788800001</v>
      </c>
      <c r="AZ56" s="236">
        <f t="shared" si="105"/>
        <v>27003166.968800001</v>
      </c>
      <c r="BA56" s="232">
        <f t="shared" si="106"/>
        <v>0.1481048185055526</v>
      </c>
      <c r="BB56" s="232">
        <f t="shared" si="107"/>
        <v>0.24416630690315774</v>
      </c>
      <c r="BC56" s="228">
        <f t="shared" si="8"/>
        <v>22063515.536804445</v>
      </c>
    </row>
    <row r="57" spans="1:55" outlineLevel="2" collapsed="1" x14ac:dyDescent="0.25">
      <c r="A57" s="222">
        <v>4</v>
      </c>
      <c r="B57" s="234">
        <f>EEFFun!B71</f>
        <v>1410</v>
      </c>
      <c r="C57" s="234" t="str">
        <f>EEFFun!C71</f>
        <v>CARTERA DE CRÉDITOS CONSUMO REFINANCIADA POR VENCER</v>
      </c>
      <c r="D57" s="235">
        <f>EEFFun!P71</f>
        <v>12623.84</v>
      </c>
      <c r="E57" s="235">
        <f>EEFFun!Q71</f>
        <v>19365.96</v>
      </c>
      <c r="F57" s="235">
        <f>EEFFun!R71</f>
        <v>19207.27</v>
      </c>
      <c r="G57" s="235">
        <f>EEFFun!S71</f>
        <v>18889.82</v>
      </c>
      <c r="H57" s="235">
        <f>EEFFun!T71</f>
        <v>12125.08</v>
      </c>
      <c r="I57" s="235">
        <f>EEFFun!U71</f>
        <v>25764.240000000002</v>
      </c>
      <c r="J57" s="235">
        <f>EEFFun!V71</f>
        <v>37272.76</v>
      </c>
      <c r="K57" s="235">
        <f>EEFFun!W71</f>
        <v>50938.28</v>
      </c>
      <c r="L57" s="235">
        <f>EEFFun!X71</f>
        <v>83341.37</v>
      </c>
      <c r="M57" s="235">
        <f>EEFFun!Y71</f>
        <v>117623.86</v>
      </c>
      <c r="N57" s="235">
        <f>EEFFun!Z71</f>
        <v>129152.68</v>
      </c>
      <c r="O57" s="235">
        <f>EEFFun!AA71</f>
        <v>148180.07999999999</v>
      </c>
      <c r="P57" s="235">
        <f>EEFFun!AB71</f>
        <v>127243.32</v>
      </c>
      <c r="Q57" s="235">
        <f>EEFFun!AC71</f>
        <v>154439.51</v>
      </c>
      <c r="R57" s="235">
        <f>EEFFun!AD71</f>
        <v>136535.48000000001</v>
      </c>
      <c r="S57" s="235">
        <f>EEFFun!AE71</f>
        <v>204425.51</v>
      </c>
      <c r="T57" s="235">
        <f>EEFFun!AF71</f>
        <v>194358.52</v>
      </c>
      <c r="U57" s="235">
        <f>EEFFun!AG71</f>
        <v>170610.21</v>
      </c>
      <c r="V57" s="235">
        <f>EEFFun!AH71</f>
        <v>129004.01</v>
      </c>
      <c r="W57" s="235">
        <f>EEFFun!AI71</f>
        <v>137748.32999999999</v>
      </c>
      <c r="X57" s="235">
        <f>EEFFun!AJ71</f>
        <v>163688.45000000001</v>
      </c>
      <c r="Y57" s="235">
        <f>EEFFun!AK71</f>
        <v>140698.19</v>
      </c>
      <c r="Z57" s="235">
        <f>EEFFun!AL71</f>
        <v>178471.48</v>
      </c>
      <c r="AA57" s="235">
        <f>EEFFun!AM71</f>
        <v>177358.14</v>
      </c>
      <c r="AB57" s="235">
        <f>EEFFun!AN71</f>
        <v>174780.34</v>
      </c>
      <c r="AC57" s="235">
        <f>EEFFun!AO71</f>
        <v>157355.01999999999</v>
      </c>
      <c r="AD57" s="235">
        <f>EEFFun!AP71</f>
        <v>165955.71</v>
      </c>
      <c r="AE57" s="235">
        <f>EEFFun!AQ71</f>
        <v>150147.76999999999</v>
      </c>
      <c r="AF57" s="235">
        <f>EEFFun!AR71</f>
        <v>175307.56</v>
      </c>
      <c r="AG57" s="235">
        <f>EEFFun!AS71</f>
        <v>201133.93</v>
      </c>
      <c r="AH57" s="235">
        <f>EEFFun!AT71</f>
        <v>174009.64</v>
      </c>
      <c r="AI57" s="235">
        <f>EEFFun!AU71</f>
        <v>228653.24</v>
      </c>
      <c r="AJ57" s="235">
        <f>EEFFun!AV71</f>
        <v>217587.7</v>
      </c>
      <c r="AK57" s="235">
        <f>EEFFun!AW71</f>
        <v>213355.03</v>
      </c>
      <c r="AL57" s="235">
        <f>EEFFun!AX71</f>
        <v>260130</v>
      </c>
      <c r="AM57" s="235">
        <f>($W$57/($W$45+$W$46+$W$49)*CalcIntCart!E24)</f>
        <v>130436.76489358309</v>
      </c>
      <c r="AN57" s="235">
        <f>($W$57/($W$45+$W$46+$W$49)*CalcIntCart!F24)</f>
        <v>130909.95545968195</v>
      </c>
      <c r="AO57" s="235">
        <f>($W$57/($W$45+$W$46+$W$49)*CalcIntCart!G24)</f>
        <v>131005.11287943539</v>
      </c>
      <c r="AP57" s="235">
        <f>($W$57/($W$45+$W$46+$W$49)*CalcIntCart!H24)</f>
        <v>131281.81186830706</v>
      </c>
      <c r="AQ57" s="235">
        <f>($W$57/($W$45+$W$46+$W$49)*CalcIntCart!I24)</f>
        <v>131443.21674076555</v>
      </c>
      <c r="AR57" s="235">
        <f>($W$57/($W$45+$W$46+$W$49)*CalcIntCart!J24)</f>
        <v>131582.06106850205</v>
      </c>
      <c r="AS57" s="235">
        <f>($W$57/($W$45+$W$46+$W$49)*CalcIntCart!K24)</f>
        <v>131606.74399371594</v>
      </c>
      <c r="AT57" s="235">
        <f>($W$57/($W$45+$W$46+$W$49)*CalcIntCart!L24)</f>
        <v>131606.09783033136</v>
      </c>
      <c r="AU57" s="235">
        <f>($W$57/($W$45+$W$46+$W$49)*CalcIntCart!M24)</f>
        <v>131535.39021713642</v>
      </c>
      <c r="AV57" s="235">
        <f>($W$57/($W$45+$W$46+$W$49)*CalcIntCart!N24)</f>
        <v>131352.29194521796</v>
      </c>
      <c r="AW57" s="235">
        <f>($W$57/($W$45+$W$46+$W$49)*CalcIntCart!O24)</f>
        <v>131201.98433117557</v>
      </c>
      <c r="AX57" s="235">
        <f>($W$57/($W$45+$W$46+$W$49)*CalcIntCart!P24)</f>
        <v>130941.30695490424</v>
      </c>
      <c r="AY57" s="236">
        <f t="shared" si="82"/>
        <v>1937.2969549042464</v>
      </c>
      <c r="AZ57" s="236">
        <f t="shared" si="105"/>
        <v>3697.9869549042342</v>
      </c>
      <c r="BA57" s="232">
        <f t="shared" si="106"/>
        <v>3.3341524424311034E-3</v>
      </c>
      <c r="BB57" s="232">
        <f t="shared" si="107"/>
        <v>9.7905621424573667E-4</v>
      </c>
      <c r="BC57" s="228">
        <f t="shared" si="8"/>
        <v>-6142.2321696686267</v>
      </c>
    </row>
    <row r="58" spans="1:55" outlineLevel="2" collapsed="1" x14ac:dyDescent="0.25">
      <c r="A58" s="222">
        <v>4</v>
      </c>
      <c r="B58" s="234">
        <f>EEFFun!B77</f>
        <v>1412</v>
      </c>
      <c r="C58" s="233" t="str">
        <f>EEFFun!C77</f>
        <v>CARTERA DE MICROCRÉDITO REFINANCIADA POR VENCER</v>
      </c>
      <c r="D58" s="235">
        <f>EEFFun!P77</f>
        <v>0</v>
      </c>
      <c r="E58" s="235">
        <f>EEFFun!Q77</f>
        <v>0</v>
      </c>
      <c r="F58" s="235">
        <f>EEFFun!R77</f>
        <v>0</v>
      </c>
      <c r="G58" s="235">
        <f>EEFFun!S77</f>
        <v>0</v>
      </c>
      <c r="H58" s="235">
        <f>EEFFun!T77</f>
        <v>0</v>
      </c>
      <c r="I58" s="235">
        <f>EEFFun!U77</f>
        <v>0</v>
      </c>
      <c r="J58" s="235">
        <f>EEFFun!V77</f>
        <v>0</v>
      </c>
      <c r="K58" s="235">
        <f>EEFFun!W77</f>
        <v>30942.94</v>
      </c>
      <c r="L58" s="235">
        <f>EEFFun!X77</f>
        <v>56130.02</v>
      </c>
      <c r="M58" s="235">
        <f>EEFFun!Y77</f>
        <v>95559.15</v>
      </c>
      <c r="N58" s="235">
        <f>EEFFun!Z77</f>
        <v>117323.1</v>
      </c>
      <c r="O58" s="235">
        <f>EEFFun!AA77</f>
        <v>78308.7</v>
      </c>
      <c r="P58" s="235">
        <f>EEFFun!AB77</f>
        <v>66919.58</v>
      </c>
      <c r="Q58" s="235">
        <f>EEFFun!AC77</f>
        <v>59660.07</v>
      </c>
      <c r="R58" s="235">
        <f>EEFFun!AD77</f>
        <v>72663.12</v>
      </c>
      <c r="S58" s="235">
        <f>EEFFun!AE77</f>
        <v>75490.880000000005</v>
      </c>
      <c r="T58" s="235">
        <f>EEFFun!AF77</f>
        <v>77339.77</v>
      </c>
      <c r="U58" s="235">
        <f>EEFFun!AG77</f>
        <v>92582.58</v>
      </c>
      <c r="V58" s="235">
        <f>EEFFun!AH77</f>
        <v>79069.27</v>
      </c>
      <c r="W58" s="235">
        <f>EEFFun!AI77</f>
        <v>92524.83</v>
      </c>
      <c r="X58" s="235">
        <f>EEFFun!AJ77</f>
        <v>110455.11</v>
      </c>
      <c r="Y58" s="235">
        <f>EEFFun!AK77</f>
        <v>89751.13</v>
      </c>
      <c r="Z58" s="235">
        <f>EEFFun!AL77</f>
        <v>83678.12</v>
      </c>
      <c r="AA58" s="235">
        <f>EEFFun!AM77</f>
        <v>164462.17000000001</v>
      </c>
      <c r="AB58" s="235">
        <f>EEFFun!AN77</f>
        <v>100463.39</v>
      </c>
      <c r="AC58" s="235">
        <f>EEFFun!AO77</f>
        <v>99773.41</v>
      </c>
      <c r="AD58" s="235">
        <f>EEFFun!AP77</f>
        <v>99366.86</v>
      </c>
      <c r="AE58" s="235">
        <f>EEFFun!AQ77</f>
        <v>84676.29</v>
      </c>
      <c r="AF58" s="235">
        <f>EEFFun!AR77</f>
        <v>96007.14</v>
      </c>
      <c r="AG58" s="235">
        <f>EEFFun!AS77</f>
        <v>95129.66</v>
      </c>
      <c r="AH58" s="235">
        <f>EEFFun!AT77</f>
        <v>81766.929999999993</v>
      </c>
      <c r="AI58" s="235">
        <f>EEFFun!AU77</f>
        <v>80596.92</v>
      </c>
      <c r="AJ58" s="235">
        <f>EEFFun!AV77</f>
        <v>79582.5</v>
      </c>
      <c r="AK58" s="235">
        <f>EEFFun!AW77</f>
        <v>78771.929999999993</v>
      </c>
      <c r="AL58" s="235">
        <f>EEFFun!AX77</f>
        <v>77541.86</v>
      </c>
      <c r="AM58" s="235">
        <f>($W$58/($W$45+$W$46+$W$49)*CalcIntCart!E24)</f>
        <v>87613.690108103285</v>
      </c>
      <c r="AN58" s="235">
        <f>($W$58/($W$45+$W$46+$W$49)*CalcIntCart!F24)</f>
        <v>87931.529726818801</v>
      </c>
      <c r="AO58" s="235">
        <f>($W$58/($W$45+$W$46+$W$49)*CalcIntCart!G24)</f>
        <v>87995.4464660339</v>
      </c>
      <c r="AP58" s="235">
        <f>($W$58/($W$45+$W$46+$W$49)*CalcIntCart!H24)</f>
        <v>88181.303724024066</v>
      </c>
      <c r="AQ58" s="235">
        <f>($W$58/($W$45+$W$46+$W$49)*CalcIntCart!I24)</f>
        <v>88289.718529382444</v>
      </c>
      <c r="AR58" s="235">
        <f>($W$58/($W$45+$W$46+$W$49)*CalcIntCart!J24)</f>
        <v>88382.979535307415</v>
      </c>
      <c r="AS58" s="235">
        <f>($W$58/($W$45+$W$46+$W$49)*CalcIntCart!K24)</f>
        <v>88399.558926573474</v>
      </c>
      <c r="AT58" s="235">
        <f>($W$58/($W$45+$W$46+$W$49)*CalcIntCart!L24)</f>
        <v>88399.124902020805</v>
      </c>
      <c r="AU58" s="235">
        <f>($W$58/($W$45+$W$46+$W$49)*CalcIntCart!M24)</f>
        <v>88351.63096949496</v>
      </c>
      <c r="AV58" s="235">
        <f>($W$58/($W$45+$W$46+$W$49)*CalcIntCart!N24)</f>
        <v>88228.644821622627</v>
      </c>
      <c r="AW58" s="235">
        <f>($W$58/($W$45+$W$46+$W$49)*CalcIntCart!O24)</f>
        <v>88127.683986475065</v>
      </c>
      <c r="AX58" s="235">
        <f>($W$58/($W$45+$W$46+$W$49)*CalcIntCart!P24)</f>
        <v>87952.588361545539</v>
      </c>
      <c r="AY58" s="236">
        <f t="shared" si="82"/>
        <v>8883.3183615455346</v>
      </c>
      <c r="AZ58" s="238"/>
      <c r="BA58" s="245"/>
      <c r="BB58" s="245"/>
      <c r="BC58" s="228">
        <f t="shared" si="8"/>
        <v>-4125.7050979791966</v>
      </c>
    </row>
    <row r="59" spans="1:55" outlineLevel="2" collapsed="1" x14ac:dyDescent="0.25">
      <c r="A59" s="222">
        <v>4</v>
      </c>
      <c r="B59" s="234">
        <f>EEFFun!B83</f>
        <v>1418</v>
      </c>
      <c r="C59" s="234" t="str">
        <f>EEFFun!C83</f>
        <v>CARTERA DE CRÉDITOS CONSUMO REESTRUCTURADA POR VENCER</v>
      </c>
      <c r="D59" s="235">
        <f>EEFFun!P83</f>
        <v>10049.69</v>
      </c>
      <c r="E59" s="235">
        <f>EEFFun!Q83</f>
        <v>9166.07</v>
      </c>
      <c r="F59" s="235">
        <f>EEFFun!R83</f>
        <v>8247.42</v>
      </c>
      <c r="G59" s="235">
        <f>EEFFun!S83</f>
        <v>7231.35</v>
      </c>
      <c r="H59" s="235">
        <f>EEFFun!T83</f>
        <v>6856.37</v>
      </c>
      <c r="I59" s="235">
        <f>EEFFun!U83</f>
        <v>6304.02</v>
      </c>
      <c r="J59" s="235">
        <f>EEFFun!V83</f>
        <v>5744.16</v>
      </c>
      <c r="K59" s="235">
        <f>EEFFun!W83</f>
        <v>20189.48</v>
      </c>
      <c r="L59" s="235">
        <f>EEFFun!X83</f>
        <v>96839.78</v>
      </c>
      <c r="M59" s="235">
        <f>EEFFun!Y83</f>
        <v>126080.62</v>
      </c>
      <c r="N59" s="235">
        <f>EEFFun!Z83</f>
        <v>144531.66</v>
      </c>
      <c r="O59" s="235">
        <f>EEFFun!AA83</f>
        <v>142105.07999999999</v>
      </c>
      <c r="P59" s="235">
        <f>EEFFun!AB83</f>
        <v>132810.85999999999</v>
      </c>
      <c r="Q59" s="235">
        <f>EEFFun!AC83</f>
        <v>101408.8</v>
      </c>
      <c r="R59" s="235">
        <f>EEFFun!AD83</f>
        <v>81016.33</v>
      </c>
      <c r="S59" s="235">
        <f>EEFFun!AE83</f>
        <v>115232.46</v>
      </c>
      <c r="T59" s="235">
        <f>EEFFun!AF83</f>
        <v>128355.74</v>
      </c>
      <c r="U59" s="235">
        <f>EEFFun!AG83</f>
        <v>96505.46</v>
      </c>
      <c r="V59" s="235">
        <f>EEFFun!AH83</f>
        <v>95511.67</v>
      </c>
      <c r="W59" s="235">
        <f>EEFFun!AI83</f>
        <v>87312.87</v>
      </c>
      <c r="X59" s="235">
        <f>EEFFun!AJ83</f>
        <v>99309.759999999995</v>
      </c>
      <c r="Y59" s="235">
        <f>EEFFun!AK83</f>
        <v>83344.78</v>
      </c>
      <c r="Z59" s="235">
        <f>EEFFun!AL83</f>
        <v>118472.19</v>
      </c>
      <c r="AA59" s="235">
        <f>EEFFun!AM83</f>
        <v>103611.84</v>
      </c>
      <c r="AB59" s="235">
        <f>EEFFun!AN83</f>
        <v>92990.63</v>
      </c>
      <c r="AC59" s="235">
        <f>EEFFun!AO83</f>
        <v>101710.24</v>
      </c>
      <c r="AD59" s="235">
        <f>EEFFun!AP83</f>
        <v>98503.35</v>
      </c>
      <c r="AE59" s="235">
        <f>EEFFun!AQ83</f>
        <v>97754.1</v>
      </c>
      <c r="AF59" s="235">
        <f>EEFFun!AR83</f>
        <v>105139.16</v>
      </c>
      <c r="AG59" s="235">
        <f>EEFFun!AS83</f>
        <v>98287.52</v>
      </c>
      <c r="AH59" s="235">
        <f>EEFFun!AT83</f>
        <v>113920.12</v>
      </c>
      <c r="AI59" s="235">
        <f>EEFFun!AU83</f>
        <v>79105.119999999995</v>
      </c>
      <c r="AJ59" s="235">
        <f>EEFFun!AV83</f>
        <v>68014.559999999998</v>
      </c>
      <c r="AK59" s="235">
        <f>EEFFun!AW83</f>
        <v>66408.22</v>
      </c>
      <c r="AL59" s="235">
        <f>EEFFun!AX83</f>
        <v>56238.400000000001</v>
      </c>
      <c r="AM59" s="235">
        <f>($W$59/($W$47+$W$48+$W$50)*CalcIntCart!E30)</f>
        <v>25280.764657595191</v>
      </c>
      <c r="AN59" s="235">
        <f>($W$59/($W$47+$W$48+$W$50)*CalcIntCart!F30)</f>
        <v>25541.646780916974</v>
      </c>
      <c r="AO59" s="235">
        <f>($W$59/($W$47+$W$48+$W$50)*CalcIntCart!G30)</f>
        <v>25606.705331683432</v>
      </c>
      <c r="AP59" s="235">
        <f>($W$59/($W$47+$W$48+$W$50)*CalcIntCart!H30)</f>
        <v>25679.347168318887</v>
      </c>
      <c r="AQ59" s="235">
        <f>($W$59/($W$47+$W$48+$W$50)*CalcIntCart!I30)</f>
        <v>25672.03060028682</v>
      </c>
      <c r="AR59" s="235">
        <f>($W$59/($W$47+$W$48+$W$50)*CalcIntCart!J30)</f>
        <v>25686.844663000873</v>
      </c>
      <c r="AS59" s="235">
        <f>($W$59/($W$47+$W$48+$W$50)*CalcIntCart!K30)</f>
        <v>25622.494653308266</v>
      </c>
      <c r="AT59" s="235">
        <f>($W$59/($W$47+$W$48+$W$50)*CalcIntCart!L30)</f>
        <v>25523.76373596978</v>
      </c>
      <c r="AU59" s="235">
        <f>($W$59/($W$47+$W$48+$W$50)*CalcIntCart!M30)</f>
        <v>25414.353068174249</v>
      </c>
      <c r="AV59" s="235">
        <f>($W$59/($W$47+$W$48+$W$50)*CalcIntCart!N30)</f>
        <v>25226.57431165134</v>
      </c>
      <c r="AW59" s="235">
        <f>($W$59/($W$47+$W$48+$W$50)*CalcIntCart!O30)</f>
        <v>25090.37593058946</v>
      </c>
      <c r="AX59" s="235">
        <f>($W$59/($W$47+$W$48+$W$50)*CalcIntCart!P30)</f>
        <v>24877.147109721809</v>
      </c>
      <c r="AY59" s="236">
        <f t="shared" si="82"/>
        <v>-70634.522890278196</v>
      </c>
      <c r="AZ59" s="236">
        <f>AX59-P59</f>
        <v>-107933.71289027817</v>
      </c>
      <c r="BA59" s="232">
        <f>P59/$P$5</f>
        <v>3.4800385061500693E-3</v>
      </c>
      <c r="BB59" s="232">
        <f>AX59/$AX$5</f>
        <v>1.8600796064198959E-4</v>
      </c>
      <c r="BC59" s="228">
        <f t="shared" si="8"/>
        <v>-61789.106264030212</v>
      </c>
    </row>
    <row r="60" spans="1:55" outlineLevel="2" collapsed="1" x14ac:dyDescent="0.25">
      <c r="A60" s="222">
        <v>4</v>
      </c>
      <c r="B60" s="234">
        <f>EEFFun!B89</f>
        <v>1420</v>
      </c>
      <c r="C60" s="233" t="str">
        <f>EEFFun!C89</f>
        <v>CARTERA DE MICROCRÉDITO REESTRUCTURADA POR VENCER</v>
      </c>
      <c r="D60" s="235">
        <f>EEFFun!P89</f>
        <v>0</v>
      </c>
      <c r="E60" s="235">
        <f>EEFFun!Q89</f>
        <v>0</v>
      </c>
      <c r="F60" s="235">
        <f>EEFFun!R89</f>
        <v>0</v>
      </c>
      <c r="G60" s="235">
        <f>EEFFun!S89</f>
        <v>0</v>
      </c>
      <c r="H60" s="235">
        <f>EEFFun!T89</f>
        <v>0</v>
      </c>
      <c r="I60" s="235">
        <f>EEFFun!U89</f>
        <v>0</v>
      </c>
      <c r="J60" s="235">
        <f>EEFFun!V89</f>
        <v>0</v>
      </c>
      <c r="K60" s="235">
        <f>EEFFun!W89</f>
        <v>0</v>
      </c>
      <c r="L60" s="235">
        <f>EEFFun!X89</f>
        <v>13747.92</v>
      </c>
      <c r="M60" s="235">
        <f>EEFFun!Y89</f>
        <v>33930.449999999997</v>
      </c>
      <c r="N60" s="235">
        <f>EEFFun!Z89</f>
        <v>33900.54</v>
      </c>
      <c r="O60" s="235">
        <f>EEFFun!AA89</f>
        <v>37038.19</v>
      </c>
      <c r="P60" s="235">
        <f>EEFFun!AB89</f>
        <v>94865.44</v>
      </c>
      <c r="Q60" s="235">
        <f>EEFFun!AC89</f>
        <v>129942.19</v>
      </c>
      <c r="R60" s="235">
        <f>EEFFun!AD89</f>
        <v>153677.07</v>
      </c>
      <c r="S60" s="235">
        <f>EEFFun!AE89</f>
        <v>100932.02</v>
      </c>
      <c r="T60" s="235">
        <f>EEFFun!AF89</f>
        <v>102908.48</v>
      </c>
      <c r="U60" s="235">
        <f>EEFFun!AG89</f>
        <v>114241.05</v>
      </c>
      <c r="V60" s="235">
        <f>EEFFun!AH89</f>
        <v>113714.14</v>
      </c>
      <c r="W60" s="235">
        <f>EEFFun!AI89</f>
        <v>56568.43</v>
      </c>
      <c r="X60" s="235">
        <f>EEFFun!AJ89</f>
        <v>97631.58</v>
      </c>
      <c r="Y60" s="235">
        <f>EEFFun!AK89</f>
        <v>73219.25</v>
      </c>
      <c r="Z60" s="235">
        <f>EEFFun!AL89</f>
        <v>119937.59</v>
      </c>
      <c r="AA60" s="235">
        <f>EEFFun!AM89</f>
        <v>92995.09</v>
      </c>
      <c r="AB60" s="235">
        <f>EEFFun!AN89</f>
        <v>76810.63</v>
      </c>
      <c r="AC60" s="235">
        <f>EEFFun!AO89</f>
        <v>78018.2</v>
      </c>
      <c r="AD60" s="235">
        <f>EEFFun!AP89</f>
        <v>107902.06</v>
      </c>
      <c r="AE60" s="235">
        <f>EEFFun!AQ89</f>
        <v>94486.22</v>
      </c>
      <c r="AF60" s="235">
        <f>EEFFun!AR89</f>
        <v>45461.35</v>
      </c>
      <c r="AG60" s="235">
        <f>EEFFun!AS89</f>
        <v>25926.7</v>
      </c>
      <c r="AH60" s="235">
        <f>EEFFun!AT89</f>
        <v>36182.68</v>
      </c>
      <c r="AI60" s="235">
        <f>EEFFun!AU89</f>
        <v>35653.360000000001</v>
      </c>
      <c r="AJ60" s="235">
        <f>EEFFun!AV89</f>
        <v>34776.33</v>
      </c>
      <c r="AK60" s="235">
        <f>EEFFun!AW89</f>
        <v>34573.33</v>
      </c>
      <c r="AL60" s="235">
        <f>EEFFun!AX89</f>
        <v>22485.73</v>
      </c>
      <c r="AM60" s="235">
        <f>($W$60/($W$47+$W$48+$W$50)*CalcIntCart!E30)</f>
        <v>16378.950387035124</v>
      </c>
      <c r="AN60" s="235">
        <f>($W$60/($W$47+$W$48+$W$50)*CalcIntCart!F30)</f>
        <v>16547.971198415849</v>
      </c>
      <c r="AO60" s="235">
        <f>($W$60/($W$47+$W$48+$W$50)*CalcIntCart!G30)</f>
        <v>16590.121457305904</v>
      </c>
      <c r="AP60" s="235">
        <f>($W$60/($W$47+$W$48+$W$50)*CalcIntCart!H30)</f>
        <v>16637.184790017156</v>
      </c>
      <c r="AQ60" s="235">
        <f>($W$60/($W$47+$W$48+$W$50)*CalcIntCart!I30)</f>
        <v>16632.444517860687</v>
      </c>
      <c r="AR60" s="235">
        <f>($W$60/($W$47+$W$48+$W$50)*CalcIntCart!J30)</f>
        <v>16642.042281279249</v>
      </c>
      <c r="AS60" s="235">
        <f>($W$60/($W$47+$W$48+$W$50)*CalcIntCart!K30)</f>
        <v>16600.351073341684</v>
      </c>
      <c r="AT60" s="235">
        <f>($W$60/($W$47+$W$48+$W$50)*CalcIntCart!L30)</f>
        <v>16536.385096890583</v>
      </c>
      <c r="AU60" s="235">
        <f>($W$60/($W$47+$W$48+$W$50)*CalcIntCart!M30)</f>
        <v>16465.499903190677</v>
      </c>
      <c r="AV60" s="235">
        <f>($W$60/($W$47+$W$48+$W$50)*CalcIntCart!N30)</f>
        <v>16343.841441570377</v>
      </c>
      <c r="AW60" s="235">
        <f>($W$60/($W$47+$W$48+$W$50)*CalcIntCart!O30)</f>
        <v>16255.600972722978</v>
      </c>
      <c r="AX60" s="235">
        <f>($W$60/($W$47+$W$48+$W$50)*CalcIntCart!P30)</f>
        <v>16117.453874508999</v>
      </c>
      <c r="AY60" s="236">
        <f t="shared" si="82"/>
        <v>-97596.686125491004</v>
      </c>
      <c r="AZ60" s="238"/>
      <c r="BA60" s="245"/>
      <c r="BB60" s="245"/>
      <c r="BC60" s="228">
        <f t="shared" si="8"/>
        <v>-40032.044903109418</v>
      </c>
    </row>
    <row r="61" spans="1:55" outlineLevel="2" collapsed="1" x14ac:dyDescent="0.25">
      <c r="A61" s="222">
        <v>4</v>
      </c>
      <c r="B61" s="234">
        <f>EEFFun!B95</f>
        <v>1425</v>
      </c>
      <c r="C61" s="234" t="str">
        <f>EEFFun!C95</f>
        <v>CARTERA DE CRÉDITOS PRODUCTIVO QUE NO DEVENGA INTERESES</v>
      </c>
      <c r="D61" s="235">
        <f>EEFFun!P95</f>
        <v>61207.519999999997</v>
      </c>
      <c r="E61" s="235">
        <f>EEFFun!Q95</f>
        <v>56762.77</v>
      </c>
      <c r="F61" s="235">
        <f>EEFFun!R95</f>
        <v>56762.77</v>
      </c>
      <c r="G61" s="235">
        <f>EEFFun!S95</f>
        <v>52229.42</v>
      </c>
      <c r="H61" s="235">
        <f>EEFFun!T95</f>
        <v>49934.69</v>
      </c>
      <c r="I61" s="235">
        <f>EEFFun!U95</f>
        <v>47634.83</v>
      </c>
      <c r="J61" s="235">
        <f>EEFFun!V95</f>
        <v>45302.73</v>
      </c>
      <c r="K61" s="235">
        <f>EEFFun!W95</f>
        <v>42963.94</v>
      </c>
      <c r="L61" s="235">
        <f>EEFFun!X95</f>
        <v>40593.85</v>
      </c>
      <c r="M61" s="235">
        <f>EEFFun!Y95</f>
        <v>38215.49</v>
      </c>
      <c r="N61" s="235">
        <f>EEFFun!Z95</f>
        <v>60992.55</v>
      </c>
      <c r="O61" s="235">
        <f>EEFFun!AA95</f>
        <v>33388.92</v>
      </c>
      <c r="P61" s="235">
        <f>EEFFun!AB95</f>
        <v>55185.63</v>
      </c>
      <c r="Q61" s="235">
        <f>EEFFun!AC95</f>
        <v>52245.08</v>
      </c>
      <c r="R61" s="235">
        <f>EEFFun!AD95</f>
        <v>28482.21</v>
      </c>
      <c r="S61" s="235">
        <f>EEFFun!AE95</f>
        <v>46284.39</v>
      </c>
      <c r="T61" s="235">
        <f>EEFFun!AF95</f>
        <v>83840.649999999994</v>
      </c>
      <c r="U61" s="235">
        <f>EEFFun!AG95</f>
        <v>51341.599999999999</v>
      </c>
      <c r="V61" s="235">
        <f>EEFFun!AH95</f>
        <v>26695.99</v>
      </c>
      <c r="W61" s="235">
        <f>EEFFun!AI95</f>
        <v>44647.41</v>
      </c>
      <c r="X61" s="235">
        <f>EEFFun!AJ95</f>
        <v>51366.04</v>
      </c>
      <c r="Y61" s="235">
        <f>EEFFun!AK95</f>
        <v>28326.03</v>
      </c>
      <c r="Z61" s="235">
        <f>EEFFun!AL95</f>
        <v>24645.21</v>
      </c>
      <c r="AA61" s="235">
        <f>EEFFun!AM95</f>
        <v>0</v>
      </c>
      <c r="AB61" s="235">
        <f>EEFFun!AN95</f>
        <v>0</v>
      </c>
      <c r="AC61" s="235">
        <f>EEFFun!AO95</f>
        <v>67647.22</v>
      </c>
      <c r="AD61" s="235">
        <f>EEFFun!AP95</f>
        <v>0</v>
      </c>
      <c r="AE61" s="235">
        <f>EEFFun!AQ95</f>
        <v>9254.51</v>
      </c>
      <c r="AF61" s="235">
        <f>EEFFun!AR95</f>
        <v>0</v>
      </c>
      <c r="AG61" s="235">
        <f>EEFFun!AS95</f>
        <v>0</v>
      </c>
      <c r="AH61" s="235">
        <f>EEFFun!AT95</f>
        <v>0</v>
      </c>
      <c r="AI61" s="235">
        <f>EEFFun!AU95</f>
        <v>0</v>
      </c>
      <c r="AJ61" s="235">
        <f>EEFFun!AV95</f>
        <v>9272.61</v>
      </c>
      <c r="AK61" s="235">
        <f>EEFFun!AW95</f>
        <v>0</v>
      </c>
      <c r="AL61" s="235">
        <f>EEFFun!AX95</f>
        <v>0</v>
      </c>
      <c r="AM61" s="235">
        <f>($W$61/($W$61+$W$68))*CalcIntCart!E7</f>
        <v>5386.5559671122764</v>
      </c>
      <c r="AN61" s="235">
        <f>($W$61/($W$61+$W$68))*CalcIntCart!F7</f>
        <v>5386.2238292208767</v>
      </c>
      <c r="AO61" s="235">
        <f>($W$61/($W$61+$W$68))*CalcIntCart!G7</f>
        <v>5379.337466268662</v>
      </c>
      <c r="AP61" s="235">
        <f>($W$61/($W$61+$W$68))*CalcIntCart!H7</f>
        <v>5372.208552880712</v>
      </c>
      <c r="AQ61" s="235">
        <f>($W$61/($W$61+$W$68))*CalcIntCart!I7</f>
        <v>5369.2272730550603</v>
      </c>
      <c r="AR61" s="235">
        <f>($W$61/($W$61+$W$68))*CalcIntCart!J7</f>
        <v>5365.4118541522221</v>
      </c>
      <c r="AS61" s="235">
        <f>($W$61/($W$61+$W$68))*CalcIntCart!K7</f>
        <v>5369.9964052865262</v>
      </c>
      <c r="AT61" s="235">
        <f>($W$61/($W$61+$W$68))*CalcIntCart!L7</f>
        <v>5373.6292365887475</v>
      </c>
      <c r="AU61" s="235">
        <f>($W$61/($W$61+$W$68))*CalcIntCart!M7</f>
        <v>5374.6922727274205</v>
      </c>
      <c r="AV61" s="235">
        <f>($W$61/($W$61+$W$68))*CalcIntCart!N7</f>
        <v>5384.254854058202</v>
      </c>
      <c r="AW61" s="235">
        <f>($W$61/($W$61+$W$68))*CalcIntCart!O7</f>
        <v>5396.8731758726826</v>
      </c>
      <c r="AX61" s="235">
        <f>($W$61/($W$61+$W$68))*CalcIntCart!P7</f>
        <v>5392.9352874851975</v>
      </c>
      <c r="AY61" s="236">
        <f t="shared" si="82"/>
        <v>-21303.054712514804</v>
      </c>
      <c r="AZ61" s="236">
        <f>AX61-P61</f>
        <v>-49792.6947125148</v>
      </c>
      <c r="BA61" s="232">
        <f>P61/$P$5</f>
        <v>1.4460272103211324E-3</v>
      </c>
      <c r="BB61" s="232">
        <f>AX61/$AX$5</f>
        <v>4.0323309191162351E-5</v>
      </c>
      <c r="BC61" s="228">
        <f t="shared" si="8"/>
        <v>-39273.780763411254</v>
      </c>
    </row>
    <row r="62" spans="1:55" outlineLevel="2" collapsed="1" x14ac:dyDescent="0.25">
      <c r="A62" s="222">
        <v>4</v>
      </c>
      <c r="B62" s="233">
        <f>EEFFun!B101</f>
        <v>1426</v>
      </c>
      <c r="C62" s="233" t="str">
        <f>EEFFun!C101</f>
        <v>CARTERA DE CRÉDITOS CONSUMO QUE NO DEVENGA INTERESES</v>
      </c>
      <c r="D62" s="235">
        <f>EEFFun!P101</f>
        <v>720126.37</v>
      </c>
      <c r="E62" s="235">
        <f>EEFFun!Q101</f>
        <v>1263863.99</v>
      </c>
      <c r="F62" s="235">
        <f>EEFFun!R101</f>
        <v>1417129.89</v>
      </c>
      <c r="G62" s="235">
        <f>EEFFun!S101</f>
        <v>1317581.8400000001</v>
      </c>
      <c r="H62" s="235">
        <f>EEFFun!T101</f>
        <v>1257748</v>
      </c>
      <c r="I62" s="235">
        <f>EEFFun!U101</f>
        <v>1334641.0900000001</v>
      </c>
      <c r="J62" s="235">
        <f>EEFFun!V101</f>
        <v>1325151.57</v>
      </c>
      <c r="K62" s="235">
        <f>EEFFun!W101</f>
        <v>1337626.4099999999</v>
      </c>
      <c r="L62" s="235">
        <f>EEFFun!X101</f>
        <v>1175593.82</v>
      </c>
      <c r="M62" s="235">
        <f>EEFFun!Y101</f>
        <v>1239264.6000000001</v>
      </c>
      <c r="N62" s="235">
        <f>EEFFun!Z101</f>
        <v>3107586.58</v>
      </c>
      <c r="O62" s="235">
        <f>EEFFun!AA101</f>
        <v>1292095.8899999999</v>
      </c>
      <c r="P62" s="235">
        <f>EEFFun!AB101</f>
        <v>1257856.43</v>
      </c>
      <c r="Q62" s="235">
        <f>EEFFun!AC101</f>
        <v>1267284.3799999999</v>
      </c>
      <c r="R62" s="235">
        <f>EEFFun!AD101</f>
        <v>1402547.24</v>
      </c>
      <c r="S62" s="235">
        <f>EEFFun!AE101</f>
        <v>1558335.35</v>
      </c>
      <c r="T62" s="235">
        <f>EEFFun!AF101</f>
        <v>1033212.31</v>
      </c>
      <c r="U62" s="235">
        <f>EEFFun!AG101</f>
        <v>1179102.3400000001</v>
      </c>
      <c r="V62" s="235">
        <f>EEFFun!AH101</f>
        <v>1244410.81</v>
      </c>
      <c r="W62" s="235">
        <f>EEFFun!AI101</f>
        <v>1105785.08</v>
      </c>
      <c r="X62" s="235">
        <f>EEFFun!AJ101</f>
        <v>1364010.26</v>
      </c>
      <c r="Y62" s="235">
        <f>EEFFun!AK101</f>
        <v>1266527</v>
      </c>
      <c r="Z62" s="235">
        <f>EEFFun!AL101</f>
        <v>1429252.6</v>
      </c>
      <c r="AA62" s="235">
        <f>EEFFun!AM101</f>
        <v>637091.72</v>
      </c>
      <c r="AB62" s="235">
        <f>EEFFun!AN101</f>
        <v>354003.72</v>
      </c>
      <c r="AC62" s="235">
        <f>EEFFun!AO101</f>
        <v>253248.33</v>
      </c>
      <c r="AD62" s="235">
        <f>EEFFun!AP101</f>
        <v>374599.78</v>
      </c>
      <c r="AE62" s="235">
        <f>EEFFun!AQ101</f>
        <v>346967.77</v>
      </c>
      <c r="AF62" s="235">
        <f>EEFFun!AR101</f>
        <v>406888.42</v>
      </c>
      <c r="AG62" s="235">
        <f>EEFFun!AS101</f>
        <v>301091.19</v>
      </c>
      <c r="AH62" s="235">
        <f>EEFFun!AT101</f>
        <v>301560.53000000003</v>
      </c>
      <c r="AI62" s="235">
        <f>EEFFun!AU101</f>
        <v>342591.59</v>
      </c>
      <c r="AJ62" s="235">
        <f>EEFFun!AV101</f>
        <v>309941.43</v>
      </c>
      <c r="AK62" s="235">
        <f>EEFFun!AW101</f>
        <v>326390.56</v>
      </c>
      <c r="AL62" s="235">
        <f>EEFFun!AX101</f>
        <v>525323.29</v>
      </c>
      <c r="AM62" s="235">
        <f>($W$62/($W$62+$W$69))*CalcIntCart!E13</f>
        <v>414865.39999660611</v>
      </c>
      <c r="AN62" s="235">
        <f>($W$62/($W$62+$W$69))*CalcIntCart!F13</f>
        <v>457301.31046973966</v>
      </c>
      <c r="AO62" s="235">
        <f>($W$62/($W$62+$W$69))*CalcIntCart!G13</f>
        <v>498156.37189794378</v>
      </c>
      <c r="AP62" s="235">
        <f>($W$62/($W$62+$W$69))*CalcIntCart!H13</f>
        <v>534700.51017885737</v>
      </c>
      <c r="AQ62" s="235">
        <f>($W$62/($W$62+$W$69))*CalcIntCart!I13</f>
        <v>573737.77457251865</v>
      </c>
      <c r="AR62" s="235">
        <f>($W$62/($W$62+$W$69))*CalcIntCart!J13</f>
        <v>612144.97724371287</v>
      </c>
      <c r="AS62" s="235">
        <f>($W$62/($W$62+$W$69))*CalcIntCart!K13</f>
        <v>649669.70911324187</v>
      </c>
      <c r="AT62" s="235">
        <f>($W$62/($W$62+$W$69))*CalcIntCart!L13</f>
        <v>686302.19879284012</v>
      </c>
      <c r="AU62" s="235">
        <f>($W$62/($W$62+$W$69))*CalcIntCart!M13</f>
        <v>722051.77098656574</v>
      </c>
      <c r="AV62" s="235">
        <f>($W$62/($W$62+$W$69))*CalcIntCart!N13</f>
        <v>755979.79274014756</v>
      </c>
      <c r="AW62" s="235">
        <f>($W$62/($W$62+$W$69))*CalcIntCart!O13</f>
        <v>789719.40901064419</v>
      </c>
      <c r="AX62" s="235">
        <f>($W$62/($W$62+$W$69))*CalcIntCart!P13</f>
        <v>822728.36173248547</v>
      </c>
      <c r="AY62" s="236">
        <f t="shared" si="82"/>
        <v>-421682.44826751458</v>
      </c>
      <c r="AZ62" s="236">
        <f>AX62-P62</f>
        <v>-435128.06826751446</v>
      </c>
      <c r="BA62" s="232">
        <f>P62/$P$5</f>
        <v>3.2959569809339839E-2</v>
      </c>
      <c r="BB62" s="232">
        <f>AX62/$AX$5</f>
        <v>6.1515906166097374E-3</v>
      </c>
      <c r="BC62" s="228">
        <f t="shared" si="8"/>
        <v>-419482.88120715995</v>
      </c>
    </row>
    <row r="63" spans="1:55" outlineLevel="2" collapsed="1" x14ac:dyDescent="0.25">
      <c r="A63" s="222">
        <v>4</v>
      </c>
      <c r="B63" s="233">
        <f>EEFFun!B107</f>
        <v>1428</v>
      </c>
      <c r="C63" s="233" t="str">
        <f>EEFFun!C107</f>
        <v>CARTERA DE MICROCRÉDITO QUE NO DEVENGA INTERESES</v>
      </c>
      <c r="D63" s="235">
        <f>EEFFun!P107</f>
        <v>129973.64</v>
      </c>
      <c r="E63" s="235">
        <f>EEFFun!Q107</f>
        <v>286430.26</v>
      </c>
      <c r="F63" s="235">
        <f>EEFFun!R107</f>
        <v>441081.7</v>
      </c>
      <c r="G63" s="235">
        <f>EEFFun!S107</f>
        <v>347559.75</v>
      </c>
      <c r="H63" s="235">
        <f>EEFFun!T107</f>
        <v>491274.13</v>
      </c>
      <c r="I63" s="235">
        <f>EEFFun!U107</f>
        <v>579062.61</v>
      </c>
      <c r="J63" s="235">
        <f>EEFFun!V107</f>
        <v>716437.08</v>
      </c>
      <c r="K63" s="235">
        <f>EEFFun!W107</f>
        <v>839452.84</v>
      </c>
      <c r="L63" s="235">
        <f>EEFFun!X107</f>
        <v>683775.62</v>
      </c>
      <c r="M63" s="235">
        <f>EEFFun!Y107</f>
        <v>644747.39</v>
      </c>
      <c r="N63" s="235">
        <f>EEFFun!Z107</f>
        <v>749282.91</v>
      </c>
      <c r="O63" s="235">
        <f>EEFFun!AA107</f>
        <v>837335.04000000004</v>
      </c>
      <c r="P63" s="235">
        <f>EEFFun!AB107</f>
        <v>810672.57</v>
      </c>
      <c r="Q63" s="235">
        <f>EEFFun!AC107</f>
        <v>869923.52</v>
      </c>
      <c r="R63" s="235">
        <f>EEFFun!AD107</f>
        <v>906482.42</v>
      </c>
      <c r="S63" s="235">
        <f>EEFFun!AE107</f>
        <v>987704.9</v>
      </c>
      <c r="T63" s="235">
        <f>EEFFun!AF107</f>
        <v>734216.33</v>
      </c>
      <c r="U63" s="235">
        <f>EEFFun!AG107</f>
        <v>949010.07</v>
      </c>
      <c r="V63" s="235">
        <f>EEFFun!AH107</f>
        <v>828137.98</v>
      </c>
      <c r="W63" s="235">
        <f>EEFFun!AI107</f>
        <v>840483.32</v>
      </c>
      <c r="X63" s="235">
        <f>EEFFun!AJ107</f>
        <v>1211445.82</v>
      </c>
      <c r="Y63" s="235">
        <f>EEFFun!AK107</f>
        <v>1123003.99</v>
      </c>
      <c r="Z63" s="235">
        <f>EEFFun!AL107</f>
        <v>1142092.6200000001</v>
      </c>
      <c r="AA63" s="235">
        <f>EEFFun!AM107</f>
        <v>514018.41</v>
      </c>
      <c r="AB63" s="235">
        <f>EEFFun!AN107</f>
        <v>346511.06</v>
      </c>
      <c r="AC63" s="235">
        <f>EEFFun!AO107</f>
        <v>245823.24</v>
      </c>
      <c r="AD63" s="235">
        <f>EEFFun!AP107</f>
        <v>337969.48</v>
      </c>
      <c r="AE63" s="235">
        <f>EEFFun!AQ107</f>
        <v>296952.82</v>
      </c>
      <c r="AF63" s="235">
        <f>EEFFun!AR107</f>
        <v>183124.62</v>
      </c>
      <c r="AG63" s="235">
        <f>EEFFun!AS107</f>
        <v>126781.66</v>
      </c>
      <c r="AH63" s="235">
        <f>EEFFun!AT107</f>
        <v>204296.33</v>
      </c>
      <c r="AI63" s="235">
        <f>EEFFun!AU107</f>
        <v>253408.33</v>
      </c>
      <c r="AJ63" s="235">
        <f>EEFFun!AV107</f>
        <v>328743.7</v>
      </c>
      <c r="AK63" s="235">
        <f>EEFFun!AW107</f>
        <v>279754.7</v>
      </c>
      <c r="AL63" s="235">
        <f>EEFFun!AX107</f>
        <v>196086.78</v>
      </c>
      <c r="AM63" s="235">
        <f>($W$63/($W$63+$W$71))*CalcIntCart!E19</f>
        <v>287879.08157837897</v>
      </c>
      <c r="AN63" s="235">
        <f>($W$63/($W$63+$W$71))*CalcIntCart!F19</f>
        <v>313514.4928494395</v>
      </c>
      <c r="AO63" s="235">
        <f>($W$63/($W$63+$W$71))*CalcIntCart!G19</f>
        <v>338712.63387565932</v>
      </c>
      <c r="AP63" s="235">
        <f>($W$63/($W$63+$W$71))*CalcIntCart!H19</f>
        <v>363606.27867352281</v>
      </c>
      <c r="AQ63" s="235">
        <f>($W$63/($W$63+$W$71))*CalcIntCart!I19</f>
        <v>388140.07116270519</v>
      </c>
      <c r="AR63" s="235">
        <f>($W$63/($W$63+$W$71))*CalcIntCart!J19</f>
        <v>412532.74206679064</v>
      </c>
      <c r="AS63" s="235">
        <f>($W$63/($W$63+$W$71))*CalcIntCart!K19</f>
        <v>436556.58707707829</v>
      </c>
      <c r="AT63" s="235">
        <f>($W$63/($W$63+$W$71))*CalcIntCart!L19</f>
        <v>460259.17036413768</v>
      </c>
      <c r="AU63" s="235">
        <f>($W$63/($W$63+$W$71))*CalcIntCart!M19</f>
        <v>483353.2574552102</v>
      </c>
      <c r="AV63" s="235">
        <f>($W$63/($W$63+$W$71))*CalcIntCart!N19</f>
        <v>506341.40154589619</v>
      </c>
      <c r="AW63" s="235">
        <f>($W$63/($W$63+$W$71))*CalcIntCart!O19</f>
        <v>529016.54008817009</v>
      </c>
      <c r="AX63" s="235">
        <f>($W$63/($W$63+$W$71))*CalcIntCart!P19</f>
        <v>551324.17504825175</v>
      </c>
      <c r="AY63" s="236">
        <f t="shared" si="82"/>
        <v>-276813.80495174823</v>
      </c>
      <c r="AZ63" s="236">
        <f>AX63-P63</f>
        <v>-259348.3949517482</v>
      </c>
      <c r="BA63" s="232">
        <f>P63/$P$5</f>
        <v>2.1242026137618848E-2</v>
      </c>
      <c r="BB63" s="232">
        <f>AX63/$AX$5</f>
        <v>4.1222848022342768E-3</v>
      </c>
      <c r="BC63" s="228">
        <f t="shared" si="8"/>
        <v>-380224.14963586227</v>
      </c>
    </row>
    <row r="64" spans="1:55" outlineLevel="2" collapsed="1" x14ac:dyDescent="0.25">
      <c r="A64" s="222">
        <v>4</v>
      </c>
      <c r="B64" s="234">
        <f>EEFFun!B113</f>
        <v>1434</v>
      </c>
      <c r="C64" s="234" t="str">
        <f>EEFFun!C113</f>
        <v>CARTERA DE CRÉDITOS CONSUMO REFINANCIADA QUE NO DEVENGA INTERESES</v>
      </c>
      <c r="D64" s="235">
        <f>EEFFun!P113</f>
        <v>0</v>
      </c>
      <c r="E64" s="235">
        <f>EEFFun!Q113</f>
        <v>0</v>
      </c>
      <c r="F64" s="235">
        <f>EEFFun!R113</f>
        <v>0</v>
      </c>
      <c r="G64" s="235">
        <f>EEFFun!S113</f>
        <v>0</v>
      </c>
      <c r="H64" s="235">
        <f>EEFFun!T113</f>
        <v>6439.92</v>
      </c>
      <c r="I64" s="235">
        <f>EEFFun!U113</f>
        <v>18249.72</v>
      </c>
      <c r="J64" s="235">
        <f>EEFFun!V113</f>
        <v>6135.4</v>
      </c>
      <c r="K64" s="235">
        <f>EEFFun!W113</f>
        <v>5981.42</v>
      </c>
      <c r="L64" s="235">
        <f>EEFFun!X113</f>
        <v>5822.78</v>
      </c>
      <c r="M64" s="235">
        <f>EEFFun!Y113</f>
        <v>5664.6</v>
      </c>
      <c r="N64" s="235">
        <f>EEFFun!Z113</f>
        <v>30121.03</v>
      </c>
      <c r="O64" s="235">
        <f>EEFFun!AA113</f>
        <v>49876.68</v>
      </c>
      <c r="P64" s="235">
        <f>EEFFun!AB113</f>
        <v>68138.960000000006</v>
      </c>
      <c r="Q64" s="235">
        <f>EEFFun!AC113</f>
        <v>56200.45</v>
      </c>
      <c r="R64" s="235">
        <f>EEFFun!AD113</f>
        <v>72084.639999999999</v>
      </c>
      <c r="S64" s="235">
        <f>EEFFun!AE113</f>
        <v>48936.25</v>
      </c>
      <c r="T64" s="235">
        <f>EEFFun!AF113</f>
        <v>48137.440000000002</v>
      </c>
      <c r="U64" s="235">
        <f>EEFFun!AG113</f>
        <v>89951.3</v>
      </c>
      <c r="V64" s="235">
        <f>EEFFun!AH113</f>
        <v>137358.14000000001</v>
      </c>
      <c r="W64" s="235">
        <f>EEFFun!AI113</f>
        <v>157247.29999999999</v>
      </c>
      <c r="X64" s="235">
        <f>EEFFun!AJ113</f>
        <v>93605.53</v>
      </c>
      <c r="Y64" s="235">
        <f>EEFFun!AK113</f>
        <v>127380.21</v>
      </c>
      <c r="Z64" s="235">
        <f>EEFFun!AL113</f>
        <v>124802.04</v>
      </c>
      <c r="AA64" s="235">
        <f>EEFFun!AM113</f>
        <v>9158</v>
      </c>
      <c r="AB64" s="235">
        <f>EEFFun!AN113</f>
        <v>4680.9799999999996</v>
      </c>
      <c r="AC64" s="235">
        <f>EEFFun!AO113</f>
        <v>15614.36</v>
      </c>
      <c r="AD64" s="235">
        <f>EEFFun!AP113</f>
        <v>4388.49</v>
      </c>
      <c r="AE64" s="235">
        <f>EEFFun!AQ113</f>
        <v>39614.959999999999</v>
      </c>
      <c r="AF64" s="235">
        <f>EEFFun!AR113</f>
        <v>12209.27</v>
      </c>
      <c r="AG64" s="235">
        <f>EEFFun!AS113</f>
        <v>11896.75</v>
      </c>
      <c r="AH64" s="235">
        <f>EEFFun!AT113</f>
        <v>34815.03</v>
      </c>
      <c r="AI64" s="235">
        <f>EEFFun!AU113</f>
        <v>0</v>
      </c>
      <c r="AJ64" s="235">
        <f>EEFFun!AV113</f>
        <v>7855.36</v>
      </c>
      <c r="AK64" s="235">
        <f>EEFFun!AW113</f>
        <v>0</v>
      </c>
      <c r="AL64" s="235">
        <f>EEFFun!AX113</f>
        <v>0</v>
      </c>
      <c r="AM64" s="235">
        <f>($W$64/($W$45+$W$46+$W$49)*CalcIntCart!E24)</f>
        <v>148900.74602175382</v>
      </c>
      <c r="AN64" s="235">
        <f>($W$64/($W$45+$W$46+$W$49)*CalcIntCart!F24)</f>
        <v>149440.91909611714</v>
      </c>
      <c r="AO64" s="235">
        <f>($W$64/($W$45+$W$46+$W$49)*CalcIntCart!G24)</f>
        <v>149549.54652797926</v>
      </c>
      <c r="AP64" s="235">
        <f>($W$64/($W$45+$W$46+$W$49)*CalcIntCart!H24)</f>
        <v>149865.41365255931</v>
      </c>
      <c r="AQ64" s="235">
        <f>($W$64/($W$45+$W$46+$W$49)*CalcIntCart!I24)</f>
        <v>150049.6661977694</v>
      </c>
      <c r="AR64" s="235">
        <f>($W$64/($W$45+$W$46+$W$49)*CalcIntCart!J24)</f>
        <v>150208.16463950646</v>
      </c>
      <c r="AS64" s="235">
        <f>($W$64/($W$45+$W$46+$W$49)*CalcIntCart!K24)</f>
        <v>150236.34155712122</v>
      </c>
      <c r="AT64" s="235">
        <f>($W$64/($W$45+$W$46+$W$49)*CalcIntCart!L24)</f>
        <v>150235.60392605461</v>
      </c>
      <c r="AU64" s="235">
        <f>($W$64/($W$45+$W$46+$W$49)*CalcIntCart!M24)</f>
        <v>150154.88729403191</v>
      </c>
      <c r="AV64" s="235">
        <f>($W$64/($W$45+$W$46+$W$49)*CalcIntCart!N24)</f>
        <v>149945.87053939074</v>
      </c>
      <c r="AW64" s="235">
        <f>($W$64/($W$45+$W$46+$W$49)*CalcIntCart!O24)</f>
        <v>149774.28612542644</v>
      </c>
      <c r="AX64" s="235">
        <f>($W$64/($W$45+$W$46+$W$49)*CalcIntCart!P24)</f>
        <v>149476.70855341706</v>
      </c>
      <c r="AY64" s="236">
        <f t="shared" si="82"/>
        <v>12118.568553417048</v>
      </c>
      <c r="AZ64" s="236">
        <f>AX64-P64</f>
        <v>81337.748553417056</v>
      </c>
      <c r="BA64" s="232">
        <f>P64/$P$5</f>
        <v>1.7854428814708329E-3</v>
      </c>
      <c r="BB64" s="232">
        <f>AX64/$AX$5</f>
        <v>1.1176465532349005E-3</v>
      </c>
      <c r="BC64" s="228">
        <f t="shared" si="8"/>
        <v>-7011.6960739453789</v>
      </c>
    </row>
    <row r="65" spans="1:55" outlineLevel="2" collapsed="1" x14ac:dyDescent="0.25">
      <c r="A65" s="222">
        <v>4</v>
      </c>
      <c r="B65" s="234">
        <f>EEFFun!B119</f>
        <v>1436</v>
      </c>
      <c r="C65" s="233" t="str">
        <f>EEFFun!C119</f>
        <v>CARTERA DE MICROCRÉDITO REFINANCIADA QUE NO DEVENGA INTERESES</v>
      </c>
      <c r="D65" s="235">
        <f>EEFFun!P119</f>
        <v>0</v>
      </c>
      <c r="E65" s="235">
        <f>EEFFun!Q119</f>
        <v>0</v>
      </c>
      <c r="F65" s="235">
        <f>EEFFun!R119</f>
        <v>0</v>
      </c>
      <c r="G65" s="235">
        <f>EEFFun!S119</f>
        <v>0</v>
      </c>
      <c r="H65" s="235">
        <f>EEFFun!T119</f>
        <v>0</v>
      </c>
      <c r="I65" s="235">
        <f>EEFFun!U119</f>
        <v>0</v>
      </c>
      <c r="J65" s="235">
        <f>EEFFun!V119</f>
        <v>0</v>
      </c>
      <c r="K65" s="235">
        <f>EEFFun!W119</f>
        <v>0</v>
      </c>
      <c r="L65" s="235">
        <f>EEFFun!X119</f>
        <v>0</v>
      </c>
      <c r="M65" s="235">
        <f>EEFFun!Y119</f>
        <v>0</v>
      </c>
      <c r="N65" s="235">
        <f>EEFFun!Z119</f>
        <v>0</v>
      </c>
      <c r="O65" s="235">
        <f>EEFFun!AA119</f>
        <v>38691.39</v>
      </c>
      <c r="P65" s="235">
        <f>EEFFun!AB119</f>
        <v>50769.61</v>
      </c>
      <c r="Q65" s="235">
        <f>EEFFun!AC119</f>
        <v>72369.5</v>
      </c>
      <c r="R65" s="235">
        <f>EEFFun!AD119</f>
        <v>33103.74</v>
      </c>
      <c r="S65" s="235">
        <f>EEFFun!AE119</f>
        <v>45798.28</v>
      </c>
      <c r="T65" s="235">
        <f>EEFFun!AF119</f>
        <v>63407.31</v>
      </c>
      <c r="U65" s="235">
        <f>EEFFun!AG119</f>
        <v>47233.82</v>
      </c>
      <c r="V65" s="235">
        <f>EEFFun!AH119</f>
        <v>59447.839999999997</v>
      </c>
      <c r="W65" s="235">
        <f>EEFFun!AI119</f>
        <v>66801.759999999995</v>
      </c>
      <c r="X65" s="235">
        <f>EEFFun!AJ119</f>
        <v>73468</v>
      </c>
      <c r="Y65" s="235">
        <f>EEFFun!AK119</f>
        <v>92843.75</v>
      </c>
      <c r="Z65" s="235">
        <f>EEFFun!AL119</f>
        <v>69489.39</v>
      </c>
      <c r="AA65" s="235">
        <f>EEFFun!AM119</f>
        <v>12377.46</v>
      </c>
      <c r="AB65" s="235">
        <f>EEFFun!AN119</f>
        <v>3292.93</v>
      </c>
      <c r="AC65" s="235">
        <f>EEFFun!AO119</f>
        <v>3254.18</v>
      </c>
      <c r="AD65" s="235">
        <f>EEFFun!AP119</f>
        <v>3216.33</v>
      </c>
      <c r="AE65" s="235">
        <f>EEFFun!AQ119</f>
        <v>15421.73</v>
      </c>
      <c r="AF65" s="235">
        <f>EEFFun!AR119</f>
        <v>3134.98</v>
      </c>
      <c r="AG65" s="235">
        <f>EEFFun!AS119</f>
        <v>3095.53</v>
      </c>
      <c r="AH65" s="235">
        <f>EEFFun!AT119</f>
        <v>15286.29</v>
      </c>
      <c r="AI65" s="235">
        <f>EEFFun!AU119</f>
        <v>15103.6</v>
      </c>
      <c r="AJ65" s="235">
        <f>EEFFun!AV119</f>
        <v>14911.66</v>
      </c>
      <c r="AK65" s="235">
        <f>EEFFun!AW119</f>
        <v>14723.58</v>
      </c>
      <c r="AL65" s="235">
        <f>EEFFun!AX119</f>
        <v>11645.35</v>
      </c>
      <c r="AM65" s="235">
        <f>($W$65/($W$45+$W$46+$W$49)*CalcIntCart!E24)</f>
        <v>63255.978955226281</v>
      </c>
      <c r="AN65" s="235">
        <f>($W$65/($W$45+$W$46+$W$49)*CalcIntCart!F24)</f>
        <v>63485.4551501885</v>
      </c>
      <c r="AO65" s="235">
        <f>($W$65/($W$45+$W$46+$W$49)*CalcIntCart!G24)</f>
        <v>63531.602229551187</v>
      </c>
      <c r="AP65" s="235">
        <f>($W$65/($W$45+$W$46+$W$49)*CalcIntCart!H24)</f>
        <v>63665.788825111726</v>
      </c>
      <c r="AQ65" s="235">
        <f>($W$65/($W$45+$W$46+$W$49)*CalcIntCart!I24)</f>
        <v>63744.062946858256</v>
      </c>
      <c r="AR65" s="235">
        <f>($W$65/($W$45+$W$46+$W$49)*CalcIntCart!J24)</f>
        <v>63811.396216588757</v>
      </c>
      <c r="AS65" s="235">
        <f>($W$65/($W$45+$W$46+$W$49)*CalcIntCart!K24)</f>
        <v>63823.366327923206</v>
      </c>
      <c r="AT65" s="235">
        <f>($W$65/($W$45+$W$46+$W$49)*CalcIntCart!L24)</f>
        <v>63823.052967671676</v>
      </c>
      <c r="AU65" s="235">
        <f>($W$65/($W$45+$W$46+$W$49)*CalcIntCart!M24)</f>
        <v>63788.762947554394</v>
      </c>
      <c r="AV65" s="235">
        <f>($W$65/($W$45+$W$46+$W$49)*CalcIntCart!N24)</f>
        <v>63699.968500339608</v>
      </c>
      <c r="AW65" s="235">
        <f>($W$65/($W$45+$W$46+$W$49)*CalcIntCart!O24)</f>
        <v>63627.076051048687</v>
      </c>
      <c r="AX65" s="235">
        <f>($W$65/($W$45+$W$46+$W$49)*CalcIntCart!P24)</f>
        <v>63500.659218793036</v>
      </c>
      <c r="AY65" s="253">
        <f t="shared" si="82"/>
        <v>4052.8192187930399</v>
      </c>
      <c r="AZ65" s="254"/>
      <c r="BA65" s="254"/>
      <c r="BB65" s="254"/>
      <c r="BC65" s="228">
        <f t="shared" si="8"/>
        <v>-2978.7070323283187</v>
      </c>
    </row>
    <row r="66" spans="1:55" outlineLevel="2" collapsed="1" x14ac:dyDescent="0.25">
      <c r="A66" s="222">
        <v>4</v>
      </c>
      <c r="B66" s="234">
        <f>EEFFun!B125</f>
        <v>1442</v>
      </c>
      <c r="C66" s="233" t="str">
        <f>EEFFun!C125</f>
        <v>CARTERA DE CRÉDITOS CONSUMO REESTRUCTURADA QUE NO DEVENGA INTERESES</v>
      </c>
      <c r="D66" s="235">
        <f>EEFFun!P125</f>
        <v>0</v>
      </c>
      <c r="E66" s="235">
        <f>EEFFun!Q125</f>
        <v>0</v>
      </c>
      <c r="F66" s="235">
        <f>EEFFun!R125</f>
        <v>0</v>
      </c>
      <c r="G66" s="235">
        <f>EEFFun!S125</f>
        <v>0</v>
      </c>
      <c r="H66" s="235">
        <f>EEFFun!T125</f>
        <v>0</v>
      </c>
      <c r="I66" s="235">
        <f>EEFFun!U125</f>
        <v>0</v>
      </c>
      <c r="J66" s="235">
        <f>EEFFun!V125</f>
        <v>0</v>
      </c>
      <c r="K66" s="235">
        <f>EEFFun!W125</f>
        <v>0</v>
      </c>
      <c r="L66" s="235">
        <f>EEFFun!X125</f>
        <v>0</v>
      </c>
      <c r="M66" s="235">
        <f>EEFFun!Y125</f>
        <v>0</v>
      </c>
      <c r="N66" s="235">
        <f>EEFFun!Z125</f>
        <v>3498.08</v>
      </c>
      <c r="O66" s="235">
        <f>EEFFun!AA125</f>
        <v>21287.71</v>
      </c>
      <c r="P66" s="235">
        <f>EEFFun!AB125</f>
        <v>37138.93</v>
      </c>
      <c r="Q66" s="235">
        <f>EEFFun!AC125</f>
        <v>86692.61</v>
      </c>
      <c r="R66" s="235">
        <f>EEFFun!AD125</f>
        <v>98654.47</v>
      </c>
      <c r="S66" s="235">
        <f>EEFFun!AE125</f>
        <v>74016.259999999995</v>
      </c>
      <c r="T66" s="235">
        <f>EEFFun!AF125</f>
        <v>58650.64</v>
      </c>
      <c r="U66" s="235">
        <f>EEFFun!AG125</f>
        <v>86397.59</v>
      </c>
      <c r="V66" s="235">
        <f>EEFFun!AH125</f>
        <v>85186.559999999998</v>
      </c>
      <c r="W66" s="235">
        <f>EEFFun!AI125</f>
        <v>77444.13</v>
      </c>
      <c r="X66" s="235">
        <f>EEFFun!AJ125</f>
        <v>98618.39</v>
      </c>
      <c r="Y66" s="235">
        <f>EEFFun!AK125</f>
        <v>113339.85</v>
      </c>
      <c r="Z66" s="235">
        <f>EEFFun!AL125</f>
        <v>90467.29</v>
      </c>
      <c r="AA66" s="235">
        <f>EEFFun!AM125</f>
        <v>20893.810000000001</v>
      </c>
      <c r="AB66" s="235">
        <f>EEFFun!AN125</f>
        <v>22248.41</v>
      </c>
      <c r="AC66" s="235">
        <f>EEFFun!AO125</f>
        <v>11838.7</v>
      </c>
      <c r="AD66" s="235">
        <f>EEFFun!AP125</f>
        <v>13096.41</v>
      </c>
      <c r="AE66" s="235">
        <f>EEFFun!AQ125</f>
        <v>11433.64</v>
      </c>
      <c r="AF66" s="235">
        <f>EEFFun!AR125</f>
        <v>2783.64</v>
      </c>
      <c r="AG66" s="235">
        <f>EEFFun!AS125</f>
        <v>11660.02</v>
      </c>
      <c r="AH66" s="235">
        <f>EEFFun!AT125</f>
        <v>2550.38</v>
      </c>
      <c r="AI66" s="235">
        <f>EEFFun!AU125</f>
        <v>35438.120000000003</v>
      </c>
      <c r="AJ66" s="235">
        <f>EEFFun!AV125</f>
        <v>17125.400000000001</v>
      </c>
      <c r="AK66" s="235">
        <f>EEFFun!AW125</f>
        <v>16775.77</v>
      </c>
      <c r="AL66" s="235">
        <f>EEFFun!AX125</f>
        <v>12188.24</v>
      </c>
      <c r="AM66" s="235">
        <f>($W$66/($W$47+$W$48+$W$50)*CalcIntCart!E30)</f>
        <v>22423.347493241345</v>
      </c>
      <c r="AN66" s="235">
        <f>($W$66/($W$47+$W$48+$W$50)*CalcIntCart!F30)</f>
        <v>22654.742808424642</v>
      </c>
      <c r="AO66" s="235">
        <f>($W$66/($W$47+$W$48+$W$50)*CalcIntCart!G30)</f>
        <v>22712.447965329564</v>
      </c>
      <c r="AP66" s="235">
        <f>($W$66/($W$47+$W$48+$W$50)*CalcIntCart!H30)</f>
        <v>22776.879289598655</v>
      </c>
      <c r="AQ66" s="235">
        <f>($W$66/($W$47+$W$48+$W$50)*CalcIntCart!I30)</f>
        <v>22770.389693668192</v>
      </c>
      <c r="AR66" s="235">
        <f>($W$66/($W$47+$W$48+$W$50)*CalcIntCart!J30)</f>
        <v>22783.529362524056</v>
      </c>
      <c r="AS66" s="235">
        <f>($W$66/($W$47+$W$48+$W$50)*CalcIntCart!K30)</f>
        <v>22726.452662191841</v>
      </c>
      <c r="AT66" s="235">
        <f>($W$66/($W$47+$W$48+$W$50)*CalcIntCart!L30)</f>
        <v>22638.881036183204</v>
      </c>
      <c r="AU66" s="235">
        <f>($W$66/($W$47+$W$48+$W$50)*CalcIntCart!M30)</f>
        <v>22541.836763326937</v>
      </c>
      <c r="AV66" s="235">
        <f>($W$66/($W$47+$W$48+$W$50)*CalcIntCart!N30)</f>
        <v>22375.282137057078</v>
      </c>
      <c r="AW66" s="235">
        <f>($W$66/($W$47+$W$48+$W$50)*CalcIntCart!O30)</f>
        <v>22254.477894466661</v>
      </c>
      <c r="AX66" s="235">
        <f>($W$66/($W$47+$W$48+$W$50)*CalcIntCart!P30)</f>
        <v>22065.349756506919</v>
      </c>
      <c r="AY66" s="253">
        <f t="shared" si="82"/>
        <v>-63121.210243493078</v>
      </c>
      <c r="AZ66" s="254"/>
      <c r="BA66" s="254"/>
      <c r="BB66" s="254"/>
      <c r="BC66" s="228">
        <f t="shared" si="8"/>
        <v>-54805.248963816804</v>
      </c>
    </row>
    <row r="67" spans="1:55" outlineLevel="2" collapsed="1" x14ac:dyDescent="0.25">
      <c r="A67" s="222">
        <v>4</v>
      </c>
      <c r="B67" s="233">
        <f>EEFFun!B131</f>
        <v>1444</v>
      </c>
      <c r="C67" s="233" t="str">
        <f>EEFFun!C131</f>
        <v>CARTERA DE MICROCRÉDITO REESTRUCTURADA QUE NO DEVENGA INTERESES</v>
      </c>
      <c r="D67" s="235">
        <f>EEFFun!P131</f>
        <v>2844.66</v>
      </c>
      <c r="E67" s="235">
        <f>EEFFun!Q131</f>
        <v>2247.66</v>
      </c>
      <c r="F67" s="235">
        <f>EEFFun!R131</f>
        <v>1942.48</v>
      </c>
      <c r="G67" s="235">
        <f>EEFFun!S131</f>
        <v>1632.31</v>
      </c>
      <c r="H67" s="235">
        <f>EEFFun!T131</f>
        <v>1314.48</v>
      </c>
      <c r="I67" s="235">
        <f>EEFFun!U131</f>
        <v>994.04</v>
      </c>
      <c r="J67" s="235">
        <f>EEFFun!V131</f>
        <v>667.83</v>
      </c>
      <c r="K67" s="235">
        <f>EEFFun!W131</f>
        <v>336.81</v>
      </c>
      <c r="L67" s="235">
        <f>EEFFun!X131</f>
        <v>0</v>
      </c>
      <c r="M67" s="235">
        <f>EEFFun!Y131</f>
        <v>0</v>
      </c>
      <c r="N67" s="235">
        <f>EEFFun!Z131</f>
        <v>0</v>
      </c>
      <c r="O67" s="235">
        <f>EEFFun!AA131</f>
        <v>13454.74</v>
      </c>
      <c r="P67" s="235">
        <f>EEFFun!AB131</f>
        <v>13308.11</v>
      </c>
      <c r="Q67" s="235">
        <f>EEFFun!AC131</f>
        <v>13153.05</v>
      </c>
      <c r="R67" s="235">
        <f>EEFFun!AD131</f>
        <v>0</v>
      </c>
      <c r="S67" s="235">
        <f>EEFFun!AE131</f>
        <v>51865.24</v>
      </c>
      <c r="T67" s="235">
        <f>EEFFun!AF131</f>
        <v>48261.27</v>
      </c>
      <c r="U67" s="235">
        <f>EEFFun!AG131</f>
        <v>35049.550000000003</v>
      </c>
      <c r="V67" s="235">
        <f>EEFFun!AH131</f>
        <v>34492.519999999997</v>
      </c>
      <c r="W67" s="235">
        <f>EEFFun!AI131</f>
        <v>89840.34</v>
      </c>
      <c r="X67" s="235">
        <f>EEFFun!AJ131</f>
        <v>92439.35</v>
      </c>
      <c r="Y67" s="235">
        <f>EEFFun!AK131</f>
        <v>107562.28</v>
      </c>
      <c r="Z67" s="235">
        <f>EEFFun!AL131</f>
        <v>106594.18</v>
      </c>
      <c r="AA67" s="235">
        <f>EEFFun!AM131</f>
        <v>58626.18</v>
      </c>
      <c r="AB67" s="235">
        <f>EEFFun!AN131</f>
        <v>73434.91</v>
      </c>
      <c r="AC67" s="235">
        <f>EEFFun!AO131</f>
        <v>71792.100000000006</v>
      </c>
      <c r="AD67" s="235">
        <f>EEFFun!AP131</f>
        <v>40128.339999999997</v>
      </c>
      <c r="AE67" s="235">
        <f>EEFFun!AQ131</f>
        <v>27840.65</v>
      </c>
      <c r="AF67" s="235">
        <f>EEFFun!AR131</f>
        <v>34770.660000000003</v>
      </c>
      <c r="AG67" s="235">
        <f>EEFFun!AS131</f>
        <v>42435.71</v>
      </c>
      <c r="AH67" s="235">
        <f>EEFFun!AT131</f>
        <v>31705.85</v>
      </c>
      <c r="AI67" s="235">
        <f>EEFFun!AU131</f>
        <v>31383.13</v>
      </c>
      <c r="AJ67" s="235">
        <f>EEFFun!AV131</f>
        <v>23139.08</v>
      </c>
      <c r="AK67" s="235">
        <f>EEFFun!AW131</f>
        <v>15852.28</v>
      </c>
      <c r="AL67" s="235">
        <f>EEFFun!AX131</f>
        <v>1538.31</v>
      </c>
      <c r="AM67" s="235">
        <f>($W$67/($W$47+$W$48+$W$50)*CalcIntCart!E30)</f>
        <v>26012.574003103273</v>
      </c>
      <c r="AN67" s="235">
        <f>($W$67/($W$47+$W$48+$W$50)*CalcIntCart!F30)</f>
        <v>26281.007954010522</v>
      </c>
      <c r="AO67" s="235">
        <f>($W$67/($W$47+$W$48+$W$50)*CalcIntCart!G30)</f>
        <v>26347.949772791257</v>
      </c>
      <c r="AP67" s="235">
        <f>($W$67/($W$47+$W$48+$W$50)*CalcIntCart!H30)</f>
        <v>26422.694392932066</v>
      </c>
      <c r="AQ67" s="235">
        <f>($W$67/($W$47+$W$48+$W$50)*CalcIntCart!I30)</f>
        <v>26415.166030164535</v>
      </c>
      <c r="AR67" s="235">
        <f>($W$67/($W$47+$W$48+$W$50)*CalcIntCart!J30)</f>
        <v>26430.408919683709</v>
      </c>
      <c r="AS67" s="235">
        <f>($W$67/($W$47+$W$48+$W$50)*CalcIntCart!K30)</f>
        <v>26364.196152312903</v>
      </c>
      <c r="AT67" s="235">
        <f>($W$67/($W$47+$W$48+$W$50)*CalcIntCart!L30)</f>
        <v>26262.607243573548</v>
      </c>
      <c r="AU67" s="235">
        <f>($W$67/($W$47+$W$48+$W$50)*CalcIntCart!M30)</f>
        <v>26150.029434662014</v>
      </c>
      <c r="AV67" s="235">
        <f>($W$67/($W$47+$W$48+$W$50)*CalcIntCart!N30)</f>
        <v>25956.814994101354</v>
      </c>
      <c r="AW67" s="235">
        <f>($W$67/($W$47+$W$48+$W$50)*CalcIntCart!O30)</f>
        <v>25816.674040516293</v>
      </c>
      <c r="AX67" s="235">
        <f>($W$67/($W$47+$W$48+$W$50)*CalcIntCart!P30)</f>
        <v>25597.272825500124</v>
      </c>
      <c r="AY67" s="236">
        <f t="shared" si="82"/>
        <v>-8895.2471744998729</v>
      </c>
      <c r="AZ67" s="236">
        <f t="shared" ref="AZ67:AZ72" si="120">AX67-P67</f>
        <v>12289.162825500123</v>
      </c>
      <c r="BA67" s="232">
        <f t="shared" ref="BA67:BA72" si="121">P67/$P$5</f>
        <v>3.4871195957981754E-4</v>
      </c>
      <c r="BB67" s="232">
        <f t="shared" ref="BB67:BB72" si="122">AX67/$AX$5</f>
        <v>1.9139238495748638E-4</v>
      </c>
      <c r="BC67" s="228">
        <f t="shared" si="8"/>
        <v>-63577.732756426449</v>
      </c>
    </row>
    <row r="68" spans="1:55" outlineLevel="2" collapsed="1" x14ac:dyDescent="0.25">
      <c r="A68" s="222">
        <v>4</v>
      </c>
      <c r="B68" s="233">
        <f>EEFFun!B137</f>
        <v>1449</v>
      </c>
      <c r="C68" s="233" t="str">
        <f>EEFFun!C137</f>
        <v>CARTERA DE CRÉDITOS PRODUCTIVO VENCIDA</v>
      </c>
      <c r="D68" s="235">
        <f>EEFFun!P137</f>
        <v>12994.81</v>
      </c>
      <c r="E68" s="235">
        <f>EEFFun!Q137</f>
        <v>17439.560000000001</v>
      </c>
      <c r="F68" s="235">
        <f>EEFFun!R137</f>
        <v>17439.560000000001</v>
      </c>
      <c r="G68" s="235">
        <f>EEFFun!S137</f>
        <v>21972.91</v>
      </c>
      <c r="H68" s="235">
        <f>EEFFun!T137</f>
        <v>24267.64</v>
      </c>
      <c r="I68" s="235">
        <f>EEFFun!U137</f>
        <v>26567.5</v>
      </c>
      <c r="J68" s="235">
        <f>EEFFun!V137</f>
        <v>28899.599999999999</v>
      </c>
      <c r="K68" s="235">
        <f>EEFFun!W137</f>
        <v>31237.39</v>
      </c>
      <c r="L68" s="235">
        <f>EEFFun!X137</f>
        <v>34455</v>
      </c>
      <c r="M68" s="235">
        <f>EEFFun!Y137</f>
        <v>35985.839999999997</v>
      </c>
      <c r="N68" s="235">
        <f>EEFFun!Z137</f>
        <v>38851.58</v>
      </c>
      <c r="O68" s="235">
        <f>EEFFun!AA137</f>
        <v>40812.410000000003</v>
      </c>
      <c r="P68" s="235">
        <f>EEFFun!AB137</f>
        <v>43726.04</v>
      </c>
      <c r="Q68" s="235">
        <f>EEFFun!AC137</f>
        <v>46190.87</v>
      </c>
      <c r="R68" s="235">
        <f>EEFFun!AD137</f>
        <v>45718.12</v>
      </c>
      <c r="S68" s="235">
        <f>EEFFun!AE137</f>
        <v>51201.7</v>
      </c>
      <c r="T68" s="235">
        <f>EEFFun!AF137</f>
        <v>54680.53</v>
      </c>
      <c r="U68" s="235">
        <f>EEFFun!AG137</f>
        <v>57171.95</v>
      </c>
      <c r="V68" s="235">
        <f>EEFFun!AH137</f>
        <v>59148.1</v>
      </c>
      <c r="W68" s="235">
        <f>EEFFun!AI137</f>
        <v>61977.120000000003</v>
      </c>
      <c r="X68" s="235">
        <f>EEFFun!AJ137</f>
        <v>64968.51</v>
      </c>
      <c r="Y68" s="235">
        <f>EEFFun!AK137</f>
        <v>66680.12</v>
      </c>
      <c r="Z68" s="235">
        <f>EEFFun!AL137</f>
        <v>69873.320000000007</v>
      </c>
      <c r="AA68" s="235">
        <f>EEFFun!AM137</f>
        <v>87</v>
      </c>
      <c r="AB68" s="235">
        <f>EEFFun!AN137</f>
        <v>87</v>
      </c>
      <c r="AC68" s="235">
        <f>EEFFun!AO137</f>
        <v>1604.2</v>
      </c>
      <c r="AD68" s="235">
        <f>EEFFun!AP137</f>
        <v>72</v>
      </c>
      <c r="AE68" s="235">
        <f>EEFFun!AQ137</f>
        <v>641.5</v>
      </c>
      <c r="AF68" s="235">
        <f>EEFFun!AR137</f>
        <v>72</v>
      </c>
      <c r="AG68" s="235">
        <f>EEFFun!AS137</f>
        <v>72</v>
      </c>
      <c r="AH68" s="235">
        <f>EEFFun!AT137</f>
        <v>72</v>
      </c>
      <c r="AI68" s="235">
        <f>EEFFun!AU137</f>
        <v>71</v>
      </c>
      <c r="AJ68" s="235">
        <f>EEFFun!AV137</f>
        <v>133.91</v>
      </c>
      <c r="AK68" s="235">
        <f>EEFFun!AW137</f>
        <v>71</v>
      </c>
      <c r="AL68" s="235">
        <f>EEFFun!AX137</f>
        <v>71</v>
      </c>
      <c r="AM68" s="235">
        <f>($W$68/($W$61+$W$68))*CalcIntCart!E7</f>
        <v>7477.3256849710569</v>
      </c>
      <c r="AN68" s="235">
        <f>($W$68/($W$61+$W$68))*CalcIntCart!F7</f>
        <v>7476.8646291124569</v>
      </c>
      <c r="AO68" s="235">
        <f>($W$68/($W$61+$W$68))*CalcIntCart!G7</f>
        <v>7467.3053524813386</v>
      </c>
      <c r="AP68" s="235">
        <f>($W$68/($W$61+$W$68))*CalcIntCart!H7</f>
        <v>7457.4093804526228</v>
      </c>
      <c r="AQ68" s="235">
        <f>($W$68/($W$61+$W$68))*CalcIntCart!I7</f>
        <v>7453.2709290282737</v>
      </c>
      <c r="AR68" s="235">
        <f>($W$68/($W$61+$W$68))*CalcIntCart!J7</f>
        <v>7447.9745708477776</v>
      </c>
      <c r="AS68" s="235">
        <f>($W$68/($W$61+$W$68))*CalcIntCart!K7</f>
        <v>7454.3385967968061</v>
      </c>
      <c r="AT68" s="235">
        <f>($W$68/($W$61+$W$68))*CalcIntCart!L7</f>
        <v>7459.3814967445869</v>
      </c>
      <c r="AU68" s="235">
        <f>($W$68/($W$61+$W$68))*CalcIntCart!M7</f>
        <v>7460.8571460225821</v>
      </c>
      <c r="AV68" s="235">
        <f>($W$68/($W$61+$W$68))*CalcIntCart!N7</f>
        <v>7474.1314042751346</v>
      </c>
      <c r="AW68" s="235">
        <f>($W$68/($W$61+$W$68))*CalcIntCart!O7</f>
        <v>7491.6474762106554</v>
      </c>
      <c r="AX68" s="235">
        <f>($W$68/($W$61+$W$68))*CalcIntCart!P7</f>
        <v>7486.1811125148042</v>
      </c>
      <c r="AY68" s="236">
        <f t="shared" si="82"/>
        <v>-51661.918887485197</v>
      </c>
      <c r="AZ68" s="236">
        <f t="shared" si="120"/>
        <v>-36239.858887485199</v>
      </c>
      <c r="BA68" s="232">
        <f t="shared" si="121"/>
        <v>1.1457519582469249E-3</v>
      </c>
      <c r="BB68" s="232">
        <f t="shared" si="122"/>
        <v>5.597463710745533E-5</v>
      </c>
      <c r="BC68" s="228">
        <f t="shared" si="8"/>
        <v>-54517.738503255416</v>
      </c>
    </row>
    <row r="69" spans="1:55" outlineLevel="2" collapsed="1" x14ac:dyDescent="0.25">
      <c r="A69" s="222">
        <v>4</v>
      </c>
      <c r="B69" s="233">
        <f>EEFFun!B142</f>
        <v>1450</v>
      </c>
      <c r="C69" s="233" t="str">
        <f>EEFFun!C142</f>
        <v>CARTERA DE CRÉDITOS CONSUMO VENCIDA</v>
      </c>
      <c r="D69" s="235">
        <f>EEFFun!P142</f>
        <v>150435.48000000001</v>
      </c>
      <c r="E69" s="235">
        <f>EEFFun!Q142</f>
        <v>199412.76</v>
      </c>
      <c r="F69" s="235">
        <f>EEFFun!R142</f>
        <v>223720.37</v>
      </c>
      <c r="G69" s="235">
        <f>EEFFun!S142</f>
        <v>243863.93</v>
      </c>
      <c r="H69" s="235">
        <f>EEFFun!T142</f>
        <v>258493.51</v>
      </c>
      <c r="I69" s="235">
        <f>EEFFun!U142</f>
        <v>284657.69</v>
      </c>
      <c r="J69" s="235">
        <f>EEFFun!V142</f>
        <v>314838.39</v>
      </c>
      <c r="K69" s="235">
        <f>EEFFun!W142</f>
        <v>341910.63</v>
      </c>
      <c r="L69" s="235">
        <f>EEFFun!X142</f>
        <v>355274.84</v>
      </c>
      <c r="M69" s="235">
        <f>EEFFun!Y142</f>
        <v>395988.65</v>
      </c>
      <c r="N69" s="235">
        <f>EEFFun!Z142</f>
        <v>562174.46</v>
      </c>
      <c r="O69" s="235">
        <f>EEFFun!AA142</f>
        <v>415477.75</v>
      </c>
      <c r="P69" s="235">
        <f>EEFFun!AB142</f>
        <v>449923.5</v>
      </c>
      <c r="Q69" s="235">
        <f>EEFFun!AC142</f>
        <v>481446.37</v>
      </c>
      <c r="R69" s="235">
        <f>EEFFun!AD142</f>
        <v>513616.79</v>
      </c>
      <c r="S69" s="235">
        <f>EEFFun!AE142</f>
        <v>552630.36</v>
      </c>
      <c r="T69" s="235">
        <f>EEFFun!AF142</f>
        <v>567299.19999999995</v>
      </c>
      <c r="U69" s="235">
        <f>EEFFun!AG142</f>
        <v>607558.54</v>
      </c>
      <c r="V69" s="235">
        <f>EEFFun!AH142</f>
        <v>642280.15</v>
      </c>
      <c r="W69" s="235">
        <f>EEFFun!AI142</f>
        <v>670168.05000000005</v>
      </c>
      <c r="X69" s="235">
        <f>EEFFun!AJ142</f>
        <v>704279.91</v>
      </c>
      <c r="Y69" s="235">
        <f>EEFFun!AK142</f>
        <v>733791.6</v>
      </c>
      <c r="Z69" s="235">
        <f>EEFFun!AL142</f>
        <v>779668.36</v>
      </c>
      <c r="AA69" s="235">
        <f>EEFFun!AM142</f>
        <v>63584.14</v>
      </c>
      <c r="AB69" s="235">
        <f>EEFFun!AN142</f>
        <v>54544.74</v>
      </c>
      <c r="AC69" s="235">
        <f>EEFFun!AO142</f>
        <v>43396.85</v>
      </c>
      <c r="AD69" s="235">
        <f>EEFFun!AP142</f>
        <v>44878.44</v>
      </c>
      <c r="AE69" s="235">
        <f>EEFFun!AQ142</f>
        <v>44364.4</v>
      </c>
      <c r="AF69" s="235">
        <f>EEFFun!AR142</f>
        <v>45510.93</v>
      </c>
      <c r="AG69" s="235">
        <f>EEFFun!AS142</f>
        <v>44539.59</v>
      </c>
      <c r="AH69" s="235">
        <f>EEFFun!AT142</f>
        <v>43618.7</v>
      </c>
      <c r="AI69" s="235">
        <f>EEFFun!AU142</f>
        <v>45236.480000000003</v>
      </c>
      <c r="AJ69" s="235">
        <f>EEFFun!AV142</f>
        <v>47027.360000000001</v>
      </c>
      <c r="AK69" s="235">
        <f>EEFFun!AW142</f>
        <v>46263.12</v>
      </c>
      <c r="AL69" s="235">
        <f>EEFFun!AX142</f>
        <v>48498.31</v>
      </c>
      <c r="AM69" s="235">
        <f>($W$69/($W$62+$W$69))*CalcIntCart!E13</f>
        <v>251431.80275881055</v>
      </c>
      <c r="AN69" s="235">
        <f>($W$69/($W$62+$W$69))*CalcIntCart!F13</f>
        <v>277150.35502192704</v>
      </c>
      <c r="AO69" s="235">
        <f>($W$69/($W$62+$W$69))*CalcIntCart!G13</f>
        <v>301910.82371080626</v>
      </c>
      <c r="AP69" s="235">
        <f>($W$69/($W$62+$W$69))*CalcIntCart!H13</f>
        <v>324058.6301278093</v>
      </c>
      <c r="AQ69" s="235">
        <f>($W$69/($W$62+$W$69))*CalcIntCart!I13</f>
        <v>347717.41141289804</v>
      </c>
      <c r="AR69" s="235">
        <f>($W$69/($W$62+$W$69))*CalcIntCart!J13</f>
        <v>370994.3398012871</v>
      </c>
      <c r="AS69" s="235">
        <f>($W$69/($W$62+$W$69))*CalcIntCart!K13</f>
        <v>393736.4411721747</v>
      </c>
      <c r="AT69" s="235">
        <f>($W$69/($W$62+$W$69))*CalcIntCart!L13</f>
        <v>415937.79351382639</v>
      </c>
      <c r="AU69" s="235">
        <f>($W$69/($W$62+$W$69))*CalcIntCart!M13</f>
        <v>437604.04812218423</v>
      </c>
      <c r="AV69" s="235">
        <f>($W$69/($W$62+$W$69))*CalcIntCart!N13</f>
        <v>458166.34055151913</v>
      </c>
      <c r="AW69" s="235">
        <f>($W$69/($W$62+$W$69))*CalcIntCart!O13</f>
        <v>478614.44864477264</v>
      </c>
      <c r="AX69" s="235">
        <f>($W$69/($W$62+$W$69))*CalcIntCart!P13</f>
        <v>498619.73346751468</v>
      </c>
      <c r="AY69" s="236">
        <f t="shared" ref="AY69:AY100" si="123">AX69-V69</f>
        <v>-143660.41653248534</v>
      </c>
      <c r="AZ69" s="236">
        <f t="shared" si="120"/>
        <v>48696.233467514685</v>
      </c>
      <c r="BA69" s="232">
        <f t="shared" si="121"/>
        <v>1.1789330366671904E-2</v>
      </c>
      <c r="BB69" s="232">
        <f t="shared" si="122"/>
        <v>3.7282104474873588E-3</v>
      </c>
      <c r="BC69" s="228">
        <f t="shared" ref="BC69:BC132" si="124">AT69-W69</f>
        <v>-254230.25648617366</v>
      </c>
    </row>
    <row r="70" spans="1:55" outlineLevel="2" collapsed="1" x14ac:dyDescent="0.25">
      <c r="A70" s="222">
        <v>4</v>
      </c>
      <c r="B70" s="234">
        <f>EEFFun!B148</f>
        <v>1451</v>
      </c>
      <c r="C70" s="234" t="str">
        <f>EEFFun!C148</f>
        <v>CARTERA DE CREDITO DE INMOBILIARIA VENCIDA</v>
      </c>
      <c r="D70" s="235">
        <f>EEFFun!P148</f>
        <v>1</v>
      </c>
      <c r="E70" s="235">
        <f>EEFFun!Q148</f>
        <v>1</v>
      </c>
      <c r="F70" s="235">
        <f>EEFFun!R148</f>
        <v>1</v>
      </c>
      <c r="G70" s="235">
        <f>EEFFun!S148</f>
        <v>1</v>
      </c>
      <c r="H70" s="235">
        <f>EEFFun!T148</f>
        <v>1</v>
      </c>
      <c r="I70" s="235">
        <f>EEFFun!U148</f>
        <v>1</v>
      </c>
      <c r="J70" s="235">
        <f>EEFFun!V148</f>
        <v>1</v>
      </c>
      <c r="K70" s="235">
        <f>EEFFun!W148</f>
        <v>1</v>
      </c>
      <c r="L70" s="235">
        <f>EEFFun!X148</f>
        <v>1</v>
      </c>
      <c r="M70" s="235">
        <f>EEFFun!Y148</f>
        <v>1</v>
      </c>
      <c r="N70" s="235">
        <f>EEFFun!Z148</f>
        <v>1</v>
      </c>
      <c r="O70" s="235">
        <f>EEFFun!AA148</f>
        <v>1</v>
      </c>
      <c r="P70" s="235">
        <f>EEFFun!AB148</f>
        <v>1</v>
      </c>
      <c r="Q70" s="235">
        <f>EEFFun!AC148</f>
        <v>0</v>
      </c>
      <c r="R70" s="235">
        <f>EEFFun!AD148</f>
        <v>0</v>
      </c>
      <c r="S70" s="235">
        <f>EEFFun!AE148</f>
        <v>0</v>
      </c>
      <c r="T70" s="235">
        <f>EEFFun!AF148</f>
        <v>0</v>
      </c>
      <c r="U70" s="235">
        <f>EEFFun!AG148</f>
        <v>0</v>
      </c>
      <c r="V70" s="235">
        <f>EEFFun!AH148</f>
        <v>0</v>
      </c>
      <c r="W70" s="235">
        <f>EEFFun!AI148</f>
        <v>0</v>
      </c>
      <c r="X70" s="235">
        <f>EEFFun!AJ148</f>
        <v>0</v>
      </c>
      <c r="Y70" s="235">
        <f>EEFFun!AK148</f>
        <v>0</v>
      </c>
      <c r="Z70" s="235">
        <f>EEFFun!AL148</f>
        <v>0</v>
      </c>
      <c r="AA70" s="235">
        <f>EEFFun!AM148</f>
        <v>0</v>
      </c>
      <c r="AB70" s="235">
        <f>EEFFun!AN148</f>
        <v>0</v>
      </c>
      <c r="AC70" s="235">
        <f>EEFFun!AO148</f>
        <v>0</v>
      </c>
      <c r="AD70" s="235">
        <f>EEFFun!AP148</f>
        <v>0</v>
      </c>
      <c r="AE70" s="235">
        <f>EEFFun!AQ148</f>
        <v>0</v>
      </c>
      <c r="AF70" s="235">
        <f>EEFFun!AR148</f>
        <v>0</v>
      </c>
      <c r="AG70" s="235">
        <f>EEFFun!AS148</f>
        <v>0</v>
      </c>
      <c r="AH70" s="235">
        <f>EEFFun!AT148</f>
        <v>0</v>
      </c>
      <c r="AI70" s="235">
        <f>EEFFun!AU148</f>
        <v>0</v>
      </c>
      <c r="AJ70" s="235">
        <f>EEFFun!AV148</f>
        <v>0</v>
      </c>
      <c r="AK70" s="235">
        <f>EEFFun!AW148</f>
        <v>0</v>
      </c>
      <c r="AL70" s="235">
        <f>EEFFun!AX148</f>
        <v>0</v>
      </c>
      <c r="AM70" s="236">
        <f t="shared" ref="AM70:AX70" si="125">Q70</f>
        <v>0</v>
      </c>
      <c r="AN70" s="236">
        <f t="shared" si="125"/>
        <v>0</v>
      </c>
      <c r="AO70" s="236">
        <f t="shared" si="125"/>
        <v>0</v>
      </c>
      <c r="AP70" s="236">
        <f t="shared" si="125"/>
        <v>0</v>
      </c>
      <c r="AQ70" s="236">
        <f t="shared" si="125"/>
        <v>0</v>
      </c>
      <c r="AR70" s="236">
        <f t="shared" si="125"/>
        <v>0</v>
      </c>
      <c r="AS70" s="236">
        <f t="shared" si="125"/>
        <v>0</v>
      </c>
      <c r="AT70" s="236">
        <f t="shared" si="125"/>
        <v>0</v>
      </c>
      <c r="AU70" s="236">
        <f t="shared" si="125"/>
        <v>0</v>
      </c>
      <c r="AV70" s="236">
        <f t="shared" si="125"/>
        <v>0</v>
      </c>
      <c r="AW70" s="236">
        <f t="shared" si="125"/>
        <v>0</v>
      </c>
      <c r="AX70" s="236">
        <f t="shared" si="125"/>
        <v>0</v>
      </c>
      <c r="AY70" s="236">
        <f t="shared" si="123"/>
        <v>0</v>
      </c>
      <c r="AZ70" s="236">
        <f t="shared" si="120"/>
        <v>-1</v>
      </c>
      <c r="BA70" s="232">
        <f t="shared" si="121"/>
        <v>2.6202966430230704E-8</v>
      </c>
      <c r="BB70" s="232">
        <f t="shared" si="122"/>
        <v>0</v>
      </c>
      <c r="BC70" s="228">
        <f t="shared" si="124"/>
        <v>0</v>
      </c>
    </row>
    <row r="71" spans="1:55" outlineLevel="2" collapsed="1" x14ac:dyDescent="0.25">
      <c r="A71" s="222">
        <v>4</v>
      </c>
      <c r="B71" s="233">
        <f>EEFFun!B154</f>
        <v>1452</v>
      </c>
      <c r="C71" s="233" t="str">
        <f>EEFFun!C154</f>
        <v>CARTERA DE MICROCRÉDITO VENCIDA</v>
      </c>
      <c r="D71" s="235">
        <f>EEFFun!P154</f>
        <v>30731.11</v>
      </c>
      <c r="E71" s="235">
        <f>EEFFun!Q154</f>
        <v>38775.339999999997</v>
      </c>
      <c r="F71" s="235">
        <f>EEFFun!R154</f>
        <v>40957.43</v>
      </c>
      <c r="G71" s="235">
        <f>EEFFun!S154</f>
        <v>43977.82</v>
      </c>
      <c r="H71" s="235">
        <f>EEFFun!T154</f>
        <v>49936.68</v>
      </c>
      <c r="I71" s="235">
        <f>EEFFun!U154</f>
        <v>56540.06</v>
      </c>
      <c r="J71" s="235">
        <f>EEFFun!V154</f>
        <v>65878.649999999994</v>
      </c>
      <c r="K71" s="235">
        <f>EEFFun!W154</f>
        <v>79549.88</v>
      </c>
      <c r="L71" s="235">
        <f>EEFFun!X154</f>
        <v>77004.899999999994</v>
      </c>
      <c r="M71" s="235">
        <f>EEFFun!Y154</f>
        <v>84048.74</v>
      </c>
      <c r="N71" s="235">
        <f>EEFFun!Z154</f>
        <v>87203.69</v>
      </c>
      <c r="O71" s="235">
        <f>EEFFun!AA154</f>
        <v>95510.24</v>
      </c>
      <c r="P71" s="235">
        <f>EEFFun!AB154</f>
        <v>101586.67</v>
      </c>
      <c r="Q71" s="235">
        <f>EEFFun!AC154</f>
        <v>116122.15</v>
      </c>
      <c r="R71" s="235">
        <f>EEFFun!AD154</f>
        <v>117226.73</v>
      </c>
      <c r="S71" s="235">
        <f>EEFFun!AE154</f>
        <v>130605.71</v>
      </c>
      <c r="T71" s="235">
        <f>EEFFun!AF154</f>
        <v>143043.60999999999</v>
      </c>
      <c r="U71" s="235">
        <f>EEFFun!AG154</f>
        <v>161565.29999999999</v>
      </c>
      <c r="V71" s="235">
        <f>EEFFun!AH154</f>
        <v>173513.62</v>
      </c>
      <c r="W71" s="235">
        <f>EEFFun!AI154</f>
        <v>175486.39</v>
      </c>
      <c r="X71" s="235">
        <f>EEFFun!AJ154</f>
        <v>193598.2</v>
      </c>
      <c r="Y71" s="235">
        <f>EEFFun!AK154</f>
        <v>193320.84</v>
      </c>
      <c r="Z71" s="235">
        <f>EEFFun!AL154</f>
        <v>210430.65</v>
      </c>
      <c r="AA71" s="235">
        <f>EEFFun!AM154</f>
        <v>18998.16</v>
      </c>
      <c r="AB71" s="235">
        <f>EEFFun!AN154</f>
        <v>15527.82</v>
      </c>
      <c r="AC71" s="235">
        <f>EEFFun!AO154</f>
        <v>16857.57</v>
      </c>
      <c r="AD71" s="235">
        <f>EEFFun!AP154</f>
        <v>11844.24</v>
      </c>
      <c r="AE71" s="235">
        <f>EEFFun!AQ154</f>
        <v>9085.81</v>
      </c>
      <c r="AF71" s="235">
        <f>EEFFun!AR154</f>
        <v>5549.54</v>
      </c>
      <c r="AG71" s="235">
        <f>EEFFun!AS154</f>
        <v>4525.07</v>
      </c>
      <c r="AH71" s="235">
        <f>EEFFun!AT154</f>
        <v>6167.28</v>
      </c>
      <c r="AI71" s="235">
        <f>EEFFun!AU154</f>
        <v>7968.63</v>
      </c>
      <c r="AJ71" s="235">
        <f>EEFFun!AV154</f>
        <v>11906.77</v>
      </c>
      <c r="AK71" s="235">
        <f>EEFFun!AW154</f>
        <v>10152.66</v>
      </c>
      <c r="AL71" s="235">
        <f>EEFFun!AX154</f>
        <v>5944.48</v>
      </c>
      <c r="AM71" s="255">
        <f>($W$71/($W$63+$W$71))*CalcIntCart!E19</f>
        <v>60106.916556898766</v>
      </c>
      <c r="AN71" s="235">
        <f>($W$71/($W$63+$W$71))*CalcIntCart!F19</f>
        <v>65459.391345004879</v>
      </c>
      <c r="AO71" s="235">
        <f>($W$71/($W$63+$W$71))*CalcIntCart!G19</f>
        <v>70720.567501840706</v>
      </c>
      <c r="AP71" s="235">
        <f>($W$71/($W$63+$W$71))*CalcIntCart!H19</f>
        <v>75918.167210921587</v>
      </c>
      <c r="AQ71" s="235">
        <f>($W$71/($W$63+$W$71))*CalcIntCart!I19</f>
        <v>81040.632552572555</v>
      </c>
      <c r="AR71" s="235">
        <f>($W$71/($W$63+$W$71))*CalcIntCart!J19</f>
        <v>86133.632803209286</v>
      </c>
      <c r="AS71" s="235">
        <f>($W$71/($W$63+$W$71))*CalcIntCart!K19</f>
        <v>91149.625071532806</v>
      </c>
      <c r="AT71" s="235">
        <f>($W$71/($W$63+$W$71))*CalcIntCart!L19</f>
        <v>96098.540386973444</v>
      </c>
      <c r="AU71" s="235">
        <f>($W$71/($W$63+$W$71))*CalcIntCart!M19</f>
        <v>100920.40642228979</v>
      </c>
      <c r="AV71" s="235">
        <f>($W$71/($W$63+$W$71))*CalcIntCart!N19</f>
        <v>105720.15238188161</v>
      </c>
      <c r="AW71" s="235">
        <f>($W$71/($W$63+$W$71))*CalcIntCart!O19</f>
        <v>110454.54521377446</v>
      </c>
      <c r="AX71" s="235">
        <f>($W$71/($W$63+$W$71))*CalcIntCart!P19</f>
        <v>115112.20615174827</v>
      </c>
      <c r="AY71" s="236">
        <f t="shared" si="123"/>
        <v>-58401.41384825173</v>
      </c>
      <c r="AZ71" s="236">
        <f t="shared" si="120"/>
        <v>13525.536151748267</v>
      </c>
      <c r="BA71" s="232">
        <f t="shared" si="121"/>
        <v>2.6618721037689245E-3</v>
      </c>
      <c r="BB71" s="232">
        <f t="shared" si="122"/>
        <v>8.607010529322074E-4</v>
      </c>
      <c r="BC71" s="228">
        <f t="shared" si="124"/>
        <v>-79387.84961302657</v>
      </c>
    </row>
    <row r="72" spans="1:55" outlineLevel="2" collapsed="1" x14ac:dyDescent="0.25">
      <c r="A72" s="222">
        <v>4</v>
      </c>
      <c r="B72" s="233">
        <f>EEFFun!B160</f>
        <v>1458</v>
      </c>
      <c r="C72" s="233" t="str">
        <f>EEFFun!C160</f>
        <v>CARTERA DE CRÉDITOS CONSUMO REFINANCIADA VENCIDA</v>
      </c>
      <c r="D72" s="256">
        <f>EEFFun!P160</f>
        <v>0</v>
      </c>
      <c r="E72" s="256">
        <f>EEFFun!Q160</f>
        <v>0</v>
      </c>
      <c r="F72" s="256">
        <f>EEFFun!R160</f>
        <v>0</v>
      </c>
      <c r="G72" s="256">
        <f>EEFFun!S160</f>
        <v>0</v>
      </c>
      <c r="H72" s="256">
        <f>EEFFun!T160</f>
        <v>156.37</v>
      </c>
      <c r="I72" s="256">
        <f>EEFFun!U160</f>
        <v>471.65</v>
      </c>
      <c r="J72" s="256">
        <f>EEFFun!V160</f>
        <v>460.89</v>
      </c>
      <c r="K72" s="256">
        <f>EEFFun!W160</f>
        <v>614.87</v>
      </c>
      <c r="L72" s="256">
        <f>EEFFun!X160</f>
        <v>773.51</v>
      </c>
      <c r="M72" s="256">
        <f>EEFFun!Y160</f>
        <v>931.69</v>
      </c>
      <c r="N72" s="256">
        <f>EEFFun!Z160</f>
        <v>1381.9</v>
      </c>
      <c r="O72" s="256">
        <f>EEFFun!AA160</f>
        <v>2159.48</v>
      </c>
      <c r="P72" s="257">
        <f>EEFFun!AB160</f>
        <v>2839.6</v>
      </c>
      <c r="Q72" s="257">
        <f>EEFFun!AC160</f>
        <v>3460.01</v>
      </c>
      <c r="R72" s="257">
        <f>EEFFun!AD160</f>
        <v>4263.6400000000003</v>
      </c>
      <c r="S72" s="257">
        <f>EEFFun!AE160</f>
        <v>4815.6000000000004</v>
      </c>
      <c r="T72" s="257">
        <f>EEFFun!AF160</f>
        <v>5614.41</v>
      </c>
      <c r="U72" s="257">
        <f>EEFFun!AG160</f>
        <v>6795.75</v>
      </c>
      <c r="V72" s="257">
        <f>EEFFun!AH160</f>
        <v>8200.1</v>
      </c>
      <c r="W72" s="257">
        <f>EEFFun!AI160</f>
        <v>10105.49</v>
      </c>
      <c r="X72" s="257">
        <f>EEFFun!AJ160</f>
        <v>9718.3700000000008</v>
      </c>
      <c r="Y72" s="257">
        <f>EEFFun!AK160</f>
        <v>11911.09</v>
      </c>
      <c r="Z72" s="257">
        <f>EEFFun!AL160</f>
        <v>13236.36</v>
      </c>
      <c r="AA72" s="257">
        <f>EEFFun!AM160</f>
        <v>517.6</v>
      </c>
      <c r="AB72" s="257">
        <f>EEFFun!AN160</f>
        <v>423.47</v>
      </c>
      <c r="AC72" s="257">
        <f>EEFFun!AO160</f>
        <v>569.75</v>
      </c>
      <c r="AD72" s="257">
        <f>EEFFun!AP160</f>
        <v>900.43</v>
      </c>
      <c r="AE72" s="257">
        <f>EEFFun!AQ160</f>
        <v>1387.6</v>
      </c>
      <c r="AF72" s="257">
        <f>EEFFun!AR160</f>
        <v>805.25</v>
      </c>
      <c r="AG72" s="257">
        <f>EEFFun!AS160</f>
        <v>626.97</v>
      </c>
      <c r="AH72" s="257">
        <f>EEFFun!AT160</f>
        <v>559.62</v>
      </c>
      <c r="AI72" s="257">
        <f>EEFFun!AU160</f>
        <v>0</v>
      </c>
      <c r="AJ72" s="257">
        <f>EEFFun!AV160</f>
        <v>59.16</v>
      </c>
      <c r="AK72" s="257">
        <f>EEFFun!AW160</f>
        <v>0</v>
      </c>
      <c r="AL72" s="257">
        <f>EEFFun!AX160</f>
        <v>0</v>
      </c>
      <c r="AM72" s="235">
        <f>($W$72/($W$45+$W$46+$W$49)*CalcIntCart!E24)</f>
        <v>9569.099119128743</v>
      </c>
      <c r="AN72" s="235">
        <f>($W$72/($W$45+$W$46+$W$49)*CalcIntCart!F24)</f>
        <v>9603.8133151832881</v>
      </c>
      <c r="AO72" s="235">
        <f>($W$72/($W$45+$W$46+$W$49)*CalcIntCart!G24)</f>
        <v>9610.7942517488646</v>
      </c>
      <c r="AP72" s="235">
        <f>($W$72/($W$45+$W$46+$W$49)*CalcIntCart!H24)</f>
        <v>9631.0934369734914</v>
      </c>
      <c r="AQ72" s="235">
        <f>($W$72/($W$45+$W$46+$W$49)*CalcIntCart!I24)</f>
        <v>9642.9344177286148</v>
      </c>
      <c r="AR72" s="235">
        <f>($W$72/($W$45+$W$46+$W$49)*CalcIntCart!J24)</f>
        <v>9653.1203122908064</v>
      </c>
      <c r="AS72" s="235">
        <f>($W$72/($W$45+$W$46+$W$49)*CalcIntCart!K24)</f>
        <v>9654.9311005153868</v>
      </c>
      <c r="AT72" s="235">
        <f>($W$72/($W$45+$W$46+$W$49)*CalcIntCart!L24)</f>
        <v>9654.8836966911731</v>
      </c>
      <c r="AU72" s="235">
        <f>($W$72/($W$45+$W$46+$W$49)*CalcIntCart!M24)</f>
        <v>9649.6964463044314</v>
      </c>
      <c r="AV72" s="235">
        <f>($W$72/($W$45+$W$46+$W$49)*CalcIntCart!N24)</f>
        <v>9636.2639948482938</v>
      </c>
      <c r="AW72" s="235">
        <f>($W$72/($W$45+$W$46+$W$49)*CalcIntCart!O24)</f>
        <v>9625.2371309245736</v>
      </c>
      <c r="AX72" s="235">
        <f>($W$72/($W$45+$W$46+$W$49)*CalcIntCart!P24)</f>
        <v>9606.1133228962954</v>
      </c>
      <c r="AY72" s="236">
        <f t="shared" si="123"/>
        <v>1406.013322896295</v>
      </c>
      <c r="AZ72" s="236">
        <f t="shared" si="120"/>
        <v>6766.513322896295</v>
      </c>
      <c r="BA72" s="232">
        <f t="shared" si="121"/>
        <v>7.4405943475283105E-5</v>
      </c>
      <c r="BB72" s="232">
        <f t="shared" si="122"/>
        <v>7.1825500770122957E-5</v>
      </c>
      <c r="BC72" s="228">
        <f t="shared" si="124"/>
        <v>-450.60630330882668</v>
      </c>
    </row>
    <row r="73" spans="1:55" outlineLevel="2" collapsed="1" x14ac:dyDescent="0.25">
      <c r="A73" s="222">
        <v>4</v>
      </c>
      <c r="B73" s="234">
        <f>EEFFun!B165</f>
        <v>1460</v>
      </c>
      <c r="C73" s="233" t="str">
        <f>EEFFun!C165</f>
        <v>CARTERA DE MICROCRÉDITO REFINANCIADA VENCIDA</v>
      </c>
      <c r="D73" s="235">
        <f>EEFFun!P165</f>
        <v>0</v>
      </c>
      <c r="E73" s="235">
        <f>EEFFun!Q165</f>
        <v>0</v>
      </c>
      <c r="F73" s="235">
        <f>EEFFun!R165</f>
        <v>0</v>
      </c>
      <c r="G73" s="235">
        <f>EEFFun!S165</f>
        <v>0</v>
      </c>
      <c r="H73" s="235">
        <f>EEFFun!T165</f>
        <v>0</v>
      </c>
      <c r="I73" s="235">
        <f>EEFFun!U165</f>
        <v>0</v>
      </c>
      <c r="J73" s="235">
        <f>EEFFun!V165</f>
        <v>0</v>
      </c>
      <c r="K73" s="235">
        <f>EEFFun!W165</f>
        <v>0</v>
      </c>
      <c r="L73" s="235">
        <f>EEFFun!X165</f>
        <v>0</v>
      </c>
      <c r="M73" s="235">
        <f>EEFFun!Y165</f>
        <v>0</v>
      </c>
      <c r="N73" s="235">
        <f>EEFFun!Z165</f>
        <v>0</v>
      </c>
      <c r="O73" s="235">
        <f>EEFFun!AA165</f>
        <v>323.01</v>
      </c>
      <c r="P73" s="257">
        <f>EEFFun!AB165</f>
        <v>273.38</v>
      </c>
      <c r="Q73" s="257">
        <f>EEFFun!AC165</f>
        <v>634.84</v>
      </c>
      <c r="R73" s="257">
        <f>EEFFun!AD165</f>
        <v>661.96</v>
      </c>
      <c r="S73" s="257">
        <f>EEFFun!AE165</f>
        <v>792.67</v>
      </c>
      <c r="T73" s="257">
        <f>EEFFun!AF165</f>
        <v>1158.6099999999999</v>
      </c>
      <c r="U73" s="257">
        <f>EEFFun!AG165</f>
        <v>1146.5899999999999</v>
      </c>
      <c r="V73" s="257">
        <f>EEFFun!AH165</f>
        <v>1467.34</v>
      </c>
      <c r="W73" s="257">
        <f>EEFFun!AI165</f>
        <v>1779.44</v>
      </c>
      <c r="X73" s="257">
        <f>EEFFun!AJ165</f>
        <v>2518.6999999999998</v>
      </c>
      <c r="Y73" s="257">
        <f>EEFFun!AK165</f>
        <v>3406.6</v>
      </c>
      <c r="Z73" s="257">
        <f>EEFFun!AL165</f>
        <v>2411.8200000000002</v>
      </c>
      <c r="AA73" s="257">
        <f>EEFFun!AM165</f>
        <v>132</v>
      </c>
      <c r="AB73" s="257">
        <f>EEFFun!AN165</f>
        <v>0</v>
      </c>
      <c r="AC73" s="257">
        <f>EEFFun!AO165</f>
        <v>38.75</v>
      </c>
      <c r="AD73" s="257">
        <f>EEFFun!AP165</f>
        <v>76.599999999999994</v>
      </c>
      <c r="AE73" s="257">
        <f>EEFFun!AQ165</f>
        <v>248.77</v>
      </c>
      <c r="AF73" s="257">
        <f>EEFFun!AR165</f>
        <v>157.94999999999999</v>
      </c>
      <c r="AG73" s="257">
        <f>EEFFun!AS165</f>
        <v>197.4</v>
      </c>
      <c r="AH73" s="257">
        <f>EEFFun!AT165</f>
        <v>384.21</v>
      </c>
      <c r="AI73" s="257">
        <f>EEFFun!AU165</f>
        <v>566.9</v>
      </c>
      <c r="AJ73" s="257">
        <f>EEFFun!AV165</f>
        <v>758.84</v>
      </c>
      <c r="AK73" s="257">
        <f>EEFFun!AW165</f>
        <v>816.91</v>
      </c>
      <c r="AL73" s="257">
        <f>EEFFun!AX165</f>
        <v>586.73</v>
      </c>
      <c r="AM73" s="235">
        <f>($W$73/($W$45+$W$46+$W$49)*CalcIntCart!E24)</f>
        <v>1684.9888265232512</v>
      </c>
      <c r="AN73" s="235">
        <f>($W$73/($W$45+$W$46+$W$49)*CalcIntCart!F24)</f>
        <v>1691.1015265533636</v>
      </c>
      <c r="AO73" s="235">
        <f>($W$73/($W$45+$W$46+$W$49)*CalcIntCart!G24)</f>
        <v>1692.3307749878531</v>
      </c>
      <c r="AP73" s="235">
        <f>($W$73/($W$45+$W$46+$W$49)*CalcIntCart!H24)</f>
        <v>1695.9051867339545</v>
      </c>
      <c r="AQ73" s="235">
        <f>($W$73/($W$45+$W$46+$W$49)*CalcIntCart!I24)</f>
        <v>1697.990223164142</v>
      </c>
      <c r="AR73" s="235">
        <f>($W$73/($W$45+$W$46+$W$49)*CalcIntCart!J24)</f>
        <v>1699.7838213191794</v>
      </c>
      <c r="AS73" s="235">
        <f>($W$73/($W$45+$W$46+$W$49)*CalcIntCart!K24)</f>
        <v>1700.1026766145035</v>
      </c>
      <c r="AT73" s="235">
        <f>($W$73/($W$45+$W$46+$W$49)*CalcIntCart!L24)</f>
        <v>1700.0943294427227</v>
      </c>
      <c r="AU73" s="235">
        <f>($W$73/($W$45+$W$46+$W$49)*CalcIntCart!M24)</f>
        <v>1699.1809248647969</v>
      </c>
      <c r="AV73" s="235">
        <f>($W$73/($W$45+$W$46+$W$49)*CalcIntCart!N24)</f>
        <v>1696.8156519864795</v>
      </c>
      <c r="AW73" s="235">
        <f>($W$73/($W$45+$W$46+$W$49)*CalcIntCart!O24)</f>
        <v>1694.8739705103289</v>
      </c>
      <c r="AX73" s="235">
        <f>($W$73/($W$45+$W$46+$W$49)*CalcIntCart!P24)</f>
        <v>1691.5065267784723</v>
      </c>
      <c r="AY73" s="236">
        <f t="shared" si="123"/>
        <v>224.16652677847242</v>
      </c>
      <c r="AZ73" s="238"/>
      <c r="BA73" s="245"/>
      <c r="BB73" s="245"/>
      <c r="BC73" s="228">
        <f t="shared" si="124"/>
        <v>-79.345670557277344</v>
      </c>
    </row>
    <row r="74" spans="1:55" outlineLevel="2" collapsed="1" x14ac:dyDescent="0.25">
      <c r="A74" s="222">
        <v>4</v>
      </c>
      <c r="B74" s="234">
        <f>EEFFun!B169</f>
        <v>1466</v>
      </c>
      <c r="C74" s="233" t="str">
        <f>EEFFun!C169</f>
        <v>CARTERA DE CRÉDITOS CONSUMO REESTRUCTURADA VENCIDA</v>
      </c>
      <c r="D74" s="235">
        <f>EEFFun!P169</f>
        <v>0</v>
      </c>
      <c r="E74" s="235">
        <f>EEFFun!Q169</f>
        <v>0</v>
      </c>
      <c r="F74" s="235">
        <f>EEFFun!R169</f>
        <v>0</v>
      </c>
      <c r="G74" s="235">
        <f>EEFFun!S169</f>
        <v>0</v>
      </c>
      <c r="H74" s="235">
        <f>EEFFun!T169</f>
        <v>0</v>
      </c>
      <c r="I74" s="235">
        <f>EEFFun!U169</f>
        <v>0</v>
      </c>
      <c r="J74" s="235">
        <f>EEFFun!V169</f>
        <v>0</v>
      </c>
      <c r="K74" s="235">
        <f>EEFFun!W169</f>
        <v>0</v>
      </c>
      <c r="L74" s="235">
        <f>EEFFun!X169</f>
        <v>0</v>
      </c>
      <c r="M74" s="235">
        <f>EEFFun!Y169</f>
        <v>0</v>
      </c>
      <c r="N74" s="235">
        <f>EEFFun!Z169</f>
        <v>77.400000000000006</v>
      </c>
      <c r="O74" s="235">
        <f>EEFFun!AA169</f>
        <v>336.98</v>
      </c>
      <c r="P74" s="235">
        <f>EEFFun!AB169</f>
        <v>720.31</v>
      </c>
      <c r="Q74" s="235">
        <f>EEFFun!AC169</f>
        <v>1680.44</v>
      </c>
      <c r="R74" s="235">
        <f>EEFFun!AD169</f>
        <v>2063.91</v>
      </c>
      <c r="S74" s="235">
        <f>EEFFun!AE169</f>
        <v>2122.79</v>
      </c>
      <c r="T74" s="235">
        <f>EEFFun!AF169</f>
        <v>2384.39</v>
      </c>
      <c r="U74" s="235">
        <f>EEFFun!AG169</f>
        <v>3132.59</v>
      </c>
      <c r="V74" s="235">
        <f>EEFFun!AH169</f>
        <v>3963.72</v>
      </c>
      <c r="W74" s="235">
        <f>EEFFun!AI169</f>
        <v>4702.12</v>
      </c>
      <c r="X74" s="235">
        <f>EEFFun!AJ169</f>
        <v>5320.07</v>
      </c>
      <c r="Y74" s="235">
        <f>EEFFun!AK169</f>
        <v>6808.21</v>
      </c>
      <c r="Z74" s="235">
        <f>EEFFun!AL169</f>
        <v>7574.05</v>
      </c>
      <c r="AA74" s="235">
        <f>EEFFun!AM169</f>
        <v>207.74</v>
      </c>
      <c r="AB74" s="235">
        <f>EEFFun!AN169</f>
        <v>365.84</v>
      </c>
      <c r="AC74" s="235">
        <f>EEFFun!AO169</f>
        <v>291.74</v>
      </c>
      <c r="AD74" s="235">
        <f>EEFFun!AP169</f>
        <v>406.9</v>
      </c>
      <c r="AE74" s="235">
        <f>EEFFun!AQ169</f>
        <v>294.36</v>
      </c>
      <c r="AF74" s="235">
        <f>EEFFun!AR169</f>
        <v>117.47</v>
      </c>
      <c r="AG74" s="235">
        <f>EEFFun!AS169</f>
        <v>414.31</v>
      </c>
      <c r="AH74" s="235">
        <f>EEFFun!AT169</f>
        <v>350.73</v>
      </c>
      <c r="AI74" s="235">
        <f>EEFFun!AU169</f>
        <v>697.77</v>
      </c>
      <c r="AJ74" s="235">
        <f>EEFFun!AV169</f>
        <v>457.55</v>
      </c>
      <c r="AK74" s="235">
        <f>EEFFun!AW169</f>
        <v>655.21</v>
      </c>
      <c r="AL74" s="235">
        <f>EEFFun!AX169</f>
        <v>756.13</v>
      </c>
      <c r="AM74" s="235">
        <f>($W$74/($W$47+$W$48+$W$50)*CalcIntCart!E30)</f>
        <v>1361.4623950830103</v>
      </c>
      <c r="AN74" s="235">
        <f>($W$74/($W$47+$W$48+$W$50)*CalcIntCart!F30)</f>
        <v>1375.5118593797838</v>
      </c>
      <c r="AO74" s="235">
        <f>($W$74/($W$47+$W$48+$W$50)*CalcIntCart!G30)</f>
        <v>1379.015502230259</v>
      </c>
      <c r="AP74" s="235">
        <f>($W$74/($W$47+$W$48+$W$50)*CalcIntCart!H30)</f>
        <v>1382.9275329867821</v>
      </c>
      <c r="AQ74" s="235">
        <f>($W$74/($W$47+$W$48+$W$50)*CalcIntCart!I30)</f>
        <v>1382.5335088197271</v>
      </c>
      <c r="AR74" s="235">
        <f>($W$74/($W$47+$W$48+$W$50)*CalcIntCart!J30)</f>
        <v>1383.33130072107</v>
      </c>
      <c r="AS74" s="235">
        <f>($W$74/($W$47+$W$48+$W$50)*CalcIntCart!K30)</f>
        <v>1379.8658154200391</v>
      </c>
      <c r="AT74" s="235">
        <f>($W$74/($W$47+$W$48+$W$50)*CalcIntCart!L30)</f>
        <v>1374.5487914688663</v>
      </c>
      <c r="AU74" s="235">
        <f>($W$74/($W$47+$W$48+$W$50)*CalcIntCart!M30)</f>
        <v>1368.6566235759233</v>
      </c>
      <c r="AV74" s="235">
        <f>($W$74/($W$47+$W$48+$W$50)*CalcIntCart!N30)</f>
        <v>1358.5440451367824</v>
      </c>
      <c r="AW74" s="235">
        <f>($W$74/($W$47+$W$48+$W$50)*CalcIntCart!O30)</f>
        <v>1351.2092601095731</v>
      </c>
      <c r="AX74" s="235">
        <f>($W$74/($W$47+$W$48+$W$50)*CalcIntCart!P30)</f>
        <v>1339.7261018629342</v>
      </c>
      <c r="AY74" s="236">
        <f t="shared" si="123"/>
        <v>-2623.9938981370656</v>
      </c>
      <c r="AZ74" s="238"/>
      <c r="BA74" s="245"/>
      <c r="BB74" s="245"/>
      <c r="BC74" s="228">
        <f t="shared" si="124"/>
        <v>-3327.5712085311334</v>
      </c>
    </row>
    <row r="75" spans="1:55" outlineLevel="2" collapsed="1" x14ac:dyDescent="0.25">
      <c r="A75" s="222">
        <v>4</v>
      </c>
      <c r="B75" s="233">
        <f>EEFFun!B174</f>
        <v>1468</v>
      </c>
      <c r="C75" s="233" t="str">
        <f>EEFFun!C174</f>
        <v>CARTERA DE MICROCRÉDITO REESTRUCTURADA VENCIDA</v>
      </c>
      <c r="D75" s="235">
        <f>EEFFun!P174</f>
        <v>4633.6099999999997</v>
      </c>
      <c r="E75" s="235">
        <f>EEFFun!Q174</f>
        <v>5230.6099999999997</v>
      </c>
      <c r="F75" s="235">
        <f>EEFFun!R174</f>
        <v>5494.1</v>
      </c>
      <c r="G75" s="235">
        <f>EEFFun!S174</f>
        <v>5604.27</v>
      </c>
      <c r="H75" s="235">
        <f>EEFFun!T174</f>
        <v>5123.8100000000004</v>
      </c>
      <c r="I75" s="235">
        <f>EEFFun!U174</f>
        <v>3444.25</v>
      </c>
      <c r="J75" s="235">
        <f>EEFFun!V174</f>
        <v>2870.46</v>
      </c>
      <c r="K75" s="235">
        <f>EEFFun!W174</f>
        <v>2491.79</v>
      </c>
      <c r="L75" s="235">
        <f>EEFFun!X174</f>
        <v>1452.6</v>
      </c>
      <c r="M75" s="235">
        <f>EEFFun!Y174</f>
        <v>1351.97</v>
      </c>
      <c r="N75" s="235">
        <f>EEFFun!Z174</f>
        <v>1231.24</v>
      </c>
      <c r="O75" s="235">
        <f>EEFFun!AA174</f>
        <v>1382.08</v>
      </c>
      <c r="P75" s="235">
        <f>EEFFun!AB174</f>
        <v>1377.87</v>
      </c>
      <c r="Q75" s="235">
        <f>EEFFun!AC174</f>
        <v>1386.3</v>
      </c>
      <c r="R75" s="235">
        <f>EEFFun!AD174</f>
        <v>1231.24</v>
      </c>
      <c r="S75" s="235">
        <f>EEFFun!AE174</f>
        <v>512.67999999999995</v>
      </c>
      <c r="T75" s="235">
        <f>EEFFun!AF174</f>
        <v>880.92</v>
      </c>
      <c r="U75" s="235">
        <f>EEFFun!AG174</f>
        <v>709.33</v>
      </c>
      <c r="V75" s="235">
        <f>EEFFun!AH174</f>
        <v>1266.3599999999999</v>
      </c>
      <c r="W75" s="235">
        <f>EEFFun!AI174</f>
        <v>2014.01</v>
      </c>
      <c r="X75" s="235">
        <f>EEFFun!AJ174</f>
        <v>2012.82</v>
      </c>
      <c r="Y75" s="235">
        <f>EEFFun!AK174</f>
        <v>2328.06</v>
      </c>
      <c r="Z75" s="235">
        <f>EEFFun!AL174</f>
        <v>2609.5</v>
      </c>
      <c r="AA75" s="235">
        <f>EEFFun!AM174</f>
        <v>591.85</v>
      </c>
      <c r="AB75" s="235">
        <f>EEFFun!AN174</f>
        <v>1755.69</v>
      </c>
      <c r="AC75" s="235">
        <f>EEFFun!AO174</f>
        <v>1613.22</v>
      </c>
      <c r="AD75" s="235">
        <f>EEFFun!AP174</f>
        <v>1063.22</v>
      </c>
      <c r="AE75" s="235">
        <f>EEFFun!AQ174</f>
        <v>557.37</v>
      </c>
      <c r="AF75" s="235">
        <f>EEFFun!AR174</f>
        <v>790.11</v>
      </c>
      <c r="AG75" s="235">
        <f>EEFFun!AS174</f>
        <v>550.55999999999995</v>
      </c>
      <c r="AH75" s="235">
        <f>EEFFun!AT174</f>
        <v>472.57</v>
      </c>
      <c r="AI75" s="235">
        <f>EEFFun!AU174</f>
        <v>759.71</v>
      </c>
      <c r="AJ75" s="235">
        <f>EEFFun!AV174</f>
        <v>569.74</v>
      </c>
      <c r="AK75" s="235">
        <f>EEFFun!AW174</f>
        <v>336.41</v>
      </c>
      <c r="AL75" s="235">
        <f>EEFFun!AX174</f>
        <v>173.42</v>
      </c>
      <c r="AM75" s="235">
        <f>($W$75/($W$47+$W$48+$W$50)*CalcIntCart!E30)</f>
        <v>583.14098285903663</v>
      </c>
      <c r="AN75" s="235">
        <f>($W$75/($W$47+$W$48+$W$50)*CalcIntCart!F30)</f>
        <v>589.15864331609532</v>
      </c>
      <c r="AO75" s="235">
        <f>($W$75/($W$47+$W$48+$W$50)*CalcIntCart!G30)</f>
        <v>590.65932210295864</v>
      </c>
      <c r="AP75" s="235">
        <f>($W$75/($W$47+$W$48+$W$50)*CalcIntCart!H30)</f>
        <v>592.33492142070156</v>
      </c>
      <c r="AQ75" s="235">
        <f>($W$75/($W$47+$W$48+$W$50)*CalcIntCart!I30)</f>
        <v>592.16615316028049</v>
      </c>
      <c r="AR75" s="235">
        <f>($W$75/($W$47+$W$48+$W$50)*CalcIntCart!J30)</f>
        <v>592.50786304161568</v>
      </c>
      <c r="AS75" s="235">
        <f>($W$75/($W$47+$W$48+$W$50)*CalcIntCart!K30)</f>
        <v>591.02352787978884</v>
      </c>
      <c r="AT75" s="235">
        <f>($W$75/($W$47+$W$48+$W$50)*CalcIntCart!L30)</f>
        <v>588.74614248598743</v>
      </c>
      <c r="AU75" s="235">
        <f>($W$75/($W$47+$W$48+$W$50)*CalcIntCart!M30)</f>
        <v>586.22241168837559</v>
      </c>
      <c r="AV75" s="235">
        <f>($W$75/($W$47+$W$48+$W$50)*CalcIntCart!N30)</f>
        <v>581.8909964751922</v>
      </c>
      <c r="AW75" s="235">
        <f>($W$75/($W$47+$W$48+$W$50)*CalcIntCart!O30)</f>
        <v>578.74936453201553</v>
      </c>
      <c r="AX75" s="235">
        <f>($W$75/($W$47+$W$48+$W$50)*CalcIntCart!P30)</f>
        <v>573.83090316983998</v>
      </c>
      <c r="AY75" s="236">
        <f t="shared" si="123"/>
        <v>-692.52909683015992</v>
      </c>
      <c r="AZ75" s="236">
        <f t="shared" ref="AZ75:AZ104" si="126">AX75-P75</f>
        <v>-804.03909683015991</v>
      </c>
      <c r="BA75" s="232">
        <f t="shared" ref="BA75:BA104" si="127">P75/$P$5</f>
        <v>3.6104281355221976E-5</v>
      </c>
      <c r="BB75" s="232">
        <f t="shared" ref="BB75:BB104" si="128">AX75/$AX$5</f>
        <v>4.2905689941537077E-6</v>
      </c>
      <c r="BC75" s="228">
        <f t="shared" si="124"/>
        <v>-1425.2638575140127</v>
      </c>
    </row>
    <row r="76" spans="1:55" outlineLevel="2" collapsed="1" x14ac:dyDescent="0.25">
      <c r="A76" s="222">
        <v>4</v>
      </c>
      <c r="B76" s="233">
        <f>EEFFun!B179</f>
        <v>1491</v>
      </c>
      <c r="C76" s="233" t="str">
        <f>EEFFun!C179</f>
        <v>CARTERA REFINACIADA COVID 19 POR VENCER</v>
      </c>
      <c r="D76" s="235">
        <f>EEFFun!P179</f>
        <v>33973.81</v>
      </c>
      <c r="E76" s="235">
        <f>EEFFun!Q179</f>
        <v>33183.339999999997</v>
      </c>
      <c r="F76" s="235">
        <f>EEFFun!R179</f>
        <v>32381.94</v>
      </c>
      <c r="G76" s="235">
        <f>EEFFun!S179</f>
        <v>31526.11</v>
      </c>
      <c r="H76" s="235">
        <f>EEFFun!T179</f>
        <v>30982.560000000001</v>
      </c>
      <c r="I76" s="235">
        <f>EEFFun!U179</f>
        <v>29852.37</v>
      </c>
      <c r="J76" s="235">
        <f>EEFFun!V179</f>
        <v>29153.35</v>
      </c>
      <c r="K76" s="235">
        <f>EEFFun!W179</f>
        <v>27991.67</v>
      </c>
      <c r="L76" s="235">
        <f>EEFFun!X179</f>
        <v>27261.52</v>
      </c>
      <c r="M76" s="235">
        <f>EEFFun!Y179</f>
        <v>26597.58</v>
      </c>
      <c r="N76" s="235">
        <f>EEFFun!Z179</f>
        <v>25470.93</v>
      </c>
      <c r="O76" s="235">
        <f>EEFFun!AA179</f>
        <v>24871.48</v>
      </c>
      <c r="P76" s="235">
        <f>EEFFun!AB179</f>
        <v>17963.71</v>
      </c>
      <c r="Q76" s="235">
        <f>EEFFun!AC179</f>
        <v>17574.72</v>
      </c>
      <c r="R76" s="235">
        <f>EEFFun!AD179</f>
        <v>16729.14</v>
      </c>
      <c r="S76" s="235">
        <f>EEFFun!AE179</f>
        <v>15104.9</v>
      </c>
      <c r="T76" s="235">
        <f>EEFFun!AF179</f>
        <v>14620.71</v>
      </c>
      <c r="U76" s="235">
        <f>EEFFun!AG179</f>
        <v>14123.3</v>
      </c>
      <c r="V76" s="235">
        <f>EEFFun!AH179</f>
        <v>13625.54</v>
      </c>
      <c r="W76" s="235">
        <f>EEFFun!AI179</f>
        <v>13114.82</v>
      </c>
      <c r="X76" s="235">
        <f>EEFFun!AJ179</f>
        <v>12603.11</v>
      </c>
      <c r="Y76" s="235">
        <f>EEFFun!AK179</f>
        <v>12084.32</v>
      </c>
      <c r="Z76" s="235">
        <f>EEFFun!AL179</f>
        <v>11552.97</v>
      </c>
      <c r="AA76" s="235">
        <f>EEFFun!AM179</f>
        <v>13554.21</v>
      </c>
      <c r="AB76" s="235">
        <f>EEFFun!AN179</f>
        <v>131362.76999999999</v>
      </c>
      <c r="AC76" s="235">
        <f>EEFFun!AO179</f>
        <v>157444</v>
      </c>
      <c r="AD76" s="235">
        <f>EEFFun!AP179</f>
        <v>156589.47</v>
      </c>
      <c r="AE76" s="235">
        <f>EEFFun!AQ179</f>
        <v>123438.48</v>
      </c>
      <c r="AF76" s="235">
        <f>EEFFun!AR179</f>
        <v>126359.67999999999</v>
      </c>
      <c r="AG76" s="235">
        <f>EEFFun!AS179</f>
        <v>128834.32</v>
      </c>
      <c r="AH76" s="235">
        <f>EEFFun!AT179</f>
        <v>126176.2</v>
      </c>
      <c r="AI76" s="235">
        <f>EEFFun!AU179</f>
        <v>123914.41</v>
      </c>
      <c r="AJ76" s="235">
        <f>EEFFun!AV179</f>
        <v>115548.58</v>
      </c>
      <c r="AK76" s="235">
        <f>EEFFun!AW179</f>
        <v>111914.43</v>
      </c>
      <c r="AL76" s="235">
        <f>EEFFun!AX179</f>
        <v>98200.69</v>
      </c>
      <c r="AM76" s="236">
        <f t="shared" ref="AM76:AS76" si="129">AM77</f>
        <v>12418.696422393374</v>
      </c>
      <c r="AN76" s="236">
        <f t="shared" si="129"/>
        <v>12463.748214310448</v>
      </c>
      <c r="AO76" s="236">
        <f t="shared" si="129"/>
        <v>12472.808015120598</v>
      </c>
      <c r="AP76" s="236">
        <f t="shared" si="129"/>
        <v>12499.15212711988</v>
      </c>
      <c r="AQ76" s="236">
        <f t="shared" si="129"/>
        <v>12514.519252437594</v>
      </c>
      <c r="AR76" s="236">
        <f t="shared" si="129"/>
        <v>12527.738420802723</v>
      </c>
      <c r="AS76" s="236">
        <f t="shared" si="129"/>
        <v>12530.08844654353</v>
      </c>
      <c r="AT76" s="236">
        <f t="shared" ref="AT76:AX76" si="130">AT77</f>
        <v>12530.026926258826</v>
      </c>
      <c r="AU76" s="236">
        <f t="shared" si="130"/>
        <v>12523.294956298238</v>
      </c>
      <c r="AV76" s="236">
        <f t="shared" si="130"/>
        <v>12505.862433678752</v>
      </c>
      <c r="AW76" s="236">
        <f t="shared" si="130"/>
        <v>12491.551862343362</v>
      </c>
      <c r="AX76" s="236">
        <f t="shared" si="130"/>
        <v>12466.733144992157</v>
      </c>
      <c r="AY76" s="236">
        <f t="shared" si="123"/>
        <v>-1158.8068550078442</v>
      </c>
      <c r="AZ76" s="236">
        <f t="shared" si="126"/>
        <v>-5496.9768550078425</v>
      </c>
      <c r="BA76" s="232">
        <f t="shared" si="127"/>
        <v>4.7070249009239959E-4</v>
      </c>
      <c r="BB76" s="232">
        <f t="shared" si="128"/>
        <v>9.3214531310210975E-5</v>
      </c>
      <c r="BC76" s="228">
        <f t="shared" si="124"/>
        <v>-584.79307374117343</v>
      </c>
    </row>
    <row r="77" spans="1:55" outlineLevel="2" collapsed="1" x14ac:dyDescent="0.25">
      <c r="A77" s="222">
        <v>6</v>
      </c>
      <c r="B77" s="234">
        <f>EEFFun!B181</f>
        <v>149120</v>
      </c>
      <c r="C77" s="234" t="str">
        <f>EEFFun!C181</f>
        <v>CONSUMO POR VENCER</v>
      </c>
      <c r="D77" s="235">
        <f>EEFFun!P181</f>
        <v>33973.81</v>
      </c>
      <c r="E77" s="235">
        <f>EEFFun!Q181</f>
        <v>33183.339999999997</v>
      </c>
      <c r="F77" s="235">
        <f>EEFFun!R181</f>
        <v>32381.94</v>
      </c>
      <c r="G77" s="235">
        <f>EEFFun!S181</f>
        <v>31526.11</v>
      </c>
      <c r="H77" s="235">
        <f>EEFFun!T181</f>
        <v>30982.560000000001</v>
      </c>
      <c r="I77" s="235">
        <f>EEFFun!U181</f>
        <v>29852.37</v>
      </c>
      <c r="J77" s="235">
        <f>EEFFun!V181</f>
        <v>29153.35</v>
      </c>
      <c r="K77" s="235">
        <f>EEFFun!W181</f>
        <v>27991.67</v>
      </c>
      <c r="L77" s="235">
        <f>EEFFun!X181</f>
        <v>27261.52</v>
      </c>
      <c r="M77" s="235">
        <f>EEFFun!Y181</f>
        <v>26597.58</v>
      </c>
      <c r="N77" s="235">
        <f>EEFFun!Z181</f>
        <v>25470.93</v>
      </c>
      <c r="O77" s="235">
        <f>EEFFun!AA181</f>
        <v>24871.48</v>
      </c>
      <c r="P77" s="235">
        <f>EEFFun!AB181</f>
        <v>17963.71</v>
      </c>
      <c r="Q77" s="235">
        <f>EEFFun!AC181</f>
        <v>17574.72</v>
      </c>
      <c r="R77" s="235">
        <f>EEFFun!AD181</f>
        <v>16729.14</v>
      </c>
      <c r="S77" s="235">
        <f>EEFFun!AE181</f>
        <v>15104.9</v>
      </c>
      <c r="T77" s="235">
        <f>EEFFun!AF181</f>
        <v>14620.71</v>
      </c>
      <c r="U77" s="235">
        <f>EEFFun!AG181</f>
        <v>14123.3</v>
      </c>
      <c r="V77" s="235">
        <f>EEFFun!AH181</f>
        <v>13625.54</v>
      </c>
      <c r="W77" s="235">
        <f>EEFFun!AI181</f>
        <v>13114.82</v>
      </c>
      <c r="X77" s="235">
        <f>EEFFun!AJ181</f>
        <v>12603.11</v>
      </c>
      <c r="Y77" s="235">
        <f>EEFFun!AK181</f>
        <v>12084.32</v>
      </c>
      <c r="Z77" s="235">
        <f>EEFFun!AL181</f>
        <v>11552.97</v>
      </c>
      <c r="AA77" s="235">
        <f>EEFFun!AM181</f>
        <v>13554.21</v>
      </c>
      <c r="AB77" s="235">
        <f>EEFFun!AN181</f>
        <v>10061.92</v>
      </c>
      <c r="AC77" s="235">
        <f>EEFFun!AO181</f>
        <v>36197.050000000003</v>
      </c>
      <c r="AD77" s="235">
        <f>EEFFun!AP181</f>
        <v>35645.019999999997</v>
      </c>
      <c r="AE77" s="235">
        <f>EEFFun!AQ181</f>
        <v>15683.27</v>
      </c>
      <c r="AF77" s="235">
        <f>EEFFun!AR181</f>
        <v>14960.53</v>
      </c>
      <c r="AG77" s="235">
        <f>EEFFun!AS181</f>
        <v>19425.490000000002</v>
      </c>
      <c r="AH77" s="235">
        <f>EEFFun!AT181</f>
        <v>18687.830000000002</v>
      </c>
      <c r="AI77" s="235">
        <f>EEFFun!AU181</f>
        <v>12743.45</v>
      </c>
      <c r="AJ77" s="235">
        <f>EEFFun!AV181</f>
        <v>11985.61</v>
      </c>
      <c r="AK77" s="235">
        <f>EEFFun!AW181</f>
        <v>11219.23</v>
      </c>
      <c r="AL77" s="235">
        <f>EEFFun!AX181</f>
        <v>10487.23</v>
      </c>
      <c r="AM77" s="235">
        <f>($W$77/($W$45+$W$46+$W$49)*CalcIntCart!E24)</f>
        <v>12418.696422393374</v>
      </c>
      <c r="AN77" s="235">
        <f>($W$77/($W$45+$W$46+$W$49)*CalcIntCart!F24)</f>
        <v>12463.748214310448</v>
      </c>
      <c r="AO77" s="235">
        <f>($W$77/($W$45+$W$46+$W$49)*CalcIntCart!G24)</f>
        <v>12472.808015120598</v>
      </c>
      <c r="AP77" s="235">
        <f>($W$77/($W$45+$W$46+$W$49)*CalcIntCart!H24)</f>
        <v>12499.15212711988</v>
      </c>
      <c r="AQ77" s="235">
        <f>($W$77/($W$45+$W$46+$W$49)*CalcIntCart!I24)</f>
        <v>12514.519252437594</v>
      </c>
      <c r="AR77" s="235">
        <f>($W$77/($W$45+$W$46+$W$49)*CalcIntCart!J24)</f>
        <v>12527.738420802723</v>
      </c>
      <c r="AS77" s="235">
        <f>($W$77/($W$45+$W$46+$W$49)*CalcIntCart!K24)</f>
        <v>12530.08844654353</v>
      </c>
      <c r="AT77" s="235">
        <f>($W$77/($W$45+$W$46+$W$49)*CalcIntCart!L24)</f>
        <v>12530.026926258826</v>
      </c>
      <c r="AU77" s="235">
        <f>($W$77/($W$45+$W$46+$W$49)*CalcIntCart!M24)</f>
        <v>12523.294956298238</v>
      </c>
      <c r="AV77" s="235">
        <f>($W$77/($W$45+$W$46+$W$49)*CalcIntCart!N24)</f>
        <v>12505.862433678752</v>
      </c>
      <c r="AW77" s="235">
        <f>($W$77/($W$45+$W$46+$W$49)*CalcIntCart!O24)</f>
        <v>12491.551862343362</v>
      </c>
      <c r="AX77" s="235">
        <f>($W$77/($W$45+$W$46+$W$49)*CalcIntCart!P24)</f>
        <v>12466.733144992157</v>
      </c>
      <c r="AY77" s="236">
        <f t="shared" si="123"/>
        <v>-1158.8068550078442</v>
      </c>
      <c r="AZ77" s="236">
        <f t="shared" si="126"/>
        <v>-5496.9768550078425</v>
      </c>
      <c r="BA77" s="232">
        <f t="shared" si="127"/>
        <v>4.7070249009239959E-4</v>
      </c>
      <c r="BB77" s="232">
        <f t="shared" si="128"/>
        <v>9.3214531310210975E-5</v>
      </c>
      <c r="BC77" s="228">
        <f t="shared" si="124"/>
        <v>-584.79307374117343</v>
      </c>
    </row>
    <row r="78" spans="1:55" outlineLevel="2" collapsed="1" x14ac:dyDescent="0.25">
      <c r="A78" s="222">
        <v>4</v>
      </c>
      <c r="B78" s="233">
        <f>EEFFun!B182</f>
        <v>1492</v>
      </c>
      <c r="C78" s="233" t="str">
        <f>EEFFun!C182</f>
        <v>CARTERA REFINACIADA COVID 19 NO DEVENGA</v>
      </c>
      <c r="D78" s="235">
        <f>EEFFun!P182</f>
        <v>5403.96</v>
      </c>
      <c r="E78" s="235">
        <f>EEFFun!Q182</f>
        <v>5190.71</v>
      </c>
      <c r="F78" s="235">
        <f>EEFFun!R182</f>
        <v>5190.71</v>
      </c>
      <c r="G78" s="235">
        <f>EEFFun!S182</f>
        <v>4967.16</v>
      </c>
      <c r="H78" s="235">
        <f>EEFFun!T182</f>
        <v>4967.16</v>
      </c>
      <c r="I78" s="235">
        <f>EEFFun!U182</f>
        <v>4742.03</v>
      </c>
      <c r="J78" s="235">
        <f>EEFFun!V182</f>
        <v>4742.03</v>
      </c>
      <c r="K78" s="235">
        <f>EEFFun!W182</f>
        <v>4510.7299999999996</v>
      </c>
      <c r="L78" s="235">
        <f>EEFFun!X182</f>
        <v>4393.7</v>
      </c>
      <c r="M78" s="235">
        <f>EEFFun!Y182</f>
        <v>4393.7</v>
      </c>
      <c r="N78" s="235">
        <f>EEFFun!Z182</f>
        <v>4152.8500000000004</v>
      </c>
      <c r="O78" s="235">
        <f>EEFFun!AA182</f>
        <v>4152.8500000000004</v>
      </c>
      <c r="P78" s="235">
        <f>EEFFun!AB182</f>
        <v>9567.83</v>
      </c>
      <c r="Q78" s="235">
        <f>EEFFun!AC182</f>
        <v>9124.5400000000009</v>
      </c>
      <c r="R78" s="235">
        <f>EEFFun!AD182</f>
        <v>9124.5400000000009</v>
      </c>
      <c r="S78" s="235">
        <f>EEFFun!AE182</f>
        <v>9188.2999999999993</v>
      </c>
      <c r="T78" s="235">
        <f>EEFFun!AF182</f>
        <v>9188.2999999999993</v>
      </c>
      <c r="U78" s="235">
        <f>EEFFun!AG182</f>
        <v>7936.77</v>
      </c>
      <c r="V78" s="235">
        <f>EEFFun!AH182</f>
        <v>7936.77</v>
      </c>
      <c r="W78" s="235">
        <f>EEFFun!AI182</f>
        <v>6650.95</v>
      </c>
      <c r="X78" s="235">
        <f>EEFFun!AJ182</f>
        <v>5996.29</v>
      </c>
      <c r="Y78" s="235">
        <f>EEFFun!AK182</f>
        <v>5996.29</v>
      </c>
      <c r="Z78" s="235">
        <f>EEFFun!AL182</f>
        <v>4830.8599999999997</v>
      </c>
      <c r="AA78" s="235">
        <f>EEFFun!AM182</f>
        <v>0</v>
      </c>
      <c r="AB78" s="235">
        <f>EEFFun!AN182</f>
        <v>7726.95</v>
      </c>
      <c r="AC78" s="235">
        <f>EEFFun!AO182</f>
        <v>1157.73</v>
      </c>
      <c r="AD78" s="235">
        <f>EEFFun!AP182</f>
        <v>0</v>
      </c>
      <c r="AE78" s="235">
        <f>EEFFun!AQ182</f>
        <v>16670.740000000002</v>
      </c>
      <c r="AF78" s="235">
        <f>EEFFun!AR182</f>
        <v>10917.38</v>
      </c>
      <c r="AG78" s="235">
        <f>EEFFun!AS182</f>
        <v>5703.51</v>
      </c>
      <c r="AH78" s="235">
        <f>EEFFun!AT182</f>
        <v>5471.66</v>
      </c>
      <c r="AI78" s="235">
        <f>EEFFun!AU182</f>
        <v>4982.58</v>
      </c>
      <c r="AJ78" s="235">
        <f>EEFFun!AV182</f>
        <v>10229.94</v>
      </c>
      <c r="AK78" s="235">
        <f>EEFFun!AW182</f>
        <v>6285.92</v>
      </c>
      <c r="AL78" s="235">
        <f>EEFFun!AX182</f>
        <v>16622.560000000001</v>
      </c>
      <c r="AM78" s="236">
        <f t="shared" ref="AM78:AS78" si="131">AM79</f>
        <v>6297.9231869379228</v>
      </c>
      <c r="AN78" s="236">
        <f t="shared" si="131"/>
        <v>6320.7704098087561</v>
      </c>
      <c r="AO78" s="236">
        <f t="shared" si="131"/>
        <v>6325.3649282389188</v>
      </c>
      <c r="AP78" s="236">
        <f t="shared" si="131"/>
        <v>6338.7248806974067</v>
      </c>
      <c r="AQ78" s="236">
        <f t="shared" si="131"/>
        <v>6346.5180476742971</v>
      </c>
      <c r="AR78" s="236">
        <f t="shared" si="131"/>
        <v>6353.2219161100093</v>
      </c>
      <c r="AS78" s="236">
        <f t="shared" si="131"/>
        <v>6354.4136902785322</v>
      </c>
      <c r="AT78" s="236">
        <f t="shared" ref="AT78:AX78" si="132">AT79</f>
        <v>6354.3824913495682</v>
      </c>
      <c r="AU78" s="236">
        <f t="shared" si="132"/>
        <v>6350.9684913397032</v>
      </c>
      <c r="AV78" s="236">
        <f t="shared" si="132"/>
        <v>6342.1278944946016</v>
      </c>
      <c r="AW78" s="236">
        <f t="shared" si="132"/>
        <v>6334.8705402630449</v>
      </c>
      <c r="AX78" s="236">
        <f t="shared" si="132"/>
        <v>6322.2841648368476</v>
      </c>
      <c r="AY78" s="236">
        <f t="shared" si="123"/>
        <v>-1614.4858351631528</v>
      </c>
      <c r="AZ78" s="236">
        <f t="shared" si="126"/>
        <v>-3245.5458351631523</v>
      </c>
      <c r="BA78" s="232">
        <f t="shared" si="127"/>
        <v>2.5070552830015421E-4</v>
      </c>
      <c r="BB78" s="232">
        <f t="shared" si="128"/>
        <v>4.7272107967753096E-5</v>
      </c>
      <c r="BC78" s="228">
        <f t="shared" si="124"/>
        <v>-296.56750865043159</v>
      </c>
    </row>
    <row r="79" spans="1:55" outlineLevel="2" collapsed="1" x14ac:dyDescent="0.25">
      <c r="A79" s="222">
        <v>6</v>
      </c>
      <c r="B79" s="234">
        <f>EEFFun!B183</f>
        <v>149220</v>
      </c>
      <c r="C79" s="234" t="str">
        <f>EEFFun!C183</f>
        <v>CONSUMO QUE NO DEVENGA INTERESES</v>
      </c>
      <c r="D79" s="235">
        <f>EEFFun!P183</f>
        <v>5403.96</v>
      </c>
      <c r="E79" s="235">
        <f>EEFFun!Q183</f>
        <v>5190.71</v>
      </c>
      <c r="F79" s="235">
        <f>EEFFun!R183</f>
        <v>5190.71</v>
      </c>
      <c r="G79" s="235">
        <f>EEFFun!S183</f>
        <v>4967.16</v>
      </c>
      <c r="H79" s="235">
        <f>EEFFun!T183</f>
        <v>4967.16</v>
      </c>
      <c r="I79" s="235">
        <f>EEFFun!U183</f>
        <v>4742.03</v>
      </c>
      <c r="J79" s="235">
        <f>EEFFun!V183</f>
        <v>4742.03</v>
      </c>
      <c r="K79" s="235">
        <f>EEFFun!W183</f>
        <v>4510.7299999999996</v>
      </c>
      <c r="L79" s="235">
        <f>EEFFun!X183</f>
        <v>4393.7</v>
      </c>
      <c r="M79" s="235">
        <f>EEFFun!Y183</f>
        <v>4393.7</v>
      </c>
      <c r="N79" s="235">
        <f>EEFFun!Z183</f>
        <v>4152.8500000000004</v>
      </c>
      <c r="O79" s="235">
        <f>EEFFun!AA183</f>
        <v>4152.8500000000004</v>
      </c>
      <c r="P79" s="235">
        <f>EEFFun!AB183</f>
        <v>9567.83</v>
      </c>
      <c r="Q79" s="235">
        <f>EEFFun!AC183</f>
        <v>9124.5400000000009</v>
      </c>
      <c r="R79" s="235">
        <f>EEFFun!AD183</f>
        <v>9124.5400000000009</v>
      </c>
      <c r="S79" s="235">
        <f>EEFFun!AE183</f>
        <v>9188.2999999999993</v>
      </c>
      <c r="T79" s="235">
        <f>EEFFun!AF183</f>
        <v>9188.2999999999993</v>
      </c>
      <c r="U79" s="235">
        <f>EEFFun!AG183</f>
        <v>7936.77</v>
      </c>
      <c r="V79" s="235">
        <f>EEFFun!AH183</f>
        <v>7936.77</v>
      </c>
      <c r="W79" s="235">
        <f>EEFFun!AI183</f>
        <v>6650.95</v>
      </c>
      <c r="X79" s="235">
        <f>EEFFun!AJ183</f>
        <v>5996.29</v>
      </c>
      <c r="Y79" s="235">
        <f>EEFFun!AK183</f>
        <v>5996.29</v>
      </c>
      <c r="Z79" s="235">
        <f>EEFFun!AL183</f>
        <v>4830.8599999999997</v>
      </c>
      <c r="AA79" s="235">
        <f>EEFFun!AM183</f>
        <v>0</v>
      </c>
      <c r="AB79" s="235">
        <f>EEFFun!AN183</f>
        <v>7726.95</v>
      </c>
      <c r="AC79" s="235">
        <f>EEFFun!AO183</f>
        <v>1157.73</v>
      </c>
      <c r="AD79" s="235">
        <f>EEFFun!AP183</f>
        <v>0</v>
      </c>
      <c r="AE79" s="235">
        <f>EEFFun!AQ183</f>
        <v>5194.78</v>
      </c>
      <c r="AF79" s="235">
        <f>EEFFun!AR183</f>
        <v>4988.71</v>
      </c>
      <c r="AG79" s="235">
        <f>EEFFun!AS183</f>
        <v>0</v>
      </c>
      <c r="AH79" s="235">
        <f>EEFFun!AT183</f>
        <v>0</v>
      </c>
      <c r="AI79" s="235">
        <f>EEFFun!AU183</f>
        <v>4982.58</v>
      </c>
      <c r="AJ79" s="235">
        <f>EEFFun!AV183</f>
        <v>4765.6400000000003</v>
      </c>
      <c r="AK79" s="235">
        <f>EEFFun!AW183</f>
        <v>0</v>
      </c>
      <c r="AL79" s="235">
        <f>EEFFun!AX183</f>
        <v>0</v>
      </c>
      <c r="AM79" s="235">
        <f>($W$79/($W$45+$W$46+$W$49)*CalcIntCart!E24)</f>
        <v>6297.9231869379228</v>
      </c>
      <c r="AN79" s="235">
        <f>($W$79/($W$45+$W$46+$W$49)*CalcIntCart!F24)</f>
        <v>6320.7704098087561</v>
      </c>
      <c r="AO79" s="235">
        <f>($W$79/($W$45+$W$46+$W$49)*CalcIntCart!G24)</f>
        <v>6325.3649282389188</v>
      </c>
      <c r="AP79" s="235">
        <f>($W$79/($W$45+$W$46+$W$49)*CalcIntCart!H24)</f>
        <v>6338.7248806974067</v>
      </c>
      <c r="AQ79" s="235">
        <f>($W$79/($W$45+$W$46+$W$49)*CalcIntCart!I24)</f>
        <v>6346.5180476742971</v>
      </c>
      <c r="AR79" s="235">
        <f>($W$79/($W$45+$W$46+$W$49)*CalcIntCart!J24)</f>
        <v>6353.2219161100093</v>
      </c>
      <c r="AS79" s="235">
        <f>($W$79/($W$45+$W$46+$W$49)*CalcIntCart!K24)</f>
        <v>6354.4136902785322</v>
      </c>
      <c r="AT79" s="235">
        <f>($W$79/($W$45+$W$46+$W$49)*CalcIntCart!L24)</f>
        <v>6354.3824913495682</v>
      </c>
      <c r="AU79" s="235">
        <f>($W$79/($W$45+$W$46+$W$49)*CalcIntCart!M24)</f>
        <v>6350.9684913397032</v>
      </c>
      <c r="AV79" s="235">
        <f>($W$79/($W$45+$W$46+$W$49)*CalcIntCart!N24)</f>
        <v>6342.1278944946016</v>
      </c>
      <c r="AW79" s="235">
        <f>($W$79/($W$45+$W$46+$W$49)*CalcIntCart!O24)</f>
        <v>6334.8705402630449</v>
      </c>
      <c r="AX79" s="235">
        <f>($W$79/($W$45+$W$46+$W$49)*CalcIntCart!P24)</f>
        <v>6322.2841648368476</v>
      </c>
      <c r="AY79" s="236">
        <f t="shared" si="123"/>
        <v>-1614.4858351631528</v>
      </c>
      <c r="AZ79" s="236">
        <f t="shared" si="126"/>
        <v>-3245.5458351631523</v>
      </c>
      <c r="BA79" s="232">
        <f t="shared" si="127"/>
        <v>2.5070552830015421E-4</v>
      </c>
      <c r="BB79" s="232">
        <f t="shared" si="128"/>
        <v>4.7272107967753096E-5</v>
      </c>
      <c r="BC79" s="228">
        <f t="shared" si="124"/>
        <v>-296.56750865043159</v>
      </c>
    </row>
    <row r="80" spans="1:55" outlineLevel="2" collapsed="1" x14ac:dyDescent="0.25">
      <c r="A80" s="222">
        <v>4</v>
      </c>
      <c r="B80" s="233">
        <f>EEFFun!B184</f>
        <v>1493</v>
      </c>
      <c r="C80" s="233" t="str">
        <f>EEFFun!C184</f>
        <v>CARTERA REFINACIADA COVID 19 VENCIDA</v>
      </c>
      <c r="D80" s="235">
        <f>EEFFun!P184</f>
        <v>1338.91</v>
      </c>
      <c r="E80" s="235">
        <f>EEFFun!Q184</f>
        <v>1552.16</v>
      </c>
      <c r="F80" s="235">
        <f>EEFFun!R184</f>
        <v>1552.16</v>
      </c>
      <c r="G80" s="235">
        <f>EEFFun!S184</f>
        <v>1775.71</v>
      </c>
      <c r="H80" s="235">
        <f>EEFFun!T184</f>
        <v>1775.71</v>
      </c>
      <c r="I80" s="235">
        <f>EEFFun!U184</f>
        <v>2000.84</v>
      </c>
      <c r="J80" s="235">
        <f>EEFFun!V184</f>
        <v>2000.84</v>
      </c>
      <c r="K80" s="235">
        <f>EEFFun!W184</f>
        <v>2232.14</v>
      </c>
      <c r="L80" s="235">
        <f>EEFFun!X184</f>
        <v>2349.17</v>
      </c>
      <c r="M80" s="235">
        <f>EEFFun!Y184</f>
        <v>2349.17</v>
      </c>
      <c r="N80" s="235">
        <f>EEFFun!Z184</f>
        <v>1590.02</v>
      </c>
      <c r="O80" s="235">
        <f>EEFFun!AA184</f>
        <v>1590.02</v>
      </c>
      <c r="P80" s="235">
        <f>EEFFun!AB184</f>
        <v>2312.89</v>
      </c>
      <c r="Q80" s="235">
        <f>EEFFun!AC184</f>
        <v>2010.75</v>
      </c>
      <c r="R80" s="235">
        <f>EEFFun!AD184</f>
        <v>2010.75</v>
      </c>
      <c r="S80" s="235">
        <f>EEFFun!AE184</f>
        <v>3079.92</v>
      </c>
      <c r="T80" s="235">
        <f>EEFFun!AF184</f>
        <v>2239.7399999999998</v>
      </c>
      <c r="U80" s="235">
        <f>EEFFun!AG184</f>
        <v>3491.27</v>
      </c>
      <c r="V80" s="235">
        <f>EEFFun!AH184</f>
        <v>3160.04</v>
      </c>
      <c r="W80" s="235">
        <f>EEFFun!AI184</f>
        <v>4111.8</v>
      </c>
      <c r="X80" s="235">
        <f>EEFFun!AJ184</f>
        <v>4386.18</v>
      </c>
      <c r="Y80" s="235">
        <f>EEFFun!AK184</f>
        <v>3743.83</v>
      </c>
      <c r="Z80" s="235">
        <f>EEFFun!AL184</f>
        <v>4204.24</v>
      </c>
      <c r="AA80" s="235">
        <f>EEFFun!AM184</f>
        <v>0</v>
      </c>
      <c r="AB80" s="235">
        <f>EEFFun!AN184</f>
        <v>743.13</v>
      </c>
      <c r="AC80" s="235">
        <f>EEFFun!AO184</f>
        <v>1110.56</v>
      </c>
      <c r="AD80" s="235">
        <f>EEFFun!AP184</f>
        <v>0</v>
      </c>
      <c r="AE80" s="235">
        <f>EEFFun!AQ184</f>
        <v>314.60000000000002</v>
      </c>
      <c r="AF80" s="235">
        <f>EEFFun!AR184</f>
        <v>636.53</v>
      </c>
      <c r="AG80" s="235">
        <f>EEFFun!AS184</f>
        <v>225.16</v>
      </c>
      <c r="AH80" s="235">
        <f>EEFFun!AT184</f>
        <v>457.01</v>
      </c>
      <c r="AI80" s="235">
        <f>EEFFun!AU184</f>
        <v>212.2</v>
      </c>
      <c r="AJ80" s="235">
        <f>EEFFun!AV184</f>
        <v>602.11</v>
      </c>
      <c r="AK80" s="235">
        <f>EEFFun!AW184</f>
        <v>999.29</v>
      </c>
      <c r="AL80" s="235">
        <f>EEFFun!AX184</f>
        <v>1139.32</v>
      </c>
      <c r="AM80" s="236">
        <f t="shared" ref="AM80:AS80" si="133">AM81</f>
        <v>3893.5491260724184</v>
      </c>
      <c r="AN80" s="236">
        <f t="shared" si="133"/>
        <v>3907.6739068932475</v>
      </c>
      <c r="AO80" s="236">
        <f t="shared" si="133"/>
        <v>3910.5143644040004</v>
      </c>
      <c r="AP80" s="236">
        <f t="shared" si="133"/>
        <v>3918.7738540286123</v>
      </c>
      <c r="AQ80" s="236">
        <f t="shared" si="133"/>
        <v>3923.5918039418689</v>
      </c>
      <c r="AR80" s="236">
        <f t="shared" si="133"/>
        <v>3927.7363195725629</v>
      </c>
      <c r="AS80" s="236">
        <f t="shared" si="133"/>
        <v>3928.473107103086</v>
      </c>
      <c r="AT80" s="236">
        <f t="shared" ref="AT80:AX80" si="134">AT81</f>
        <v>3928.4538190681264</v>
      </c>
      <c r="AU80" s="236">
        <f t="shared" si="134"/>
        <v>3926.3431904751337</v>
      </c>
      <c r="AV80" s="236">
        <f t="shared" si="134"/>
        <v>3920.8776906431267</v>
      </c>
      <c r="AW80" s="236">
        <f t="shared" si="134"/>
        <v>3916.390994888488</v>
      </c>
      <c r="AX80" s="236">
        <f t="shared" si="134"/>
        <v>3908.6097518363767</v>
      </c>
      <c r="AY80" s="236">
        <f t="shared" si="123"/>
        <v>748.56975183637678</v>
      </c>
      <c r="AZ80" s="236">
        <f t="shared" si="126"/>
        <v>1595.7197518363769</v>
      </c>
      <c r="BA80" s="232">
        <f t="shared" si="127"/>
        <v>6.0604579026816292E-5</v>
      </c>
      <c r="BB80" s="232">
        <f t="shared" si="128"/>
        <v>2.9224915770199324E-5</v>
      </c>
      <c r="BC80" s="228">
        <f t="shared" si="124"/>
        <v>-183.34618093187373</v>
      </c>
    </row>
    <row r="81" spans="1:55" outlineLevel="2" collapsed="1" x14ac:dyDescent="0.25">
      <c r="A81" s="222">
        <v>6</v>
      </c>
      <c r="B81" s="233">
        <f>EEFFun!B185</f>
        <v>149320</v>
      </c>
      <c r="C81" s="233" t="str">
        <f>EEFFun!C185</f>
        <v>CONSUMO VENCIDA</v>
      </c>
      <c r="D81" s="235">
        <f>EEFFun!P185</f>
        <v>1338.91</v>
      </c>
      <c r="E81" s="235">
        <f>EEFFun!Q185</f>
        <v>1552.16</v>
      </c>
      <c r="F81" s="235">
        <f>EEFFun!R185</f>
        <v>1552.16</v>
      </c>
      <c r="G81" s="235">
        <f>EEFFun!S185</f>
        <v>1775.71</v>
      </c>
      <c r="H81" s="235">
        <f>EEFFun!T185</f>
        <v>1775.71</v>
      </c>
      <c r="I81" s="235">
        <f>EEFFun!U185</f>
        <v>2000.84</v>
      </c>
      <c r="J81" s="235">
        <f>EEFFun!V185</f>
        <v>2000.84</v>
      </c>
      <c r="K81" s="235">
        <f>EEFFun!W185</f>
        <v>2232.14</v>
      </c>
      <c r="L81" s="235">
        <f>EEFFun!X185</f>
        <v>2349.17</v>
      </c>
      <c r="M81" s="235">
        <f>EEFFun!Y185</f>
        <v>2349.17</v>
      </c>
      <c r="N81" s="235">
        <f>EEFFun!Z185</f>
        <v>1590.02</v>
      </c>
      <c r="O81" s="235">
        <f>EEFFun!AA185</f>
        <v>1590.02</v>
      </c>
      <c r="P81" s="235">
        <f>EEFFun!AB185</f>
        <v>2312.89</v>
      </c>
      <c r="Q81" s="235">
        <f>EEFFun!AC185</f>
        <v>2010.75</v>
      </c>
      <c r="R81" s="235">
        <f>EEFFun!AD185</f>
        <v>2010.75</v>
      </c>
      <c r="S81" s="235">
        <f>EEFFun!AE185</f>
        <v>3079.92</v>
      </c>
      <c r="T81" s="235">
        <f>EEFFun!AF185</f>
        <v>2239.7399999999998</v>
      </c>
      <c r="U81" s="235">
        <f>EEFFun!AG185</f>
        <v>3491.27</v>
      </c>
      <c r="V81" s="235">
        <f>EEFFun!AH185</f>
        <v>3160.04</v>
      </c>
      <c r="W81" s="235">
        <f>EEFFun!AI185</f>
        <v>4111.8</v>
      </c>
      <c r="X81" s="235">
        <f>EEFFun!AJ185</f>
        <v>4386.18</v>
      </c>
      <c r="Y81" s="235">
        <f>EEFFun!AK185</f>
        <v>3743.83</v>
      </c>
      <c r="Z81" s="235">
        <f>EEFFun!AL185</f>
        <v>4204.24</v>
      </c>
      <c r="AA81" s="235">
        <f>EEFFun!AM185</f>
        <v>0</v>
      </c>
      <c r="AB81" s="235">
        <f>EEFFun!AN185</f>
        <v>743.13</v>
      </c>
      <c r="AC81" s="235">
        <f>EEFFun!AO185</f>
        <v>1110.56</v>
      </c>
      <c r="AD81" s="235">
        <f>EEFFun!AP185</f>
        <v>0</v>
      </c>
      <c r="AE81" s="235">
        <f>EEFFun!AQ185</f>
        <v>314.60000000000002</v>
      </c>
      <c r="AF81" s="235">
        <f>EEFFun!AR185</f>
        <v>411.8</v>
      </c>
      <c r="AG81" s="235">
        <f>EEFFun!AS185</f>
        <v>0</v>
      </c>
      <c r="AH81" s="235">
        <f>EEFFun!AT185</f>
        <v>0</v>
      </c>
      <c r="AI81" s="235">
        <f>EEFFun!AU185</f>
        <v>212.2</v>
      </c>
      <c r="AJ81" s="235">
        <f>EEFFun!AV185</f>
        <v>429.14</v>
      </c>
      <c r="AK81" s="235">
        <f>EEFFun!AW185</f>
        <v>0</v>
      </c>
      <c r="AL81" s="235">
        <f>EEFFun!AX185</f>
        <v>0</v>
      </c>
      <c r="AM81" s="235">
        <f>($W$81/($W$45+$W$46+$W$49)*CalcIntCart!E24)</f>
        <v>3893.5491260724184</v>
      </c>
      <c r="AN81" s="235">
        <f>($W$81/($W$45+$W$46+$W$49)*CalcIntCart!F24)</f>
        <v>3907.6739068932475</v>
      </c>
      <c r="AO81" s="235">
        <f>($W$81/($W$45+$W$46+$W$49)*CalcIntCart!G24)</f>
        <v>3910.5143644040004</v>
      </c>
      <c r="AP81" s="235">
        <f>($W$81/($W$45+$W$46+$W$49)*CalcIntCart!H24)</f>
        <v>3918.7738540286123</v>
      </c>
      <c r="AQ81" s="235">
        <f>($W$81/($W$45+$W$46+$W$49)*CalcIntCart!I24)</f>
        <v>3923.5918039418689</v>
      </c>
      <c r="AR81" s="235">
        <f>($W$81/($W$45+$W$46+$W$49)*CalcIntCart!J24)</f>
        <v>3927.7363195725629</v>
      </c>
      <c r="AS81" s="235">
        <f>($W$81/($W$45+$W$46+$W$49)*CalcIntCart!K24)</f>
        <v>3928.473107103086</v>
      </c>
      <c r="AT81" s="235">
        <f>($W$81/($W$45+$W$46+$W$49)*CalcIntCart!L24)</f>
        <v>3928.4538190681264</v>
      </c>
      <c r="AU81" s="235">
        <f>($W$81/($W$45+$W$46+$W$49)*CalcIntCart!M24)</f>
        <v>3926.3431904751337</v>
      </c>
      <c r="AV81" s="235">
        <f>($W$81/($W$45+$W$46+$W$49)*CalcIntCart!N24)</f>
        <v>3920.8776906431267</v>
      </c>
      <c r="AW81" s="235">
        <f>($W$81/($W$45+$W$46+$W$49)*CalcIntCart!O24)</f>
        <v>3916.390994888488</v>
      </c>
      <c r="AX81" s="235">
        <f>($W$81/($W$45+$W$46+$W$49)*CalcIntCart!P24)</f>
        <v>3908.6097518363767</v>
      </c>
      <c r="AY81" s="236">
        <f t="shared" si="123"/>
        <v>748.56975183637678</v>
      </c>
      <c r="AZ81" s="236">
        <f t="shared" si="126"/>
        <v>1595.7197518363769</v>
      </c>
      <c r="BA81" s="232">
        <f t="shared" si="127"/>
        <v>6.0604579026816292E-5</v>
      </c>
      <c r="BB81" s="232">
        <f t="shared" si="128"/>
        <v>2.9224915770199324E-5</v>
      </c>
      <c r="BC81" s="228">
        <f t="shared" si="124"/>
        <v>-183.34618093187373</v>
      </c>
    </row>
    <row r="82" spans="1:55" outlineLevel="2" collapsed="1" x14ac:dyDescent="0.25">
      <c r="A82" s="222">
        <v>4</v>
      </c>
      <c r="B82" s="233">
        <f>EEFFun!B186</f>
        <v>1494</v>
      </c>
      <c r="C82" s="233" t="str">
        <f>EEFFun!C186</f>
        <v>CARTERA REESTRUCTURADA COVID 19 POR VENCER</v>
      </c>
      <c r="D82" s="235">
        <f>EEFFun!P186</f>
        <v>233119.53</v>
      </c>
      <c r="E82" s="235">
        <f>EEFFun!Q186</f>
        <v>172949.38</v>
      </c>
      <c r="F82" s="235">
        <f>EEFFun!R186</f>
        <v>195458.09</v>
      </c>
      <c r="G82" s="235">
        <f>EEFFun!S186</f>
        <v>160860.48000000001</v>
      </c>
      <c r="H82" s="235">
        <f>EEFFun!T186</f>
        <v>192397.9</v>
      </c>
      <c r="I82" s="235">
        <f>EEFFun!U186</f>
        <v>158699.98000000001</v>
      </c>
      <c r="J82" s="235">
        <f>EEFFun!V186</f>
        <v>196475.88</v>
      </c>
      <c r="K82" s="235">
        <f>EEFFun!W186</f>
        <v>164265.63</v>
      </c>
      <c r="L82" s="235">
        <f>EEFFun!X186</f>
        <v>133808.23000000001</v>
      </c>
      <c r="M82" s="235">
        <f>EEFFun!Y186</f>
        <v>157133.51999999999</v>
      </c>
      <c r="N82" s="235">
        <f>EEFFun!Z186</f>
        <v>148128.65</v>
      </c>
      <c r="O82" s="235">
        <f>EEFFun!AA186</f>
        <v>142205.78</v>
      </c>
      <c r="P82" s="235">
        <f>EEFFun!AB186</f>
        <v>132983.29999999999</v>
      </c>
      <c r="Q82" s="235">
        <f>EEFFun!AC186</f>
        <v>143495.64000000001</v>
      </c>
      <c r="R82" s="235">
        <f>EEFFun!AD186</f>
        <v>129975.59</v>
      </c>
      <c r="S82" s="235">
        <f>EEFFun!AE186</f>
        <v>105356.46</v>
      </c>
      <c r="T82" s="235">
        <f>EEFFun!AF186</f>
        <v>135065.51999999999</v>
      </c>
      <c r="U82" s="235">
        <f>EEFFun!AG186</f>
        <v>93533.69</v>
      </c>
      <c r="V82" s="235">
        <f>EEFFun!AH186</f>
        <v>122935.7</v>
      </c>
      <c r="W82" s="235">
        <f>EEFFun!AI186</f>
        <v>88628.71</v>
      </c>
      <c r="X82" s="235">
        <f>EEFFun!AJ186</f>
        <v>79553.94</v>
      </c>
      <c r="Y82" s="235">
        <f>EEFFun!AK186</f>
        <v>94337.3</v>
      </c>
      <c r="Z82" s="235">
        <f>EEFFun!AL186</f>
        <v>51772.25</v>
      </c>
      <c r="AA82" s="235">
        <f>EEFFun!AM186</f>
        <v>70346.009999999995</v>
      </c>
      <c r="AB82" s="235">
        <f>EEFFun!AN186</f>
        <v>112417.59</v>
      </c>
      <c r="AC82" s="235">
        <f>EEFFun!AO186</f>
        <v>113909.41</v>
      </c>
      <c r="AD82" s="235">
        <f>EEFFun!AP186</f>
        <v>124342.26</v>
      </c>
      <c r="AE82" s="235">
        <f>EEFFun!AQ186</f>
        <v>103320.99</v>
      </c>
      <c r="AF82" s="235">
        <f>EEFFun!AR186</f>
        <v>109543.44</v>
      </c>
      <c r="AG82" s="235">
        <f>EEFFun!AS186</f>
        <v>97869</v>
      </c>
      <c r="AH82" s="235">
        <f>EEFFun!AT186</f>
        <v>97465.53</v>
      </c>
      <c r="AI82" s="235">
        <f>EEFFun!AU186</f>
        <v>95862.91</v>
      </c>
      <c r="AJ82" s="235">
        <f>EEFFun!AV186</f>
        <v>89135.76</v>
      </c>
      <c r="AK82" s="235">
        <f>EEFFun!AW186</f>
        <v>90731.36</v>
      </c>
      <c r="AL82" s="235">
        <f>EEFFun!AX186</f>
        <v>41922.379999999997</v>
      </c>
      <c r="AM82" s="236">
        <f t="shared" ref="AM82:AS82" si="135">AM83+AM84</f>
        <v>25661.755929180355</v>
      </c>
      <c r="AN82" s="236">
        <f t="shared" si="135"/>
        <v>25926.569650823803</v>
      </c>
      <c r="AO82" s="236">
        <f t="shared" si="135"/>
        <v>25992.608660066089</v>
      </c>
      <c r="AP82" s="236">
        <f t="shared" si="135"/>
        <v>26066.345238339502</v>
      </c>
      <c r="AQ82" s="236">
        <f t="shared" si="135"/>
        <v>26058.918406690176</v>
      </c>
      <c r="AR82" s="236">
        <f t="shared" si="135"/>
        <v>26073.955723275983</v>
      </c>
      <c r="AS82" s="236">
        <f t="shared" si="135"/>
        <v>26008.635933105954</v>
      </c>
      <c r="AT82" s="236">
        <f t="shared" ref="AT82" si="136">AT83+AT84</f>
        <v>25908.417101210649</v>
      </c>
      <c r="AU82" s="236">
        <f t="shared" ref="AU82:AX82" si="137">AU83+AU84</f>
        <v>25797.357570731849</v>
      </c>
      <c r="AV82" s="236">
        <f t="shared" si="137"/>
        <v>25606.748912970059</v>
      </c>
      <c r="AW82" s="236">
        <f t="shared" si="137"/>
        <v>25468.497967632877</v>
      </c>
      <c r="AX82" s="236">
        <f t="shared" si="137"/>
        <v>25252.055702840516</v>
      </c>
      <c r="AY82" s="236">
        <f t="shared" si="123"/>
        <v>-97683.644297159481</v>
      </c>
      <c r="AZ82" s="236">
        <f t="shared" si="126"/>
        <v>-107731.24429715947</v>
      </c>
      <c r="BA82" s="232">
        <f t="shared" si="127"/>
        <v>3.4845569456812987E-3</v>
      </c>
      <c r="BB82" s="232">
        <f t="shared" si="128"/>
        <v>1.8881117527611119E-4</v>
      </c>
      <c r="BC82" s="228">
        <f t="shared" si="124"/>
        <v>-62720.292898789354</v>
      </c>
    </row>
    <row r="83" spans="1:55" outlineLevel="2" collapsed="1" x14ac:dyDescent="0.25">
      <c r="A83" s="222">
        <v>6</v>
      </c>
      <c r="B83" s="233">
        <f>EEFFun!B187</f>
        <v>149420</v>
      </c>
      <c r="C83" s="233" t="str">
        <f>EEFFun!C187</f>
        <v>CONSUMO POR VENCER</v>
      </c>
      <c r="D83" s="235">
        <f>EEFFun!P187</f>
        <v>218842.89</v>
      </c>
      <c r="E83" s="235">
        <f>EEFFun!Q187</f>
        <v>159231.65</v>
      </c>
      <c r="F83" s="235">
        <f>EEFFun!R187</f>
        <v>182308.28</v>
      </c>
      <c r="G83" s="235">
        <f>EEFFun!S187</f>
        <v>148307.82999999999</v>
      </c>
      <c r="H83" s="235">
        <f>EEFFun!T187</f>
        <v>180431.97</v>
      </c>
      <c r="I83" s="235">
        <f>EEFFun!U187</f>
        <v>150159.73000000001</v>
      </c>
      <c r="J83" s="235">
        <f>EEFFun!V187</f>
        <v>188090.14</v>
      </c>
      <c r="K83" s="235">
        <f>EEFFun!W187</f>
        <v>156040.98000000001</v>
      </c>
      <c r="L83" s="235">
        <f>EEFFun!X187</f>
        <v>125742.98</v>
      </c>
      <c r="M83" s="235">
        <f>EEFFun!Y187</f>
        <v>149230.14000000001</v>
      </c>
      <c r="N83" s="235">
        <f>EEFFun!Z187</f>
        <v>140393.60000000001</v>
      </c>
      <c r="O83" s="235">
        <f>EEFFun!AA187</f>
        <v>134637.72</v>
      </c>
      <c r="P83" s="235">
        <f>EEFFun!AB187</f>
        <v>125588.6</v>
      </c>
      <c r="Q83" s="235">
        <f>EEFFun!AC187</f>
        <v>136273.20000000001</v>
      </c>
      <c r="R83" s="235">
        <f>EEFFun!AD187</f>
        <v>122928.08</v>
      </c>
      <c r="S83" s="235">
        <f>EEFFun!AE187</f>
        <v>98493.64</v>
      </c>
      <c r="T83" s="235">
        <f>EEFFun!AF187</f>
        <v>128383.21</v>
      </c>
      <c r="U83" s="235">
        <f>EEFFun!AG187</f>
        <v>87038.03</v>
      </c>
      <c r="V83" s="235">
        <f>EEFFun!AH187</f>
        <v>116626.24000000001</v>
      </c>
      <c r="W83" s="235">
        <f>EEFFun!AI187</f>
        <v>82511.490000000005</v>
      </c>
      <c r="X83" s="235">
        <f>EEFFun!AJ187</f>
        <v>73628.78</v>
      </c>
      <c r="Y83" s="235">
        <f>EEFFun!AK187</f>
        <v>88607.18</v>
      </c>
      <c r="Z83" s="235">
        <f>EEFFun!AL187</f>
        <v>46243.06</v>
      </c>
      <c r="AA83" s="235">
        <f>EEFFun!AM187</f>
        <v>65018</v>
      </c>
      <c r="AB83" s="235">
        <f>EEFFun!AN187</f>
        <v>101538.57</v>
      </c>
      <c r="AC83" s="235">
        <f>EEFFun!AO187</f>
        <v>103237.89</v>
      </c>
      <c r="AD83" s="235">
        <f>EEFFun!AP187</f>
        <v>113881.46</v>
      </c>
      <c r="AE83" s="235">
        <f>EEFFun!AQ187</f>
        <v>93182.59</v>
      </c>
      <c r="AF83" s="235">
        <f>EEFFun!AR187</f>
        <v>99834.71</v>
      </c>
      <c r="AG83" s="235">
        <f>EEFFun!AS187</f>
        <v>93827.53</v>
      </c>
      <c r="AH83" s="235">
        <f>EEFFun!AT187</f>
        <v>93648.3</v>
      </c>
      <c r="AI83" s="235">
        <f>EEFFun!AU187</f>
        <v>92275.3</v>
      </c>
      <c r="AJ83" s="235">
        <f>EEFFun!AV187</f>
        <v>85779.42</v>
      </c>
      <c r="AK83" s="235">
        <f>EEFFun!AW187</f>
        <v>87609.88</v>
      </c>
      <c r="AL83" s="235">
        <f>EEFFun!AX187</f>
        <v>39040.959999999999</v>
      </c>
      <c r="AM83" s="235">
        <f>($W$83/($W$47+$W$48+$W$50)*CalcIntCart!E30)</f>
        <v>23890.562298977449</v>
      </c>
      <c r="AN83" s="235">
        <f>($W$83/($W$47+$W$48+$W$50)*CalcIntCart!F30)</f>
        <v>24137.098379049541</v>
      </c>
      <c r="AO83" s="235">
        <f>($W$83/($W$47+$W$48+$W$50)*CalcIntCart!G30)</f>
        <v>24198.579326371291</v>
      </c>
      <c r="AP83" s="235">
        <f>($W$83/($W$47+$W$48+$W$50)*CalcIntCart!H30)</f>
        <v>24267.226550739568</v>
      </c>
      <c r="AQ83" s="235">
        <f>($W$83/($W$47+$W$48+$W$50)*CalcIntCart!I30)</f>
        <v>24260.312324577808</v>
      </c>
      <c r="AR83" s="235">
        <f>($W$83/($W$47+$W$48+$W$50)*CalcIntCart!J30)</f>
        <v>24274.311754300939</v>
      </c>
      <c r="AS83" s="235">
        <f>($W$83/($W$47+$W$48+$W$50)*CalcIntCart!K30)</f>
        <v>24213.50038501195</v>
      </c>
      <c r="AT83" s="235">
        <f>($W$83/($W$47+$W$48+$W$50)*CalcIntCart!L30)</f>
        <v>24120.19873201778</v>
      </c>
      <c r="AU83" s="235">
        <f>($W$83/($W$47+$W$48+$W$50)*CalcIntCart!M30)</f>
        <v>24016.804613582499</v>
      </c>
      <c r="AV83" s="235">
        <f>($W$83/($W$47+$W$48+$W$50)*CalcIntCart!N30)</f>
        <v>23839.351908259072</v>
      </c>
      <c r="AW83" s="235">
        <f>($W$83/($W$47+$W$48+$W$50)*CalcIntCart!O30)</f>
        <v>23710.643146801533</v>
      </c>
      <c r="AX83" s="235">
        <f>($W$83/($W$47+$W$48+$W$50)*CalcIntCart!P30)</f>
        <v>23509.139889369577</v>
      </c>
      <c r="AY83" s="236">
        <f t="shared" si="123"/>
        <v>-93117.100110630432</v>
      </c>
      <c r="AZ83" s="236">
        <f t="shared" si="126"/>
        <v>-102079.46011063043</v>
      </c>
      <c r="BA83" s="232">
        <f t="shared" si="127"/>
        <v>3.2907938698196718E-3</v>
      </c>
      <c r="BB83" s="232">
        <f t="shared" si="128"/>
        <v>1.7577928642629567E-4</v>
      </c>
      <c r="BC83" s="228">
        <f t="shared" si="124"/>
        <v>-58391.291267982226</v>
      </c>
    </row>
    <row r="84" spans="1:55" outlineLevel="2" collapsed="1" x14ac:dyDescent="0.25">
      <c r="A84" s="222">
        <v>6</v>
      </c>
      <c r="B84" s="234">
        <f>EEFFun!B188</f>
        <v>149440</v>
      </c>
      <c r="C84" s="234" t="str">
        <f>EEFFun!C188</f>
        <v>MICROCRÉDITO POR VENCER</v>
      </c>
      <c r="D84" s="235">
        <f>EEFFun!P188</f>
        <v>14276.64</v>
      </c>
      <c r="E84" s="235">
        <f>EEFFun!Q188</f>
        <v>13717.73</v>
      </c>
      <c r="F84" s="235">
        <f>EEFFun!R188</f>
        <v>13149.81</v>
      </c>
      <c r="G84" s="235">
        <f>EEFFun!S188</f>
        <v>12552.65</v>
      </c>
      <c r="H84" s="235">
        <f>EEFFun!T188</f>
        <v>11965.93</v>
      </c>
      <c r="I84" s="235">
        <f>EEFFun!U188</f>
        <v>8540.25</v>
      </c>
      <c r="J84" s="235">
        <f>EEFFun!V188</f>
        <v>8385.74</v>
      </c>
      <c r="K84" s="235">
        <f>EEFFun!W188</f>
        <v>8224.65</v>
      </c>
      <c r="L84" s="235">
        <f>EEFFun!X188</f>
        <v>8065.25</v>
      </c>
      <c r="M84" s="235">
        <f>EEFFun!Y188</f>
        <v>7903.38</v>
      </c>
      <c r="N84" s="235">
        <f>EEFFun!Z188</f>
        <v>7735.05</v>
      </c>
      <c r="O84" s="235">
        <f>EEFFun!AA188</f>
        <v>7568.06</v>
      </c>
      <c r="P84" s="235">
        <f>EEFFun!AB188</f>
        <v>7394.7</v>
      </c>
      <c r="Q84" s="235">
        <f>EEFFun!AC188</f>
        <v>7222.44</v>
      </c>
      <c r="R84" s="235">
        <f>EEFFun!AD188</f>
        <v>7047.51</v>
      </c>
      <c r="S84" s="235">
        <f>EEFFun!AE188</f>
        <v>6862.82</v>
      </c>
      <c r="T84" s="235">
        <f>EEFFun!AF188</f>
        <v>6682.31</v>
      </c>
      <c r="U84" s="235">
        <f>EEFFun!AG188</f>
        <v>6495.66</v>
      </c>
      <c r="V84" s="235">
        <f>EEFFun!AH188</f>
        <v>6309.46</v>
      </c>
      <c r="W84" s="235">
        <f>EEFFun!AI188</f>
        <v>6117.22</v>
      </c>
      <c r="X84" s="235">
        <f>EEFFun!AJ188</f>
        <v>5925.16</v>
      </c>
      <c r="Y84" s="235">
        <f>EEFFun!AK188</f>
        <v>5730.12</v>
      </c>
      <c r="Z84" s="235">
        <f>EEFFun!AL188</f>
        <v>5529.19</v>
      </c>
      <c r="AA84" s="235">
        <f>EEFFun!AM188</f>
        <v>5328.01</v>
      </c>
      <c r="AB84" s="235">
        <f>EEFFun!AN188</f>
        <v>10879.02</v>
      </c>
      <c r="AC84" s="235">
        <f>EEFFun!AO188</f>
        <v>10671.52</v>
      </c>
      <c r="AD84" s="235">
        <f>EEFFun!AP188</f>
        <v>10460.799999999999</v>
      </c>
      <c r="AE84" s="235">
        <f>EEFFun!AQ188</f>
        <v>10138.4</v>
      </c>
      <c r="AF84" s="235">
        <f>EEFFun!AR188</f>
        <v>9708.73</v>
      </c>
      <c r="AG84" s="235">
        <f>EEFFun!AS188</f>
        <v>4041.47</v>
      </c>
      <c r="AH84" s="235">
        <f>EEFFun!AT188</f>
        <v>3817.23</v>
      </c>
      <c r="AI84" s="235">
        <f>EEFFun!AU188</f>
        <v>3587.61</v>
      </c>
      <c r="AJ84" s="235">
        <f>EEFFun!AV188</f>
        <v>3356.34</v>
      </c>
      <c r="AK84" s="235">
        <f>EEFFun!AW188</f>
        <v>3121.48</v>
      </c>
      <c r="AL84" s="235">
        <f>EEFFun!AX188</f>
        <v>2881.42</v>
      </c>
      <c r="AM84" s="235">
        <f>($W$84/($W$47+$W$48+$W$50)*CalcIntCart!E30)</f>
        <v>1771.1936302029067</v>
      </c>
      <c r="AN84" s="235">
        <f>($W$84/($W$47+$W$48+$W$50)*CalcIntCart!F30)</f>
        <v>1789.4712717742636</v>
      </c>
      <c r="AO84" s="235">
        <f>($W$84/($W$47+$W$48+$W$50)*CalcIntCart!G30)</f>
        <v>1794.0293336947982</v>
      </c>
      <c r="AP84" s="235">
        <f>($W$84/($W$47+$W$48+$W$50)*CalcIntCart!H30)</f>
        <v>1799.1186875999342</v>
      </c>
      <c r="AQ84" s="235">
        <f>($W$84/($W$47+$W$48+$W$50)*CalcIntCart!I30)</f>
        <v>1798.6060821123685</v>
      </c>
      <c r="AR84" s="235">
        <f>($W$84/($W$47+$W$48+$W$50)*CalcIntCart!J30)</f>
        <v>1799.6439689750459</v>
      </c>
      <c r="AS84" s="235">
        <f>($W$84/($W$47+$W$48+$W$50)*CalcIntCart!K30)</f>
        <v>1795.1355480940026</v>
      </c>
      <c r="AT84" s="235">
        <f>($W$84/($W$47+$W$48+$W$50)*CalcIntCart!L30)</f>
        <v>1788.2183691928699</v>
      </c>
      <c r="AU84" s="235">
        <f>($W$84/($W$47+$W$48+$W$50)*CalcIntCart!M30)</f>
        <v>1780.5529571493514</v>
      </c>
      <c r="AV84" s="235">
        <f>($W$84/($W$47+$W$48+$W$50)*CalcIntCart!N30)</f>
        <v>1767.3970047109872</v>
      </c>
      <c r="AW84" s="235">
        <f>($W$84/($W$47+$W$48+$W$50)*CalcIntCart!O30)</f>
        <v>1757.8548208313446</v>
      </c>
      <c r="AX84" s="235">
        <f>($W$84/($W$47+$W$48+$W$50)*CalcIntCart!P30)</f>
        <v>1742.9158134709403</v>
      </c>
      <c r="AY84" s="236">
        <f t="shared" si="123"/>
        <v>-4566.5441865290595</v>
      </c>
      <c r="AZ84" s="236">
        <f t="shared" si="126"/>
        <v>-5651.7841865290593</v>
      </c>
      <c r="BA84" s="232">
        <f t="shared" si="127"/>
        <v>1.9376307586162699E-4</v>
      </c>
      <c r="BB84" s="232">
        <f t="shared" si="128"/>
        <v>1.3031888849815515E-5</v>
      </c>
      <c r="BC84" s="228">
        <f t="shared" si="124"/>
        <v>-4329.0016308071299</v>
      </c>
    </row>
    <row r="85" spans="1:55" outlineLevel="2" collapsed="1" x14ac:dyDescent="0.25">
      <c r="A85" s="222">
        <v>4</v>
      </c>
      <c r="B85" s="233">
        <f>EEFFun!B189</f>
        <v>1495</v>
      </c>
      <c r="C85" s="233" t="str">
        <f>EEFFun!C189</f>
        <v>CARTERA REESTRUCTURADA COVID 19 NO DEVENGA</v>
      </c>
      <c r="D85" s="235">
        <f>EEFFun!P189</f>
        <v>98944.98</v>
      </c>
      <c r="E85" s="235">
        <f>EEFFun!Q189</f>
        <v>150556.07999999999</v>
      </c>
      <c r="F85" s="235">
        <f>EEFFun!R189</f>
        <v>124055.93</v>
      </c>
      <c r="G85" s="235">
        <f>EEFFun!S189</f>
        <v>140890.04999999999</v>
      </c>
      <c r="H85" s="235">
        <f>EEFFun!T189</f>
        <v>105197.75999999999</v>
      </c>
      <c r="I85" s="235">
        <f>EEFFun!U189</f>
        <v>119729.73</v>
      </c>
      <c r="J85" s="235">
        <f>EEFFun!V189</f>
        <v>77584.179999999993</v>
      </c>
      <c r="K85" s="235">
        <f>EEFFun!W189</f>
        <v>102579.05</v>
      </c>
      <c r="L85" s="235">
        <f>EEFFun!X189</f>
        <v>127219.27</v>
      </c>
      <c r="M85" s="235">
        <f>EEFFun!Y189</f>
        <v>99640.29</v>
      </c>
      <c r="N85" s="235">
        <f>EEFFun!Z189</f>
        <v>85949.33</v>
      </c>
      <c r="O85" s="235">
        <f>EEFFun!AA189</f>
        <v>87890.34</v>
      </c>
      <c r="P85" s="235">
        <f>EEFFun!AB189</f>
        <v>89179.32</v>
      </c>
      <c r="Q85" s="235">
        <f>EEFFun!AC189</f>
        <v>64907.27</v>
      </c>
      <c r="R85" s="235">
        <f>EEFFun!AD189</f>
        <v>73152.56</v>
      </c>
      <c r="S85" s="235">
        <f>EEFFun!AE189</f>
        <v>91476.05</v>
      </c>
      <c r="T85" s="235">
        <f>EEFFun!AF189</f>
        <v>56791.81</v>
      </c>
      <c r="U85" s="235">
        <f>EEFFun!AG189</f>
        <v>90199.679999999993</v>
      </c>
      <c r="V85" s="235">
        <f>EEFFun!AH189</f>
        <v>57199.93</v>
      </c>
      <c r="W85" s="235">
        <f>EEFFun!AI189</f>
        <v>82613.59</v>
      </c>
      <c r="X85" s="235">
        <f>EEFFun!AJ189</f>
        <v>85266.14</v>
      </c>
      <c r="Y85" s="235">
        <f>EEFFun!AK189</f>
        <v>67177.899999999994</v>
      </c>
      <c r="Z85" s="235">
        <f>EEFFun!AL189</f>
        <v>61277.1</v>
      </c>
      <c r="AA85" s="235">
        <f>EEFFun!AM189</f>
        <v>19556.93</v>
      </c>
      <c r="AB85" s="235">
        <f>EEFFun!AN189</f>
        <v>29648.400000000001</v>
      </c>
      <c r="AC85" s="235">
        <f>EEFFun!AO189</f>
        <v>24415.83</v>
      </c>
      <c r="AD85" s="235">
        <f>EEFFun!AP189</f>
        <v>11157.68</v>
      </c>
      <c r="AE85" s="235">
        <f>EEFFun!AQ189</f>
        <v>26117.52</v>
      </c>
      <c r="AF85" s="235">
        <f>EEFFun!AR189</f>
        <v>15256.96</v>
      </c>
      <c r="AG85" s="235">
        <f>EEFFun!AS189</f>
        <v>10848.79</v>
      </c>
      <c r="AH85" s="235">
        <f>EEFFun!AT189</f>
        <v>7426.24</v>
      </c>
      <c r="AI85" s="235">
        <f>EEFFun!AU189</f>
        <v>5138.6899999999996</v>
      </c>
      <c r="AJ85" s="235">
        <f>EEFFun!AV189</f>
        <v>4702.42</v>
      </c>
      <c r="AK85" s="235">
        <f>EEFFun!AW189</f>
        <v>0</v>
      </c>
      <c r="AL85" s="235">
        <f>EEFFun!AX189</f>
        <v>14356.64</v>
      </c>
      <c r="AM85" s="236">
        <f t="shared" ref="AM85:AS85" si="138">AM86+AM87</f>
        <v>23920.12456249645</v>
      </c>
      <c r="AN85" s="236">
        <f t="shared" si="138"/>
        <v>24166.965707157429</v>
      </c>
      <c r="AO85" s="236">
        <f t="shared" si="138"/>
        <v>24228.522731213725</v>
      </c>
      <c r="AP85" s="236">
        <f t="shared" si="138"/>
        <v>24297.254899892279</v>
      </c>
      <c r="AQ85" s="236">
        <f t="shared" si="138"/>
        <v>24290.332118043414</v>
      </c>
      <c r="AR85" s="236">
        <f t="shared" si="138"/>
        <v>24304.348870708778</v>
      </c>
      <c r="AS85" s="236">
        <f t="shared" si="138"/>
        <v>24243.462253223392</v>
      </c>
      <c r="AT85" s="236">
        <f t="shared" ref="AT85" si="139">AT86+AT87</f>
        <v>24150.045148444617</v>
      </c>
      <c r="AU85" s="236">
        <f t="shared" ref="AU85:AX85" si="140">AU86+AU87</f>
        <v>24046.523089773473</v>
      </c>
      <c r="AV85" s="236">
        <f t="shared" si="140"/>
        <v>23868.850803865407</v>
      </c>
      <c r="AW85" s="236">
        <f t="shared" si="140"/>
        <v>23739.982777746125</v>
      </c>
      <c r="AX85" s="236">
        <f t="shared" si="140"/>
        <v>23538.230179494072</v>
      </c>
      <c r="AY85" s="236">
        <f t="shared" si="123"/>
        <v>-33661.699820505928</v>
      </c>
      <c r="AZ85" s="236">
        <f t="shared" si="126"/>
        <v>-65641.089820505935</v>
      </c>
      <c r="BA85" s="232">
        <f t="shared" si="127"/>
        <v>2.3367627282308017E-3</v>
      </c>
      <c r="BB85" s="232">
        <f t="shared" si="128"/>
        <v>1.7599679631666516E-4</v>
      </c>
      <c r="BC85" s="228">
        <f t="shared" si="124"/>
        <v>-58463.54485155538</v>
      </c>
    </row>
    <row r="86" spans="1:55" outlineLevel="2" collapsed="1" x14ac:dyDescent="0.25">
      <c r="A86" s="222">
        <v>6</v>
      </c>
      <c r="B86" s="233">
        <f>EEFFun!B190</f>
        <v>149520</v>
      </c>
      <c r="C86" s="233" t="str">
        <f>EEFFun!C190</f>
        <v>CONSUMO QUE NO DEVENGA INTERESES</v>
      </c>
      <c r="D86" s="235">
        <f>EEFFun!P190</f>
        <v>98944.98</v>
      </c>
      <c r="E86" s="235">
        <f>EEFFun!Q190</f>
        <v>150556.07999999999</v>
      </c>
      <c r="F86" s="235">
        <f>EEFFun!R190</f>
        <v>124055.93</v>
      </c>
      <c r="G86" s="235">
        <f>EEFFun!S190</f>
        <v>140890.04999999999</v>
      </c>
      <c r="H86" s="235">
        <f>EEFFun!T190</f>
        <v>105197.75999999999</v>
      </c>
      <c r="I86" s="235">
        <f>EEFFun!U190</f>
        <v>119729.73</v>
      </c>
      <c r="J86" s="235">
        <f>EEFFun!V190</f>
        <v>77584.179999999993</v>
      </c>
      <c r="K86" s="235">
        <f>EEFFun!W190</f>
        <v>102579.05</v>
      </c>
      <c r="L86" s="235">
        <f>EEFFun!X190</f>
        <v>127219.27</v>
      </c>
      <c r="M86" s="235">
        <f>EEFFun!Y190</f>
        <v>99640.29</v>
      </c>
      <c r="N86" s="235">
        <f>EEFFun!Z190</f>
        <v>85949.33</v>
      </c>
      <c r="O86" s="235">
        <f>EEFFun!AA190</f>
        <v>87890.34</v>
      </c>
      <c r="P86" s="235">
        <f>EEFFun!AB190</f>
        <v>89179.32</v>
      </c>
      <c r="Q86" s="235">
        <f>EEFFun!AC190</f>
        <v>64907.27</v>
      </c>
      <c r="R86" s="235">
        <f>EEFFun!AD190</f>
        <v>73152.56</v>
      </c>
      <c r="S86" s="235">
        <f>EEFFun!AE190</f>
        <v>91476.05</v>
      </c>
      <c r="T86" s="235">
        <f>EEFFun!AF190</f>
        <v>56791.81</v>
      </c>
      <c r="U86" s="235">
        <f>EEFFun!AG190</f>
        <v>90199.679999999993</v>
      </c>
      <c r="V86" s="235">
        <f>EEFFun!AH190</f>
        <v>57199.93</v>
      </c>
      <c r="W86" s="235">
        <f>EEFFun!AI190</f>
        <v>82613.59</v>
      </c>
      <c r="X86" s="235">
        <f>EEFFun!AJ190</f>
        <v>85266.14</v>
      </c>
      <c r="Y86" s="235">
        <f>EEFFun!AK190</f>
        <v>67177.899999999994</v>
      </c>
      <c r="Z86" s="235">
        <f>EEFFun!AL190</f>
        <v>61277.1</v>
      </c>
      <c r="AA86" s="235">
        <f>EEFFun!AM190</f>
        <v>19556.93</v>
      </c>
      <c r="AB86" s="235">
        <f>EEFFun!AN190</f>
        <v>29648.400000000001</v>
      </c>
      <c r="AC86" s="235">
        <f>EEFFun!AO190</f>
        <v>24415.83</v>
      </c>
      <c r="AD86" s="235">
        <f>EEFFun!AP190</f>
        <v>11157.68</v>
      </c>
      <c r="AE86" s="235">
        <f>EEFFun!AQ190</f>
        <v>26117.52</v>
      </c>
      <c r="AF86" s="235">
        <f>EEFFun!AR190</f>
        <v>15256.96</v>
      </c>
      <c r="AG86" s="235">
        <f>EEFFun!AS190</f>
        <v>10848.79</v>
      </c>
      <c r="AH86" s="235">
        <f>EEFFun!AT190</f>
        <v>7426.24</v>
      </c>
      <c r="AI86" s="235">
        <f>EEFFun!AU190</f>
        <v>5138.6899999999996</v>
      </c>
      <c r="AJ86" s="235">
        <f>EEFFun!AV190</f>
        <v>4702.42</v>
      </c>
      <c r="AK86" s="235">
        <f>EEFFun!AW190</f>
        <v>0</v>
      </c>
      <c r="AL86" s="235">
        <f>EEFFun!AX190</f>
        <v>14356.64</v>
      </c>
      <c r="AM86" s="235">
        <f>($W$86/($W$47+$W$48+$W$50)*CalcIntCart!E30)</f>
        <v>23920.12456249645</v>
      </c>
      <c r="AN86" s="235">
        <f>($W$86/($W$47+$W$48+$W$50)*CalcIntCart!F30)</f>
        <v>24166.965707157429</v>
      </c>
      <c r="AO86" s="235">
        <f>($W$86/($W$47+$W$48+$W$50)*CalcIntCart!G30)</f>
        <v>24228.522731213725</v>
      </c>
      <c r="AP86" s="235">
        <f>($W$86/($W$47+$W$48+$W$50)*CalcIntCart!H30)</f>
        <v>24297.254899892279</v>
      </c>
      <c r="AQ86" s="235">
        <f>($W$86/($W$47+$W$48+$W$50)*CalcIntCart!I30)</f>
        <v>24290.332118043414</v>
      </c>
      <c r="AR86" s="235">
        <f>($W$86/($W$47+$W$48+$W$50)*CalcIntCart!J30)</f>
        <v>24304.348870708778</v>
      </c>
      <c r="AS86" s="235">
        <f>($W$86/($W$47+$W$48+$W$50)*CalcIntCart!K30)</f>
        <v>24243.462253223392</v>
      </c>
      <c r="AT86" s="235">
        <f>($W$86/($W$47+$W$48+$W$50)*CalcIntCart!L30)</f>
        <v>24150.045148444617</v>
      </c>
      <c r="AU86" s="235">
        <f>($W$86/($W$47+$W$48+$W$50)*CalcIntCart!M30)</f>
        <v>24046.523089773473</v>
      </c>
      <c r="AV86" s="235">
        <f>($W$86/($W$47+$W$48+$W$50)*CalcIntCart!N30)</f>
        <v>23868.850803865407</v>
      </c>
      <c r="AW86" s="235">
        <f>($W$86/($W$47+$W$48+$W$50)*CalcIntCart!O30)</f>
        <v>23739.982777746125</v>
      </c>
      <c r="AX86" s="235">
        <f>($W$86/($W$47+$W$48+$W$50)*CalcIntCart!P30)</f>
        <v>23538.230179494072</v>
      </c>
      <c r="AY86" s="236">
        <f t="shared" si="123"/>
        <v>-33661.699820505928</v>
      </c>
      <c r="AZ86" s="236">
        <f t="shared" si="126"/>
        <v>-65641.089820505935</v>
      </c>
      <c r="BA86" s="232">
        <f t="shared" si="127"/>
        <v>2.3367627282308017E-3</v>
      </c>
      <c r="BB86" s="232">
        <f t="shared" si="128"/>
        <v>1.7599679631666516E-4</v>
      </c>
      <c r="BC86" s="228">
        <f t="shared" si="124"/>
        <v>-58463.54485155538</v>
      </c>
    </row>
    <row r="87" spans="1:55" outlineLevel="2" collapsed="1" x14ac:dyDescent="0.25">
      <c r="A87" s="222">
        <v>6</v>
      </c>
      <c r="B87" s="234">
        <f>EEFFun!B191</f>
        <v>149540</v>
      </c>
      <c r="C87" s="234" t="str">
        <f>EEFFun!C191</f>
        <v>MICROCRÉDITO QUE NO DEVENGA INTERESES</v>
      </c>
      <c r="D87" s="235">
        <f>EEFFun!P191</f>
        <v>0</v>
      </c>
      <c r="E87" s="235">
        <f>EEFFun!Q191</f>
        <v>0</v>
      </c>
      <c r="F87" s="235">
        <f>EEFFun!R191</f>
        <v>0</v>
      </c>
      <c r="G87" s="235">
        <f>EEFFun!S191</f>
        <v>0</v>
      </c>
      <c r="H87" s="235">
        <f>EEFFun!T191</f>
        <v>0</v>
      </c>
      <c r="I87" s="235">
        <f>EEFFun!U191</f>
        <v>0</v>
      </c>
      <c r="J87" s="235">
        <f>EEFFun!V191</f>
        <v>0</v>
      </c>
      <c r="K87" s="235">
        <f>EEFFun!W191</f>
        <v>0</v>
      </c>
      <c r="L87" s="235">
        <f>EEFFun!X191</f>
        <v>0</v>
      </c>
      <c r="M87" s="235">
        <f>EEFFun!Y191</f>
        <v>0</v>
      </c>
      <c r="N87" s="235">
        <f>EEFFun!Z191</f>
        <v>0</v>
      </c>
      <c r="O87" s="235">
        <f>EEFFun!AA191</f>
        <v>0</v>
      </c>
      <c r="P87" s="235">
        <f>EEFFun!AB191</f>
        <v>0</v>
      </c>
      <c r="Q87" s="235">
        <f>EEFFun!AC191</f>
        <v>0</v>
      </c>
      <c r="R87" s="235">
        <f>EEFFun!AD191</f>
        <v>0</v>
      </c>
      <c r="S87" s="235">
        <f>EEFFun!AE191</f>
        <v>0</v>
      </c>
      <c r="T87" s="235">
        <f>EEFFun!AF191</f>
        <v>0</v>
      </c>
      <c r="U87" s="235">
        <f>EEFFun!AG191</f>
        <v>0</v>
      </c>
      <c r="V87" s="235">
        <f>EEFFun!AH191</f>
        <v>0</v>
      </c>
      <c r="W87" s="235">
        <f>EEFFun!AI191</f>
        <v>0</v>
      </c>
      <c r="X87" s="235">
        <f>EEFFun!AJ191</f>
        <v>0</v>
      </c>
      <c r="Y87" s="235">
        <f>EEFFun!AK191</f>
        <v>0</v>
      </c>
      <c r="Z87" s="235">
        <f>EEFFun!AL191</f>
        <v>0</v>
      </c>
      <c r="AA87" s="235">
        <f>EEFFun!AM191</f>
        <v>0</v>
      </c>
      <c r="AB87" s="235">
        <f>EEFFun!AN191</f>
        <v>0</v>
      </c>
      <c r="AC87" s="235">
        <f>EEFFun!AO191</f>
        <v>0</v>
      </c>
      <c r="AD87" s="235">
        <f>EEFFun!AP191</f>
        <v>0</v>
      </c>
      <c r="AE87" s="235">
        <f>EEFFun!AQ191</f>
        <v>0</v>
      </c>
      <c r="AF87" s="235">
        <f>EEFFun!AR191</f>
        <v>0</v>
      </c>
      <c r="AG87" s="235">
        <f>EEFFun!AS191</f>
        <v>0</v>
      </c>
      <c r="AH87" s="235">
        <f>EEFFun!AT191</f>
        <v>0</v>
      </c>
      <c r="AI87" s="235">
        <f>EEFFun!AU191</f>
        <v>0</v>
      </c>
      <c r="AJ87" s="235">
        <f>EEFFun!AV191</f>
        <v>0</v>
      </c>
      <c r="AK87" s="235">
        <f>EEFFun!AW191</f>
        <v>0</v>
      </c>
      <c r="AL87" s="235">
        <f>EEFFun!AX191</f>
        <v>0</v>
      </c>
      <c r="AM87" s="235">
        <f>($W$87/($W$47+$W$48+$W$50)*CalcIntCart!E30)</f>
        <v>0</v>
      </c>
      <c r="AN87" s="235">
        <f>($W$87/($W$47+$W$48+$W$50)*CalcIntCart!F30)</f>
        <v>0</v>
      </c>
      <c r="AO87" s="235">
        <f>($W$87/($W$47+$W$48+$W$50)*CalcIntCart!G30)</f>
        <v>0</v>
      </c>
      <c r="AP87" s="235">
        <f>($W$87/($W$47+$W$48+$W$50)*CalcIntCart!H30)</f>
        <v>0</v>
      </c>
      <c r="AQ87" s="235">
        <f>($W$87/($W$47+$W$48+$W$50)*CalcIntCart!I30)</f>
        <v>0</v>
      </c>
      <c r="AR87" s="235">
        <f>($W$87/($W$47+$W$48+$W$50)*CalcIntCart!J30)</f>
        <v>0</v>
      </c>
      <c r="AS87" s="235">
        <f>($W$87/($W$47+$W$48+$W$50)*CalcIntCart!K30)</f>
        <v>0</v>
      </c>
      <c r="AT87" s="235">
        <f>($W$87/($W$47+$W$48+$W$50)*CalcIntCart!L30)</f>
        <v>0</v>
      </c>
      <c r="AU87" s="235">
        <f>($W$87/($W$47+$W$48+$W$50)*CalcIntCart!M30)</f>
        <v>0</v>
      </c>
      <c r="AV87" s="235">
        <f>($W$87/($W$47+$W$48+$W$50)*CalcIntCart!N30)</f>
        <v>0</v>
      </c>
      <c r="AW87" s="235">
        <f>($W$87/($W$47+$W$48+$W$50)*CalcIntCart!O30)</f>
        <v>0</v>
      </c>
      <c r="AX87" s="235">
        <f>($W$87/($W$47+$W$48+$W$50)*CalcIntCart!P30)</f>
        <v>0</v>
      </c>
      <c r="AY87" s="236">
        <f t="shared" si="123"/>
        <v>0</v>
      </c>
      <c r="AZ87" s="236">
        <f t="shared" si="126"/>
        <v>0</v>
      </c>
      <c r="BA87" s="232">
        <f t="shared" si="127"/>
        <v>0</v>
      </c>
      <c r="BB87" s="232">
        <f t="shared" si="128"/>
        <v>0</v>
      </c>
      <c r="BC87" s="228">
        <f t="shared" si="124"/>
        <v>0</v>
      </c>
    </row>
    <row r="88" spans="1:55" outlineLevel="2" collapsed="1" x14ac:dyDescent="0.25">
      <c r="A88" s="222">
        <v>4</v>
      </c>
      <c r="B88" s="233">
        <f>EEFFun!B192</f>
        <v>1496</v>
      </c>
      <c r="C88" s="233" t="str">
        <f>EEFFun!C192</f>
        <v>CARTERA REESTRUCTURADA COVID 19 VENCIDA</v>
      </c>
      <c r="D88" s="235">
        <f>EEFFun!P192</f>
        <v>18748.400000000001</v>
      </c>
      <c r="E88" s="235">
        <f>EEFFun!Q192</f>
        <v>22888.400000000001</v>
      </c>
      <c r="F88" s="235">
        <f>EEFFun!R192</f>
        <v>22179.05</v>
      </c>
      <c r="G88" s="235">
        <f>EEFFun!S192</f>
        <v>25886.51</v>
      </c>
      <c r="H88" s="235">
        <f>EEFFun!T192</f>
        <v>25142.07</v>
      </c>
      <c r="I88" s="235">
        <f>EEFFun!U192</f>
        <v>28166.85</v>
      </c>
      <c r="J88" s="235">
        <f>EEFFun!V192</f>
        <v>27424.73</v>
      </c>
      <c r="K88" s="235">
        <f>EEFFun!W192</f>
        <v>30978.3</v>
      </c>
      <c r="L88" s="235">
        <f>EEFFun!X192</f>
        <v>33088.61</v>
      </c>
      <c r="M88" s="235">
        <f>EEFFun!Y192</f>
        <v>32589.62</v>
      </c>
      <c r="N88" s="235">
        <f>EEFFun!Z192</f>
        <v>31268.560000000001</v>
      </c>
      <c r="O88" s="235">
        <f>EEFFun!AA192</f>
        <v>31256.45</v>
      </c>
      <c r="P88" s="235">
        <f>EEFFun!AB192</f>
        <v>34403.129999999997</v>
      </c>
      <c r="Q88" s="235">
        <f>EEFFun!AC192</f>
        <v>29950.080000000002</v>
      </c>
      <c r="R88" s="235">
        <f>EEFFun!AD192</f>
        <v>30095.95</v>
      </c>
      <c r="S88" s="235">
        <f>EEFFun!AE192</f>
        <v>33317.17</v>
      </c>
      <c r="T88" s="235">
        <f>EEFFun!AF192</f>
        <v>32422.85</v>
      </c>
      <c r="U88" s="235">
        <f>EEFFun!AG192</f>
        <v>36492.870000000003</v>
      </c>
      <c r="V88" s="235">
        <f>EEFFun!AH192</f>
        <v>35458.71</v>
      </c>
      <c r="W88" s="235">
        <f>EEFFun!AI192</f>
        <v>39590.199999999997</v>
      </c>
      <c r="X88" s="235">
        <f>EEFFun!AJ192</f>
        <v>40998.79</v>
      </c>
      <c r="Y88" s="235">
        <f>EEFFun!AK192</f>
        <v>40815.800000000003</v>
      </c>
      <c r="Z88" s="235">
        <f>EEFFun!AL192</f>
        <v>4018.68</v>
      </c>
      <c r="AA88" s="235">
        <f>EEFFun!AM192</f>
        <v>688.19</v>
      </c>
      <c r="AB88" s="235">
        <f>EEFFun!AN192</f>
        <v>1814.87</v>
      </c>
      <c r="AC88" s="235">
        <f>EEFFun!AO192</f>
        <v>1779.12</v>
      </c>
      <c r="AD88" s="235">
        <f>EEFFun!AP192</f>
        <v>1170.1400000000001</v>
      </c>
      <c r="AE88" s="235">
        <f>EEFFun!AQ192</f>
        <v>966.92</v>
      </c>
      <c r="AF88" s="235">
        <f>EEFFun!AR192</f>
        <v>1060.31</v>
      </c>
      <c r="AG88" s="235">
        <f>EEFFun!AS192</f>
        <v>758.95</v>
      </c>
      <c r="AH88" s="235">
        <f>EEFFun!AT192</f>
        <v>570.02</v>
      </c>
      <c r="AI88" s="235">
        <f>EEFFun!AU192</f>
        <v>432.3</v>
      </c>
      <c r="AJ88" s="235">
        <f>EEFFun!AV192</f>
        <v>438.27</v>
      </c>
      <c r="AK88" s="235">
        <f>EEFFun!AW192</f>
        <v>2</v>
      </c>
      <c r="AL88" s="235">
        <f>EEFFun!AX192</f>
        <v>981.84</v>
      </c>
      <c r="AM88" s="236">
        <f t="shared" ref="AM88:AS88" si="141">AM89+AM90</f>
        <v>11463.035506072874</v>
      </c>
      <c r="AN88" s="236">
        <f t="shared" si="141"/>
        <v>11581.327064221565</v>
      </c>
      <c r="AO88" s="236">
        <f t="shared" si="141"/>
        <v>11610.826507276801</v>
      </c>
      <c r="AP88" s="236">
        <f t="shared" si="141"/>
        <v>11643.764433160637</v>
      </c>
      <c r="AQ88" s="236">
        <f t="shared" si="141"/>
        <v>11640.446887972817</v>
      </c>
      <c r="AR88" s="236">
        <f t="shared" si="141"/>
        <v>11647.164015764653</v>
      </c>
      <c r="AS88" s="236">
        <f t="shared" si="141"/>
        <v>11617.985845882798</v>
      </c>
      <c r="AT88" s="236">
        <f t="shared" ref="AT88" si="142">AT89+AT90</f>
        <v>11573.218370439441</v>
      </c>
      <c r="AU88" s="236">
        <f t="shared" ref="AU88:AX88" si="143">AU89+AU90</f>
        <v>11523.608384876503</v>
      </c>
      <c r="AV88" s="236">
        <f t="shared" si="143"/>
        <v>11438.464023839084</v>
      </c>
      <c r="AW88" s="236">
        <f t="shared" si="143"/>
        <v>11376.707708350703</v>
      </c>
      <c r="AX88" s="236">
        <f t="shared" si="143"/>
        <v>11280.023546394803</v>
      </c>
      <c r="AY88" s="236">
        <f t="shared" si="123"/>
        <v>-24178.686453605194</v>
      </c>
      <c r="AZ88" s="236">
        <f t="shared" si="126"/>
        <v>-23123.106453605193</v>
      </c>
      <c r="BA88" s="232">
        <f t="shared" si="127"/>
        <v>9.0146406048486282E-4</v>
      </c>
      <c r="BB88" s="232">
        <f t="shared" si="128"/>
        <v>8.4341430574994222E-5</v>
      </c>
      <c r="BC88" s="228">
        <f t="shared" si="124"/>
        <v>-28016.981629560556</v>
      </c>
    </row>
    <row r="89" spans="1:55" outlineLevel="2" collapsed="1" x14ac:dyDescent="0.25">
      <c r="A89" s="222">
        <v>6</v>
      </c>
      <c r="B89" s="233">
        <f>EEFFun!B193</f>
        <v>149620</v>
      </c>
      <c r="C89" s="233" t="str">
        <f>EEFFun!C193</f>
        <v>CONSUMO VENCIDA</v>
      </c>
      <c r="D89" s="235">
        <f>EEFFun!P193</f>
        <v>18748.400000000001</v>
      </c>
      <c r="E89" s="235">
        <f>EEFFun!Q193</f>
        <v>22888.400000000001</v>
      </c>
      <c r="F89" s="235">
        <f>EEFFun!R193</f>
        <v>22179.05</v>
      </c>
      <c r="G89" s="235">
        <f>EEFFun!S193</f>
        <v>25886.51</v>
      </c>
      <c r="H89" s="235">
        <f>EEFFun!T193</f>
        <v>25142.07</v>
      </c>
      <c r="I89" s="235">
        <f>EEFFun!U193</f>
        <v>28166.85</v>
      </c>
      <c r="J89" s="235">
        <f>EEFFun!V193</f>
        <v>27424.73</v>
      </c>
      <c r="K89" s="235">
        <f>EEFFun!W193</f>
        <v>30978.3</v>
      </c>
      <c r="L89" s="235">
        <f>EEFFun!X193</f>
        <v>33088.61</v>
      </c>
      <c r="M89" s="235">
        <f>EEFFun!Y193</f>
        <v>32589.62</v>
      </c>
      <c r="N89" s="235">
        <f>EEFFun!Z193</f>
        <v>31268.560000000001</v>
      </c>
      <c r="O89" s="235">
        <f>EEFFun!AA193</f>
        <v>31256.45</v>
      </c>
      <c r="P89" s="235">
        <f>EEFFun!AB193</f>
        <v>34403.129999999997</v>
      </c>
      <c r="Q89" s="235">
        <f>EEFFun!AC193</f>
        <v>29950.080000000002</v>
      </c>
      <c r="R89" s="235">
        <f>EEFFun!AD193</f>
        <v>30095.95</v>
      </c>
      <c r="S89" s="235">
        <f>EEFFun!AE193</f>
        <v>33317.17</v>
      </c>
      <c r="T89" s="235">
        <f>EEFFun!AF193</f>
        <v>32422.85</v>
      </c>
      <c r="U89" s="235">
        <f>EEFFun!AG193</f>
        <v>36492.870000000003</v>
      </c>
      <c r="V89" s="235">
        <f>EEFFun!AH193</f>
        <v>35458.71</v>
      </c>
      <c r="W89" s="235">
        <f>EEFFun!AI193</f>
        <v>39590.199999999997</v>
      </c>
      <c r="X89" s="235">
        <f>EEFFun!AJ193</f>
        <v>40998.79</v>
      </c>
      <c r="Y89" s="235">
        <f>EEFFun!AK193</f>
        <v>40815.800000000003</v>
      </c>
      <c r="Z89" s="235">
        <f>EEFFun!AL193</f>
        <v>4018.68</v>
      </c>
      <c r="AA89" s="235">
        <f>EEFFun!AM193</f>
        <v>688.19</v>
      </c>
      <c r="AB89" s="235">
        <f>EEFFun!AN193</f>
        <v>1814.87</v>
      </c>
      <c r="AC89" s="235">
        <f>EEFFun!AO193</f>
        <v>1779.12</v>
      </c>
      <c r="AD89" s="235">
        <f>EEFFun!AP193</f>
        <v>1170.1400000000001</v>
      </c>
      <c r="AE89" s="235">
        <f>EEFFun!AQ193</f>
        <v>966.92</v>
      </c>
      <c r="AF89" s="235">
        <f>EEFFun!AR193</f>
        <v>1060.31</v>
      </c>
      <c r="AG89" s="235">
        <f>EEFFun!AS193</f>
        <v>758.95</v>
      </c>
      <c r="AH89" s="235">
        <f>EEFFun!AT193</f>
        <v>570.02</v>
      </c>
      <c r="AI89" s="235">
        <f>EEFFun!AU193</f>
        <v>432.3</v>
      </c>
      <c r="AJ89" s="235">
        <f>EEFFun!AV193</f>
        <v>438.27</v>
      </c>
      <c r="AK89" s="235">
        <f>EEFFun!AW193</f>
        <v>2</v>
      </c>
      <c r="AL89" s="235">
        <f>EEFFun!AX193</f>
        <v>981.84</v>
      </c>
      <c r="AM89" s="235">
        <f>($W$89/($W$47+$W$48+$W$50)*CalcIntCart!E30)</f>
        <v>11463.035506072874</v>
      </c>
      <c r="AN89" s="235">
        <f>($W$89/($W$47+$W$48+$W$50)*CalcIntCart!F30)</f>
        <v>11581.327064221565</v>
      </c>
      <c r="AO89" s="235">
        <f>($W$89/($W$47+$W$48+$W$50)*CalcIntCart!G30)</f>
        <v>11610.826507276801</v>
      </c>
      <c r="AP89" s="235">
        <f>($W$89/($W$47+$W$48+$W$50)*CalcIntCart!H30)</f>
        <v>11643.764433160637</v>
      </c>
      <c r="AQ89" s="235">
        <f>($W$89/($W$47+$W$48+$W$50)*CalcIntCart!I30)</f>
        <v>11640.446887972817</v>
      </c>
      <c r="AR89" s="235">
        <f>($W$89/($W$47+$W$48+$W$50)*CalcIntCart!J30)</f>
        <v>11647.164015764653</v>
      </c>
      <c r="AS89" s="235">
        <f>($W$89/($W$47+$W$48+$W$50)*CalcIntCart!K30)</f>
        <v>11617.985845882798</v>
      </c>
      <c r="AT89" s="235">
        <f>($W$89/($W$47+$W$48+$W$50)*CalcIntCart!L30)</f>
        <v>11573.218370439441</v>
      </c>
      <c r="AU89" s="235">
        <f>($W$89/($W$47+$W$48+$W$50)*CalcIntCart!M30)</f>
        <v>11523.608384876503</v>
      </c>
      <c r="AV89" s="235">
        <f>($W$89/($W$47+$W$48+$W$50)*CalcIntCart!N30)</f>
        <v>11438.464023839084</v>
      </c>
      <c r="AW89" s="235">
        <f>($W$89/($W$47+$W$48+$W$50)*CalcIntCart!O30)</f>
        <v>11376.707708350703</v>
      </c>
      <c r="AX89" s="235">
        <f>($W$89/($W$47+$W$48+$W$50)*CalcIntCart!P30)</f>
        <v>11280.023546394803</v>
      </c>
      <c r="AY89" s="236">
        <f t="shared" si="123"/>
        <v>-24178.686453605194</v>
      </c>
      <c r="AZ89" s="236">
        <f t="shared" si="126"/>
        <v>-23123.106453605193</v>
      </c>
      <c r="BA89" s="232">
        <f t="shared" si="127"/>
        <v>9.0146406048486282E-4</v>
      </c>
      <c r="BB89" s="232">
        <f t="shared" si="128"/>
        <v>8.4341430574994222E-5</v>
      </c>
      <c r="BC89" s="228">
        <f t="shared" si="124"/>
        <v>-28016.981629560556</v>
      </c>
    </row>
    <row r="90" spans="1:55" outlineLevel="2" collapsed="1" x14ac:dyDescent="0.25">
      <c r="A90" s="222">
        <v>6</v>
      </c>
      <c r="B90" s="234">
        <f>EEFFun!B194</f>
        <v>149640</v>
      </c>
      <c r="C90" s="234" t="str">
        <f>EEFFun!C194</f>
        <v>MICROCRÉDITO VENCIDA</v>
      </c>
      <c r="D90" s="235">
        <f>EEFFun!P194</f>
        <v>0</v>
      </c>
      <c r="E90" s="235">
        <f>EEFFun!Q194</f>
        <v>0</v>
      </c>
      <c r="F90" s="235">
        <f>EEFFun!R194</f>
        <v>0</v>
      </c>
      <c r="G90" s="235">
        <f>EEFFun!S194</f>
        <v>0</v>
      </c>
      <c r="H90" s="235">
        <f>EEFFun!T194</f>
        <v>0</v>
      </c>
      <c r="I90" s="235">
        <f>EEFFun!U194</f>
        <v>0</v>
      </c>
      <c r="J90" s="235">
        <f>EEFFun!V194</f>
        <v>0</v>
      </c>
      <c r="K90" s="235">
        <f>EEFFun!W194</f>
        <v>0</v>
      </c>
      <c r="L90" s="235">
        <f>EEFFun!X194</f>
        <v>0</v>
      </c>
      <c r="M90" s="235">
        <f>EEFFun!Y194</f>
        <v>0</v>
      </c>
      <c r="N90" s="235">
        <f>EEFFun!Z194</f>
        <v>0</v>
      </c>
      <c r="O90" s="235">
        <f>EEFFun!AA194</f>
        <v>0</v>
      </c>
      <c r="P90" s="235">
        <f>EEFFun!AB194</f>
        <v>0</v>
      </c>
      <c r="Q90" s="235">
        <f>EEFFun!AC194</f>
        <v>0</v>
      </c>
      <c r="R90" s="235">
        <f>EEFFun!AD194</f>
        <v>0</v>
      </c>
      <c r="S90" s="235">
        <f>EEFFun!AE194</f>
        <v>0</v>
      </c>
      <c r="T90" s="235">
        <f>EEFFun!AF194</f>
        <v>0</v>
      </c>
      <c r="U90" s="235">
        <f>EEFFun!AG194</f>
        <v>0</v>
      </c>
      <c r="V90" s="235">
        <f>EEFFun!AH194</f>
        <v>0</v>
      </c>
      <c r="W90" s="235">
        <f>EEFFun!AI194</f>
        <v>0</v>
      </c>
      <c r="X90" s="235">
        <f>EEFFun!AJ194</f>
        <v>0</v>
      </c>
      <c r="Y90" s="235">
        <f>EEFFun!AK194</f>
        <v>0</v>
      </c>
      <c r="Z90" s="235">
        <f>EEFFun!AL194</f>
        <v>0</v>
      </c>
      <c r="AA90" s="235">
        <f>EEFFun!AM194</f>
        <v>0</v>
      </c>
      <c r="AB90" s="235">
        <f>EEFFun!AN194</f>
        <v>0</v>
      </c>
      <c r="AC90" s="235">
        <f>EEFFun!AO194</f>
        <v>0</v>
      </c>
      <c r="AD90" s="235">
        <f>EEFFun!AP194</f>
        <v>0</v>
      </c>
      <c r="AE90" s="235">
        <f>EEFFun!AQ194</f>
        <v>0</v>
      </c>
      <c r="AF90" s="235">
        <f>EEFFun!AR194</f>
        <v>0</v>
      </c>
      <c r="AG90" s="235">
        <f>EEFFun!AS194</f>
        <v>0</v>
      </c>
      <c r="AH90" s="235">
        <f>EEFFun!AT194</f>
        <v>0</v>
      </c>
      <c r="AI90" s="235">
        <f>EEFFun!AU194</f>
        <v>0</v>
      </c>
      <c r="AJ90" s="235">
        <f>EEFFun!AV194</f>
        <v>0</v>
      </c>
      <c r="AK90" s="235">
        <f>EEFFun!AW194</f>
        <v>0</v>
      </c>
      <c r="AL90" s="235">
        <f>EEFFun!AX194</f>
        <v>0</v>
      </c>
      <c r="AM90" s="235">
        <f>($P$90/($P$47+$P$48+$P$50)*CalcIntCart!E30)</f>
        <v>0</v>
      </c>
      <c r="AN90" s="235">
        <f>($P$90/($P$47+$P$48+$P$50)*CalcIntCart!F30)</f>
        <v>0</v>
      </c>
      <c r="AO90" s="235">
        <f>($P$90/($P$47+$P$48+$P$50)*CalcIntCart!G30)</f>
        <v>0</v>
      </c>
      <c r="AP90" s="235">
        <f>($P$90/($P$47+$P$48+$P$50)*CalcIntCart!H30)</f>
        <v>0</v>
      </c>
      <c r="AQ90" s="235">
        <f>($P$90/($P$47+$P$48+$P$50)*CalcIntCart!I30)</f>
        <v>0</v>
      </c>
      <c r="AR90" s="235">
        <f>($P$90/($P$47+$P$48+$P$50)*CalcIntCart!J30)</f>
        <v>0</v>
      </c>
      <c r="AS90" s="235">
        <f>($P$90/($P$47+$P$48+$P$50)*CalcIntCart!K30)</f>
        <v>0</v>
      </c>
      <c r="AT90" s="235">
        <f>($P$90/($P$47+$P$48+$P$50)*CalcIntCart!L30)</f>
        <v>0</v>
      </c>
      <c r="AU90" s="235">
        <f>($P$90/($P$47+$P$48+$P$50)*CalcIntCart!M30)</f>
        <v>0</v>
      </c>
      <c r="AV90" s="235">
        <f>($P$90/($P$47+$P$48+$P$50)*CalcIntCart!N30)</f>
        <v>0</v>
      </c>
      <c r="AW90" s="235">
        <f>($P$90/($P$47+$P$48+$P$50)*CalcIntCart!O30)</f>
        <v>0</v>
      </c>
      <c r="AX90" s="235">
        <f>($P$90/($P$47+$P$48+$P$50)*CalcIntCart!P30)</f>
        <v>0</v>
      </c>
      <c r="AY90" s="236">
        <f t="shared" si="123"/>
        <v>0</v>
      </c>
      <c r="AZ90" s="236">
        <f t="shared" si="126"/>
        <v>0</v>
      </c>
      <c r="BA90" s="232">
        <f t="shared" si="127"/>
        <v>0</v>
      </c>
      <c r="BB90" s="232">
        <f t="shared" si="128"/>
        <v>0</v>
      </c>
      <c r="BC90" s="228">
        <f t="shared" si="124"/>
        <v>0</v>
      </c>
    </row>
    <row r="91" spans="1:55" outlineLevel="2" collapsed="1" x14ac:dyDescent="0.25">
      <c r="A91" s="222">
        <v>4</v>
      </c>
      <c r="B91" s="233">
        <f>EEFFun!B195</f>
        <v>1499</v>
      </c>
      <c r="C91" s="233" t="str">
        <f>EEFFun!C195</f>
        <v>(Provisiones para créditos incobrables)</v>
      </c>
      <c r="D91" s="235">
        <f>EEFFun!P195</f>
        <v>-1615254.54</v>
      </c>
      <c r="E91" s="235">
        <f>EEFFun!Q195</f>
        <v>-1614105.44</v>
      </c>
      <c r="F91" s="235">
        <f>EEFFun!R195</f>
        <v>-1610345.07</v>
      </c>
      <c r="G91" s="235">
        <f>EEFFun!S195</f>
        <v>-1638012.41</v>
      </c>
      <c r="H91" s="235">
        <f>EEFFun!T195</f>
        <v>-1672236.32</v>
      </c>
      <c r="I91" s="235">
        <f>EEFFun!U195</f>
        <v>-1809112.76</v>
      </c>
      <c r="J91" s="235">
        <f>EEFFun!V195</f>
        <v>-1902226.81</v>
      </c>
      <c r="K91" s="235">
        <f>EEFFun!W195</f>
        <v>-1976006.1</v>
      </c>
      <c r="L91" s="235">
        <f>EEFFun!X195</f>
        <v>-1986495.49</v>
      </c>
      <c r="M91" s="235">
        <f>EEFFun!Y195</f>
        <v>-2052751.74</v>
      </c>
      <c r="N91" s="235">
        <f>EEFFun!Z195</f>
        <v>-2262239.86</v>
      </c>
      <c r="O91" s="235">
        <f>EEFFun!AA195</f>
        <v>-2043119.74</v>
      </c>
      <c r="P91" s="235">
        <f>EEFFun!AB195</f>
        <v>-2069645.61</v>
      </c>
      <c r="Q91" s="235">
        <f>EEFFun!AC195</f>
        <v>-2099214.25</v>
      </c>
      <c r="R91" s="235">
        <f>EEFFun!AD195</f>
        <v>-2220187.35</v>
      </c>
      <c r="S91" s="235">
        <f>EEFFun!AE195</f>
        <v>-2150718.7000000002</v>
      </c>
      <c r="T91" s="235">
        <f>EEFFun!AF195</f>
        <v>-2170112.2200000002</v>
      </c>
      <c r="U91" s="235">
        <f>EEFFun!AG195</f>
        <v>-2205265.2999999998</v>
      </c>
      <c r="V91" s="235">
        <f>EEFFun!AH195</f>
        <v>-2374516.27</v>
      </c>
      <c r="W91" s="235">
        <f>EEFFun!AI195</f>
        <v>-2260724.09</v>
      </c>
      <c r="X91" s="235">
        <f>EEFFun!AJ195</f>
        <v>-2536290.92</v>
      </c>
      <c r="Y91" s="235">
        <f>EEFFun!AK195</f>
        <v>-2809027.88</v>
      </c>
      <c r="Z91" s="235">
        <f>EEFFun!AL195</f>
        <v>-3015068.51</v>
      </c>
      <c r="AA91" s="235">
        <f>EEFFun!AM195</f>
        <v>-2994200.53</v>
      </c>
      <c r="AB91" s="235">
        <f>EEFFun!AN195</f>
        <v>-2710231.16</v>
      </c>
      <c r="AC91" s="235">
        <f>EEFFun!AO195</f>
        <v>-2606859.4900000002</v>
      </c>
      <c r="AD91" s="235">
        <f>EEFFun!AP195</f>
        <v>-2604526.69</v>
      </c>
      <c r="AE91" s="235">
        <f>EEFFun!AQ195</f>
        <v>-2563097.0299999998</v>
      </c>
      <c r="AF91" s="235">
        <f>EEFFun!AR195</f>
        <v>-2515936.63</v>
      </c>
      <c r="AG91" s="235">
        <f>EEFFun!AS195</f>
        <v>-2562615.0499999998</v>
      </c>
      <c r="AH91" s="235">
        <f>EEFFun!AT195</f>
        <v>-2577376.66</v>
      </c>
      <c r="AI91" s="235">
        <f>EEFFun!AU195</f>
        <v>-2652446.65</v>
      </c>
      <c r="AJ91" s="235">
        <f>EEFFun!AV195</f>
        <v>-2693930.34</v>
      </c>
      <c r="AK91" s="235">
        <f>EEFFun!AW195</f>
        <v>-2735065.78</v>
      </c>
      <c r="AL91" s="235">
        <f>EEFFun!AX195</f>
        <v>-1090856.57</v>
      </c>
      <c r="AM91" s="236">
        <f t="shared" ref="AM91:AS91" si="144">SUM(AM92:AM101)</f>
        <v>-1172423.4867143782</v>
      </c>
      <c r="AN91" s="236">
        <f t="shared" si="144"/>
        <v>-1253371.7209947878</v>
      </c>
      <c r="AO91" s="236">
        <f t="shared" si="144"/>
        <v>-1331581.039301587</v>
      </c>
      <c r="AP91" s="236">
        <f t="shared" si="144"/>
        <v>-1403594.2560028466</v>
      </c>
      <c r="AQ91" s="236">
        <f t="shared" si="144"/>
        <v>-1478690.9712589432</v>
      </c>
      <c r="AR91" s="236">
        <f t="shared" si="144"/>
        <v>-1552802.4693161289</v>
      </c>
      <c r="AS91" s="236">
        <f t="shared" si="144"/>
        <v>-1625320.9150321614</v>
      </c>
      <c r="AT91" s="236">
        <f t="shared" ref="AT91:AX91" si="145">SUM(AT92:AT101)</f>
        <v>-1669410.0761672717</v>
      </c>
      <c r="AU91" s="236">
        <f t="shared" si="145"/>
        <v>-1697346.1651061012</v>
      </c>
      <c r="AV91" s="236">
        <f t="shared" si="145"/>
        <v>-1698192.4562759202</v>
      </c>
      <c r="AW91" s="236">
        <f t="shared" si="145"/>
        <v>-1686450.1683592827</v>
      </c>
      <c r="AX91" s="236">
        <f t="shared" si="145"/>
        <v>-2181868.903976813</v>
      </c>
      <c r="AY91" s="236">
        <f t="shared" si="123"/>
        <v>192647.36602318706</v>
      </c>
      <c r="AZ91" s="236">
        <f t="shared" si="126"/>
        <v>-112223.29397681286</v>
      </c>
      <c r="BA91" s="247">
        <f t="shared" si="127"/>
        <v>-5.4230854441304349E-2</v>
      </c>
      <c r="BB91" s="247">
        <f t="shared" si="128"/>
        <v>-1.6313968134163529E-2</v>
      </c>
      <c r="BC91" s="228">
        <f t="shared" si="124"/>
        <v>591314.01383272815</v>
      </c>
    </row>
    <row r="92" spans="1:55" outlineLevel="2" collapsed="1" x14ac:dyDescent="0.25">
      <c r="A92" s="222">
        <v>6</v>
      </c>
      <c r="B92" s="233">
        <f>EEFFun!B196</f>
        <v>149905</v>
      </c>
      <c r="C92" s="233" t="str">
        <f>EEFFun!C196</f>
        <v>(CARTERA DE CRÉDITOS PRODUCTIVO )</v>
      </c>
      <c r="D92" s="235">
        <f>EEFFun!P196</f>
        <v>-105673.91</v>
      </c>
      <c r="E92" s="235">
        <f>EEFFun!Q196</f>
        <v>-84286.01</v>
      </c>
      <c r="F92" s="235">
        <f>EEFFun!R196</f>
        <v>-86032.16</v>
      </c>
      <c r="G92" s="235">
        <f>EEFFun!S196</f>
        <v>-75212.08</v>
      </c>
      <c r="H92" s="235">
        <f>EEFFun!T196</f>
        <v>-61188.160000000003</v>
      </c>
      <c r="I92" s="235">
        <f>EEFFun!U196</f>
        <v>-96344.25</v>
      </c>
      <c r="J92" s="235">
        <f>EEFFun!V196</f>
        <v>-91498.68</v>
      </c>
      <c r="K92" s="235">
        <f>EEFFun!W196</f>
        <v>-82823.51999999999</v>
      </c>
      <c r="L92" s="235">
        <f>EEFFun!X196</f>
        <v>-81708.899999999994</v>
      </c>
      <c r="M92" s="235">
        <f>EEFFun!Y196</f>
        <v>-80486.27</v>
      </c>
      <c r="N92" s="235">
        <f>EEFFun!Z196</f>
        <v>-81835.180000000008</v>
      </c>
      <c r="O92" s="235">
        <f>EEFFun!AA196</f>
        <v>-79515.55</v>
      </c>
      <c r="P92" s="235">
        <f>EEFFun!AB196</f>
        <v>-80861.600000000006</v>
      </c>
      <c r="Q92" s="235">
        <f>EEFFun!AC196</f>
        <v>-79730.009999999995</v>
      </c>
      <c r="R92" s="235">
        <f>EEFFun!AD196</f>
        <v>-79177.78</v>
      </c>
      <c r="S92" s="235">
        <f>EEFFun!AE196</f>
        <v>-82531.22</v>
      </c>
      <c r="T92" s="235">
        <f>EEFFun!AF196</f>
        <v>-84508.45</v>
      </c>
      <c r="U92" s="235">
        <f>EEFFun!AG196</f>
        <v>-84240.960000000006</v>
      </c>
      <c r="V92" s="235">
        <f>EEFFun!AH196</f>
        <v>-82987.34</v>
      </c>
      <c r="W92" s="235">
        <f>EEFFun!AI196</f>
        <v>-82157.97</v>
      </c>
      <c r="X92" s="235">
        <f>EEFFun!AJ196</f>
        <v>-83720.23</v>
      </c>
      <c r="Y92" s="235">
        <f>EEFFun!AK196</f>
        <v>-82535.22</v>
      </c>
      <c r="Z92" s="235">
        <f>EEFFun!AL196</f>
        <v>-83589.63</v>
      </c>
      <c r="AA92" s="235">
        <f>EEFFun!AM196</f>
        <v>-83070.39</v>
      </c>
      <c r="AB92" s="235">
        <f>EEFFun!AN196</f>
        <v>-7676.63</v>
      </c>
      <c r="AC92" s="235">
        <f>EEFFun!AO196</f>
        <v>-9622.48</v>
      </c>
      <c r="AD92" s="235">
        <f>EEFFun!AP196</f>
        <v>-5652.23</v>
      </c>
      <c r="AE92" s="235">
        <f>EEFFun!AQ196</f>
        <v>-7804.5</v>
      </c>
      <c r="AF92" s="235">
        <f>EEFFun!AR196</f>
        <v>-7018.52</v>
      </c>
      <c r="AG92" s="235">
        <f>EEFFun!AS196</f>
        <v>-5629.41</v>
      </c>
      <c r="AH92" s="235">
        <f>EEFFun!AT196</f>
        <v>-7527.35</v>
      </c>
      <c r="AI92" s="235">
        <f>EEFFun!AU196</f>
        <v>-5971.2</v>
      </c>
      <c r="AJ92" s="235">
        <f>EEFFun!AV196</f>
        <v>-6217.28</v>
      </c>
      <c r="AK92" s="235">
        <f>EEFFun!AW196</f>
        <v>-7249.65</v>
      </c>
      <c r="AL92" s="235">
        <f>EEFFun!AX196</f>
        <v>-4698.8599999999997</v>
      </c>
      <c r="AM92" s="235">
        <f>RecupProv!C83</f>
        <v>-4693.301703501048</v>
      </c>
      <c r="AN92" s="235">
        <f>RecupProv!D83</f>
        <v>-4693.0123120344006</v>
      </c>
      <c r="AO92" s="235">
        <f>RecupProv!E83</f>
        <v>-4687.0122297607013</v>
      </c>
      <c r="AP92" s="235">
        <f>RecupProv!F83</f>
        <v>-4680.8008134954553</v>
      </c>
      <c r="AQ92" s="235">
        <f>RecupProv!G83</f>
        <v>-4678.2032268798566</v>
      </c>
      <c r="AR92" s="235">
        <f>RecupProv!H83</f>
        <v>-4674.8788555848041</v>
      </c>
      <c r="AS92" s="235">
        <f>RecupProv!I83</f>
        <v>-4678.8733711490695</v>
      </c>
      <c r="AT92" s="235">
        <f>RecupProv!J83</f>
        <v>-4682.0386540206009</v>
      </c>
      <c r="AU92" s="235">
        <f>RecupProv!K83</f>
        <v>-4682.9648765180518</v>
      </c>
      <c r="AV92" s="235">
        <f>RecupProv!L83</f>
        <v>-4691.2967456239594</v>
      </c>
      <c r="AW92" s="235">
        <f>RecupProv!M83</f>
        <v>-4702.2910788544696</v>
      </c>
      <c r="AX92" s="235">
        <f>RecupProv!N83</f>
        <v>-4698.8599999999997</v>
      </c>
      <c r="AY92" s="236">
        <f t="shared" si="123"/>
        <v>78288.479999999996</v>
      </c>
      <c r="AZ92" s="236">
        <f t="shared" si="126"/>
        <v>76162.740000000005</v>
      </c>
      <c r="BA92" s="247">
        <f t="shared" si="127"/>
        <v>-2.118813790294743E-3</v>
      </c>
      <c r="BB92" s="247">
        <f t="shared" si="128"/>
        <v>-3.5133665531955485E-5</v>
      </c>
      <c r="BC92" s="228">
        <f t="shared" si="124"/>
        <v>77475.931345979407</v>
      </c>
    </row>
    <row r="93" spans="1:55" outlineLevel="2" collapsed="1" x14ac:dyDescent="0.25">
      <c r="A93" s="222">
        <v>6</v>
      </c>
      <c r="B93" s="233">
        <f>EEFFun!B198</f>
        <v>149910</v>
      </c>
      <c r="C93" s="233" t="str">
        <f>EEFFun!C198</f>
        <v>(CARTERA DE CRÉDITOS CONSUMO )</v>
      </c>
      <c r="D93" s="235">
        <f>EEFFun!P198</f>
        <v>-822756.82</v>
      </c>
      <c r="E93" s="235">
        <f>EEFFun!Q198</f>
        <v>-985160.79</v>
      </c>
      <c r="F93" s="235">
        <f>EEFFun!R198</f>
        <v>-1042014.42</v>
      </c>
      <c r="G93" s="235">
        <f>EEFFun!S198</f>
        <v>-1099288.42</v>
      </c>
      <c r="H93" s="235">
        <f>EEFFun!T198</f>
        <v>-1110490.32</v>
      </c>
      <c r="I93" s="235">
        <f>EEFFun!U198</f>
        <v>-1184528.48</v>
      </c>
      <c r="J93" s="235">
        <f>EEFFun!V198</f>
        <v>-1232812.8500000001</v>
      </c>
      <c r="K93" s="235">
        <f>EEFFun!W198</f>
        <v>-1251395.71</v>
      </c>
      <c r="L93" s="235">
        <f>EEFFun!X198</f>
        <v>-1264232.22</v>
      </c>
      <c r="M93" s="235">
        <f>EEFFun!Y198</f>
        <v>-1271765.2</v>
      </c>
      <c r="N93" s="235">
        <f>EEFFun!Z198</f>
        <v>-1437389.15</v>
      </c>
      <c r="O93" s="235">
        <f>EEFFun!AA198</f>
        <v>-1212780.8700000001</v>
      </c>
      <c r="P93" s="235">
        <f>EEFFun!AB198</f>
        <v>-1221721.75</v>
      </c>
      <c r="Q93" s="235">
        <f>EEFFun!AC198</f>
        <v>-1266233.52</v>
      </c>
      <c r="R93" s="235">
        <f>EEFFun!AD198</f>
        <v>-1311264.82</v>
      </c>
      <c r="S93" s="235">
        <f>EEFFun!AE198</f>
        <v>-1246883.5</v>
      </c>
      <c r="T93" s="235">
        <f>EEFFun!AF198</f>
        <v>-1230838.5900000001</v>
      </c>
      <c r="U93" s="235">
        <f>EEFFun!AG198</f>
        <v>-1242565.33</v>
      </c>
      <c r="V93" s="235">
        <f>EEFFun!AH198</f>
        <v>-1383865.34</v>
      </c>
      <c r="W93" s="235">
        <f>EEFFun!AI198</f>
        <v>-1302535.0900000001</v>
      </c>
      <c r="X93" s="235">
        <f>EEFFun!AJ198</f>
        <v>-1436781.33</v>
      </c>
      <c r="Y93" s="235">
        <f>EEFFun!AK198</f>
        <v>-1614528.32</v>
      </c>
      <c r="Z93" s="235">
        <f>EEFFun!AL198</f>
        <v>-1751043.8</v>
      </c>
      <c r="AA93" s="235">
        <f>EEFFun!AM198</f>
        <v>-1824919.9</v>
      </c>
      <c r="AB93" s="235">
        <f>EEFFun!AN198</f>
        <v>-372166.7</v>
      </c>
      <c r="AC93" s="235">
        <f>EEFFun!AO198</f>
        <v>-319633.86</v>
      </c>
      <c r="AD93" s="235">
        <f>EEFFun!AP198</f>
        <v>-338147.16</v>
      </c>
      <c r="AE93" s="235">
        <f>EEFFun!AQ198</f>
        <v>-341728.27</v>
      </c>
      <c r="AF93" s="235">
        <f>EEFFun!AR198</f>
        <v>-353342.98</v>
      </c>
      <c r="AG93" s="235">
        <f>EEFFun!AS198</f>
        <v>-381166.24</v>
      </c>
      <c r="AH93" s="235">
        <f>EEFFun!AT198</f>
        <v>-403315.7</v>
      </c>
      <c r="AI93" s="235">
        <f>EEFFun!AU198</f>
        <v>-486065.27</v>
      </c>
      <c r="AJ93" s="235">
        <f>EEFFun!AV198</f>
        <v>-441465.77</v>
      </c>
      <c r="AK93" s="235">
        <f>EEFFun!AW198</f>
        <v>-459271.08</v>
      </c>
      <c r="AL93" s="235">
        <f>EEFFun!AX198</f>
        <v>-514259.37</v>
      </c>
      <c r="AM93" s="235">
        <f>RecupProv!C84</f>
        <v>-574340.96950784547</v>
      </c>
      <c r="AN93" s="235">
        <f>RecupProv!D84</f>
        <v>-633089.37793931982</v>
      </c>
      <c r="AO93" s="235">
        <f>RecupProv!E84</f>
        <v>-689649.253962168</v>
      </c>
      <c r="AP93" s="235">
        <f>RecupProv!F84</f>
        <v>-740241.07437008922</v>
      </c>
      <c r="AQ93" s="235">
        <f>RecupProv!G84</f>
        <v>-794284.38643943239</v>
      </c>
      <c r="AR93" s="235">
        <f>RecupProv!H84</f>
        <v>-847455.43907105329</v>
      </c>
      <c r="AS93" s="235">
        <f>RecupProv!I84</f>
        <v>-899404.79633884074</v>
      </c>
      <c r="AT93" s="235">
        <f>RecupProv!J84</f>
        <v>-931116.55208799057</v>
      </c>
      <c r="AU93" s="235">
        <f>RecupProv!K84</f>
        <v>-960026.16555847088</v>
      </c>
      <c r="AV93" s="235">
        <f>RecupProv!L84</f>
        <v>-974982.12524595985</v>
      </c>
      <c r="AW93" s="235">
        <f>RecupProv!M84</f>
        <v>-977756.04921419674</v>
      </c>
      <c r="AX93" s="235">
        <f>RecupProv!N84</f>
        <v>-988065.88095036382</v>
      </c>
      <c r="AY93" s="236">
        <f t="shared" si="123"/>
        <v>395799.45904963627</v>
      </c>
      <c r="AZ93" s="236">
        <f t="shared" si="126"/>
        <v>233655.86904963618</v>
      </c>
      <c r="BA93" s="247">
        <f t="shared" si="127"/>
        <v>-3.2012734002332711E-2</v>
      </c>
      <c r="BB93" s="247">
        <f t="shared" si="128"/>
        <v>-7.387829427743544E-3</v>
      </c>
      <c r="BC93" s="228">
        <f t="shared" si="124"/>
        <v>371418.53791200952</v>
      </c>
    </row>
    <row r="94" spans="1:55" outlineLevel="2" collapsed="1" x14ac:dyDescent="0.25">
      <c r="A94" s="222">
        <v>6</v>
      </c>
      <c r="B94" s="233">
        <f>EEFFun!B200</f>
        <v>149915</v>
      </c>
      <c r="C94" s="233" t="str">
        <f>EEFFun!C200</f>
        <v>(CARTERA DE CREDITO INMOBILIARIO)</v>
      </c>
      <c r="D94" s="235">
        <f>EEFFun!P200</f>
        <v>-1</v>
      </c>
      <c r="E94" s="235">
        <f>EEFFun!Q200</f>
        <v>-1</v>
      </c>
      <c r="F94" s="235">
        <f>EEFFun!R200</f>
        <v>-1</v>
      </c>
      <c r="G94" s="235">
        <f>EEFFun!S200</f>
        <v>-1</v>
      </c>
      <c r="H94" s="235">
        <f>EEFFun!T200</f>
        <v>-1</v>
      </c>
      <c r="I94" s="235">
        <f>EEFFun!U200</f>
        <v>-1</v>
      </c>
      <c r="J94" s="235">
        <f>EEFFun!V200</f>
        <v>-1</v>
      </c>
      <c r="K94" s="235">
        <f>EEFFun!W200</f>
        <v>-1</v>
      </c>
      <c r="L94" s="235">
        <f>EEFFun!X200</f>
        <v>-1</v>
      </c>
      <c r="M94" s="235">
        <f>EEFFun!Y200</f>
        <v>-1</v>
      </c>
      <c r="N94" s="235">
        <f>EEFFun!Z200</f>
        <v>-1</v>
      </c>
      <c r="O94" s="235">
        <f>EEFFun!AA200</f>
        <v>-1</v>
      </c>
      <c r="P94" s="235">
        <f>EEFFun!AB200</f>
        <v>-1</v>
      </c>
      <c r="Q94" s="235">
        <f>EEFFun!AC200</f>
        <v>0</v>
      </c>
      <c r="R94" s="235">
        <f>EEFFun!AD200</f>
        <v>0</v>
      </c>
      <c r="S94" s="235">
        <f>EEFFun!AE200</f>
        <v>0</v>
      </c>
      <c r="T94" s="235">
        <f>EEFFun!AF200</f>
        <v>0</v>
      </c>
      <c r="U94" s="235">
        <f>EEFFun!AG200</f>
        <v>0</v>
      </c>
      <c r="V94" s="235">
        <f>EEFFun!AH200</f>
        <v>0</v>
      </c>
      <c r="W94" s="235">
        <f>EEFFun!AI200</f>
        <v>0</v>
      </c>
      <c r="X94" s="235">
        <f>EEFFun!AJ200</f>
        <v>0</v>
      </c>
      <c r="Y94" s="235">
        <f>EEFFun!AK200</f>
        <v>0</v>
      </c>
      <c r="Z94" s="235">
        <f>EEFFun!AL200</f>
        <v>0</v>
      </c>
      <c r="AA94" s="235">
        <f>EEFFun!AM200</f>
        <v>0</v>
      </c>
      <c r="AB94" s="235">
        <f>EEFFun!AN200</f>
        <v>0</v>
      </c>
      <c r="AC94" s="235">
        <f>EEFFun!AO200</f>
        <v>0</v>
      </c>
      <c r="AD94" s="235">
        <f>EEFFun!AP200</f>
        <v>0</v>
      </c>
      <c r="AE94" s="235">
        <f>EEFFun!AQ200</f>
        <v>0</v>
      </c>
      <c r="AF94" s="235">
        <f>EEFFun!AR200</f>
        <v>0</v>
      </c>
      <c r="AG94" s="235">
        <f>EEFFun!AS200</f>
        <v>0</v>
      </c>
      <c r="AH94" s="235">
        <f>EEFFun!AT200</f>
        <v>0</v>
      </c>
      <c r="AI94" s="235">
        <f>EEFFun!AU200</f>
        <v>0</v>
      </c>
      <c r="AJ94" s="235">
        <f>EEFFun!AV200</f>
        <v>0</v>
      </c>
      <c r="AK94" s="235">
        <f>EEFFun!AW200</f>
        <v>0</v>
      </c>
      <c r="AL94" s="235">
        <f>EEFFun!AX200</f>
        <v>0</v>
      </c>
      <c r="AM94" s="237">
        <v>-1</v>
      </c>
      <c r="AN94" s="237">
        <v>-1</v>
      </c>
      <c r="AO94" s="237">
        <v>-1</v>
      </c>
      <c r="AP94" s="237">
        <v>-1</v>
      </c>
      <c r="AQ94" s="237">
        <v>-1</v>
      </c>
      <c r="AR94" s="237">
        <v>-1</v>
      </c>
      <c r="AS94" s="237">
        <v>-1</v>
      </c>
      <c r="AT94" s="237">
        <v>-1</v>
      </c>
      <c r="AU94" s="237">
        <v>-1</v>
      </c>
      <c r="AV94" s="237">
        <v>-1</v>
      </c>
      <c r="AW94" s="237">
        <v>-1</v>
      </c>
      <c r="AX94" s="237">
        <v>-1</v>
      </c>
      <c r="AY94" s="236">
        <f t="shared" si="123"/>
        <v>-1</v>
      </c>
      <c r="AZ94" s="236">
        <f t="shared" si="126"/>
        <v>0</v>
      </c>
      <c r="BA94" s="247">
        <f t="shared" si="127"/>
        <v>-2.6202966430230704E-8</v>
      </c>
      <c r="BB94" s="247">
        <f t="shared" si="128"/>
        <v>-7.4770615706693727E-9</v>
      </c>
      <c r="BC94" s="228">
        <f t="shared" si="124"/>
        <v>-1</v>
      </c>
    </row>
    <row r="95" spans="1:55" outlineLevel="2" collapsed="1" x14ac:dyDescent="0.25">
      <c r="A95" s="222">
        <v>6</v>
      </c>
      <c r="B95" s="233">
        <f>EEFFun!B202</f>
        <v>149920</v>
      </c>
      <c r="C95" s="233" t="str">
        <f>EEFFun!C202</f>
        <v>(CARTERA DE MICROCRÉDITO )</v>
      </c>
      <c r="D95" s="235">
        <f>EEFFun!P202</f>
        <v>-142248.12</v>
      </c>
      <c r="E95" s="235">
        <f>EEFFun!Q202</f>
        <v>-226754.59</v>
      </c>
      <c r="F95" s="235">
        <f>EEFFun!R202</f>
        <v>-264203.17</v>
      </c>
      <c r="G95" s="235">
        <f>EEFFun!S202</f>
        <v>-298723.78999999998</v>
      </c>
      <c r="H95" s="235">
        <f>EEFFun!T202</f>
        <v>-337735.91</v>
      </c>
      <c r="I95" s="235">
        <f>EEFFun!U202</f>
        <v>-372792.55</v>
      </c>
      <c r="J95" s="235">
        <f>EEFFun!V202</f>
        <v>-423376.16</v>
      </c>
      <c r="K95" s="235">
        <f>EEFFun!W202</f>
        <v>-468457.31999999995</v>
      </c>
      <c r="L95" s="235">
        <f>EEFFun!X202</f>
        <v>-426626.95</v>
      </c>
      <c r="M95" s="235">
        <f>EEFFun!Y202</f>
        <v>-453662.7</v>
      </c>
      <c r="N95" s="235">
        <f>EEFFun!Z202</f>
        <v>-493283.05</v>
      </c>
      <c r="O95" s="235">
        <f>EEFFun!AA202</f>
        <v>-474809.64</v>
      </c>
      <c r="P95" s="235">
        <f>EEFFun!AB202</f>
        <v>-483028.52</v>
      </c>
      <c r="Q95" s="235">
        <f>EEFFun!AC202</f>
        <v>-522867.74</v>
      </c>
      <c r="R95" s="235">
        <f>EEFFun!AD202</f>
        <v>-573683.67000000004</v>
      </c>
      <c r="S95" s="235">
        <f>EEFFun!AE202</f>
        <v>-549988.26</v>
      </c>
      <c r="T95" s="235">
        <f>EEFFun!AF202</f>
        <v>-581331.82999999996</v>
      </c>
      <c r="U95" s="235">
        <f>EEFFun!AG202</f>
        <v>-615345.26</v>
      </c>
      <c r="V95" s="235">
        <f>EEFFun!AH202</f>
        <v>-622303.18999999994</v>
      </c>
      <c r="W95" s="235">
        <f>EEFFun!AI202</f>
        <v>-588770.92000000004</v>
      </c>
      <c r="X95" s="235">
        <f>EEFFun!AJ202</f>
        <v>-682593.65</v>
      </c>
      <c r="Y95" s="235">
        <f>EEFFun!AK202</f>
        <v>-730953.14</v>
      </c>
      <c r="Z95" s="235">
        <f>EEFFun!AL202</f>
        <v>-832906.94</v>
      </c>
      <c r="AA95" s="235">
        <f>EEFFun!AM202</f>
        <v>-797632.57</v>
      </c>
      <c r="AB95" s="235">
        <f>EEFFun!AN202</f>
        <v>-126415.22</v>
      </c>
      <c r="AC95" s="235">
        <f>EEFFun!AO202</f>
        <v>-127642.14</v>
      </c>
      <c r="AD95" s="235">
        <f>EEFFun!AP202</f>
        <v>-156296.82999999999</v>
      </c>
      <c r="AE95" s="235">
        <f>EEFFun!AQ202</f>
        <v>-163232.81</v>
      </c>
      <c r="AF95" s="235">
        <f>EEFFun!AR202</f>
        <v>-152889.13</v>
      </c>
      <c r="AG95" s="235">
        <f>EEFFun!AS202</f>
        <v>-166966.03</v>
      </c>
      <c r="AH95" s="235">
        <f>EEFFun!AT202</f>
        <v>-204050.14</v>
      </c>
      <c r="AI95" s="235">
        <f>EEFFun!AU202</f>
        <v>-235371.18</v>
      </c>
      <c r="AJ95" s="235">
        <f>EEFFun!AV202</f>
        <v>-275932.86</v>
      </c>
      <c r="AK95" s="235">
        <f>EEFFun!AW202</f>
        <v>-267714.03000000003</v>
      </c>
      <c r="AL95" s="235">
        <f>EEFFun!AX202</f>
        <v>-224495.77</v>
      </c>
      <c r="AM95" s="235">
        <f>RecupProv!C86</f>
        <v>-246816.2447214209</v>
      </c>
      <c r="AN95" s="235">
        <f>RecupProv!D86</f>
        <v>-268795.0418855687</v>
      </c>
      <c r="AO95" s="235">
        <f>RecupProv!E86</f>
        <v>-290398.94067513407</v>
      </c>
      <c r="AP95" s="235">
        <f>RecupProv!F86</f>
        <v>-311741.77632943215</v>
      </c>
      <c r="AQ95" s="235">
        <f>RecupProv!G86</f>
        <v>-332776.08871418232</v>
      </c>
      <c r="AR95" s="235">
        <f>RecupProv!H86</f>
        <v>-353689.40898136771</v>
      </c>
      <c r="AS95" s="235">
        <f>RecupProv!I86</f>
        <v>-374286.51237873372</v>
      </c>
      <c r="AT95" s="235">
        <f>RecupProv!J86</f>
        <v>-386716.01499119442</v>
      </c>
      <c r="AU95" s="235">
        <f>RecupProv!K86</f>
        <v>-385813.98201756133</v>
      </c>
      <c r="AV95" s="235">
        <f>RecupProv!L86</f>
        <v>-371830.13091862196</v>
      </c>
      <c r="AW95" s="235">
        <f>RecupProv!M86</f>
        <v>-357403.02028999536</v>
      </c>
      <c r="AX95" s="235">
        <f>RecupProv!N86</f>
        <v>-342676.11229174555</v>
      </c>
      <c r="AY95" s="236">
        <f t="shared" si="123"/>
        <v>279627.07770825439</v>
      </c>
      <c r="AZ95" s="236">
        <f t="shared" si="126"/>
        <v>140352.40770825447</v>
      </c>
      <c r="BA95" s="247">
        <f t="shared" si="127"/>
        <v>-1.265678009440402E-2</v>
      </c>
      <c r="BB95" s="247">
        <f t="shared" si="128"/>
        <v>-2.562210390402993E-3</v>
      </c>
      <c r="BC95" s="228">
        <f t="shared" si="124"/>
        <v>202054.90500880562</v>
      </c>
    </row>
    <row r="96" spans="1:55" outlineLevel="2" collapsed="1" x14ac:dyDescent="0.25">
      <c r="A96" s="222">
        <v>6</v>
      </c>
      <c r="B96" s="233">
        <f>EEFFun!B204</f>
        <v>149945</v>
      </c>
      <c r="C96" s="233" t="str">
        <f>EEFFun!C204</f>
        <v>(CARTERA DE CREDITO REFINANCIADA)</v>
      </c>
      <c r="D96" s="235">
        <f>EEFFun!P204</f>
        <v>-7275.36</v>
      </c>
      <c r="E96" s="235">
        <f>EEFFun!Q204</f>
        <v>-7394.6</v>
      </c>
      <c r="F96" s="235">
        <f>EEFFun!R204</f>
        <v>-7326.18</v>
      </c>
      <c r="G96" s="235">
        <f>EEFFun!S204</f>
        <v>-7435.93</v>
      </c>
      <c r="H96" s="235">
        <f>EEFFun!T204</f>
        <v>-7736.66</v>
      </c>
      <c r="I96" s="235">
        <f>EEFFun!U204</f>
        <v>-9345.7999999999993</v>
      </c>
      <c r="J96" s="235">
        <f>EEFFun!V204</f>
        <v>-11520.46</v>
      </c>
      <c r="K96" s="235">
        <f>EEFFun!W204</f>
        <v>-14554.06</v>
      </c>
      <c r="L96" s="235">
        <f>EEFFun!X204</f>
        <v>-15682.24</v>
      </c>
      <c r="M96" s="235">
        <f>EEFFun!Y204</f>
        <v>-16490.189999999999</v>
      </c>
      <c r="N96" s="235">
        <f>EEFFun!Z204</f>
        <v>-17242.949999999997</v>
      </c>
      <c r="O96" s="235">
        <f>EEFFun!AA204</f>
        <v>-26054.63</v>
      </c>
      <c r="P96" s="235">
        <f>EEFFun!AB204</f>
        <v>-43026.23</v>
      </c>
      <c r="Q96" s="235">
        <f>EEFFun!AC204</f>
        <v>-64372.72</v>
      </c>
      <c r="R96" s="235">
        <f>EEFFun!AD204</f>
        <v>-73482.83</v>
      </c>
      <c r="S96" s="235">
        <f>EEFFun!AE204</f>
        <v>-80920.820000000007</v>
      </c>
      <c r="T96" s="235">
        <f>EEFFun!AF204</f>
        <v>-82715.14</v>
      </c>
      <c r="U96" s="235">
        <f>EEFFun!AG204</f>
        <v>-90610.3</v>
      </c>
      <c r="V96" s="235">
        <f>EEFFun!AH204</f>
        <v>-95865.1</v>
      </c>
      <c r="W96" s="235">
        <f>EEFFun!AI204</f>
        <v>-87959.15</v>
      </c>
      <c r="X96" s="235">
        <f>EEFFun!AJ204</f>
        <v>-117734.74</v>
      </c>
      <c r="Y96" s="235">
        <f>EEFFun!AK204</f>
        <v>-148857.67000000001</v>
      </c>
      <c r="Z96" s="235">
        <f>EEFFun!AL204</f>
        <v>-125790.49</v>
      </c>
      <c r="AA96" s="235">
        <f>EEFFun!AM204</f>
        <v>-123864.16</v>
      </c>
      <c r="AB96" s="235">
        <f>EEFFun!AN204</f>
        <v>-8909.77</v>
      </c>
      <c r="AC96" s="235">
        <f>EEFFun!AO204</f>
        <v>-12658.63</v>
      </c>
      <c r="AD96" s="235">
        <f>EEFFun!AP204</f>
        <v>-14728.91</v>
      </c>
      <c r="AE96" s="235">
        <f>EEFFun!AQ204</f>
        <v>-20272.689999999999</v>
      </c>
      <c r="AF96" s="235">
        <f>EEFFun!AR204</f>
        <v>-15767.98</v>
      </c>
      <c r="AG96" s="235">
        <f>EEFFun!AS204</f>
        <v>-15276.43</v>
      </c>
      <c r="AH96" s="235">
        <f>EEFFun!AT204</f>
        <v>-14103.62</v>
      </c>
      <c r="AI96" s="235">
        <f>EEFFun!AU204</f>
        <v>-14648.55</v>
      </c>
      <c r="AJ96" s="235">
        <f>EEFFun!AV204</f>
        <v>-18750.39</v>
      </c>
      <c r="AK96" s="235">
        <f>EEFFun!AW204</f>
        <v>-22385.17</v>
      </c>
      <c r="AL96" s="235">
        <f>EEFFun!AX204</f>
        <v>-19986.8</v>
      </c>
      <c r="AM96" s="235">
        <f>RecupProv!C87</f>
        <v>-20830.48881671852</v>
      </c>
      <c r="AN96" s="235">
        <f>RecupProv!D87</f>
        <v>-20906.056397709515</v>
      </c>
      <c r="AO96" s="235">
        <f>RecupProv!E87</f>
        <v>-20921.252846115905</v>
      </c>
      <c r="AP96" s="235">
        <f>RecupProv!F87</f>
        <v>-20965.441117712424</v>
      </c>
      <c r="AQ96" s="235">
        <f>RecupProv!G87</f>
        <v>-20991.217150976154</v>
      </c>
      <c r="AR96" s="235">
        <f>RecupProv!H87</f>
        <v>-21013.390310656549</v>
      </c>
      <c r="AS96" s="235">
        <f>RecupProv!I87</f>
        <v>-21017.332124132616</v>
      </c>
      <c r="AT96" s="235">
        <f>RecupProv!J87</f>
        <v>-21017.228933140661</v>
      </c>
      <c r="AU96" s="235">
        <f>RecupProv!K87</f>
        <v>-21005.937069630283</v>
      </c>
      <c r="AV96" s="235">
        <f>RecupProv!L87</f>
        <v>-20976.696644136216</v>
      </c>
      <c r="AW96" s="235">
        <f>RecupProv!M87</f>
        <v>-20952.692820705517</v>
      </c>
      <c r="AX96" s="235">
        <f>RecupProv!N87</f>
        <v>-20911.063168393746</v>
      </c>
      <c r="AY96" s="236">
        <f t="shared" si="123"/>
        <v>74954.036831606267</v>
      </c>
      <c r="AZ96" s="236">
        <f t="shared" si="126"/>
        <v>22115.166831606257</v>
      </c>
      <c r="BA96" s="247">
        <f t="shared" si="127"/>
        <v>-1.1274148603093853E-3</v>
      </c>
      <c r="BB96" s="247">
        <f t="shared" si="128"/>
        <v>-1.5635330681823659E-4</v>
      </c>
      <c r="BC96" s="228">
        <f t="shared" si="124"/>
        <v>66941.92106685933</v>
      </c>
    </row>
    <row r="97" spans="1:55" outlineLevel="2" collapsed="1" x14ac:dyDescent="0.25">
      <c r="A97" s="222">
        <v>6</v>
      </c>
      <c r="B97" s="233">
        <f>EEFFun!B205</f>
        <v>149950</v>
      </c>
      <c r="C97" s="233" t="str">
        <f>EEFFun!C205</f>
        <v>(CARTERA DE CREDITO REESTRUCTURADA)</v>
      </c>
      <c r="D97" s="235">
        <f>EEFFun!P205</f>
        <v>-115853.18</v>
      </c>
      <c r="E97" s="235">
        <f>EEFFun!Q205</f>
        <v>-123814.9</v>
      </c>
      <c r="F97" s="235">
        <f>EEFFun!R205</f>
        <v>-119328.19</v>
      </c>
      <c r="G97" s="235">
        <f>EEFFun!S205</f>
        <v>-125424.32000000001</v>
      </c>
      <c r="H97" s="235">
        <f>EEFFun!T205</f>
        <v>-123157.4</v>
      </c>
      <c r="I97" s="235">
        <f>EEFFun!U205</f>
        <v>-114173.81</v>
      </c>
      <c r="J97" s="235">
        <f>EEFFun!V205</f>
        <v>-111090.79</v>
      </c>
      <c r="K97" s="235">
        <f>EEFFun!W205</f>
        <v>-126847.62</v>
      </c>
      <c r="L97" s="235">
        <f>EEFFun!X205</f>
        <v>-166317.31</v>
      </c>
      <c r="M97" s="235">
        <f>EEFFun!Y205</f>
        <v>-198419.51</v>
      </c>
      <c r="N97" s="235">
        <f>EEFFun!Z205</f>
        <v>-200561.66</v>
      </c>
      <c r="O97" s="235">
        <f>EEFFun!AA205</f>
        <v>-218031.18</v>
      </c>
      <c r="P97" s="235">
        <f>EEFFun!AB205</f>
        <v>-209079.64</v>
      </c>
      <c r="Q97" s="235">
        <f>EEFFun!AC205</f>
        <v>-134083.39000000001</v>
      </c>
      <c r="R97" s="235">
        <f>EEFFun!AD205</f>
        <v>-150651.38</v>
      </c>
      <c r="S97" s="235">
        <f>EEFFun!AE205</f>
        <v>-158468.03</v>
      </c>
      <c r="T97" s="235">
        <f>EEFFun!AF205</f>
        <v>-158791.34</v>
      </c>
      <c r="U97" s="235">
        <f>EEFFun!AG205</f>
        <v>-140576.57999999999</v>
      </c>
      <c r="V97" s="235">
        <f>EEFFun!AH205</f>
        <v>-157568.43</v>
      </c>
      <c r="W97" s="235">
        <f>EEFFun!AI205</f>
        <v>-167374.09</v>
      </c>
      <c r="X97" s="235">
        <f>EEFFun!AJ205</f>
        <v>-183534.1</v>
      </c>
      <c r="Y97" s="235">
        <f>EEFFun!AK205</f>
        <v>-200226.66</v>
      </c>
      <c r="Z97" s="235">
        <f>EEFFun!AL205</f>
        <v>-189810.78</v>
      </c>
      <c r="AA97" s="235">
        <f>EEFFun!AM205</f>
        <v>-132786.64000000001</v>
      </c>
      <c r="AB97" s="235">
        <f>EEFFun!AN205</f>
        <v>-21590.49</v>
      </c>
      <c r="AC97" s="235">
        <f>EEFFun!AO205</f>
        <v>-19905.150000000001</v>
      </c>
      <c r="AD97" s="235">
        <f>EEFFun!AP205</f>
        <v>-17083.55</v>
      </c>
      <c r="AE97" s="235">
        <f>EEFFun!AQ205</f>
        <v>-13642.99</v>
      </c>
      <c r="AF97" s="235">
        <f>EEFFun!AR205</f>
        <v>-15482.82</v>
      </c>
      <c r="AG97" s="235">
        <f>EEFFun!AS205</f>
        <v>-17378.23</v>
      </c>
      <c r="AH97" s="235">
        <f>EEFFun!AT205</f>
        <v>-28201.03</v>
      </c>
      <c r="AI97" s="235">
        <f>EEFFun!AU205</f>
        <v>-37040.550000000003</v>
      </c>
      <c r="AJ97" s="235">
        <f>EEFFun!AV205</f>
        <v>-27341.599999999999</v>
      </c>
      <c r="AK97" s="235">
        <f>EEFFun!AW205</f>
        <v>-18826.47</v>
      </c>
      <c r="AL97" s="235">
        <f>EEFFun!AX205</f>
        <v>-15798.23</v>
      </c>
      <c r="AM97" s="235">
        <f>RecupProv!C88</f>
        <v>-14123.941964892369</v>
      </c>
      <c r="AN97" s="235">
        <f>RecupProv!D88</f>
        <v>-14269.692460155486</v>
      </c>
      <c r="AO97" s="235">
        <f>RecupProv!E88</f>
        <v>-14306.039588408561</v>
      </c>
      <c r="AP97" s="235">
        <f>RecupProv!F88</f>
        <v>-14346.623372117576</v>
      </c>
      <c r="AQ97" s="235">
        <f>RecupProv!G88</f>
        <v>-14342.535727472854</v>
      </c>
      <c r="AR97" s="235">
        <f>RecupProv!H88</f>
        <v>-14350.812097466855</v>
      </c>
      <c r="AS97" s="235">
        <f>RecupProv!I88</f>
        <v>-14314.860819305433</v>
      </c>
      <c r="AT97" s="235">
        <f>RecupProv!J88</f>
        <v>-14259.701500925783</v>
      </c>
      <c r="AU97" s="235">
        <f>RecupProv!K88</f>
        <v>-14198.575583920741</v>
      </c>
      <c r="AV97" s="235">
        <f>RecupProv!L88</f>
        <v>-14093.666721578535</v>
      </c>
      <c r="AW97" s="235">
        <f>RecupProv!M88</f>
        <v>-14017.574955530934</v>
      </c>
      <c r="AX97" s="235">
        <f>RecupProv!N88</f>
        <v>-13898.447566309645</v>
      </c>
      <c r="AY97" s="236">
        <f t="shared" si="123"/>
        <v>143669.98243369034</v>
      </c>
      <c r="AZ97" s="236">
        <f t="shared" si="126"/>
        <v>195181.19243369036</v>
      </c>
      <c r="BA97" s="247">
        <f t="shared" si="127"/>
        <v>-5.4785067881647212E-3</v>
      </c>
      <c r="BB97" s="247">
        <f t="shared" si="128"/>
        <v>-1.0391954819001711E-4</v>
      </c>
      <c r="BC97" s="228">
        <f t="shared" si="124"/>
        <v>153114.38849907421</v>
      </c>
    </row>
    <row r="98" spans="1:55" outlineLevel="2" collapsed="1" x14ac:dyDescent="0.25">
      <c r="A98" s="222">
        <v>6</v>
      </c>
      <c r="B98" s="233">
        <f>EEFFun!B206</f>
        <v>149980</v>
      </c>
      <c r="C98" s="233" t="str">
        <f>EEFFun!C206</f>
        <v>(PROVISIÓN GENERICA POR TECNOLOGIA CREDITICIA)</v>
      </c>
      <c r="D98" s="235">
        <f>EEFFun!P206</f>
        <v>0</v>
      </c>
      <c r="E98" s="235">
        <f>EEFFun!Q206</f>
        <v>0</v>
      </c>
      <c r="F98" s="235">
        <f>EEFFun!R206</f>
        <v>0</v>
      </c>
      <c r="G98" s="235">
        <f>EEFFun!S206</f>
        <v>0</v>
      </c>
      <c r="H98" s="235">
        <f>EEFFun!T206</f>
        <v>0</v>
      </c>
      <c r="I98" s="235">
        <f>EEFFun!U206</f>
        <v>0</v>
      </c>
      <c r="J98" s="235">
        <f>EEFFun!V206</f>
        <v>0</v>
      </c>
      <c r="K98" s="235">
        <f>EEFFun!W206</f>
        <v>0</v>
      </c>
      <c r="L98" s="235">
        <f>EEFFun!X206</f>
        <v>0</v>
      </c>
      <c r="M98" s="235">
        <f>EEFFun!Y206</f>
        <v>0</v>
      </c>
      <c r="N98" s="235">
        <f>EEFFun!Z206</f>
        <v>0</v>
      </c>
      <c r="O98" s="235">
        <f>EEFFun!AA206</f>
        <v>0</v>
      </c>
      <c r="P98" s="235">
        <f>EEFFun!AB206</f>
        <v>0</v>
      </c>
      <c r="Q98" s="235">
        <f>EEFFun!AC206</f>
        <v>0</v>
      </c>
      <c r="R98" s="235">
        <f>EEFFun!AD206</f>
        <v>0</v>
      </c>
      <c r="S98" s="235">
        <f>EEFFun!AE206</f>
        <v>0</v>
      </c>
      <c r="T98" s="235">
        <f>EEFFun!AF206</f>
        <v>0</v>
      </c>
      <c r="U98" s="235">
        <f>EEFFun!AG206</f>
        <v>0</v>
      </c>
      <c r="V98" s="235">
        <f>EEFFun!AH206</f>
        <v>0</v>
      </c>
      <c r="W98" s="235">
        <f>EEFFun!AI206</f>
        <v>0</v>
      </c>
      <c r="X98" s="235">
        <f>EEFFun!AJ206</f>
        <v>0</v>
      </c>
      <c r="Y98" s="235">
        <f>EEFFun!AK206</f>
        <v>0</v>
      </c>
      <c r="Z98" s="235">
        <f>EEFFun!AL206</f>
        <v>0</v>
      </c>
      <c r="AA98" s="235">
        <f>EEFFun!AM206</f>
        <v>0</v>
      </c>
      <c r="AB98" s="235">
        <f>EEFFun!AN206</f>
        <v>0</v>
      </c>
      <c r="AC98" s="235">
        <f>EEFFun!AO206</f>
        <v>0</v>
      </c>
      <c r="AD98" s="235">
        <f>EEFFun!AP206</f>
        <v>0</v>
      </c>
      <c r="AE98" s="235">
        <f>EEFFun!AQ206</f>
        <v>0</v>
      </c>
      <c r="AF98" s="235">
        <f>EEFFun!AR206</f>
        <v>0</v>
      </c>
      <c r="AG98" s="235">
        <f>EEFFun!AS206</f>
        <v>0</v>
      </c>
      <c r="AH98" s="235">
        <f>EEFFun!AT206</f>
        <v>0</v>
      </c>
      <c r="AI98" s="235">
        <f>EEFFun!AU206</f>
        <v>0</v>
      </c>
      <c r="AJ98" s="235">
        <f>EEFFun!AV206</f>
        <v>0</v>
      </c>
      <c r="AK98" s="235">
        <f>EEFFun!AW206</f>
        <v>0</v>
      </c>
      <c r="AL98" s="235">
        <f>EEFFun!AX206</f>
        <v>0</v>
      </c>
      <c r="AM98" s="235">
        <f>RecupProv!C89</f>
        <v>0</v>
      </c>
      <c r="AN98" s="235">
        <f>RecupProv!D89</f>
        <v>0</v>
      </c>
      <c r="AO98" s="235">
        <f>RecupProv!E89</f>
        <v>0</v>
      </c>
      <c r="AP98" s="235">
        <f>RecupProv!F89</f>
        <v>0</v>
      </c>
      <c r="AQ98" s="235">
        <f>RecupProv!G89</f>
        <v>0</v>
      </c>
      <c r="AR98" s="235">
        <f>RecupProv!H89</f>
        <v>0</v>
      </c>
      <c r="AS98" s="235">
        <f>RecupProv!I89</f>
        <v>0</v>
      </c>
      <c r="AT98" s="235">
        <f>RecupProv!J89</f>
        <v>0</v>
      </c>
      <c r="AU98" s="235">
        <f>RecupProv!K89</f>
        <v>0</v>
      </c>
      <c r="AV98" s="235">
        <f>RecupProv!L89</f>
        <v>0</v>
      </c>
      <c r="AW98" s="235">
        <f>RecupProv!M89</f>
        <v>0</v>
      </c>
      <c r="AX98" s="235">
        <f>RecupProv!N89</f>
        <v>0</v>
      </c>
      <c r="AY98" s="236">
        <f t="shared" si="123"/>
        <v>0</v>
      </c>
      <c r="AZ98" s="236">
        <f t="shared" si="126"/>
        <v>0</v>
      </c>
      <c r="BA98" s="247">
        <f t="shared" si="127"/>
        <v>0</v>
      </c>
      <c r="BB98" s="247">
        <f t="shared" si="128"/>
        <v>0</v>
      </c>
      <c r="BC98" s="228">
        <f t="shared" si="124"/>
        <v>0</v>
      </c>
    </row>
    <row r="99" spans="1:55" outlineLevel="2" collapsed="1" x14ac:dyDescent="0.25">
      <c r="A99" s="222">
        <v>6</v>
      </c>
      <c r="B99" s="233">
        <f>EEFFun!B207</f>
        <v>149985</v>
      </c>
      <c r="C99" s="233" t="str">
        <f>EEFFun!C207</f>
        <v>(PROVISION ANTICICLICA)</v>
      </c>
      <c r="D99" s="235">
        <f>EEFFun!P207</f>
        <v>-29381.42</v>
      </c>
      <c r="E99" s="235">
        <f>EEFFun!Q207</f>
        <v>-29381.42</v>
      </c>
      <c r="F99" s="235">
        <f>EEFFun!R207</f>
        <v>-29381.42</v>
      </c>
      <c r="G99" s="235">
        <f>EEFFun!S207</f>
        <v>-29381.42</v>
      </c>
      <c r="H99" s="235">
        <f>EEFFun!T207</f>
        <v>-29381.42</v>
      </c>
      <c r="I99" s="235">
        <f>EEFFun!U207</f>
        <v>-29381.42</v>
      </c>
      <c r="J99" s="235">
        <f>EEFFun!V207</f>
        <v>-29381.42</v>
      </c>
      <c r="K99" s="235">
        <f>EEFFun!W207</f>
        <v>-29381.42</v>
      </c>
      <c r="L99" s="235">
        <f>EEFFun!X207</f>
        <v>-29381.42</v>
      </c>
      <c r="M99" s="235">
        <f>EEFFun!Y207</f>
        <v>-29381.42</v>
      </c>
      <c r="N99" s="235">
        <f>EEFFun!Z207</f>
        <v>-29381.42</v>
      </c>
      <c r="O99" s="235">
        <f>EEFFun!AA207</f>
        <v>-29381.42</v>
      </c>
      <c r="P99" s="235">
        <f>EEFFun!AB207</f>
        <v>-29381.42</v>
      </c>
      <c r="Q99" s="235">
        <f>EEFFun!AC207</f>
        <v>-29381.42</v>
      </c>
      <c r="R99" s="235">
        <f>EEFFun!AD207</f>
        <v>-29381.42</v>
      </c>
      <c r="S99" s="235">
        <f>EEFFun!AE207</f>
        <v>-29381.42</v>
      </c>
      <c r="T99" s="235">
        <f>EEFFun!AF207</f>
        <v>-29381.42</v>
      </c>
      <c r="U99" s="235">
        <f>EEFFun!AG207</f>
        <v>-29381.42</v>
      </c>
      <c r="V99" s="235">
        <f>EEFFun!AH207</f>
        <v>-29381.42</v>
      </c>
      <c r="W99" s="235">
        <f>EEFFun!AI207</f>
        <v>-29381.42</v>
      </c>
      <c r="X99" s="235">
        <f>EEFFun!AJ207</f>
        <v>-29381.42</v>
      </c>
      <c r="Y99" s="235">
        <f>EEFFun!AK207</f>
        <v>-29381.42</v>
      </c>
      <c r="Z99" s="235">
        <f>EEFFun!AL207</f>
        <v>-29381.42</v>
      </c>
      <c r="AA99" s="235">
        <f>EEFFun!AM207</f>
        <v>-29381.42</v>
      </c>
      <c r="AB99" s="235">
        <f>EEFFun!AN207</f>
        <v>-29381.42</v>
      </c>
      <c r="AC99" s="235">
        <f>EEFFun!AO207</f>
        <v>-29381.42</v>
      </c>
      <c r="AD99" s="235">
        <f>EEFFun!AP207</f>
        <v>-29381.42</v>
      </c>
      <c r="AE99" s="235">
        <f>EEFFun!AQ207</f>
        <v>-29381.42</v>
      </c>
      <c r="AF99" s="235">
        <f>EEFFun!AR207</f>
        <v>-29381.42</v>
      </c>
      <c r="AG99" s="235">
        <f>EEFFun!AS207</f>
        <v>-29381.42</v>
      </c>
      <c r="AH99" s="235">
        <f>EEFFun!AT207</f>
        <v>-29381.42</v>
      </c>
      <c r="AI99" s="235">
        <f>EEFFun!AU207</f>
        <v>-29381.42</v>
      </c>
      <c r="AJ99" s="235">
        <f>EEFFun!AV207</f>
        <v>-29381.42</v>
      </c>
      <c r="AK99" s="235">
        <f>EEFFun!AW207</f>
        <v>-29381.42</v>
      </c>
      <c r="AL99" s="235">
        <f>EEFFun!AX207</f>
        <v>-29381.42</v>
      </c>
      <c r="AM99" s="235">
        <f>RecupProv!C90</f>
        <v>-29381.42</v>
      </c>
      <c r="AN99" s="235">
        <f>RecupProv!D90</f>
        <v>-29381.42</v>
      </c>
      <c r="AO99" s="235">
        <f>RecupProv!E90</f>
        <v>-29381.42</v>
      </c>
      <c r="AP99" s="235">
        <f>RecupProv!F90</f>
        <v>-29381.42</v>
      </c>
      <c r="AQ99" s="235">
        <f>RecupProv!G90</f>
        <v>-29381.42</v>
      </c>
      <c r="AR99" s="235">
        <f>RecupProv!H90</f>
        <v>-29381.42</v>
      </c>
      <c r="AS99" s="235">
        <f>RecupProv!I90</f>
        <v>-29381.42</v>
      </c>
      <c r="AT99" s="235">
        <f>RecupProv!J90</f>
        <v>-29381.42</v>
      </c>
      <c r="AU99" s="235">
        <f>RecupProv!K90</f>
        <v>-29381.42</v>
      </c>
      <c r="AV99" s="235">
        <f>RecupProv!L90</f>
        <v>-29381.42</v>
      </c>
      <c r="AW99" s="235">
        <f>RecupProv!M90</f>
        <v>-29381.42</v>
      </c>
      <c r="AX99" s="235">
        <f>RecupProv!N90</f>
        <v>-29381.42</v>
      </c>
      <c r="AY99" s="236">
        <f t="shared" si="123"/>
        <v>0</v>
      </c>
      <c r="AZ99" s="236">
        <f t="shared" si="126"/>
        <v>0</v>
      </c>
      <c r="BA99" s="247">
        <f t="shared" si="127"/>
        <v>-7.6988036193250894E-4</v>
      </c>
      <c r="BB99" s="247">
        <f t="shared" si="128"/>
        <v>-2.1968668637369648E-4</v>
      </c>
      <c r="BC99" s="228">
        <f t="shared" si="124"/>
        <v>0</v>
      </c>
    </row>
    <row r="100" spans="1:55" outlineLevel="2" collapsed="1" x14ac:dyDescent="0.25">
      <c r="A100" s="222">
        <v>6</v>
      </c>
      <c r="B100" s="233">
        <f>EEFFun!B208</f>
        <v>149987</v>
      </c>
      <c r="C100" s="233" t="str">
        <f>EEFFun!C208</f>
        <v>(PROVISION NO REVERSADAS POR REQUER. NORMATIVO)</v>
      </c>
      <c r="D100" s="235">
        <f>EEFFun!P208</f>
        <v>-389519.28</v>
      </c>
      <c r="E100" s="235">
        <f>EEFFun!Q208</f>
        <v>-154766.68</v>
      </c>
      <c r="F100" s="235">
        <f>EEFFun!R208</f>
        <v>-59513.08</v>
      </c>
      <c r="G100" s="235">
        <f>EEFFun!S208</f>
        <v>0</v>
      </c>
      <c r="H100" s="235">
        <f>EEFFun!T208</f>
        <v>0</v>
      </c>
      <c r="I100" s="235">
        <f>EEFFun!U208</f>
        <v>0</v>
      </c>
      <c r="J100" s="235">
        <f>EEFFun!V208</f>
        <v>0</v>
      </c>
      <c r="K100" s="235">
        <f>EEFFun!W208</f>
        <v>0</v>
      </c>
      <c r="L100" s="235">
        <f>EEFFun!X208</f>
        <v>0</v>
      </c>
      <c r="M100" s="235">
        <f>EEFFun!Y208</f>
        <v>0</v>
      </c>
      <c r="N100" s="235">
        <f>EEFFun!Z208</f>
        <v>0</v>
      </c>
      <c r="O100" s="235">
        <f>EEFFun!AA208</f>
        <v>0</v>
      </c>
      <c r="P100" s="235">
        <f>EEFFun!AB208</f>
        <v>0</v>
      </c>
      <c r="Q100" s="235">
        <f>EEFFun!AC208</f>
        <v>0</v>
      </c>
      <c r="R100" s="235">
        <f>EEFFun!AD208</f>
        <v>0</v>
      </c>
      <c r="S100" s="235">
        <f>EEFFun!AE208</f>
        <v>0</v>
      </c>
      <c r="T100" s="235">
        <f>EEFFun!AF208</f>
        <v>0</v>
      </c>
      <c r="U100" s="235">
        <f>EEFFun!AG208</f>
        <v>0</v>
      </c>
      <c r="V100" s="235">
        <f>EEFFun!AH208</f>
        <v>0</v>
      </c>
      <c r="W100" s="235">
        <f>EEFFun!AI208</f>
        <v>0</v>
      </c>
      <c r="X100" s="235">
        <f>EEFFun!AJ208</f>
        <v>0</v>
      </c>
      <c r="Y100" s="235">
        <f>EEFFun!AK208</f>
        <v>0</v>
      </c>
      <c r="Z100" s="235">
        <f>EEFFun!AL208</f>
        <v>0</v>
      </c>
      <c r="AA100" s="235">
        <f>EEFFun!AM208</f>
        <v>0</v>
      </c>
      <c r="AB100" s="235">
        <f>EEFFun!AN208</f>
        <v>0</v>
      </c>
      <c r="AC100" s="235">
        <f>EEFFun!AO208</f>
        <v>-2085470.36</v>
      </c>
      <c r="AD100" s="235">
        <f>EEFFun!AP208</f>
        <v>-2040691.14</v>
      </c>
      <c r="AE100" s="235">
        <f>EEFFun!AQ208</f>
        <v>-1984488.9</v>
      </c>
      <c r="AF100" s="235">
        <f>EEFFun!AR208</f>
        <v>-1939508.33</v>
      </c>
      <c r="AG100" s="235">
        <f>EEFFun!AS208</f>
        <v>-1944271.84</v>
      </c>
      <c r="AH100" s="235">
        <f>EEFFun!AT208</f>
        <v>-1888251.95</v>
      </c>
      <c r="AI100" s="235">
        <f>EEFFun!AU208</f>
        <v>-1841423.03</v>
      </c>
      <c r="AJ100" s="235">
        <f>EEFFun!AV208</f>
        <v>-1892295.57</v>
      </c>
      <c r="AK100" s="235">
        <f>EEFFun!AW208</f>
        <v>-1927692.51</v>
      </c>
      <c r="AL100" s="235">
        <f>EEFFun!AX208</f>
        <v>-279690.67</v>
      </c>
      <c r="AM100" s="236">
        <f>+AL100</f>
        <v>-279690.67</v>
      </c>
      <c r="AN100" s="236">
        <f t="shared" ref="AN100:AW100" si="146">+AM100</f>
        <v>-279690.67</v>
      </c>
      <c r="AO100" s="236">
        <f t="shared" si="146"/>
        <v>-279690.67</v>
      </c>
      <c r="AP100" s="236">
        <f t="shared" si="146"/>
        <v>-279690.67</v>
      </c>
      <c r="AQ100" s="236">
        <f t="shared" si="146"/>
        <v>-279690.67</v>
      </c>
      <c r="AR100" s="236">
        <f t="shared" si="146"/>
        <v>-279690.67</v>
      </c>
      <c r="AS100" s="236">
        <f t="shared" si="146"/>
        <v>-279690.67</v>
      </c>
      <c r="AT100" s="236">
        <f t="shared" si="146"/>
        <v>-279690.67</v>
      </c>
      <c r="AU100" s="236">
        <f t="shared" si="146"/>
        <v>-279690.67</v>
      </c>
      <c r="AV100" s="236">
        <f t="shared" si="146"/>
        <v>-279690.67</v>
      </c>
      <c r="AW100" s="236">
        <f t="shared" si="146"/>
        <v>-279690.67</v>
      </c>
      <c r="AX100" s="236">
        <f>+AW100-500000</f>
        <v>-779690.66999999993</v>
      </c>
      <c r="AY100" s="236">
        <f t="shared" si="123"/>
        <v>-779690.66999999993</v>
      </c>
      <c r="AZ100" s="236">
        <f t="shared" si="126"/>
        <v>-779690.66999999993</v>
      </c>
      <c r="BA100" s="247">
        <f t="shared" si="127"/>
        <v>0</v>
      </c>
      <c r="BB100" s="247">
        <f t="shared" si="128"/>
        <v>-5.8297951456664542E-3</v>
      </c>
      <c r="BC100" s="228">
        <f t="shared" si="124"/>
        <v>-279690.67</v>
      </c>
    </row>
    <row r="101" spans="1:55" outlineLevel="2" collapsed="1" x14ac:dyDescent="0.25">
      <c r="A101" s="222">
        <v>6</v>
      </c>
      <c r="B101" s="233">
        <f>EEFFun!B209</f>
        <v>149989</v>
      </c>
      <c r="C101" s="233" t="str">
        <f>EEFFun!C209</f>
        <v>(PROVISION GENERICA VOLUNTARIA)</v>
      </c>
      <c r="D101" s="235">
        <f>EEFFun!P209</f>
        <v>-2545.4499999999998</v>
      </c>
      <c r="E101" s="235">
        <f>EEFFun!Q209</f>
        <v>-2545.4499999999998</v>
      </c>
      <c r="F101" s="235">
        <f>EEFFun!R209</f>
        <v>-2545.4499999999998</v>
      </c>
      <c r="G101" s="235">
        <f>EEFFun!S209</f>
        <v>-2545.4499999999998</v>
      </c>
      <c r="H101" s="235">
        <f>EEFFun!T209</f>
        <v>-2545.4499999999998</v>
      </c>
      <c r="I101" s="235">
        <f>EEFFun!U209</f>
        <v>-2545.4499999999998</v>
      </c>
      <c r="J101" s="235">
        <f>EEFFun!V209</f>
        <v>-2545.4499999999998</v>
      </c>
      <c r="K101" s="235">
        <f>EEFFun!W209</f>
        <v>-2545.4499999999998</v>
      </c>
      <c r="L101" s="235">
        <f>EEFFun!X209</f>
        <v>-2545.4499999999998</v>
      </c>
      <c r="M101" s="235">
        <f>EEFFun!Y209</f>
        <v>-2545.4499999999998</v>
      </c>
      <c r="N101" s="235">
        <f>EEFFun!Z209</f>
        <v>-2545.4499999999998</v>
      </c>
      <c r="O101" s="235">
        <f>EEFFun!AA209</f>
        <v>-2545.4499999999998</v>
      </c>
      <c r="P101" s="235">
        <f>EEFFun!AB209</f>
        <v>-2545.4499999999998</v>
      </c>
      <c r="Q101" s="235">
        <f>EEFFun!AC209</f>
        <v>-2545.4499999999998</v>
      </c>
      <c r="R101" s="235">
        <f>EEFFun!AD209</f>
        <v>-2545.4499999999998</v>
      </c>
      <c r="S101" s="235">
        <f>EEFFun!AE209</f>
        <v>-2545.4499999999998</v>
      </c>
      <c r="T101" s="235">
        <f>EEFFun!AF209</f>
        <v>-2545.4499999999998</v>
      </c>
      <c r="U101" s="235">
        <f>EEFFun!AG209</f>
        <v>-2545.4499999999998</v>
      </c>
      <c r="V101" s="235">
        <f>EEFFun!AH209</f>
        <v>-2545.4499999999998</v>
      </c>
      <c r="W101" s="235">
        <f>EEFFun!AI209</f>
        <v>-2545.4499999999998</v>
      </c>
      <c r="X101" s="235">
        <f>EEFFun!AJ209</f>
        <v>-2545.4499999999998</v>
      </c>
      <c r="Y101" s="235">
        <f>EEFFun!AK209</f>
        <v>-2545.4499999999998</v>
      </c>
      <c r="Z101" s="235">
        <f>EEFFun!AL209</f>
        <v>-2545.4499999999998</v>
      </c>
      <c r="AA101" s="235">
        <f>EEFFun!AM209</f>
        <v>-2545.4499999999998</v>
      </c>
      <c r="AB101" s="235">
        <f>EEFFun!AN209</f>
        <v>-2545.4499999999998</v>
      </c>
      <c r="AC101" s="235">
        <f>EEFFun!AO209</f>
        <v>-2545.4499999999998</v>
      </c>
      <c r="AD101" s="235">
        <f>EEFFun!AP209</f>
        <v>-2545.4499999999998</v>
      </c>
      <c r="AE101" s="235">
        <f>EEFFun!AQ209</f>
        <v>-2545.4499999999998</v>
      </c>
      <c r="AF101" s="235">
        <f>EEFFun!AR209</f>
        <v>-2545.4499999999998</v>
      </c>
      <c r="AG101" s="235">
        <f>EEFFun!AS209</f>
        <v>-2545.4499999999998</v>
      </c>
      <c r="AH101" s="235">
        <f>EEFFun!AT209</f>
        <v>-2545.4499999999998</v>
      </c>
      <c r="AI101" s="235">
        <f>EEFFun!AU209</f>
        <v>-2545.4499999999998</v>
      </c>
      <c r="AJ101" s="235">
        <f>EEFFun!AV209</f>
        <v>-2545.4499999999998</v>
      </c>
      <c r="AK101" s="235">
        <f>EEFFun!AW209</f>
        <v>-2545.4499999999998</v>
      </c>
      <c r="AL101" s="235">
        <f>EEFFun!AX209</f>
        <v>-2545.4499999999998</v>
      </c>
      <c r="AM101" s="235">
        <f>RecupProv!C92</f>
        <v>-2545.4499999999998</v>
      </c>
      <c r="AN101" s="235">
        <f>RecupProv!D92</f>
        <v>-2545.4499999999998</v>
      </c>
      <c r="AO101" s="235">
        <f>RecupProv!E92</f>
        <v>-2545.4499999999998</v>
      </c>
      <c r="AP101" s="235">
        <f>RecupProv!F92</f>
        <v>-2545.4499999999998</v>
      </c>
      <c r="AQ101" s="235">
        <f>RecupProv!G92</f>
        <v>-2545.4499999999998</v>
      </c>
      <c r="AR101" s="235">
        <f>RecupProv!H92</f>
        <v>-2545.4499999999998</v>
      </c>
      <c r="AS101" s="235">
        <f>RecupProv!I92</f>
        <v>-2545.4499999999998</v>
      </c>
      <c r="AT101" s="235">
        <f>RecupProv!J92</f>
        <v>-2545.4499999999998</v>
      </c>
      <c r="AU101" s="235">
        <f>RecupProv!K92</f>
        <v>-2545.4499999999998</v>
      </c>
      <c r="AV101" s="235">
        <f>RecupProv!L92</f>
        <v>-2545.4499999999998</v>
      </c>
      <c r="AW101" s="235">
        <f>RecupProv!M92</f>
        <v>-2545.4499999999998</v>
      </c>
      <c r="AX101" s="235">
        <f>RecupProv!N92</f>
        <v>-2545.4499999999998</v>
      </c>
      <c r="AY101" s="236">
        <f t="shared" ref="AY101:AY132" si="147">AX101-V101</f>
        <v>0</v>
      </c>
      <c r="AZ101" s="236">
        <f t="shared" si="126"/>
        <v>0</v>
      </c>
      <c r="BA101" s="247">
        <f t="shared" si="127"/>
        <v>-6.6698340899830734E-5</v>
      </c>
      <c r="BB101" s="247">
        <f t="shared" si="128"/>
        <v>-1.9032486375060351E-5</v>
      </c>
      <c r="BC101" s="228">
        <f t="shared" si="124"/>
        <v>0</v>
      </c>
    </row>
    <row r="102" spans="1:55" s="229" customFormat="1" outlineLevel="1" x14ac:dyDescent="0.25">
      <c r="A102" s="222">
        <v>2</v>
      </c>
      <c r="B102" s="223">
        <f>EEFFun!B210</f>
        <v>16</v>
      </c>
      <c r="C102" s="258" t="s">
        <v>188</v>
      </c>
      <c r="D102" s="225">
        <f>EEFFun!P210</f>
        <v>479052.45</v>
      </c>
      <c r="E102" s="225">
        <f>EEFFun!Q210</f>
        <v>435414.28</v>
      </c>
      <c r="F102" s="225">
        <f>EEFFun!R210</f>
        <v>465497.76</v>
      </c>
      <c r="G102" s="225">
        <f>EEFFun!S210</f>
        <v>417367.98</v>
      </c>
      <c r="H102" s="225">
        <f>EEFFun!T210</f>
        <v>485192.2</v>
      </c>
      <c r="I102" s="225">
        <f>EEFFun!U210</f>
        <v>502075.44</v>
      </c>
      <c r="J102" s="225">
        <f>EEFFun!V210</f>
        <v>433901.94</v>
      </c>
      <c r="K102" s="225">
        <f>EEFFun!W210</f>
        <v>464255.2</v>
      </c>
      <c r="L102" s="225">
        <f>EEFFun!X210</f>
        <v>481869.2</v>
      </c>
      <c r="M102" s="225">
        <f>EEFFun!Y210</f>
        <v>471418.33</v>
      </c>
      <c r="N102" s="225">
        <f>EEFFun!Z210</f>
        <v>483600.53</v>
      </c>
      <c r="O102" s="225">
        <f>EEFFun!AA210</f>
        <v>578966.51</v>
      </c>
      <c r="P102" s="225">
        <f>EEFFun!AB210</f>
        <v>618511.66</v>
      </c>
      <c r="Q102" s="225">
        <f>EEFFun!AC210</f>
        <v>555720.21</v>
      </c>
      <c r="R102" s="225">
        <f>EEFFun!AD210</f>
        <v>615593.41</v>
      </c>
      <c r="S102" s="225">
        <f>EEFFun!AE210</f>
        <v>666923.86</v>
      </c>
      <c r="T102" s="225">
        <f>EEFFun!AF210</f>
        <v>676195.94</v>
      </c>
      <c r="U102" s="225">
        <f>EEFFun!AG210</f>
        <v>724045.08</v>
      </c>
      <c r="V102" s="225">
        <f>EEFFun!AH210</f>
        <v>768495.23</v>
      </c>
      <c r="W102" s="225">
        <f>EEFFun!AI210</f>
        <v>917096.08</v>
      </c>
      <c r="X102" s="225">
        <f>EEFFun!AJ210</f>
        <v>950330</v>
      </c>
      <c r="Y102" s="225">
        <f>EEFFun!AK210</f>
        <v>1358404.62</v>
      </c>
      <c r="Z102" s="225">
        <f>EEFFun!AL210</f>
        <v>1305371.47</v>
      </c>
      <c r="AA102" s="225">
        <f>EEFFun!AM210</f>
        <v>2381397.16</v>
      </c>
      <c r="AB102" s="225">
        <f>EEFFun!AN210</f>
        <v>2242483.13</v>
      </c>
      <c r="AC102" s="225">
        <f>EEFFun!AO210</f>
        <v>2177381.0499999998</v>
      </c>
      <c r="AD102" s="225">
        <f>EEFFun!AP210</f>
        <v>2236929.62</v>
      </c>
      <c r="AE102" s="225">
        <f>EEFFun!AQ210</f>
        <v>2191634.6800000002</v>
      </c>
      <c r="AF102" s="225">
        <f>EEFFun!AR210</f>
        <v>2278318.33</v>
      </c>
      <c r="AG102" s="225">
        <f>EEFFun!AS210</f>
        <v>2859721.4</v>
      </c>
      <c r="AH102" s="225">
        <f>EEFFun!AT210</f>
        <v>2332531.14</v>
      </c>
      <c r="AI102" s="225">
        <f>EEFFun!AU210</f>
        <v>2426805.62</v>
      </c>
      <c r="AJ102" s="225">
        <f>EEFFun!AV210</f>
        <v>2780179.55</v>
      </c>
      <c r="AK102" s="225">
        <f>EEFFun!AW210</f>
        <v>3000266.04</v>
      </c>
      <c r="AL102" s="225">
        <f>EEFFun!AX210</f>
        <v>3833180.33</v>
      </c>
      <c r="AM102" s="226">
        <f t="shared" ref="AM102:AS102" si="148">SUM(AM103:AM109)</f>
        <v>3896273.2624341846</v>
      </c>
      <c r="AN102" s="226">
        <f t="shared" si="148"/>
        <v>3809407.2718872782</v>
      </c>
      <c r="AO102" s="226">
        <f t="shared" si="148"/>
        <v>3775226.7847568202</v>
      </c>
      <c r="AP102" s="226">
        <f t="shared" si="148"/>
        <v>3701532.8826954332</v>
      </c>
      <c r="AQ102" s="226">
        <f t="shared" si="148"/>
        <v>3687887.6447015251</v>
      </c>
      <c r="AR102" s="226">
        <f t="shared" si="148"/>
        <v>3711160.0027496624</v>
      </c>
      <c r="AS102" s="226">
        <f t="shared" si="148"/>
        <v>3736994.3245628108</v>
      </c>
      <c r="AT102" s="226">
        <f t="shared" ref="AT102" si="149">SUM(AT103:AT109)</f>
        <v>3652878.4477920034</v>
      </c>
      <c r="AU102" s="226">
        <f t="shared" ref="AU102" si="150">SUM(AU103:AU109)</f>
        <v>3632083.6412145733</v>
      </c>
      <c r="AV102" s="226">
        <f t="shared" ref="AV102" si="151">SUM(AV103:AV109)</f>
        <v>3579999.1940763243</v>
      </c>
      <c r="AW102" s="226">
        <f t="shared" ref="AW102" si="152">SUM(AW103:AW109)</f>
        <v>3656373.1950704325</v>
      </c>
      <c r="AX102" s="226">
        <f t="shared" ref="AX102" si="153">SUM(AX103:AX109)</f>
        <v>3586975.6810882003</v>
      </c>
      <c r="AY102" s="226">
        <f t="shared" si="147"/>
        <v>2818480.4510882003</v>
      </c>
      <c r="AZ102" s="226">
        <f t="shared" si="126"/>
        <v>2968464.0210882002</v>
      </c>
      <c r="BA102" s="231">
        <f t="shared" si="127"/>
        <v>1.6206840263686267E-2</v>
      </c>
      <c r="BB102" s="231">
        <f t="shared" si="128"/>
        <v>2.6820038019990181E-2</v>
      </c>
      <c r="BC102" s="228">
        <f t="shared" si="124"/>
        <v>2735782.3677920033</v>
      </c>
    </row>
    <row r="103" spans="1:55" outlineLevel="2" collapsed="1" x14ac:dyDescent="0.25">
      <c r="A103" s="222">
        <v>4</v>
      </c>
      <c r="B103" s="233">
        <f>EEFFun!B211</f>
        <v>1602</v>
      </c>
      <c r="C103" s="234" t="str">
        <f>EEFFun!C211</f>
        <v>Intereses por cobrar de inversiones</v>
      </c>
      <c r="D103" s="235">
        <f>EEFFun!P211</f>
        <v>19790.919999999998</v>
      </c>
      <c r="E103" s="235">
        <f>EEFFun!Q211</f>
        <v>23202.75</v>
      </c>
      <c r="F103" s="235">
        <f>EEFFun!R211</f>
        <v>23995.29</v>
      </c>
      <c r="G103" s="235">
        <f>EEFFun!S211</f>
        <v>13204.94</v>
      </c>
      <c r="H103" s="235">
        <f>EEFFun!T211</f>
        <v>8988.5400000000009</v>
      </c>
      <c r="I103" s="235">
        <f>EEFFun!U211</f>
        <v>10389.549999999999</v>
      </c>
      <c r="J103" s="235">
        <f>EEFFun!V211</f>
        <v>4899.3100000000004</v>
      </c>
      <c r="K103" s="235">
        <f>EEFFun!W211</f>
        <v>80.55</v>
      </c>
      <c r="L103" s="235">
        <f>EEFFun!X211</f>
        <v>80.55</v>
      </c>
      <c r="M103" s="235">
        <f>EEFFun!Y211</f>
        <v>604.16</v>
      </c>
      <c r="N103" s="235">
        <f>EEFFun!Z211</f>
        <v>0</v>
      </c>
      <c r="O103" s="235">
        <f>EEFFun!AA211</f>
        <v>11147.18</v>
      </c>
      <c r="P103" s="235">
        <f>EEFFun!AB211</f>
        <v>48988.84</v>
      </c>
      <c r="Q103" s="235">
        <f>EEFFun!AC211</f>
        <v>22417</v>
      </c>
      <c r="R103" s="235">
        <f>EEFFun!AD211</f>
        <v>43650.73</v>
      </c>
      <c r="S103" s="235">
        <f>EEFFun!AE211</f>
        <v>46699.24</v>
      </c>
      <c r="T103" s="235">
        <f>EEFFun!AF211</f>
        <v>22243.66</v>
      </c>
      <c r="U103" s="235">
        <f>EEFFun!AG211</f>
        <v>46466.43</v>
      </c>
      <c r="V103" s="235">
        <f>EEFFun!AH211</f>
        <v>49516.06</v>
      </c>
      <c r="W103" s="235">
        <f>EEFFun!AI211</f>
        <v>21824.240000000002</v>
      </c>
      <c r="X103" s="235">
        <f>EEFFun!AJ211</f>
        <v>42437.64</v>
      </c>
      <c r="Y103" s="235">
        <f>EEFFun!AK211</f>
        <v>44835.4</v>
      </c>
      <c r="Z103" s="235">
        <f>EEFFun!AL211</f>
        <v>26079.78</v>
      </c>
      <c r="AA103" s="235">
        <f>EEFFun!AM211</f>
        <v>51468.03</v>
      </c>
      <c r="AB103" s="235">
        <f>EEFFun!AN211</f>
        <v>55278.87</v>
      </c>
      <c r="AC103" s="235">
        <f>EEFFun!AO211</f>
        <v>25268.6</v>
      </c>
      <c r="AD103" s="235">
        <f>EEFFun!AP211</f>
        <v>49154.82</v>
      </c>
      <c r="AE103" s="235">
        <f>EEFFun!AQ211</f>
        <v>54553.02</v>
      </c>
      <c r="AF103" s="235">
        <f>EEFFun!AR211</f>
        <v>26812.61</v>
      </c>
      <c r="AG103" s="235">
        <f>EEFFun!AS211</f>
        <v>46299.64</v>
      </c>
      <c r="AH103" s="235">
        <f>EEFFun!AT211</f>
        <v>44311.77</v>
      </c>
      <c r="AI103" s="235">
        <f>EEFFun!AU211</f>
        <v>24530.89</v>
      </c>
      <c r="AJ103" s="235">
        <f>EEFFun!AV211</f>
        <v>24529.34</v>
      </c>
      <c r="AK103" s="235">
        <f>EEFFun!AW211</f>
        <v>31831.65</v>
      </c>
      <c r="AL103" s="235">
        <f>EEFFun!AX211</f>
        <v>8592.19</v>
      </c>
      <c r="AM103" s="236">
        <f>AC103*1.01</f>
        <v>25521.286</v>
      </c>
      <c r="AN103" s="236">
        <f t="shared" ref="AN103:AX103" si="154">AD103*1.01</f>
        <v>49646.368199999997</v>
      </c>
      <c r="AO103" s="236">
        <f t="shared" si="154"/>
        <v>55098.550199999998</v>
      </c>
      <c r="AP103" s="236">
        <f t="shared" si="154"/>
        <v>27080.736100000002</v>
      </c>
      <c r="AQ103" s="236">
        <f t="shared" si="154"/>
        <v>46762.636400000003</v>
      </c>
      <c r="AR103" s="236">
        <f t="shared" si="154"/>
        <v>44754.887699999999</v>
      </c>
      <c r="AS103" s="236">
        <f t="shared" si="154"/>
        <v>24776.198899999999</v>
      </c>
      <c r="AT103" s="236">
        <f t="shared" si="154"/>
        <v>24774.633399999999</v>
      </c>
      <c r="AU103" s="236">
        <f t="shared" si="154"/>
        <v>32149.966500000002</v>
      </c>
      <c r="AV103" s="236">
        <f t="shared" si="154"/>
        <v>8678.1118999999999</v>
      </c>
      <c r="AW103" s="236">
        <f t="shared" si="154"/>
        <v>25776.49886</v>
      </c>
      <c r="AX103" s="236">
        <f t="shared" si="154"/>
        <v>50142.831881999999</v>
      </c>
      <c r="AY103" s="236">
        <f t="shared" si="147"/>
        <v>626.77188200000091</v>
      </c>
      <c r="AZ103" s="236">
        <f t="shared" si="126"/>
        <v>1153.9918820000021</v>
      </c>
      <c r="BA103" s="232">
        <f t="shared" si="127"/>
        <v>1.283652929975943E-3</v>
      </c>
      <c r="BB103" s="232">
        <f t="shared" si="128"/>
        <v>3.7492104130943716E-4</v>
      </c>
      <c r="BC103" s="228">
        <f t="shared" si="124"/>
        <v>2950.3933999999972</v>
      </c>
    </row>
    <row r="104" spans="1:55" outlineLevel="2" collapsed="1" x14ac:dyDescent="0.25">
      <c r="A104" s="222">
        <v>4</v>
      </c>
      <c r="B104" s="233">
        <f>EEFFun!B214</f>
        <v>1603</v>
      </c>
      <c r="C104" s="233" t="str">
        <f>EEFFun!C214</f>
        <v>Intereses por cobrar de cartera de créditos</v>
      </c>
      <c r="D104" s="235">
        <f>EEFFun!P214</f>
        <v>222375.94</v>
      </c>
      <c r="E104" s="235">
        <f>EEFFun!Q214</f>
        <v>188188</v>
      </c>
      <c r="F104" s="235">
        <f>EEFFun!R214</f>
        <v>187572.85</v>
      </c>
      <c r="G104" s="235">
        <f>EEFFun!S214</f>
        <v>201976.29</v>
      </c>
      <c r="H104" s="235">
        <f>EEFFun!T214</f>
        <v>202440.12</v>
      </c>
      <c r="I104" s="235">
        <f>EEFFun!U214</f>
        <v>211593.12</v>
      </c>
      <c r="J104" s="235">
        <f>EEFFun!V214</f>
        <v>198586.07</v>
      </c>
      <c r="K104" s="235">
        <f>EEFFun!W214</f>
        <v>198378.57</v>
      </c>
      <c r="L104" s="235">
        <f>EEFFun!X214</f>
        <v>196100.08</v>
      </c>
      <c r="M104" s="235">
        <f>EEFFun!Y214</f>
        <v>195255.52</v>
      </c>
      <c r="N104" s="235">
        <f>EEFFun!Z214</f>
        <v>188754.15</v>
      </c>
      <c r="O104" s="235">
        <f>EEFFun!AA214</f>
        <v>188962.59</v>
      </c>
      <c r="P104" s="235">
        <f>EEFFun!AB214</f>
        <v>191849.47</v>
      </c>
      <c r="Q104" s="235">
        <f>EEFFun!AC214</f>
        <v>189590.48</v>
      </c>
      <c r="R104" s="235">
        <f>EEFFun!AD214</f>
        <v>172717.36</v>
      </c>
      <c r="S104" s="235">
        <f>EEFFun!AE214</f>
        <v>179745.96</v>
      </c>
      <c r="T104" s="235">
        <f>EEFFun!AF214</f>
        <v>193816.56</v>
      </c>
      <c r="U104" s="235">
        <f>EEFFun!AG214</f>
        <v>190996.05</v>
      </c>
      <c r="V104" s="235">
        <f>EEFFun!AH214</f>
        <v>192895.48</v>
      </c>
      <c r="W104" s="235">
        <f>EEFFun!AI214</f>
        <v>207298.56</v>
      </c>
      <c r="X104" s="235">
        <f>EEFFun!AJ214</f>
        <v>197215.12</v>
      </c>
      <c r="Y104" s="235">
        <f>EEFFun!AK214</f>
        <v>203032.99</v>
      </c>
      <c r="Z104" s="235">
        <f>EEFFun!AL214</f>
        <v>213632.27</v>
      </c>
      <c r="AA104" s="235">
        <f>EEFFun!AM214</f>
        <v>231934.4</v>
      </c>
      <c r="AB104" s="235">
        <f>EEFFun!AN214</f>
        <v>240980.08</v>
      </c>
      <c r="AC104" s="235">
        <f>EEFFun!AO214</f>
        <v>259775.23</v>
      </c>
      <c r="AD104" s="235">
        <f>EEFFun!AP214</f>
        <v>251063</v>
      </c>
      <c r="AE104" s="235">
        <f>EEFFun!AQ214</f>
        <v>294924.78999999998</v>
      </c>
      <c r="AF104" s="235">
        <f>EEFFun!AR214</f>
        <v>296274.65999999997</v>
      </c>
      <c r="AG104" s="235">
        <f>EEFFun!AS214</f>
        <v>339910.98</v>
      </c>
      <c r="AH104" s="235">
        <f>EEFFun!AT214</f>
        <v>352226.68</v>
      </c>
      <c r="AI104" s="235">
        <f>EEFFun!AU214</f>
        <v>377471.01</v>
      </c>
      <c r="AJ104" s="235">
        <f>EEFFun!AV214</f>
        <v>402681.86</v>
      </c>
      <c r="AK104" s="235">
        <f>EEFFun!AW214</f>
        <v>432326.99</v>
      </c>
      <c r="AL104" s="235">
        <f>EEFFun!AX214</f>
        <v>467626.82</v>
      </c>
      <c r="AM104" s="236">
        <f>+AL104*1.01</f>
        <v>472303.0882</v>
      </c>
      <c r="AN104" s="236">
        <f t="shared" ref="AN104:AX104" si="155">+AM104*1.01</f>
        <v>477026.11908199999</v>
      </c>
      <c r="AO104" s="236">
        <f t="shared" si="155"/>
        <v>481796.38027282001</v>
      </c>
      <c r="AP104" s="236">
        <f t="shared" si="155"/>
        <v>486614.34407554823</v>
      </c>
      <c r="AQ104" s="236">
        <f t="shared" si="155"/>
        <v>491480.48751630372</v>
      </c>
      <c r="AR104" s="236">
        <f t="shared" si="155"/>
        <v>496395.29239146679</v>
      </c>
      <c r="AS104" s="236">
        <f t="shared" si="155"/>
        <v>501359.24531538144</v>
      </c>
      <c r="AT104" s="236">
        <f t="shared" si="155"/>
        <v>506372.83776853525</v>
      </c>
      <c r="AU104" s="236">
        <f t="shared" si="155"/>
        <v>511436.5661462206</v>
      </c>
      <c r="AV104" s="236">
        <f t="shared" si="155"/>
        <v>516550.93180768279</v>
      </c>
      <c r="AW104" s="236">
        <f t="shared" si="155"/>
        <v>521716.44112575962</v>
      </c>
      <c r="AX104" s="236">
        <f t="shared" si="155"/>
        <v>526933.60553701723</v>
      </c>
      <c r="AY104" s="236">
        <f t="shared" si="147"/>
        <v>334038.12553701724</v>
      </c>
      <c r="AZ104" s="236">
        <f t="shared" si="126"/>
        <v>335084.13553701725</v>
      </c>
      <c r="BA104" s="232">
        <f t="shared" si="127"/>
        <v>5.0270252220675528E-3</v>
      </c>
      <c r="BB104" s="232">
        <f t="shared" si="128"/>
        <v>3.9399150122550854E-3</v>
      </c>
      <c r="BC104" s="228">
        <f t="shared" si="124"/>
        <v>299074.27776853525</v>
      </c>
    </row>
    <row r="105" spans="1:55" outlineLevel="2" collapsed="1" x14ac:dyDescent="0.25">
      <c r="A105" s="222">
        <v>4</v>
      </c>
      <c r="B105" s="259">
        <v>1606</v>
      </c>
      <c r="C105" s="246" t="s">
        <v>699</v>
      </c>
      <c r="D105" s="238"/>
      <c r="E105" s="235">
        <f>EEFFun!Q220</f>
        <v>0</v>
      </c>
      <c r="F105" s="235">
        <f>EEFFun!R220</f>
        <v>0</v>
      </c>
      <c r="G105" s="235">
        <f>EEFFun!S220</f>
        <v>0</v>
      </c>
      <c r="H105" s="235">
        <f>EEFFun!T220</f>
        <v>0</v>
      </c>
      <c r="I105" s="235">
        <f>EEFFun!U220</f>
        <v>0</v>
      </c>
      <c r="J105" s="235">
        <f>EEFFun!V220</f>
        <v>0</v>
      </c>
      <c r="K105" s="235">
        <f>EEFFun!W220</f>
        <v>0</v>
      </c>
      <c r="L105" s="235">
        <f>EEFFun!X220</f>
        <v>0</v>
      </c>
      <c r="M105" s="235">
        <f>EEFFun!Y220</f>
        <v>104143.94</v>
      </c>
      <c r="N105" s="235">
        <f>EEFFun!Z220</f>
        <v>104143.94</v>
      </c>
      <c r="O105" s="235">
        <f>EEFFun!AA220</f>
        <v>128955.36</v>
      </c>
      <c r="P105" s="235">
        <f>EEFFun!AB220</f>
        <v>141391.66</v>
      </c>
      <c r="Q105" s="235">
        <f>EEFFun!AC220</f>
        <v>12745</v>
      </c>
      <c r="R105" s="235">
        <f>EEFFun!AD220</f>
        <v>24134.22</v>
      </c>
      <c r="S105" s="235">
        <f>EEFFun!AE220</f>
        <v>35294.75</v>
      </c>
      <c r="T105" s="235">
        <f>EEFFun!AF220</f>
        <v>47461.5</v>
      </c>
      <c r="U105" s="235">
        <f>EEFFun!AG220</f>
        <v>59880.06</v>
      </c>
      <c r="V105" s="235">
        <f>EEFFun!AH220</f>
        <v>71639.69</v>
      </c>
      <c r="W105" s="235">
        <f>EEFFun!AI220</f>
        <v>85914.36</v>
      </c>
      <c r="X105" s="235">
        <f>EEFFun!AJ220</f>
        <v>98994.31</v>
      </c>
      <c r="Y105" s="235">
        <f>EEFFun!AK220</f>
        <v>112411.7</v>
      </c>
      <c r="Z105" s="235">
        <f>EEFFun!AL220</f>
        <v>124760.77</v>
      </c>
      <c r="AA105" s="235">
        <f>EEFFun!AM220</f>
        <v>136393.24</v>
      </c>
      <c r="AB105" s="235">
        <f>EEFFun!AN220</f>
        <v>148625</v>
      </c>
      <c r="AC105" s="235">
        <f>EEFFun!AO220</f>
        <v>11977.66</v>
      </c>
      <c r="AD105" s="235">
        <f>EEFFun!AP220</f>
        <v>22726.68</v>
      </c>
      <c r="AE105" s="235">
        <f>EEFFun!AQ220</f>
        <v>34938.39</v>
      </c>
      <c r="AF105" s="235">
        <f>EEFFun!AR220</f>
        <v>47232.76</v>
      </c>
      <c r="AG105" s="235">
        <f>EEFFun!AS220</f>
        <v>60442.17</v>
      </c>
      <c r="AH105" s="235">
        <f>EEFFun!AT220</f>
        <v>73380.78</v>
      </c>
      <c r="AI105" s="235">
        <f>EEFFun!AU220</f>
        <v>86980.94</v>
      </c>
      <c r="AJ105" s="235">
        <f>EEFFun!AV220</f>
        <v>101167.23</v>
      </c>
      <c r="AK105" s="235">
        <f>EEFFun!AW220</f>
        <v>115175.74</v>
      </c>
      <c r="AL105" s="235">
        <f>EEFFun!AX220</f>
        <v>128739.32</v>
      </c>
      <c r="AM105" s="236">
        <f>(AM36+AM139)*4.5%</f>
        <v>201445.2071541851</v>
      </c>
      <c r="AN105" s="236">
        <f t="shared" ref="AN105:AS105" si="156">(AN36+AN139)*4.5%</f>
        <v>115110.52492979876</v>
      </c>
      <c r="AO105" s="236">
        <f t="shared" si="156"/>
        <v>99756.383175680807</v>
      </c>
      <c r="AP105" s="236">
        <f t="shared" si="156"/>
        <v>77984.116643375091</v>
      </c>
      <c r="AQ105" s="236">
        <f t="shared" si="156"/>
        <v>68189.206375197798</v>
      </c>
      <c r="AR105" s="236">
        <f t="shared" si="156"/>
        <v>116633.01602662588</v>
      </c>
      <c r="AS105" s="236">
        <f t="shared" si="156"/>
        <v>185244.22882524764</v>
      </c>
      <c r="AT105" s="236">
        <f t="shared" ref="AT105:AX105" si="157">(AT36+AT139)*4.5%</f>
        <v>123565.59993188462</v>
      </c>
      <c r="AU105" s="236">
        <f t="shared" si="157"/>
        <v>117471.56061507197</v>
      </c>
      <c r="AV105" s="236">
        <f t="shared" si="157"/>
        <v>110578.38146431487</v>
      </c>
      <c r="AW105" s="236">
        <f t="shared" si="157"/>
        <v>191219.57457495961</v>
      </c>
      <c r="AX105" s="236">
        <f t="shared" si="157"/>
        <v>118470.28297785722</v>
      </c>
      <c r="AY105" s="236">
        <f t="shared" si="147"/>
        <v>46830.592977857217</v>
      </c>
      <c r="AZ105" s="238"/>
      <c r="BA105" s="245"/>
      <c r="BB105" s="245"/>
      <c r="BC105" s="228">
        <f t="shared" si="124"/>
        <v>37651.239931884615</v>
      </c>
    </row>
    <row r="106" spans="1:55" outlineLevel="2" collapsed="1" x14ac:dyDescent="0.25">
      <c r="A106" s="222">
        <v>4</v>
      </c>
      <c r="B106" s="233">
        <f>EEFFun!B222</f>
        <v>1612</v>
      </c>
      <c r="C106" s="233" t="str">
        <f>EEFFun!C222</f>
        <v>Inversiones vencidas</v>
      </c>
      <c r="D106" s="235">
        <f>EEFFun!P222</f>
        <v>2</v>
      </c>
      <c r="E106" s="235">
        <f>EEFFun!Q222</f>
        <v>2</v>
      </c>
      <c r="F106" s="235">
        <f>EEFFun!R222</f>
        <v>2</v>
      </c>
      <c r="G106" s="235">
        <f>EEFFun!S222</f>
        <v>2</v>
      </c>
      <c r="H106" s="235">
        <f>EEFFun!T222</f>
        <v>2</v>
      </c>
      <c r="I106" s="235">
        <f>EEFFun!U222</f>
        <v>2</v>
      </c>
      <c r="J106" s="235">
        <f>EEFFun!V222</f>
        <v>2</v>
      </c>
      <c r="K106" s="235">
        <f>EEFFun!W222</f>
        <v>2</v>
      </c>
      <c r="L106" s="235">
        <f>EEFFun!X222</f>
        <v>2</v>
      </c>
      <c r="M106" s="235">
        <f>EEFFun!Y222</f>
        <v>2</v>
      </c>
      <c r="N106" s="235">
        <f>EEFFun!Z222</f>
        <v>2</v>
      </c>
      <c r="O106" s="235">
        <f>EEFFun!AA222</f>
        <v>2</v>
      </c>
      <c r="P106" s="235">
        <f>EEFFun!AB222</f>
        <v>2</v>
      </c>
      <c r="Q106" s="235">
        <f>EEFFun!AC222</f>
        <v>2</v>
      </c>
      <c r="R106" s="235">
        <f>EEFFun!AD222</f>
        <v>2</v>
      </c>
      <c r="S106" s="235">
        <f>EEFFun!AE222</f>
        <v>2</v>
      </c>
      <c r="T106" s="235">
        <f>EEFFun!AF222</f>
        <v>2</v>
      </c>
      <c r="U106" s="235">
        <f>EEFFun!AG222</f>
        <v>2</v>
      </c>
      <c r="V106" s="235">
        <f>EEFFun!AH222</f>
        <v>2</v>
      </c>
      <c r="W106" s="235">
        <f>EEFFun!AI222</f>
        <v>2</v>
      </c>
      <c r="X106" s="235">
        <f>EEFFun!AJ222</f>
        <v>2</v>
      </c>
      <c r="Y106" s="235">
        <f>EEFFun!AK222</f>
        <v>2</v>
      </c>
      <c r="Z106" s="235">
        <f>EEFFun!AL222</f>
        <v>2</v>
      </c>
      <c r="AA106" s="235">
        <f>EEFFun!AM222</f>
        <v>2</v>
      </c>
      <c r="AB106" s="235">
        <f>EEFFun!AN222</f>
        <v>2</v>
      </c>
      <c r="AC106" s="235">
        <f>EEFFun!AO222</f>
        <v>2</v>
      </c>
      <c r="AD106" s="235">
        <f>EEFFun!AP222</f>
        <v>2</v>
      </c>
      <c r="AE106" s="235">
        <f>EEFFun!AQ222</f>
        <v>2</v>
      </c>
      <c r="AF106" s="235">
        <f>EEFFun!AR222</f>
        <v>2</v>
      </c>
      <c r="AG106" s="235">
        <f>EEFFun!AS222</f>
        <v>2</v>
      </c>
      <c r="AH106" s="235">
        <f>EEFFun!AT222</f>
        <v>2</v>
      </c>
      <c r="AI106" s="235">
        <f>EEFFun!AU222</f>
        <v>2</v>
      </c>
      <c r="AJ106" s="235">
        <f>EEFFun!AV222</f>
        <v>2</v>
      </c>
      <c r="AK106" s="235">
        <f>EEFFun!AW222</f>
        <v>2</v>
      </c>
      <c r="AL106" s="235">
        <f>EEFFun!AX222</f>
        <v>2</v>
      </c>
      <c r="AM106" s="237">
        <v>2</v>
      </c>
      <c r="AN106" s="237">
        <v>2</v>
      </c>
      <c r="AO106" s="237">
        <v>2</v>
      </c>
      <c r="AP106" s="237">
        <v>2</v>
      </c>
      <c r="AQ106" s="237">
        <v>2</v>
      </c>
      <c r="AR106" s="237">
        <v>2</v>
      </c>
      <c r="AS106" s="237">
        <v>2</v>
      </c>
      <c r="AT106" s="237">
        <v>2</v>
      </c>
      <c r="AU106" s="237">
        <v>2</v>
      </c>
      <c r="AV106" s="237">
        <v>2</v>
      </c>
      <c r="AW106" s="237">
        <v>2</v>
      </c>
      <c r="AX106" s="237">
        <v>2</v>
      </c>
      <c r="AY106" s="236">
        <f t="shared" si="147"/>
        <v>0</v>
      </c>
      <c r="AZ106" s="236">
        <f t="shared" ref="AZ106:AZ151" si="158">AX106-P106</f>
        <v>0</v>
      </c>
      <c r="BA106" s="232">
        <f t="shared" ref="BA106:BA151" si="159">P106/$P$5</f>
        <v>5.2405932860461408E-8</v>
      </c>
      <c r="BB106" s="232">
        <f t="shared" ref="BB106:BB151" si="160">AX106/$AX$5</f>
        <v>1.4954123141338745E-8</v>
      </c>
      <c r="BC106" s="228">
        <f t="shared" si="124"/>
        <v>0</v>
      </c>
    </row>
    <row r="107" spans="1:55" outlineLevel="2" collapsed="1" x14ac:dyDescent="0.25">
      <c r="A107" s="222">
        <v>4</v>
      </c>
      <c r="B107" s="233">
        <f>EEFFun!B224</f>
        <v>1614</v>
      </c>
      <c r="C107" s="233" t="str">
        <f>EEFFun!C224</f>
        <v>Pagos por cuenta de clientes</v>
      </c>
      <c r="D107" s="235">
        <f>EEFFun!P224</f>
        <v>57754.46</v>
      </c>
      <c r="E107" s="235">
        <f>EEFFun!Q224</f>
        <v>64628.73</v>
      </c>
      <c r="F107" s="235">
        <f>EEFFun!R224</f>
        <v>71447.48</v>
      </c>
      <c r="G107" s="235">
        <f>EEFFun!S224</f>
        <v>67579.539999999994</v>
      </c>
      <c r="H107" s="235">
        <f>EEFFun!T224</f>
        <v>77457.17</v>
      </c>
      <c r="I107" s="235">
        <f>EEFFun!U224</f>
        <v>74516.12</v>
      </c>
      <c r="J107" s="235">
        <f>EEFFun!V224</f>
        <v>53354.21</v>
      </c>
      <c r="K107" s="235">
        <f>EEFFun!W224</f>
        <v>62751.93</v>
      </c>
      <c r="L107" s="235">
        <f>EEFFun!X224</f>
        <v>67295.7</v>
      </c>
      <c r="M107" s="235">
        <f>EEFFun!Y224</f>
        <v>80208</v>
      </c>
      <c r="N107" s="235">
        <f>EEFFun!Z224</f>
        <v>90327.24</v>
      </c>
      <c r="O107" s="235">
        <f>EEFFun!AA224</f>
        <v>133100.18</v>
      </c>
      <c r="P107" s="235">
        <f>EEFFun!AB224</f>
        <v>111886.84</v>
      </c>
      <c r="Q107" s="235">
        <f>EEFFun!AC224</f>
        <v>125144.18</v>
      </c>
      <c r="R107" s="235">
        <f>EEFFun!AD224</f>
        <v>166412.01999999999</v>
      </c>
      <c r="S107" s="235">
        <f>EEFFun!AE224</f>
        <v>182105.64</v>
      </c>
      <c r="T107" s="235">
        <f>EEFFun!AF224</f>
        <v>188472.13</v>
      </c>
      <c r="U107" s="235">
        <f>EEFFun!AG224</f>
        <v>199022.43</v>
      </c>
      <c r="V107" s="235">
        <f>EEFFun!AH224</f>
        <v>181799.61</v>
      </c>
      <c r="W107" s="235">
        <f>EEFFun!AI224</f>
        <v>227209.12</v>
      </c>
      <c r="X107" s="235">
        <f>EEFFun!AJ224</f>
        <v>220641.1</v>
      </c>
      <c r="Y107" s="235">
        <f>EEFFun!AK224</f>
        <v>245806.62</v>
      </c>
      <c r="Z107" s="235">
        <f>EEFFun!AL224</f>
        <v>229783.79</v>
      </c>
      <c r="AA107" s="235">
        <f>EEFFun!AM224</f>
        <v>278341.14</v>
      </c>
      <c r="AB107" s="235">
        <f>EEFFun!AN224</f>
        <v>252894.58</v>
      </c>
      <c r="AC107" s="235">
        <f>EEFFun!AO224</f>
        <v>303104.36</v>
      </c>
      <c r="AD107" s="235">
        <f>EEFFun!AP224</f>
        <v>284299.63</v>
      </c>
      <c r="AE107" s="235">
        <f>EEFFun!AQ224</f>
        <v>260548.14</v>
      </c>
      <c r="AF107" s="235">
        <f>EEFFun!AR224</f>
        <v>237168.21</v>
      </c>
      <c r="AG107" s="235">
        <f>EEFFun!AS224</f>
        <v>385340.92</v>
      </c>
      <c r="AH107" s="235">
        <f>EEFFun!AT224</f>
        <v>362058.08</v>
      </c>
      <c r="AI107" s="235">
        <f>EEFFun!AU224</f>
        <v>439479.67</v>
      </c>
      <c r="AJ107" s="235">
        <f>EEFFun!AV224</f>
        <v>414455.83</v>
      </c>
      <c r="AK107" s="235">
        <f>EEFFun!AW224</f>
        <v>389083.11</v>
      </c>
      <c r="AL107" s="235">
        <f>EEFFun!AX224</f>
        <v>620979.18000000005</v>
      </c>
      <c r="AM107" s="236">
        <f>+AL107*1.001</f>
        <v>621600.15917999996</v>
      </c>
      <c r="AN107" s="236">
        <f t="shared" ref="AN107:AX107" si="161">+AM107*1.001</f>
        <v>622221.75933917984</v>
      </c>
      <c r="AO107" s="236">
        <f t="shared" si="161"/>
        <v>622843.98109851894</v>
      </c>
      <c r="AP107" s="236">
        <f t="shared" si="161"/>
        <v>623466.82507961744</v>
      </c>
      <c r="AQ107" s="236">
        <f t="shared" si="161"/>
        <v>624090.29190469696</v>
      </c>
      <c r="AR107" s="236">
        <f t="shared" si="161"/>
        <v>624714.3821966016</v>
      </c>
      <c r="AS107" s="236">
        <f t="shared" si="161"/>
        <v>625339.09657879814</v>
      </c>
      <c r="AT107" s="236">
        <f t="shared" si="161"/>
        <v>625964.43567537691</v>
      </c>
      <c r="AU107" s="236">
        <f t="shared" si="161"/>
        <v>626590.40011105221</v>
      </c>
      <c r="AV107" s="236">
        <f t="shared" si="161"/>
        <v>627216.99051116314</v>
      </c>
      <c r="AW107" s="236">
        <f t="shared" si="161"/>
        <v>627844.20750167419</v>
      </c>
      <c r="AX107" s="236">
        <f t="shared" si="161"/>
        <v>628472.05170917581</v>
      </c>
      <c r="AY107" s="236">
        <f t="shared" si="147"/>
        <v>446672.44170917582</v>
      </c>
      <c r="AZ107" s="236">
        <f t="shared" si="158"/>
        <v>516585.21170917584</v>
      </c>
      <c r="BA107" s="232">
        <f t="shared" si="159"/>
        <v>2.9317671125045938E-3</v>
      </c>
      <c r="BB107" s="232">
        <f t="shared" si="160"/>
        <v>4.6991242260744125E-3</v>
      </c>
      <c r="BC107" s="228">
        <f t="shared" si="124"/>
        <v>398755.31567537691</v>
      </c>
    </row>
    <row r="108" spans="1:55" outlineLevel="2" collapsed="1" x14ac:dyDescent="0.25">
      <c r="A108" s="222">
        <v>4</v>
      </c>
      <c r="B108" s="233">
        <f>EEFFun!B239</f>
        <v>1690</v>
      </c>
      <c r="C108" s="233" t="str">
        <f>EEFFun!C239</f>
        <v>Cuentas por cobrar varias</v>
      </c>
      <c r="D108" s="235">
        <f>EEFFun!P239</f>
        <v>419939.33</v>
      </c>
      <c r="E108" s="235">
        <f>EEFFun!Q239</f>
        <v>400223.83</v>
      </c>
      <c r="F108" s="235">
        <f>EEFFun!R239</f>
        <v>423240.69</v>
      </c>
      <c r="G108" s="235">
        <f>EEFFun!S239</f>
        <v>357320.97</v>
      </c>
      <c r="H108" s="235">
        <f>EEFFun!T239</f>
        <v>419009.63</v>
      </c>
      <c r="I108" s="235">
        <f>EEFFun!U239</f>
        <v>428275.91</v>
      </c>
      <c r="J108" s="235">
        <f>EEFFun!V239</f>
        <v>400372.5</v>
      </c>
      <c r="K108" s="235">
        <f>EEFFun!W239</f>
        <v>426494.74</v>
      </c>
      <c r="L108" s="235">
        <f>EEFFun!X239</f>
        <v>441902.26</v>
      </c>
      <c r="M108" s="235">
        <f>EEFFun!Y239</f>
        <v>331375.58</v>
      </c>
      <c r="N108" s="235">
        <f>EEFFun!Z239</f>
        <v>340541.07</v>
      </c>
      <c r="O108" s="235">
        <f>EEFFun!AA239</f>
        <v>356963.07</v>
      </c>
      <c r="P108" s="235">
        <f>EEFFun!AB239</f>
        <v>309169.34999999998</v>
      </c>
      <c r="Q108" s="235">
        <f>EEFFun!AC239</f>
        <v>390562.45</v>
      </c>
      <c r="R108" s="235">
        <f>EEFFun!AD239</f>
        <v>393366.58</v>
      </c>
      <c r="S108" s="235">
        <f>EEFFun!AE239</f>
        <v>404001.31</v>
      </c>
      <c r="T108" s="235">
        <f>EEFFun!AF239</f>
        <v>405123.13</v>
      </c>
      <c r="U108" s="235">
        <f>EEFFun!AG239</f>
        <v>408592.15</v>
      </c>
      <c r="V108" s="235">
        <f>EEFFun!AH239</f>
        <v>450733.3</v>
      </c>
      <c r="W108" s="235">
        <f>EEFFun!AI239</f>
        <v>551529.52</v>
      </c>
      <c r="X108" s="235">
        <f>EEFFun!AJ239</f>
        <v>567666.55000000005</v>
      </c>
      <c r="Y108" s="235">
        <f>EEFFun!AK239</f>
        <v>925081.85</v>
      </c>
      <c r="Z108" s="235">
        <f>EEFFun!AL239</f>
        <v>883872.8</v>
      </c>
      <c r="AA108" s="235">
        <f>EEFFun!AM239</f>
        <v>1856031.69</v>
      </c>
      <c r="AB108" s="235">
        <f>EEFFun!AN239</f>
        <v>1645146.32</v>
      </c>
      <c r="AC108" s="235">
        <f>EEFFun!AO239</f>
        <v>1677687.92</v>
      </c>
      <c r="AD108" s="235">
        <f>EEFFun!AP239</f>
        <v>1729718.39</v>
      </c>
      <c r="AE108" s="235">
        <f>EEFFun!AQ239</f>
        <v>1684191.07</v>
      </c>
      <c r="AF108" s="235">
        <f>EEFFun!AR239</f>
        <v>1808347.82</v>
      </c>
      <c r="AG108" s="235">
        <f>EEFFun!AS239</f>
        <v>2148543.37</v>
      </c>
      <c r="AH108" s="235">
        <f>EEFFun!AT239</f>
        <v>1657513.32</v>
      </c>
      <c r="AI108" s="235">
        <f>EEFFun!AU239</f>
        <v>1655245.58</v>
      </c>
      <c r="AJ108" s="235">
        <f>EEFFun!AV239</f>
        <v>1994246.78</v>
      </c>
      <c r="AK108" s="235">
        <f>EEFFun!AW239</f>
        <v>2187759.56</v>
      </c>
      <c r="AL108" s="235">
        <f>EEFFun!AX239</f>
        <v>2757700.3</v>
      </c>
      <c r="AM108" s="236">
        <f>+AL108*0.989</f>
        <v>2727365.5966999996</v>
      </c>
      <c r="AN108" s="236">
        <f t="shared" ref="AN108:AX108" si="162">+AM108*0.989</f>
        <v>2697364.5751362997</v>
      </c>
      <c r="AO108" s="236">
        <f t="shared" si="162"/>
        <v>2667693.5648098006</v>
      </c>
      <c r="AP108" s="236">
        <f t="shared" si="162"/>
        <v>2638348.9355968926</v>
      </c>
      <c r="AQ108" s="236">
        <f t="shared" si="162"/>
        <v>2609327.0973053267</v>
      </c>
      <c r="AR108" s="236">
        <f t="shared" si="162"/>
        <v>2580624.4992349683</v>
      </c>
      <c r="AS108" s="236">
        <f t="shared" si="162"/>
        <v>2552237.6297433837</v>
      </c>
      <c r="AT108" s="236">
        <f t="shared" si="162"/>
        <v>2524163.0158162066</v>
      </c>
      <c r="AU108" s="236">
        <f t="shared" si="162"/>
        <v>2496397.2226422285</v>
      </c>
      <c r="AV108" s="236">
        <f t="shared" si="162"/>
        <v>2468936.8531931639</v>
      </c>
      <c r="AW108" s="236">
        <f t="shared" si="162"/>
        <v>2441778.547808039</v>
      </c>
      <c r="AX108" s="236">
        <f t="shared" si="162"/>
        <v>2414918.9837821503</v>
      </c>
      <c r="AY108" s="236">
        <f t="shared" si="147"/>
        <v>1964185.6837821503</v>
      </c>
      <c r="AZ108" s="236">
        <f t="shared" si="158"/>
        <v>2105749.6337821502</v>
      </c>
      <c r="BA108" s="232">
        <f t="shared" si="159"/>
        <v>8.1011540993062466E-3</v>
      </c>
      <c r="BB108" s="232">
        <f t="shared" si="160"/>
        <v>1.805649792991745E-2</v>
      </c>
      <c r="BC108" s="228">
        <f t="shared" si="124"/>
        <v>1972633.4958162066</v>
      </c>
    </row>
    <row r="109" spans="1:55" outlineLevel="2" collapsed="1" x14ac:dyDescent="0.25">
      <c r="A109" s="222">
        <v>4</v>
      </c>
      <c r="B109" s="233">
        <f>EEFFun!B253</f>
        <v>1699</v>
      </c>
      <c r="C109" s="234" t="str">
        <f>EEFFun!C253</f>
        <v>(Provisión para cuentas por cobrar)</v>
      </c>
      <c r="D109" s="235">
        <f>EEFFun!P253</f>
        <v>-240810.2</v>
      </c>
      <c r="E109" s="235">
        <f>EEFFun!Q253</f>
        <v>-240831.03</v>
      </c>
      <c r="F109" s="235">
        <f>EEFFun!R253</f>
        <v>-240760.55</v>
      </c>
      <c r="G109" s="235">
        <f>EEFFun!S253</f>
        <v>-222715.76</v>
      </c>
      <c r="H109" s="235">
        <f>EEFFun!T253</f>
        <v>-222705.26</v>
      </c>
      <c r="I109" s="235">
        <f>EEFFun!U253</f>
        <v>-222701.26</v>
      </c>
      <c r="J109" s="235">
        <f>EEFFun!V253</f>
        <v>-223312.15</v>
      </c>
      <c r="K109" s="235">
        <f>EEFFun!W253</f>
        <v>-223452.59</v>
      </c>
      <c r="L109" s="235">
        <f>EEFFun!X253</f>
        <v>-223511.39</v>
      </c>
      <c r="M109" s="235">
        <f>EEFFun!Y253</f>
        <v>-240170.87</v>
      </c>
      <c r="N109" s="235">
        <f>EEFFun!Z253</f>
        <v>-240167.87</v>
      </c>
      <c r="O109" s="235">
        <f>EEFFun!AA253</f>
        <v>-240163.87</v>
      </c>
      <c r="P109" s="235">
        <f>EEFFun!AB253</f>
        <v>-184776.5</v>
      </c>
      <c r="Q109" s="235">
        <f>EEFFun!AC253</f>
        <v>-184739.5</v>
      </c>
      <c r="R109" s="235">
        <f>EEFFun!AD253</f>
        <v>-184689.5</v>
      </c>
      <c r="S109" s="235">
        <f>EEFFun!AE253</f>
        <v>-180925.04</v>
      </c>
      <c r="T109" s="235">
        <f>EEFFun!AF253</f>
        <v>-180923.04</v>
      </c>
      <c r="U109" s="235">
        <f>EEFFun!AG253</f>
        <v>-180914.04</v>
      </c>
      <c r="V109" s="235">
        <f>EEFFun!AH253</f>
        <v>-178090.91</v>
      </c>
      <c r="W109" s="235">
        <f>EEFFun!AI253</f>
        <v>-176681.72</v>
      </c>
      <c r="X109" s="235">
        <f>EEFFun!AJ253</f>
        <v>-176626.72</v>
      </c>
      <c r="Y109" s="235">
        <f>EEFFun!AK253</f>
        <v>-172765.94</v>
      </c>
      <c r="Z109" s="235">
        <f>EEFFun!AL253</f>
        <v>-172759.94</v>
      </c>
      <c r="AA109" s="235">
        <f>EEFFun!AM253</f>
        <v>-172773.34</v>
      </c>
      <c r="AB109" s="235">
        <f>EEFFun!AN253</f>
        <v>-100443.72</v>
      </c>
      <c r="AC109" s="235">
        <f>EEFFun!AO253</f>
        <v>-100434.72</v>
      </c>
      <c r="AD109" s="235">
        <f>EEFFun!AP253</f>
        <v>-100034.9</v>
      </c>
      <c r="AE109" s="235">
        <f>EEFFun!AQ253</f>
        <v>-137522.73000000001</v>
      </c>
      <c r="AF109" s="235">
        <f>EEFFun!AR253</f>
        <v>-137519.73000000001</v>
      </c>
      <c r="AG109" s="235">
        <f>EEFFun!AS253</f>
        <v>-120817.68</v>
      </c>
      <c r="AH109" s="235">
        <f>EEFFun!AT253</f>
        <v>-156961.49</v>
      </c>
      <c r="AI109" s="235">
        <f>EEFFun!AU253</f>
        <v>-156904.47</v>
      </c>
      <c r="AJ109" s="235">
        <f>EEFFun!AV253</f>
        <v>-156903.49</v>
      </c>
      <c r="AK109" s="235">
        <f>EEFFun!AW253</f>
        <v>-155913.01</v>
      </c>
      <c r="AL109" s="235">
        <f>EEFFun!AX253</f>
        <v>-150459.48000000001</v>
      </c>
      <c r="AM109" s="236">
        <f t="shared" ref="AM109:AS109" si="163">SUM(AM110:AM111)</f>
        <v>-151964.0748</v>
      </c>
      <c r="AN109" s="236">
        <f t="shared" si="163"/>
        <v>-151964.0748</v>
      </c>
      <c r="AO109" s="236">
        <f t="shared" si="163"/>
        <v>-151964.0748</v>
      </c>
      <c r="AP109" s="236">
        <f t="shared" si="163"/>
        <v>-151964.0748</v>
      </c>
      <c r="AQ109" s="236">
        <f t="shared" si="163"/>
        <v>-151964.0748</v>
      </c>
      <c r="AR109" s="236">
        <f t="shared" si="163"/>
        <v>-151964.0748</v>
      </c>
      <c r="AS109" s="236">
        <f t="shared" si="163"/>
        <v>-151964.0748</v>
      </c>
      <c r="AT109" s="236">
        <f t="shared" ref="AT109" si="164">SUM(AT110:AT111)</f>
        <v>-151964.0748</v>
      </c>
      <c r="AU109" s="236">
        <f t="shared" ref="AU109" si="165">SUM(AU110:AU111)</f>
        <v>-151964.0748</v>
      </c>
      <c r="AV109" s="236">
        <f t="shared" ref="AV109" si="166">SUM(AV110:AV111)</f>
        <v>-151964.0748</v>
      </c>
      <c r="AW109" s="236">
        <f t="shared" ref="AW109" si="167">SUM(AW110:AW111)</f>
        <v>-151964.0748</v>
      </c>
      <c r="AX109" s="236">
        <f t="shared" ref="AX109" si="168">SUM(AX110:AX111)</f>
        <v>-151964.0748</v>
      </c>
      <c r="AY109" s="236">
        <f t="shared" si="147"/>
        <v>26126.835200000001</v>
      </c>
      <c r="AZ109" s="236">
        <f t="shared" si="158"/>
        <v>32812.425199999998</v>
      </c>
      <c r="BA109" s="247">
        <f t="shared" si="159"/>
        <v>-4.8416924265955235E-3</v>
      </c>
      <c r="BB109" s="247">
        <f t="shared" si="160"/>
        <v>-1.136244743809406E-3</v>
      </c>
      <c r="BC109" s="228">
        <f t="shared" si="124"/>
        <v>24717.645199999999</v>
      </c>
    </row>
    <row r="110" spans="1:55" outlineLevel="2" collapsed="1" x14ac:dyDescent="0.25">
      <c r="A110" s="222">
        <v>6</v>
      </c>
      <c r="B110" s="233">
        <f>EEFFun!B254</f>
        <v>169905</v>
      </c>
      <c r="C110" s="234" t="str">
        <f>EEFFun!C254</f>
        <v>(Provisión para intereses y comisiones por cobrar)</v>
      </c>
      <c r="D110" s="235">
        <f>EEFFun!P254</f>
        <v>-577.54</v>
      </c>
      <c r="E110" s="235">
        <f>EEFFun!Q254</f>
        <v>-577.54</v>
      </c>
      <c r="F110" s="235">
        <f>EEFFun!R254</f>
        <v>-577.54</v>
      </c>
      <c r="G110" s="235">
        <f>EEFFun!S254</f>
        <v>-675.8</v>
      </c>
      <c r="H110" s="235">
        <f>EEFFun!T254</f>
        <v>-675.8</v>
      </c>
      <c r="I110" s="235">
        <f>EEFFun!U254</f>
        <v>-675.8</v>
      </c>
      <c r="J110" s="235">
        <f>EEFFun!V254</f>
        <v>-533.54</v>
      </c>
      <c r="K110" s="235">
        <f>EEFFun!W254</f>
        <v>-533.54</v>
      </c>
      <c r="L110" s="235">
        <f>EEFFun!X254</f>
        <v>-533.54</v>
      </c>
      <c r="M110" s="235">
        <f>EEFFun!Y254</f>
        <v>-802.08</v>
      </c>
      <c r="N110" s="235">
        <f>EEFFun!Z254</f>
        <v>-802.08</v>
      </c>
      <c r="O110" s="235">
        <f>EEFFun!AA254</f>
        <v>-802.08</v>
      </c>
      <c r="P110" s="235">
        <f>EEFFun!AB254</f>
        <v>-1118.8699999999999</v>
      </c>
      <c r="Q110" s="235">
        <f>EEFFun!AC254</f>
        <v>-1118.8699999999999</v>
      </c>
      <c r="R110" s="235">
        <f>EEFFun!AD254</f>
        <v>-1118.8699999999999</v>
      </c>
      <c r="S110" s="235">
        <f>EEFFun!AE254</f>
        <v>-1819.88</v>
      </c>
      <c r="T110" s="235">
        <f>EEFFun!AF254</f>
        <v>-1819.88</v>
      </c>
      <c r="U110" s="235">
        <f>EEFFun!AG254</f>
        <v>-1819.88</v>
      </c>
      <c r="V110" s="235">
        <f>EEFFun!AH254</f>
        <v>-1818</v>
      </c>
      <c r="W110" s="235">
        <f>EEFFun!AI254</f>
        <v>-1818</v>
      </c>
      <c r="X110" s="235">
        <f>EEFFun!AJ254</f>
        <v>-1818</v>
      </c>
      <c r="Y110" s="235">
        <f>EEFFun!AK254</f>
        <v>-2458.0700000000002</v>
      </c>
      <c r="Z110" s="235">
        <f>EEFFun!AL254</f>
        <v>-2458.0700000000002</v>
      </c>
      <c r="AA110" s="235">
        <f>EEFFun!AM254</f>
        <v>-2458.0700000000002</v>
      </c>
      <c r="AB110" s="235">
        <f>EEFFun!AN254</f>
        <v>-2526.39</v>
      </c>
      <c r="AC110" s="235">
        <f>EEFFun!AO254</f>
        <v>-2526.39</v>
      </c>
      <c r="AD110" s="235">
        <f>EEFFun!AP254</f>
        <v>-2526.39</v>
      </c>
      <c r="AE110" s="235">
        <f>EEFFun!AQ254</f>
        <v>-2605.48</v>
      </c>
      <c r="AF110" s="235">
        <f>EEFFun!AR254</f>
        <v>-2605.48</v>
      </c>
      <c r="AG110" s="235">
        <f>EEFFun!AS254</f>
        <v>-2605.48</v>
      </c>
      <c r="AH110" s="235">
        <f>EEFFun!AT254</f>
        <v>-3620.58</v>
      </c>
      <c r="AI110" s="235">
        <f>EEFFun!AU254</f>
        <v>-3620.58</v>
      </c>
      <c r="AJ110" s="235">
        <f>EEFFun!AV254</f>
        <v>-3620.58</v>
      </c>
      <c r="AK110" s="235">
        <f>EEFFun!AW254</f>
        <v>-3890.83</v>
      </c>
      <c r="AL110" s="235">
        <f>EEFFun!AX254</f>
        <v>-3890.83</v>
      </c>
      <c r="AM110" s="236">
        <f>$AL110*1.01</f>
        <v>-3929.7383</v>
      </c>
      <c r="AN110" s="236">
        <f t="shared" ref="AN110:AX110" si="169">$AL110*1.01</f>
        <v>-3929.7383</v>
      </c>
      <c r="AO110" s="236">
        <f t="shared" si="169"/>
        <v>-3929.7383</v>
      </c>
      <c r="AP110" s="236">
        <f t="shared" si="169"/>
        <v>-3929.7383</v>
      </c>
      <c r="AQ110" s="236">
        <f t="shared" si="169"/>
        <v>-3929.7383</v>
      </c>
      <c r="AR110" s="236">
        <f t="shared" si="169"/>
        <v>-3929.7383</v>
      </c>
      <c r="AS110" s="236">
        <f t="shared" si="169"/>
        <v>-3929.7383</v>
      </c>
      <c r="AT110" s="236">
        <f t="shared" si="169"/>
        <v>-3929.7383</v>
      </c>
      <c r="AU110" s="236">
        <f t="shared" si="169"/>
        <v>-3929.7383</v>
      </c>
      <c r="AV110" s="236">
        <f t="shared" si="169"/>
        <v>-3929.7383</v>
      </c>
      <c r="AW110" s="236">
        <f t="shared" si="169"/>
        <v>-3929.7383</v>
      </c>
      <c r="AX110" s="236">
        <f t="shared" si="169"/>
        <v>-3929.7383</v>
      </c>
      <c r="AY110" s="236">
        <f t="shared" si="147"/>
        <v>-2111.7383</v>
      </c>
      <c r="AZ110" s="236">
        <f t="shared" si="158"/>
        <v>-2810.8683000000001</v>
      </c>
      <c r="BA110" s="247">
        <f t="shared" si="159"/>
        <v>-2.9317713049792226E-5</v>
      </c>
      <c r="BB110" s="247">
        <f t="shared" si="160"/>
        <v>-2.9382895225717586E-5</v>
      </c>
      <c r="BC110" s="228">
        <f t="shared" si="124"/>
        <v>-2111.7383</v>
      </c>
    </row>
    <row r="111" spans="1:55" outlineLevel="2" collapsed="1" x14ac:dyDescent="0.25">
      <c r="A111" s="222">
        <v>6</v>
      </c>
      <c r="B111" s="233">
        <f>EEFFun!B255</f>
        <v>169910</v>
      </c>
      <c r="C111" s="234" t="str">
        <f>EEFFun!C255</f>
        <v>(Provisión para otras cuentas por cobrar)</v>
      </c>
      <c r="D111" s="235">
        <f>EEFFun!P255</f>
        <v>-240232.66</v>
      </c>
      <c r="E111" s="235">
        <f>EEFFun!Q255</f>
        <v>-240253.49</v>
      </c>
      <c r="F111" s="235">
        <f>EEFFun!R255</f>
        <v>-240183.01</v>
      </c>
      <c r="G111" s="235">
        <f>EEFFun!S255</f>
        <v>-222039.96</v>
      </c>
      <c r="H111" s="235">
        <f>EEFFun!T255</f>
        <v>-222029.46</v>
      </c>
      <c r="I111" s="235">
        <f>EEFFun!U255</f>
        <v>-222025.46</v>
      </c>
      <c r="J111" s="235">
        <f>EEFFun!V255</f>
        <v>-222778.61</v>
      </c>
      <c r="K111" s="235">
        <f>EEFFun!W255</f>
        <v>-222919.05</v>
      </c>
      <c r="L111" s="235">
        <f>EEFFun!X255</f>
        <v>-222977.85</v>
      </c>
      <c r="M111" s="235">
        <f>EEFFun!Y255</f>
        <v>-239368.79</v>
      </c>
      <c r="N111" s="235">
        <f>EEFFun!Z255</f>
        <v>-239365.79</v>
      </c>
      <c r="O111" s="235">
        <f>EEFFun!AA255</f>
        <v>-239361.79</v>
      </c>
      <c r="P111" s="235">
        <f>EEFFun!AB255</f>
        <v>-183657.63</v>
      </c>
      <c r="Q111" s="235">
        <f>EEFFun!AC255</f>
        <v>-183620.63</v>
      </c>
      <c r="R111" s="235">
        <f>EEFFun!AD255</f>
        <v>-183570.63</v>
      </c>
      <c r="S111" s="235">
        <f>EEFFun!AE255</f>
        <v>-179105.16</v>
      </c>
      <c r="T111" s="235">
        <f>EEFFun!AF255</f>
        <v>-179103.16</v>
      </c>
      <c r="U111" s="235">
        <f>EEFFun!AG255</f>
        <v>-179094.16</v>
      </c>
      <c r="V111" s="235">
        <f>EEFFun!AH255</f>
        <v>-176272.91</v>
      </c>
      <c r="W111" s="235">
        <f>EEFFun!AI255</f>
        <v>-174863.72</v>
      </c>
      <c r="X111" s="235">
        <f>EEFFun!AJ255</f>
        <v>-174808.72</v>
      </c>
      <c r="Y111" s="235">
        <f>EEFFun!AK255</f>
        <v>-170307.87</v>
      </c>
      <c r="Z111" s="235">
        <f>EEFFun!AL255</f>
        <v>-170301.87</v>
      </c>
      <c r="AA111" s="235">
        <f>EEFFun!AM255</f>
        <v>-170315.27</v>
      </c>
      <c r="AB111" s="235">
        <f>EEFFun!AN255</f>
        <v>-97917.33</v>
      </c>
      <c r="AC111" s="235">
        <f>EEFFun!AO255</f>
        <v>-97908.33</v>
      </c>
      <c r="AD111" s="235">
        <f>EEFFun!AP255</f>
        <v>-97508.51</v>
      </c>
      <c r="AE111" s="235">
        <f>EEFFun!AQ255</f>
        <v>-134917.25</v>
      </c>
      <c r="AF111" s="235">
        <f>EEFFun!AR255</f>
        <v>-134914.25</v>
      </c>
      <c r="AG111" s="235">
        <f>EEFFun!AS255</f>
        <v>-118212.2</v>
      </c>
      <c r="AH111" s="235">
        <f>EEFFun!AT255</f>
        <v>-153340.91</v>
      </c>
      <c r="AI111" s="235">
        <f>EEFFun!AU255</f>
        <v>-153283.89000000001</v>
      </c>
      <c r="AJ111" s="235">
        <f>EEFFun!AV255</f>
        <v>-153282.91</v>
      </c>
      <c r="AK111" s="235">
        <f>EEFFun!AW255</f>
        <v>-152022.18</v>
      </c>
      <c r="AL111" s="235">
        <f>EEFFun!AX255</f>
        <v>-146568.65</v>
      </c>
      <c r="AM111" s="236">
        <f>$AL111*1.01</f>
        <v>-148034.3365</v>
      </c>
      <c r="AN111" s="236">
        <f t="shared" ref="AN111:AX111" si="170">$AL111*1.01</f>
        <v>-148034.3365</v>
      </c>
      <c r="AO111" s="236">
        <f t="shared" si="170"/>
        <v>-148034.3365</v>
      </c>
      <c r="AP111" s="236">
        <f t="shared" si="170"/>
        <v>-148034.3365</v>
      </c>
      <c r="AQ111" s="236">
        <f t="shared" si="170"/>
        <v>-148034.3365</v>
      </c>
      <c r="AR111" s="236">
        <f t="shared" si="170"/>
        <v>-148034.3365</v>
      </c>
      <c r="AS111" s="236">
        <f t="shared" si="170"/>
        <v>-148034.3365</v>
      </c>
      <c r="AT111" s="236">
        <f t="shared" si="170"/>
        <v>-148034.3365</v>
      </c>
      <c r="AU111" s="236">
        <f t="shared" si="170"/>
        <v>-148034.3365</v>
      </c>
      <c r="AV111" s="236">
        <f t="shared" si="170"/>
        <v>-148034.3365</v>
      </c>
      <c r="AW111" s="236">
        <f t="shared" si="170"/>
        <v>-148034.3365</v>
      </c>
      <c r="AX111" s="236">
        <f t="shared" si="170"/>
        <v>-148034.3365</v>
      </c>
      <c r="AY111" s="236">
        <f t="shared" si="147"/>
        <v>28238.573499999999</v>
      </c>
      <c r="AZ111" s="236">
        <f t="shared" si="158"/>
        <v>35623.2935</v>
      </c>
      <c r="BA111" s="247">
        <f t="shared" si="159"/>
        <v>-4.8123747135457315E-3</v>
      </c>
      <c r="BB111" s="247">
        <f t="shared" si="160"/>
        <v>-1.1068618485836883E-3</v>
      </c>
      <c r="BC111" s="228">
        <f t="shared" si="124"/>
        <v>26829.383499999996</v>
      </c>
    </row>
    <row r="112" spans="1:55" s="229" customFormat="1" outlineLevel="1" x14ac:dyDescent="0.25">
      <c r="A112" s="222">
        <v>2</v>
      </c>
      <c r="B112" s="223">
        <f>EEFFun!B256</f>
        <v>17</v>
      </c>
      <c r="C112" s="223" t="str">
        <f>EEFFun!C256</f>
        <v>BIENES REALIZABLES, ADJUDICADOS POR PAGO, DE ARREN</v>
      </c>
      <c r="D112" s="225">
        <f>EEFFun!P256</f>
        <v>575478.6</v>
      </c>
      <c r="E112" s="225">
        <f>EEFFun!Q256</f>
        <v>573907.56999999995</v>
      </c>
      <c r="F112" s="225">
        <f>EEFFun!R256</f>
        <v>578820.01</v>
      </c>
      <c r="G112" s="225">
        <f>EEFFun!S256</f>
        <v>577888.30000000005</v>
      </c>
      <c r="H112" s="225">
        <f>EEFFun!T256</f>
        <v>564398.09</v>
      </c>
      <c r="I112" s="225">
        <f>EEFFun!U256</f>
        <v>563466.39</v>
      </c>
      <c r="J112" s="225">
        <f>EEFFun!V256</f>
        <v>562564.74</v>
      </c>
      <c r="K112" s="225">
        <f>EEFFun!W256</f>
        <v>561633.04</v>
      </c>
      <c r="L112" s="225">
        <f>EEFFun!X256</f>
        <v>560701.32999999996</v>
      </c>
      <c r="M112" s="225">
        <f>EEFFun!Y256</f>
        <v>559799.68000000005</v>
      </c>
      <c r="N112" s="225">
        <f>EEFFun!Z256</f>
        <v>558867.98</v>
      </c>
      <c r="O112" s="225">
        <f>EEFFun!AA256</f>
        <v>557966.32999999996</v>
      </c>
      <c r="P112" s="225">
        <f>EEFFun!AB256</f>
        <v>557034.63</v>
      </c>
      <c r="Q112" s="225">
        <f>EEFFun!AC256</f>
        <v>556102.92000000004</v>
      </c>
      <c r="R112" s="225">
        <f>EEFFun!AD256</f>
        <v>565231.32999999996</v>
      </c>
      <c r="S112" s="225">
        <f>EEFFun!AE256</f>
        <v>564299.62</v>
      </c>
      <c r="T112" s="225">
        <f>EEFFun!AF256</f>
        <v>553397.97</v>
      </c>
      <c r="U112" s="225">
        <f>EEFFun!AG256</f>
        <v>552466.27</v>
      </c>
      <c r="V112" s="225">
        <f>EEFFun!AH256</f>
        <v>551564.62</v>
      </c>
      <c r="W112" s="225">
        <f>EEFFun!AI256</f>
        <v>542960.92000000004</v>
      </c>
      <c r="X112" s="225">
        <f>EEFFun!AJ256</f>
        <v>542029.21</v>
      </c>
      <c r="Y112" s="225">
        <f>EEFFun!AK256</f>
        <v>541127.56000000006</v>
      </c>
      <c r="Z112" s="225">
        <f>EEFFun!AL256</f>
        <v>536334.86</v>
      </c>
      <c r="AA112" s="225">
        <f>EEFFun!AM256</f>
        <v>539294.21</v>
      </c>
      <c r="AB112" s="225">
        <f>EEFFun!AN256</f>
        <v>519485.56</v>
      </c>
      <c r="AC112" s="225">
        <f>EEFFun!AO256</f>
        <v>518553.86</v>
      </c>
      <c r="AD112" s="225">
        <f>EEFFun!AP256</f>
        <v>517712.32</v>
      </c>
      <c r="AE112" s="225">
        <f>EEFFun!AQ256</f>
        <v>516780.62</v>
      </c>
      <c r="AF112" s="225">
        <f>EEFFun!AR256</f>
        <v>515878.97</v>
      </c>
      <c r="AG112" s="225">
        <f>EEFFun!AS256</f>
        <v>514947.26</v>
      </c>
      <c r="AH112" s="225">
        <f>EEFFun!AT256</f>
        <v>514045.61</v>
      </c>
      <c r="AI112" s="225">
        <f>EEFFun!AU256</f>
        <v>513113.91</v>
      </c>
      <c r="AJ112" s="225">
        <f>EEFFun!AV256</f>
        <v>512182.21</v>
      </c>
      <c r="AK112" s="225">
        <f>EEFFun!AW256</f>
        <v>511280.56</v>
      </c>
      <c r="AL112" s="225">
        <f>EEFFun!AX256</f>
        <v>510348.85</v>
      </c>
      <c r="AM112" s="226">
        <f>AM113+AM117+AM120</f>
        <v>510192.56664999994</v>
      </c>
      <c r="AN112" s="226">
        <f t="shared" ref="AN112:AS112" si="171">AN113+AN117+AN120</f>
        <v>510036.12701664999</v>
      </c>
      <c r="AO112" s="226">
        <f t="shared" si="171"/>
        <v>509879.5309436667</v>
      </c>
      <c r="AP112" s="226">
        <f t="shared" si="171"/>
        <v>509722.77827461029</v>
      </c>
      <c r="AQ112" s="226">
        <f t="shared" si="171"/>
        <v>509565.86885288497</v>
      </c>
      <c r="AR112" s="226">
        <f t="shared" si="171"/>
        <v>509408.80252173787</v>
      </c>
      <c r="AS112" s="226">
        <f t="shared" si="171"/>
        <v>509251.57912425959</v>
      </c>
      <c r="AT112" s="226">
        <f t="shared" ref="AT112" si="172">AT113+AT117+AT120</f>
        <v>509094.1985033839</v>
      </c>
      <c r="AU112" s="226">
        <f t="shared" ref="AU112" si="173">AU113+AU117+AU120</f>
        <v>508936.66050188738</v>
      </c>
      <c r="AV112" s="226">
        <f t="shared" ref="AV112" si="174">AV113+AV117+AV120</f>
        <v>508778.96496238926</v>
      </c>
      <c r="AW112" s="226">
        <f t="shared" ref="AW112" si="175">AW113+AW117+AW120</f>
        <v>508621.11172735167</v>
      </c>
      <c r="AX112" s="226">
        <f t="shared" ref="AX112" si="176">AX113+AX117+AX120</f>
        <v>508463.10063907906</v>
      </c>
      <c r="AY112" s="226">
        <f t="shared" si="147"/>
        <v>-43101.519360920938</v>
      </c>
      <c r="AZ112" s="226">
        <f t="shared" si="158"/>
        <v>-48571.529360920948</v>
      </c>
      <c r="BA112" s="231">
        <f t="shared" si="159"/>
        <v>1.4595959710365982E-2</v>
      </c>
      <c r="BB112" s="231">
        <f t="shared" si="160"/>
        <v>3.8018099098918513E-3</v>
      </c>
      <c r="BC112" s="228">
        <f t="shared" si="124"/>
        <v>-33866.721496616141</v>
      </c>
    </row>
    <row r="113" spans="1:55" outlineLevel="2" collapsed="1" x14ac:dyDescent="0.25">
      <c r="A113" s="222">
        <v>4</v>
      </c>
      <c r="B113" s="233">
        <f>EEFFun!B257</f>
        <v>1702</v>
      </c>
      <c r="C113" s="234" t="str">
        <f>EEFFun!C257</f>
        <v>Bienes adjudicados por pago</v>
      </c>
      <c r="D113" s="235">
        <f>EEFFun!P257</f>
        <v>343861.5</v>
      </c>
      <c r="E113" s="235">
        <f>EEFFun!Q257</f>
        <v>343861.5</v>
      </c>
      <c r="F113" s="235">
        <f>EEFFun!R257</f>
        <v>343861.5</v>
      </c>
      <c r="G113" s="235">
        <f>EEFFun!S257</f>
        <v>343861.5</v>
      </c>
      <c r="H113" s="235">
        <f>EEFFun!T257</f>
        <v>147801.94</v>
      </c>
      <c r="I113" s="235">
        <f>EEFFun!U257</f>
        <v>147801.94</v>
      </c>
      <c r="J113" s="235">
        <f>EEFFun!V257</f>
        <v>147801.94</v>
      </c>
      <c r="K113" s="235">
        <f>EEFFun!W257</f>
        <v>147801.94</v>
      </c>
      <c r="L113" s="235">
        <f>EEFFun!X257</f>
        <v>147801.94</v>
      </c>
      <c r="M113" s="235">
        <f>EEFFun!Y257</f>
        <v>147801.94</v>
      </c>
      <c r="N113" s="235">
        <f>EEFFun!Z257</f>
        <v>147801.94</v>
      </c>
      <c r="O113" s="235">
        <f>EEFFun!AA257</f>
        <v>147801.94</v>
      </c>
      <c r="P113" s="235">
        <f>EEFFun!AB257</f>
        <v>147801.94</v>
      </c>
      <c r="Q113" s="235">
        <f>EEFFun!AC257</f>
        <v>147801.94</v>
      </c>
      <c r="R113" s="235">
        <f>EEFFun!AD257</f>
        <v>157801.94</v>
      </c>
      <c r="S113" s="235">
        <f>EEFFun!AE257</f>
        <v>157801.94</v>
      </c>
      <c r="T113" s="235">
        <f>EEFFun!AF257</f>
        <v>147801.94</v>
      </c>
      <c r="U113" s="235">
        <f>EEFFun!AG257</f>
        <v>147801.94</v>
      </c>
      <c r="V113" s="235">
        <f>EEFFun!AH257</f>
        <v>151662.94</v>
      </c>
      <c r="W113" s="235">
        <f>EEFFun!AI257</f>
        <v>143990.94</v>
      </c>
      <c r="X113" s="235">
        <f>EEFFun!AJ257</f>
        <v>143990.94</v>
      </c>
      <c r="Y113" s="235">
        <f>EEFFun!AK257</f>
        <v>143990.94</v>
      </c>
      <c r="Z113" s="235">
        <f>EEFFun!AL257</f>
        <v>140129.94</v>
      </c>
      <c r="AA113" s="235">
        <f>EEFFun!AM257</f>
        <v>140129.94</v>
      </c>
      <c r="AB113" s="235">
        <f>EEFFun!AN257</f>
        <v>59326</v>
      </c>
      <c r="AC113" s="235">
        <f>EEFFun!AO257</f>
        <v>59326</v>
      </c>
      <c r="AD113" s="235">
        <f>EEFFun!AP257</f>
        <v>59326</v>
      </c>
      <c r="AE113" s="235">
        <f>EEFFun!AQ257</f>
        <v>59326</v>
      </c>
      <c r="AF113" s="235">
        <f>EEFFun!AR257</f>
        <v>59326</v>
      </c>
      <c r="AG113" s="235">
        <f>EEFFun!AS257</f>
        <v>59326</v>
      </c>
      <c r="AH113" s="235">
        <f>EEFFun!AT257</f>
        <v>59326</v>
      </c>
      <c r="AI113" s="235">
        <f>EEFFun!AU257</f>
        <v>59326</v>
      </c>
      <c r="AJ113" s="235">
        <f>EEFFun!AV257</f>
        <v>59326</v>
      </c>
      <c r="AK113" s="235">
        <f>EEFFun!AW257</f>
        <v>59326</v>
      </c>
      <c r="AL113" s="235">
        <f>EEFFun!AX257</f>
        <v>59326</v>
      </c>
      <c r="AM113" s="236">
        <f t="shared" ref="AM113:AS113" si="177">SUM(AM114:AM116)</f>
        <v>59326</v>
      </c>
      <c r="AN113" s="236">
        <f t="shared" si="177"/>
        <v>59326</v>
      </c>
      <c r="AO113" s="236">
        <f t="shared" si="177"/>
        <v>59326</v>
      </c>
      <c r="AP113" s="236">
        <f t="shared" si="177"/>
        <v>59326</v>
      </c>
      <c r="AQ113" s="236">
        <f t="shared" si="177"/>
        <v>59326</v>
      </c>
      <c r="AR113" s="236">
        <f t="shared" si="177"/>
        <v>59326</v>
      </c>
      <c r="AS113" s="236">
        <f t="shared" si="177"/>
        <v>59326</v>
      </c>
      <c r="AT113" s="236">
        <f t="shared" ref="AT113" si="178">SUM(AT114:AT116)</f>
        <v>59326</v>
      </c>
      <c r="AU113" s="236">
        <f t="shared" ref="AU113" si="179">SUM(AU114:AU116)</f>
        <v>59326</v>
      </c>
      <c r="AV113" s="236">
        <f t="shared" ref="AV113" si="180">SUM(AV114:AV116)</f>
        <v>59326</v>
      </c>
      <c r="AW113" s="236">
        <f t="shared" ref="AW113" si="181">SUM(AW114:AW116)</f>
        <v>59326</v>
      </c>
      <c r="AX113" s="236">
        <f t="shared" ref="AX113" si="182">SUM(AX114:AX116)</f>
        <v>59326</v>
      </c>
      <c r="AY113" s="236">
        <f t="shared" si="147"/>
        <v>-92336.94</v>
      </c>
      <c r="AZ113" s="236">
        <f t="shared" si="158"/>
        <v>-88475.94</v>
      </c>
      <c r="BA113" s="232">
        <f t="shared" si="159"/>
        <v>3.8728492721429729E-3</v>
      </c>
      <c r="BB113" s="232">
        <f t="shared" si="160"/>
        <v>4.4358415474153118E-4</v>
      </c>
      <c r="BC113" s="228">
        <f t="shared" si="124"/>
        <v>-84664.94</v>
      </c>
    </row>
    <row r="114" spans="1:55" outlineLevel="2" collapsed="1" x14ac:dyDescent="0.25">
      <c r="A114" s="222">
        <v>6</v>
      </c>
      <c r="B114" s="233">
        <f>EEFFun!B258</f>
        <v>170205</v>
      </c>
      <c r="C114" s="234" t="str">
        <f>EEFFun!C258</f>
        <v>Terrenos</v>
      </c>
      <c r="D114" s="235">
        <f>EEFFun!P258</f>
        <v>24600</v>
      </c>
      <c r="E114" s="235">
        <f>EEFFun!Q258</f>
        <v>24600</v>
      </c>
      <c r="F114" s="235">
        <f>EEFFun!R258</f>
        <v>24600</v>
      </c>
      <c r="G114" s="235">
        <f>EEFFun!S258</f>
        <v>24600</v>
      </c>
      <c r="H114" s="235">
        <f>EEFFun!T258</f>
        <v>24600</v>
      </c>
      <c r="I114" s="235">
        <f>EEFFun!U258</f>
        <v>24600</v>
      </c>
      <c r="J114" s="235">
        <f>EEFFun!V258</f>
        <v>24600</v>
      </c>
      <c r="K114" s="235">
        <f>EEFFun!W258</f>
        <v>24600</v>
      </c>
      <c r="L114" s="235">
        <f>EEFFun!X258</f>
        <v>24600</v>
      </c>
      <c r="M114" s="235">
        <f>EEFFun!Y258</f>
        <v>24600</v>
      </c>
      <c r="N114" s="235">
        <f>EEFFun!Z258</f>
        <v>24600</v>
      </c>
      <c r="O114" s="235">
        <f>EEFFun!AA258</f>
        <v>24600</v>
      </c>
      <c r="P114" s="235">
        <f>EEFFun!AB258</f>
        <v>24600</v>
      </c>
      <c r="Q114" s="235">
        <f>EEFFun!AC258</f>
        <v>24600</v>
      </c>
      <c r="R114" s="235">
        <f>EEFFun!AD258</f>
        <v>24600</v>
      </c>
      <c r="S114" s="235">
        <f>EEFFun!AE258</f>
        <v>24600</v>
      </c>
      <c r="T114" s="235">
        <f>EEFFun!AF258</f>
        <v>24600</v>
      </c>
      <c r="U114" s="235">
        <f>EEFFun!AG258</f>
        <v>24600</v>
      </c>
      <c r="V114" s="235">
        <f>EEFFun!AH258</f>
        <v>24600</v>
      </c>
      <c r="W114" s="235">
        <f>EEFFun!AI258</f>
        <v>24600</v>
      </c>
      <c r="X114" s="235">
        <f>EEFFun!AJ258</f>
        <v>24600</v>
      </c>
      <c r="Y114" s="235">
        <f>EEFFun!AK258</f>
        <v>24600</v>
      </c>
      <c r="Z114" s="235">
        <f>EEFFun!AL258</f>
        <v>24600</v>
      </c>
      <c r="AA114" s="235">
        <f>EEFFun!AM258</f>
        <v>24600</v>
      </c>
      <c r="AB114" s="235">
        <f>EEFFun!AN258</f>
        <v>24600</v>
      </c>
      <c r="AC114" s="235">
        <f>EEFFun!AO258</f>
        <v>24600</v>
      </c>
      <c r="AD114" s="235">
        <f>EEFFun!AP258</f>
        <v>24600</v>
      </c>
      <c r="AE114" s="235">
        <f>EEFFun!AQ258</f>
        <v>24600</v>
      </c>
      <c r="AF114" s="235">
        <f>EEFFun!AR258</f>
        <v>24600</v>
      </c>
      <c r="AG114" s="235">
        <f>EEFFun!AS258</f>
        <v>24600</v>
      </c>
      <c r="AH114" s="235">
        <f>EEFFun!AT258</f>
        <v>24600</v>
      </c>
      <c r="AI114" s="235">
        <f>EEFFun!AU258</f>
        <v>24600</v>
      </c>
      <c r="AJ114" s="235">
        <f>EEFFun!AV258</f>
        <v>24600</v>
      </c>
      <c r="AK114" s="235">
        <f>EEFFun!AW258</f>
        <v>24600</v>
      </c>
      <c r="AL114" s="235">
        <f>EEFFun!AX258</f>
        <v>24600</v>
      </c>
      <c r="AM114" s="236">
        <f t="shared" ref="AM114:AX114" si="183">Q114</f>
        <v>24600</v>
      </c>
      <c r="AN114" s="236">
        <f t="shared" si="183"/>
        <v>24600</v>
      </c>
      <c r="AO114" s="236">
        <f t="shared" si="183"/>
        <v>24600</v>
      </c>
      <c r="AP114" s="236">
        <f t="shared" si="183"/>
        <v>24600</v>
      </c>
      <c r="AQ114" s="236">
        <f t="shared" si="183"/>
        <v>24600</v>
      </c>
      <c r="AR114" s="236">
        <f t="shared" si="183"/>
        <v>24600</v>
      </c>
      <c r="AS114" s="236">
        <f t="shared" si="183"/>
        <v>24600</v>
      </c>
      <c r="AT114" s="236">
        <f t="shared" si="183"/>
        <v>24600</v>
      </c>
      <c r="AU114" s="236">
        <f t="shared" si="183"/>
        <v>24600</v>
      </c>
      <c r="AV114" s="236">
        <f t="shared" si="183"/>
        <v>24600</v>
      </c>
      <c r="AW114" s="236">
        <f t="shared" si="183"/>
        <v>24600</v>
      </c>
      <c r="AX114" s="236">
        <f t="shared" si="183"/>
        <v>24600</v>
      </c>
      <c r="AY114" s="236">
        <f t="shared" si="147"/>
        <v>0</v>
      </c>
      <c r="AZ114" s="236">
        <f t="shared" si="158"/>
        <v>0</v>
      </c>
      <c r="BA114" s="232">
        <f t="shared" si="159"/>
        <v>6.4459297418367528E-4</v>
      </c>
      <c r="BB114" s="232">
        <f t="shared" si="160"/>
        <v>1.8393571463846655E-4</v>
      </c>
      <c r="BC114" s="228">
        <f t="shared" si="124"/>
        <v>0</v>
      </c>
    </row>
    <row r="115" spans="1:55" outlineLevel="2" collapsed="1" x14ac:dyDescent="0.25">
      <c r="A115" s="222">
        <v>6</v>
      </c>
      <c r="B115" s="233">
        <f>EEFFun!B259</f>
        <v>170210</v>
      </c>
      <c r="C115" s="234" t="str">
        <f>EEFFun!C259</f>
        <v>Edificios y otros locales</v>
      </c>
      <c r="D115" s="235">
        <f>EEFFun!P259</f>
        <v>276863.5</v>
      </c>
      <c r="E115" s="235">
        <f>EEFFun!Q259</f>
        <v>276863.5</v>
      </c>
      <c r="F115" s="235">
        <f>EEFFun!R259</f>
        <v>276863.5</v>
      </c>
      <c r="G115" s="235">
        <f>EEFFun!S259</f>
        <v>276863.5</v>
      </c>
      <c r="H115" s="235">
        <f>EEFFun!T259</f>
        <v>80803.94</v>
      </c>
      <c r="I115" s="235">
        <f>EEFFun!U259</f>
        <v>80803.94</v>
      </c>
      <c r="J115" s="235">
        <f>EEFFun!V259</f>
        <v>80803.94</v>
      </c>
      <c r="K115" s="235">
        <f>EEFFun!W259</f>
        <v>80803.94</v>
      </c>
      <c r="L115" s="235">
        <f>EEFFun!X259</f>
        <v>80803.94</v>
      </c>
      <c r="M115" s="235">
        <f>EEFFun!Y259</f>
        <v>80803.94</v>
      </c>
      <c r="N115" s="235">
        <f>EEFFun!Z259</f>
        <v>80803.94</v>
      </c>
      <c r="O115" s="235">
        <f>EEFFun!AA259</f>
        <v>80803.94</v>
      </c>
      <c r="P115" s="235">
        <f>EEFFun!AB259</f>
        <v>80803.94</v>
      </c>
      <c r="Q115" s="235">
        <f>EEFFun!AC259</f>
        <v>80803.94</v>
      </c>
      <c r="R115" s="235">
        <f>EEFFun!AD259</f>
        <v>80803.94</v>
      </c>
      <c r="S115" s="235">
        <f>EEFFun!AE259</f>
        <v>80803.94</v>
      </c>
      <c r="T115" s="235">
        <f>EEFFun!AF259</f>
        <v>80803.94</v>
      </c>
      <c r="U115" s="235">
        <f>EEFFun!AG259</f>
        <v>80803.94</v>
      </c>
      <c r="V115" s="235">
        <f>EEFFun!AH259</f>
        <v>80803.94</v>
      </c>
      <c r="W115" s="235">
        <f>EEFFun!AI259</f>
        <v>80803.94</v>
      </c>
      <c r="X115" s="235">
        <f>EEFFun!AJ259</f>
        <v>80803.94</v>
      </c>
      <c r="Y115" s="235">
        <f>EEFFun!AK259</f>
        <v>80803.94</v>
      </c>
      <c r="Z115" s="235">
        <f>EEFFun!AL259</f>
        <v>80803.94</v>
      </c>
      <c r="AA115" s="235">
        <f>EEFFun!AM259</f>
        <v>80803.94</v>
      </c>
      <c r="AB115" s="235">
        <f>EEFFun!AN259</f>
        <v>0</v>
      </c>
      <c r="AC115" s="235">
        <f>EEFFun!AO259</f>
        <v>0</v>
      </c>
      <c r="AD115" s="235">
        <f>EEFFun!AP259</f>
        <v>0</v>
      </c>
      <c r="AE115" s="235">
        <f>EEFFun!AQ259</f>
        <v>0</v>
      </c>
      <c r="AF115" s="235">
        <f>EEFFun!AR259</f>
        <v>0</v>
      </c>
      <c r="AG115" s="235">
        <f>EEFFun!AS259</f>
        <v>0</v>
      </c>
      <c r="AH115" s="235">
        <f>EEFFun!AT259</f>
        <v>0</v>
      </c>
      <c r="AI115" s="235">
        <f>EEFFun!AU259</f>
        <v>0</v>
      </c>
      <c r="AJ115" s="235">
        <f>EEFFun!AV259</f>
        <v>0</v>
      </c>
      <c r="AK115" s="235">
        <f>EEFFun!AW259</f>
        <v>0</v>
      </c>
      <c r="AL115" s="235">
        <f>EEFFun!AX259</f>
        <v>0</v>
      </c>
      <c r="AM115" s="236">
        <f>+AB115</f>
        <v>0</v>
      </c>
      <c r="AN115" s="236">
        <f t="shared" ref="AN115:AW115" si="184">+AM115</f>
        <v>0</v>
      </c>
      <c r="AO115" s="236">
        <f t="shared" si="184"/>
        <v>0</v>
      </c>
      <c r="AP115" s="236">
        <f t="shared" si="184"/>
        <v>0</v>
      </c>
      <c r="AQ115" s="236">
        <f t="shared" si="184"/>
        <v>0</v>
      </c>
      <c r="AR115" s="236">
        <f t="shared" si="184"/>
        <v>0</v>
      </c>
      <c r="AS115" s="236">
        <f t="shared" si="184"/>
        <v>0</v>
      </c>
      <c r="AT115" s="236">
        <f t="shared" si="184"/>
        <v>0</v>
      </c>
      <c r="AU115" s="236">
        <f t="shared" si="184"/>
        <v>0</v>
      </c>
      <c r="AV115" s="236">
        <f t="shared" si="184"/>
        <v>0</v>
      </c>
      <c r="AW115" s="236">
        <f t="shared" si="184"/>
        <v>0</v>
      </c>
      <c r="AX115" s="236">
        <f t="shared" ref="AX115" si="185">AB115</f>
        <v>0</v>
      </c>
      <c r="AY115" s="236">
        <f t="shared" si="147"/>
        <v>-80803.94</v>
      </c>
      <c r="AZ115" s="236">
        <f t="shared" si="158"/>
        <v>-80803.94</v>
      </c>
      <c r="BA115" s="232">
        <f t="shared" si="159"/>
        <v>2.117302927250376E-3</v>
      </c>
      <c r="BB115" s="232">
        <f t="shared" si="160"/>
        <v>0</v>
      </c>
      <c r="BC115" s="228">
        <f t="shared" si="124"/>
        <v>-80803.94</v>
      </c>
    </row>
    <row r="116" spans="1:55" outlineLevel="2" collapsed="1" x14ac:dyDescent="0.25">
      <c r="A116" s="222">
        <v>6</v>
      </c>
      <c r="B116" s="233">
        <f>EEFFun!B260</f>
        <v>170220</v>
      </c>
      <c r="C116" s="234" t="str">
        <f>EEFFun!C260</f>
        <v>Unidades de transporte</v>
      </c>
      <c r="D116" s="235">
        <f>EEFFun!P260</f>
        <v>42398</v>
      </c>
      <c r="E116" s="235">
        <f>EEFFun!Q260</f>
        <v>42398</v>
      </c>
      <c r="F116" s="235">
        <f>EEFFun!R260</f>
        <v>42398</v>
      </c>
      <c r="G116" s="235">
        <f>EEFFun!S260</f>
        <v>42398</v>
      </c>
      <c r="H116" s="235">
        <f>EEFFun!T260</f>
        <v>42398</v>
      </c>
      <c r="I116" s="235">
        <f>EEFFun!U260</f>
        <v>42398</v>
      </c>
      <c r="J116" s="235">
        <f>EEFFun!V260</f>
        <v>42398</v>
      </c>
      <c r="K116" s="235">
        <f>EEFFun!W260</f>
        <v>42398</v>
      </c>
      <c r="L116" s="235">
        <f>EEFFun!X260</f>
        <v>42398</v>
      </c>
      <c r="M116" s="235">
        <f>EEFFun!Y260</f>
        <v>42398</v>
      </c>
      <c r="N116" s="235">
        <f>EEFFun!Z260</f>
        <v>42398</v>
      </c>
      <c r="O116" s="235">
        <f>EEFFun!AA260</f>
        <v>42398</v>
      </c>
      <c r="P116" s="235">
        <f>EEFFun!AB260</f>
        <v>42398</v>
      </c>
      <c r="Q116" s="235">
        <f>EEFFun!AC260</f>
        <v>42398</v>
      </c>
      <c r="R116" s="235">
        <f>EEFFun!AD260</f>
        <v>52398</v>
      </c>
      <c r="S116" s="235">
        <f>EEFFun!AE260</f>
        <v>52398</v>
      </c>
      <c r="T116" s="235">
        <f>EEFFun!AF260</f>
        <v>42398</v>
      </c>
      <c r="U116" s="235">
        <f>EEFFun!AG260</f>
        <v>42398</v>
      </c>
      <c r="V116" s="235">
        <f>EEFFun!AH260</f>
        <v>46259</v>
      </c>
      <c r="W116" s="235">
        <f>EEFFun!AI260</f>
        <v>38587</v>
      </c>
      <c r="X116" s="235">
        <f>EEFFun!AJ260</f>
        <v>38587</v>
      </c>
      <c r="Y116" s="235">
        <f>EEFFun!AK260</f>
        <v>38587</v>
      </c>
      <c r="Z116" s="235">
        <f>EEFFun!AL260</f>
        <v>34726</v>
      </c>
      <c r="AA116" s="235">
        <f>EEFFun!AM260</f>
        <v>34726</v>
      </c>
      <c r="AB116" s="235">
        <f>EEFFun!AN260</f>
        <v>34726</v>
      </c>
      <c r="AC116" s="235">
        <f>EEFFun!AO260</f>
        <v>34726</v>
      </c>
      <c r="AD116" s="235">
        <f>EEFFun!AP260</f>
        <v>34726</v>
      </c>
      <c r="AE116" s="235">
        <f>EEFFun!AQ260</f>
        <v>34726</v>
      </c>
      <c r="AF116" s="235">
        <f>EEFFun!AR260</f>
        <v>34726</v>
      </c>
      <c r="AG116" s="235">
        <f>EEFFun!AS260</f>
        <v>34726</v>
      </c>
      <c r="AH116" s="235">
        <f>EEFFun!AT260</f>
        <v>34726</v>
      </c>
      <c r="AI116" s="235">
        <f>EEFFun!AU260</f>
        <v>34726</v>
      </c>
      <c r="AJ116" s="235">
        <f>EEFFun!AV260</f>
        <v>34726</v>
      </c>
      <c r="AK116" s="235">
        <f>EEFFun!AW260</f>
        <v>34726</v>
      </c>
      <c r="AL116" s="235">
        <f>EEFFun!AX260</f>
        <v>34726</v>
      </c>
      <c r="AM116" s="236">
        <f>AC116</f>
        <v>34726</v>
      </c>
      <c r="AN116" s="236">
        <f t="shared" ref="AN116:AX116" si="186">AD116</f>
        <v>34726</v>
      </c>
      <c r="AO116" s="236">
        <f t="shared" si="186"/>
        <v>34726</v>
      </c>
      <c r="AP116" s="236">
        <f t="shared" si="186"/>
        <v>34726</v>
      </c>
      <c r="AQ116" s="236">
        <f t="shared" si="186"/>
        <v>34726</v>
      </c>
      <c r="AR116" s="236">
        <f t="shared" si="186"/>
        <v>34726</v>
      </c>
      <c r="AS116" s="236">
        <f t="shared" si="186"/>
        <v>34726</v>
      </c>
      <c r="AT116" s="236">
        <f t="shared" si="186"/>
        <v>34726</v>
      </c>
      <c r="AU116" s="236">
        <f t="shared" si="186"/>
        <v>34726</v>
      </c>
      <c r="AV116" s="236">
        <f t="shared" si="186"/>
        <v>34726</v>
      </c>
      <c r="AW116" s="236">
        <f t="shared" si="186"/>
        <v>34726</v>
      </c>
      <c r="AX116" s="236">
        <f t="shared" si="186"/>
        <v>34726</v>
      </c>
      <c r="AY116" s="236">
        <f t="shared" si="147"/>
        <v>-11533</v>
      </c>
      <c r="AZ116" s="236">
        <f t="shared" si="158"/>
        <v>-7672</v>
      </c>
      <c r="BA116" s="232">
        <f t="shared" si="159"/>
        <v>1.1109533707089215E-3</v>
      </c>
      <c r="BB116" s="232">
        <f t="shared" si="160"/>
        <v>2.5964844010306463E-4</v>
      </c>
      <c r="BC116" s="228">
        <f t="shared" si="124"/>
        <v>-3861</v>
      </c>
    </row>
    <row r="117" spans="1:55" outlineLevel="2" collapsed="1" x14ac:dyDescent="0.25">
      <c r="A117" s="222">
        <v>4</v>
      </c>
      <c r="B117" s="233">
        <f>EEFFun!B261</f>
        <v>1705</v>
      </c>
      <c r="C117" s="234" t="str">
        <f>EEFFun!C261</f>
        <v>Bienes arrendados</v>
      </c>
      <c r="D117" s="235">
        <f>EEFFun!P261</f>
        <v>541455.75</v>
      </c>
      <c r="E117" s="235">
        <f>EEFFun!Q261</f>
        <v>540524.05000000005</v>
      </c>
      <c r="F117" s="235">
        <f>EEFFun!R261</f>
        <v>539682.51</v>
      </c>
      <c r="G117" s="235">
        <f>EEFFun!S261</f>
        <v>538750.80000000005</v>
      </c>
      <c r="H117" s="235">
        <f>EEFFun!T261</f>
        <v>537849.15</v>
      </c>
      <c r="I117" s="235">
        <f>EEFFun!U261</f>
        <v>536917.44999999995</v>
      </c>
      <c r="J117" s="235">
        <f>EEFFun!V261</f>
        <v>536015.80000000005</v>
      </c>
      <c r="K117" s="235">
        <f>EEFFun!W261</f>
        <v>535084.1</v>
      </c>
      <c r="L117" s="235">
        <f>EEFFun!X261</f>
        <v>534152.39</v>
      </c>
      <c r="M117" s="235">
        <f>EEFFun!Y261</f>
        <v>533250.74</v>
      </c>
      <c r="N117" s="235">
        <f>EEFFun!Z261</f>
        <v>532319.04</v>
      </c>
      <c r="O117" s="235">
        <f>EEFFun!AA261</f>
        <v>531417.39</v>
      </c>
      <c r="P117" s="235">
        <f>EEFFun!AB261</f>
        <v>530485.68999999994</v>
      </c>
      <c r="Q117" s="235">
        <f>EEFFun!AC261</f>
        <v>529553.98</v>
      </c>
      <c r="R117" s="235">
        <f>EEFFun!AD261</f>
        <v>528682.39</v>
      </c>
      <c r="S117" s="235">
        <f>EEFFun!AE261</f>
        <v>527750.68000000005</v>
      </c>
      <c r="T117" s="235">
        <f>EEFFun!AF261</f>
        <v>526849.03</v>
      </c>
      <c r="U117" s="235">
        <f>EEFFun!AG261</f>
        <v>525917.32999999996</v>
      </c>
      <c r="V117" s="235">
        <f>EEFFun!AH261</f>
        <v>525015.68000000005</v>
      </c>
      <c r="W117" s="235">
        <f>EEFFun!AI261</f>
        <v>524083.98</v>
      </c>
      <c r="X117" s="235">
        <f>EEFFun!AJ261</f>
        <v>523152.27</v>
      </c>
      <c r="Y117" s="235">
        <f>EEFFun!AK261</f>
        <v>522250.62</v>
      </c>
      <c r="Z117" s="235">
        <f>EEFFun!AL261</f>
        <v>521318.92</v>
      </c>
      <c r="AA117" s="235">
        <f>EEFFun!AM261</f>
        <v>520417.27</v>
      </c>
      <c r="AB117" s="235">
        <f>EEFFun!AN261</f>
        <v>519485.56</v>
      </c>
      <c r="AC117" s="235">
        <f>EEFFun!AO261</f>
        <v>518553.86</v>
      </c>
      <c r="AD117" s="235">
        <f>EEFFun!AP261</f>
        <v>517712.32</v>
      </c>
      <c r="AE117" s="235">
        <f>EEFFun!AQ261</f>
        <v>516780.62</v>
      </c>
      <c r="AF117" s="235">
        <f>EEFFun!AR261</f>
        <v>515878.97</v>
      </c>
      <c r="AG117" s="235">
        <f>EEFFun!AS261</f>
        <v>514947.26</v>
      </c>
      <c r="AH117" s="235">
        <f>EEFFun!AT261</f>
        <v>514045.61</v>
      </c>
      <c r="AI117" s="235">
        <f>EEFFun!AU261</f>
        <v>513113.91</v>
      </c>
      <c r="AJ117" s="235">
        <f>EEFFun!AV261</f>
        <v>512182.21</v>
      </c>
      <c r="AK117" s="235">
        <f>EEFFun!AW261</f>
        <v>511280.56</v>
      </c>
      <c r="AL117" s="235">
        <f>EEFFun!AX261</f>
        <v>510348.85</v>
      </c>
      <c r="AM117" s="236">
        <f t="shared" ref="AM117:AS117" si="187">SUM(AM118:AM119)</f>
        <v>510251.89264999994</v>
      </c>
      <c r="AN117" s="236">
        <f t="shared" si="187"/>
        <v>510154.83834264998</v>
      </c>
      <c r="AO117" s="236">
        <f t="shared" si="187"/>
        <v>510057.68698099267</v>
      </c>
      <c r="AP117" s="236">
        <f t="shared" si="187"/>
        <v>509960.43846797361</v>
      </c>
      <c r="AQ117" s="236">
        <f t="shared" si="187"/>
        <v>509863.09270644165</v>
      </c>
      <c r="AR117" s="236">
        <f t="shared" si="187"/>
        <v>509765.64959914808</v>
      </c>
      <c r="AS117" s="236">
        <f t="shared" si="187"/>
        <v>509668.10904874722</v>
      </c>
      <c r="AT117" s="236">
        <f t="shared" ref="AT117" si="188">SUM(AT118:AT119)</f>
        <v>509570.47095779597</v>
      </c>
      <c r="AU117" s="236">
        <f t="shared" ref="AU117" si="189">SUM(AU118:AU119)</f>
        <v>509472.73522875382</v>
      </c>
      <c r="AV117" s="236">
        <f t="shared" ref="AV117" si="190">SUM(AV118:AV119)</f>
        <v>509374.90176398261</v>
      </c>
      <c r="AW117" s="236">
        <f t="shared" ref="AW117" si="191">SUM(AW118:AW119)</f>
        <v>509276.97046574659</v>
      </c>
      <c r="AX117" s="236">
        <f t="shared" ref="AX117" si="192">SUM(AX118:AX119)</f>
        <v>509178.94123621233</v>
      </c>
      <c r="AY117" s="236">
        <f t="shared" si="147"/>
        <v>-15836.738763787725</v>
      </c>
      <c r="AZ117" s="236">
        <f t="shared" si="158"/>
        <v>-21306.748763787618</v>
      </c>
      <c r="BA117" s="232">
        <f t="shared" si="159"/>
        <v>1.3900298726787771E-2</v>
      </c>
      <c r="BB117" s="232">
        <f t="shared" si="160"/>
        <v>3.8071622941114017E-3</v>
      </c>
      <c r="BC117" s="228">
        <f t="shared" si="124"/>
        <v>-14513.509042204008</v>
      </c>
    </row>
    <row r="118" spans="1:55" outlineLevel="2" collapsed="1" x14ac:dyDescent="0.25">
      <c r="A118" s="222">
        <v>6</v>
      </c>
      <c r="B118" s="233">
        <f>EEFFun!B262</f>
        <v>170505</v>
      </c>
      <c r="C118" s="234" t="str">
        <f>EEFFun!C262</f>
        <v>Inmuebles</v>
      </c>
      <c r="D118" s="235">
        <f>EEFFun!P262</f>
        <v>607306.19999999995</v>
      </c>
      <c r="E118" s="235">
        <f>EEFFun!Q262</f>
        <v>607306.19999999995</v>
      </c>
      <c r="F118" s="235">
        <f>EEFFun!R262</f>
        <v>607306.19999999995</v>
      </c>
      <c r="G118" s="235">
        <f>EEFFun!S262</f>
        <v>607306.19999999995</v>
      </c>
      <c r="H118" s="235">
        <f>EEFFun!T262</f>
        <v>607306.19999999995</v>
      </c>
      <c r="I118" s="235">
        <f>EEFFun!U262</f>
        <v>607306.19999999995</v>
      </c>
      <c r="J118" s="235">
        <f>EEFFun!V262</f>
        <v>607306.19999999995</v>
      </c>
      <c r="K118" s="235">
        <f>EEFFun!W262</f>
        <v>607306.19999999995</v>
      </c>
      <c r="L118" s="235">
        <f>EEFFun!X262</f>
        <v>607306.19999999995</v>
      </c>
      <c r="M118" s="235">
        <f>EEFFun!Y262</f>
        <v>607306.19999999995</v>
      </c>
      <c r="N118" s="235">
        <f>EEFFun!Z262</f>
        <v>607306.19999999995</v>
      </c>
      <c r="O118" s="235">
        <f>EEFFun!AA262</f>
        <v>607306.19999999995</v>
      </c>
      <c r="P118" s="235">
        <f>EEFFun!AB262</f>
        <v>607306.19999999995</v>
      </c>
      <c r="Q118" s="235">
        <f>EEFFun!AC262</f>
        <v>607306.19999999995</v>
      </c>
      <c r="R118" s="235">
        <f>EEFFun!AD262</f>
        <v>607306.19999999995</v>
      </c>
      <c r="S118" s="235">
        <f>EEFFun!AE262</f>
        <v>607306.19999999995</v>
      </c>
      <c r="T118" s="235">
        <f>EEFFun!AF262</f>
        <v>607306.19999999995</v>
      </c>
      <c r="U118" s="235">
        <f>EEFFun!AG262</f>
        <v>607306.19999999995</v>
      </c>
      <c r="V118" s="235">
        <f>EEFFun!AH262</f>
        <v>607306.19999999995</v>
      </c>
      <c r="W118" s="235">
        <f>EEFFun!AI262</f>
        <v>607306.19999999995</v>
      </c>
      <c r="X118" s="235">
        <f>EEFFun!AJ262</f>
        <v>607306.19999999995</v>
      </c>
      <c r="Y118" s="235">
        <f>EEFFun!AK262</f>
        <v>607306.19999999995</v>
      </c>
      <c r="Z118" s="235">
        <f>EEFFun!AL262</f>
        <v>607306.19999999995</v>
      </c>
      <c r="AA118" s="235">
        <f>EEFFun!AM262</f>
        <v>607306.19999999995</v>
      </c>
      <c r="AB118" s="235">
        <f>EEFFun!AN262</f>
        <v>607306.19999999995</v>
      </c>
      <c r="AC118" s="235">
        <f>EEFFun!AO262</f>
        <v>607306.19999999995</v>
      </c>
      <c r="AD118" s="235">
        <f>EEFFun!AP262</f>
        <v>607306.19999999995</v>
      </c>
      <c r="AE118" s="235">
        <f>EEFFun!AQ262</f>
        <v>607306.19999999995</v>
      </c>
      <c r="AF118" s="235">
        <f>EEFFun!AR262</f>
        <v>607306.19999999995</v>
      </c>
      <c r="AG118" s="235">
        <f>EEFFun!AS262</f>
        <v>607306.19999999995</v>
      </c>
      <c r="AH118" s="235">
        <f>EEFFun!AT262</f>
        <v>607306.19999999995</v>
      </c>
      <c r="AI118" s="235">
        <f>EEFFun!AU262</f>
        <v>607306.19999999995</v>
      </c>
      <c r="AJ118" s="235">
        <f>EEFFun!AV262</f>
        <v>607306.19999999995</v>
      </c>
      <c r="AK118" s="235">
        <f>EEFFun!AW262</f>
        <v>607306.19999999995</v>
      </c>
      <c r="AL118" s="235">
        <f>EEFFun!AX262</f>
        <v>607306.19999999995</v>
      </c>
      <c r="AM118" s="236">
        <f>AC118</f>
        <v>607306.19999999995</v>
      </c>
      <c r="AN118" s="236">
        <f t="shared" ref="AN118:AX118" si="193">AD118</f>
        <v>607306.19999999995</v>
      </c>
      <c r="AO118" s="236">
        <f t="shared" si="193"/>
        <v>607306.19999999995</v>
      </c>
      <c r="AP118" s="236">
        <f t="shared" si="193"/>
        <v>607306.19999999995</v>
      </c>
      <c r="AQ118" s="236">
        <f t="shared" si="193"/>
        <v>607306.19999999995</v>
      </c>
      <c r="AR118" s="236">
        <f t="shared" si="193"/>
        <v>607306.19999999995</v>
      </c>
      <c r="AS118" s="236">
        <f t="shared" si="193"/>
        <v>607306.19999999995</v>
      </c>
      <c r="AT118" s="236">
        <f t="shared" si="193"/>
        <v>607306.19999999995</v>
      </c>
      <c r="AU118" s="236">
        <f t="shared" si="193"/>
        <v>607306.19999999995</v>
      </c>
      <c r="AV118" s="236">
        <f t="shared" si="193"/>
        <v>607306.19999999995</v>
      </c>
      <c r="AW118" s="236">
        <f t="shared" si="193"/>
        <v>607306.19999999995</v>
      </c>
      <c r="AX118" s="236">
        <f t="shared" si="193"/>
        <v>607306.19999999995</v>
      </c>
      <c r="AY118" s="236">
        <f t="shared" si="147"/>
        <v>0</v>
      </c>
      <c r="AZ118" s="236">
        <f t="shared" si="158"/>
        <v>0</v>
      </c>
      <c r="BA118" s="232">
        <f t="shared" si="159"/>
        <v>1.5913223971470974E-2</v>
      </c>
      <c r="BB118" s="232">
        <f t="shared" si="160"/>
        <v>4.5408658496492475E-3</v>
      </c>
      <c r="BC118" s="228">
        <f t="shared" si="124"/>
        <v>0</v>
      </c>
    </row>
    <row r="119" spans="1:55" outlineLevel="2" collapsed="1" x14ac:dyDescent="0.25">
      <c r="A119" s="222">
        <v>6</v>
      </c>
      <c r="B119" s="233">
        <f>EEFFun!B263</f>
        <v>170599</v>
      </c>
      <c r="C119" s="234" t="str">
        <f>EEFFun!C263</f>
        <v>(Depreciación de bienes arrendados)</v>
      </c>
      <c r="D119" s="235">
        <f>EEFFun!P263</f>
        <v>-65850.45</v>
      </c>
      <c r="E119" s="235">
        <f>EEFFun!Q263</f>
        <v>-66782.149999999994</v>
      </c>
      <c r="F119" s="235">
        <f>EEFFun!R263</f>
        <v>-67623.69</v>
      </c>
      <c r="G119" s="235">
        <f>EEFFun!S263</f>
        <v>-68555.399999999994</v>
      </c>
      <c r="H119" s="235">
        <f>EEFFun!T263</f>
        <v>-69457.05</v>
      </c>
      <c r="I119" s="235">
        <f>EEFFun!U263</f>
        <v>-70388.75</v>
      </c>
      <c r="J119" s="235">
        <f>EEFFun!V263</f>
        <v>-71290.399999999994</v>
      </c>
      <c r="K119" s="235">
        <f>EEFFun!W263</f>
        <v>-72222.100000000006</v>
      </c>
      <c r="L119" s="235">
        <f>EEFFun!X263</f>
        <v>-73153.81</v>
      </c>
      <c r="M119" s="235">
        <f>EEFFun!Y263</f>
        <v>-74055.460000000006</v>
      </c>
      <c r="N119" s="235">
        <f>EEFFun!Z263</f>
        <v>-74987.16</v>
      </c>
      <c r="O119" s="235">
        <f>EEFFun!AA263</f>
        <v>-75888.81</v>
      </c>
      <c r="P119" s="235">
        <f>EEFFun!AB263</f>
        <v>-76820.509999999995</v>
      </c>
      <c r="Q119" s="235">
        <f>EEFFun!AC263</f>
        <v>-77752.22</v>
      </c>
      <c r="R119" s="235">
        <f>EEFFun!AD263</f>
        <v>-78623.81</v>
      </c>
      <c r="S119" s="235">
        <f>EEFFun!AE263</f>
        <v>-79555.520000000004</v>
      </c>
      <c r="T119" s="235">
        <f>EEFFun!AF263</f>
        <v>-80457.17</v>
      </c>
      <c r="U119" s="235">
        <f>EEFFun!AG263</f>
        <v>-81388.87</v>
      </c>
      <c r="V119" s="235">
        <f>EEFFun!AH263</f>
        <v>-82290.52</v>
      </c>
      <c r="W119" s="235">
        <f>EEFFun!AI263</f>
        <v>-83222.22</v>
      </c>
      <c r="X119" s="235">
        <f>EEFFun!AJ263</f>
        <v>-84153.93</v>
      </c>
      <c r="Y119" s="235">
        <f>EEFFun!AK263</f>
        <v>-85055.58</v>
      </c>
      <c r="Z119" s="235">
        <f>EEFFun!AL263</f>
        <v>-85987.28</v>
      </c>
      <c r="AA119" s="235">
        <f>EEFFun!AM263</f>
        <v>-86888.93</v>
      </c>
      <c r="AB119" s="235">
        <f>EEFFun!AN263</f>
        <v>-87820.64</v>
      </c>
      <c r="AC119" s="235">
        <f>EEFFun!AO263</f>
        <v>-88752.34</v>
      </c>
      <c r="AD119" s="235">
        <f>EEFFun!AP263</f>
        <v>-89593.88</v>
      </c>
      <c r="AE119" s="235">
        <f>EEFFun!AQ263</f>
        <v>-90525.58</v>
      </c>
      <c r="AF119" s="235">
        <f>EEFFun!AR263</f>
        <v>-91427.23</v>
      </c>
      <c r="AG119" s="235">
        <f>EEFFun!AS263</f>
        <v>-92358.94</v>
      </c>
      <c r="AH119" s="235">
        <f>EEFFun!AT263</f>
        <v>-93260.59</v>
      </c>
      <c r="AI119" s="235">
        <f>EEFFun!AU263</f>
        <v>-94192.29</v>
      </c>
      <c r="AJ119" s="235">
        <f>EEFFun!AV263</f>
        <v>-95123.99</v>
      </c>
      <c r="AK119" s="235">
        <f>EEFFun!AW263</f>
        <v>-96025.64</v>
      </c>
      <c r="AL119" s="235">
        <f>EEFFun!AX263</f>
        <v>-96957.35</v>
      </c>
      <c r="AM119" s="236">
        <f>+AL119*1.001</f>
        <v>-97054.307349999988</v>
      </c>
      <c r="AN119" s="236">
        <f t="shared" ref="AN119:AX119" si="194">+AM119*1.001</f>
        <v>-97151.361657349975</v>
      </c>
      <c r="AO119" s="236">
        <f t="shared" si="194"/>
        <v>-97248.513019007311</v>
      </c>
      <c r="AP119" s="236">
        <f t="shared" si="194"/>
        <v>-97345.761532026314</v>
      </c>
      <c r="AQ119" s="236">
        <f t="shared" si="194"/>
        <v>-97443.107293558336</v>
      </c>
      <c r="AR119" s="236">
        <f t="shared" si="194"/>
        <v>-97540.550400851876</v>
      </c>
      <c r="AS119" s="236">
        <f t="shared" si="194"/>
        <v>-97638.090951252714</v>
      </c>
      <c r="AT119" s="236">
        <f t="shared" si="194"/>
        <v>-97735.729042203951</v>
      </c>
      <c r="AU119" s="236">
        <f t="shared" si="194"/>
        <v>-97833.464771246145</v>
      </c>
      <c r="AV119" s="236">
        <f t="shared" si="194"/>
        <v>-97931.298236017377</v>
      </c>
      <c r="AW119" s="236">
        <f t="shared" si="194"/>
        <v>-98029.229534253391</v>
      </c>
      <c r="AX119" s="236">
        <f t="shared" si="194"/>
        <v>-98127.258763787628</v>
      </c>
      <c r="AY119" s="236">
        <f t="shared" si="147"/>
        <v>-15836.738763787624</v>
      </c>
      <c r="AZ119" s="236">
        <f t="shared" si="158"/>
        <v>-21306.748763787633</v>
      </c>
      <c r="BA119" s="247">
        <f t="shared" si="159"/>
        <v>-2.0129252446832021E-3</v>
      </c>
      <c r="BB119" s="247">
        <f t="shared" si="160"/>
        <v>-7.3370355553784581E-4</v>
      </c>
      <c r="BC119" s="228">
        <f t="shared" si="124"/>
        <v>-14513.50904220395</v>
      </c>
    </row>
    <row r="120" spans="1:55" outlineLevel="2" collapsed="1" x14ac:dyDescent="0.25">
      <c r="A120" s="222">
        <v>4</v>
      </c>
      <c r="B120" s="233">
        <f>EEFFun!B264</f>
        <v>1799</v>
      </c>
      <c r="C120" s="234" t="str">
        <f>EEFFun!C264</f>
        <v>(Provisión para bienes realizables, adjudicados po</v>
      </c>
      <c r="D120" s="235">
        <f>EEFFun!P264</f>
        <v>-309838.65000000002</v>
      </c>
      <c r="E120" s="235">
        <f>EEFFun!Q264</f>
        <v>-310477.98</v>
      </c>
      <c r="F120" s="235">
        <f>EEFFun!R264</f>
        <v>-304724</v>
      </c>
      <c r="G120" s="235">
        <f>EEFFun!S264</f>
        <v>-304724</v>
      </c>
      <c r="H120" s="235">
        <f>EEFFun!T264</f>
        <v>-121253</v>
      </c>
      <c r="I120" s="235">
        <f>EEFFun!U264</f>
        <v>-121253</v>
      </c>
      <c r="J120" s="235">
        <f>EEFFun!V264</f>
        <v>-121253</v>
      </c>
      <c r="K120" s="235">
        <f>EEFFun!W264</f>
        <v>-121253</v>
      </c>
      <c r="L120" s="235">
        <f>EEFFun!X264</f>
        <v>-121253</v>
      </c>
      <c r="M120" s="235">
        <f>EEFFun!Y264</f>
        <v>-121253</v>
      </c>
      <c r="N120" s="235">
        <f>EEFFun!Z264</f>
        <v>-121253</v>
      </c>
      <c r="O120" s="235">
        <f>EEFFun!AA264</f>
        <v>-121253</v>
      </c>
      <c r="P120" s="235">
        <f>EEFFun!AB264</f>
        <v>-121253</v>
      </c>
      <c r="Q120" s="235">
        <f>EEFFun!AC264</f>
        <v>-121253</v>
      </c>
      <c r="R120" s="235">
        <f>EEFFun!AD264</f>
        <v>-121253</v>
      </c>
      <c r="S120" s="235">
        <f>EEFFun!AE264</f>
        <v>-121253</v>
      </c>
      <c r="T120" s="235">
        <f>EEFFun!AF264</f>
        <v>-121253</v>
      </c>
      <c r="U120" s="235">
        <f>EEFFun!AG264</f>
        <v>-121253</v>
      </c>
      <c r="V120" s="235">
        <f>EEFFun!AH264</f>
        <v>-125114</v>
      </c>
      <c r="W120" s="235">
        <f>EEFFun!AI264</f>
        <v>-125114</v>
      </c>
      <c r="X120" s="235">
        <f>EEFFun!AJ264</f>
        <v>-125114</v>
      </c>
      <c r="Y120" s="235">
        <f>EEFFun!AK264</f>
        <v>-125114</v>
      </c>
      <c r="Z120" s="235">
        <f>EEFFun!AL264</f>
        <v>-125114</v>
      </c>
      <c r="AA120" s="235">
        <f>EEFFun!AM264</f>
        <v>-121253</v>
      </c>
      <c r="AB120" s="235">
        <f>EEFFun!AN264</f>
        <v>-59326</v>
      </c>
      <c r="AC120" s="235">
        <f>EEFFun!AO264</f>
        <v>-59326</v>
      </c>
      <c r="AD120" s="235">
        <f>EEFFun!AP264</f>
        <v>-59326</v>
      </c>
      <c r="AE120" s="235">
        <f>EEFFun!AQ264</f>
        <v>-59326</v>
      </c>
      <c r="AF120" s="235">
        <f>EEFFun!AR264</f>
        <v>-59326</v>
      </c>
      <c r="AG120" s="235">
        <f>EEFFun!AS264</f>
        <v>-59326</v>
      </c>
      <c r="AH120" s="235">
        <f>EEFFun!AT264</f>
        <v>-59326</v>
      </c>
      <c r="AI120" s="235">
        <f>EEFFun!AU264</f>
        <v>-59326</v>
      </c>
      <c r="AJ120" s="235">
        <f>EEFFun!AV264</f>
        <v>-59326</v>
      </c>
      <c r="AK120" s="235">
        <f>EEFFun!AW264</f>
        <v>-59326</v>
      </c>
      <c r="AL120" s="235">
        <f>EEFFun!AX264</f>
        <v>-59326</v>
      </c>
      <c r="AM120" s="236">
        <f t="shared" ref="AM120:AS120" si="195">AM121</f>
        <v>-59385.325999999994</v>
      </c>
      <c r="AN120" s="236">
        <f t="shared" si="195"/>
        <v>-59444.71132599999</v>
      </c>
      <c r="AO120" s="236">
        <f t="shared" si="195"/>
        <v>-59504.156037325985</v>
      </c>
      <c r="AP120" s="236">
        <f t="shared" si="195"/>
        <v>-59563.660193363306</v>
      </c>
      <c r="AQ120" s="236">
        <f t="shared" si="195"/>
        <v>-59623.223853556665</v>
      </c>
      <c r="AR120" s="236">
        <f t="shared" si="195"/>
        <v>-59682.847077410217</v>
      </c>
      <c r="AS120" s="236">
        <f t="shared" si="195"/>
        <v>-59742.529924487622</v>
      </c>
      <c r="AT120" s="236">
        <f t="shared" ref="AT120" si="196">AT121</f>
        <v>-59802.272454412101</v>
      </c>
      <c r="AU120" s="236">
        <f t="shared" ref="AU120" si="197">AU121</f>
        <v>-59862.074726866507</v>
      </c>
      <c r="AV120" s="236">
        <f t="shared" ref="AV120" si="198">AV121</f>
        <v>-59921.936801593365</v>
      </c>
      <c r="AW120" s="236">
        <f t="shared" ref="AW120" si="199">AW121</f>
        <v>-59981.858738394949</v>
      </c>
      <c r="AX120" s="236">
        <f t="shared" ref="AX120" si="200">AX121</f>
        <v>-60041.840597133334</v>
      </c>
      <c r="AY120" s="236">
        <f t="shared" si="147"/>
        <v>65072.159402866666</v>
      </c>
      <c r="AZ120" s="236">
        <f t="shared" si="158"/>
        <v>61211.159402866666</v>
      </c>
      <c r="BA120" s="247">
        <f t="shared" si="159"/>
        <v>-3.1771882885647637E-3</v>
      </c>
      <c r="BB120" s="247">
        <f t="shared" si="160"/>
        <v>-4.489365389610818E-4</v>
      </c>
      <c r="BC120" s="228">
        <f t="shared" si="124"/>
        <v>65311.727545587899</v>
      </c>
    </row>
    <row r="121" spans="1:55" outlineLevel="2" collapsed="1" x14ac:dyDescent="0.25">
      <c r="A121" s="222">
        <v>6</v>
      </c>
      <c r="B121" s="233">
        <f>EEFFun!B265</f>
        <v>179910</v>
      </c>
      <c r="C121" s="234" t="str">
        <f>EEFFun!C265</f>
        <v>(Provisión para bienes adjudicados)</v>
      </c>
      <c r="D121" s="235">
        <f>EEFFun!P265</f>
        <v>-309838.65000000002</v>
      </c>
      <c r="E121" s="235">
        <f>EEFFun!Q265</f>
        <v>-310477.98</v>
      </c>
      <c r="F121" s="235">
        <f>EEFFun!R265</f>
        <v>-304724</v>
      </c>
      <c r="G121" s="235">
        <f>EEFFun!S265</f>
        <v>-304724</v>
      </c>
      <c r="H121" s="235">
        <f>EEFFun!T265</f>
        <v>-121253</v>
      </c>
      <c r="I121" s="235">
        <f>EEFFun!U265</f>
        <v>-121253</v>
      </c>
      <c r="J121" s="235">
        <f>EEFFun!V265</f>
        <v>-121253</v>
      </c>
      <c r="K121" s="235">
        <f>EEFFun!W265</f>
        <v>-121253</v>
      </c>
      <c r="L121" s="235">
        <f>EEFFun!X265</f>
        <v>-121253</v>
      </c>
      <c r="M121" s="235">
        <f>EEFFun!Y265</f>
        <v>-121253</v>
      </c>
      <c r="N121" s="235">
        <f>EEFFun!Z265</f>
        <v>-121253</v>
      </c>
      <c r="O121" s="235">
        <f>EEFFun!AA265</f>
        <v>-121253</v>
      </c>
      <c r="P121" s="235">
        <f>EEFFun!AB265</f>
        <v>-121253</v>
      </c>
      <c r="Q121" s="235">
        <f>EEFFun!AC265</f>
        <v>-121253</v>
      </c>
      <c r="R121" s="235">
        <f>EEFFun!AD265</f>
        <v>-121253</v>
      </c>
      <c r="S121" s="235">
        <f>EEFFun!AE265</f>
        <v>-121253</v>
      </c>
      <c r="T121" s="235">
        <f>EEFFun!AF265</f>
        <v>-121253</v>
      </c>
      <c r="U121" s="235">
        <f>EEFFun!AG265</f>
        <v>-121253</v>
      </c>
      <c r="V121" s="235">
        <f>EEFFun!AH265</f>
        <v>-125114</v>
      </c>
      <c r="W121" s="235">
        <f>EEFFun!AI265</f>
        <v>-125114</v>
      </c>
      <c r="X121" s="235">
        <f>EEFFun!AJ265</f>
        <v>-125114</v>
      </c>
      <c r="Y121" s="235">
        <f>EEFFun!AK265</f>
        <v>-125114</v>
      </c>
      <c r="Z121" s="235">
        <f>EEFFun!AL265</f>
        <v>-125114</v>
      </c>
      <c r="AA121" s="235">
        <f>EEFFun!AM265</f>
        <v>-121253</v>
      </c>
      <c r="AB121" s="235">
        <f>EEFFun!AN265</f>
        <v>-59326</v>
      </c>
      <c r="AC121" s="235">
        <f>EEFFun!AO265</f>
        <v>-59326</v>
      </c>
      <c r="AD121" s="235">
        <f>EEFFun!AP265</f>
        <v>-59326</v>
      </c>
      <c r="AE121" s="235">
        <f>EEFFun!AQ265</f>
        <v>-59326</v>
      </c>
      <c r="AF121" s="235">
        <f>EEFFun!AR265</f>
        <v>-59326</v>
      </c>
      <c r="AG121" s="235">
        <f>EEFFun!AS265</f>
        <v>-59326</v>
      </c>
      <c r="AH121" s="235">
        <f>EEFFun!AT265</f>
        <v>-59326</v>
      </c>
      <c r="AI121" s="235">
        <f>EEFFun!AU265</f>
        <v>-59326</v>
      </c>
      <c r="AJ121" s="235">
        <f>EEFFun!AV265</f>
        <v>-59326</v>
      </c>
      <c r="AK121" s="235">
        <f>EEFFun!AW265</f>
        <v>-59326</v>
      </c>
      <c r="AL121" s="235">
        <f>EEFFun!AX265</f>
        <v>-59326</v>
      </c>
      <c r="AM121" s="236">
        <f>+AL121*1.001</f>
        <v>-59385.325999999994</v>
      </c>
      <c r="AN121" s="236">
        <f t="shared" ref="AN121:AX121" si="201">+AM121*1.001</f>
        <v>-59444.71132599999</v>
      </c>
      <c r="AO121" s="236">
        <f t="shared" si="201"/>
        <v>-59504.156037325985</v>
      </c>
      <c r="AP121" s="236">
        <f t="shared" si="201"/>
        <v>-59563.660193363306</v>
      </c>
      <c r="AQ121" s="236">
        <f t="shared" si="201"/>
        <v>-59623.223853556665</v>
      </c>
      <c r="AR121" s="236">
        <f t="shared" si="201"/>
        <v>-59682.847077410217</v>
      </c>
      <c r="AS121" s="236">
        <f t="shared" si="201"/>
        <v>-59742.529924487622</v>
      </c>
      <c r="AT121" s="236">
        <f t="shared" si="201"/>
        <v>-59802.272454412101</v>
      </c>
      <c r="AU121" s="236">
        <f t="shared" si="201"/>
        <v>-59862.074726866507</v>
      </c>
      <c r="AV121" s="236">
        <f t="shared" si="201"/>
        <v>-59921.936801593365</v>
      </c>
      <c r="AW121" s="236">
        <f t="shared" si="201"/>
        <v>-59981.858738394949</v>
      </c>
      <c r="AX121" s="236">
        <f t="shared" si="201"/>
        <v>-60041.840597133334</v>
      </c>
      <c r="AY121" s="236">
        <f t="shared" si="147"/>
        <v>65072.159402866666</v>
      </c>
      <c r="AZ121" s="236">
        <f t="shared" si="158"/>
        <v>61211.159402866666</v>
      </c>
      <c r="BA121" s="247">
        <f t="shared" si="159"/>
        <v>-3.1771882885647637E-3</v>
      </c>
      <c r="BB121" s="247">
        <f t="shared" si="160"/>
        <v>-4.489365389610818E-4</v>
      </c>
      <c r="BC121" s="228">
        <f t="shared" si="124"/>
        <v>65311.727545587899</v>
      </c>
    </row>
    <row r="122" spans="1:55" s="229" customFormat="1" outlineLevel="1" x14ac:dyDescent="0.25">
      <c r="A122" s="222">
        <v>2</v>
      </c>
      <c r="B122" s="223">
        <f>EEFFun!B266</f>
        <v>18</v>
      </c>
      <c r="C122" s="223" t="str">
        <f>EEFFun!C266</f>
        <v>PROPIEDADES Y EQUIPO</v>
      </c>
      <c r="D122" s="225">
        <f>EEFFun!P266</f>
        <v>7712498.5599999996</v>
      </c>
      <c r="E122" s="225">
        <f>EEFFun!Q266</f>
        <v>7676930.5899999999</v>
      </c>
      <c r="F122" s="225">
        <f>EEFFun!R266</f>
        <v>7665156.9299999997</v>
      </c>
      <c r="G122" s="225">
        <f>EEFFun!S266</f>
        <v>7652350.25</v>
      </c>
      <c r="H122" s="225">
        <f>EEFFun!T266</f>
        <v>7639957.6100000003</v>
      </c>
      <c r="I122" s="225">
        <f>EEFFun!U266</f>
        <v>7629577.3899999997</v>
      </c>
      <c r="J122" s="225">
        <f>EEFFun!V266</f>
        <v>7617121.9800000004</v>
      </c>
      <c r="K122" s="225">
        <f>EEFFun!W266</f>
        <v>7605361.2800000003</v>
      </c>
      <c r="L122" s="225">
        <f>EEFFun!X266</f>
        <v>7592514.9100000001</v>
      </c>
      <c r="M122" s="225">
        <f>EEFFun!Y266</f>
        <v>7580110.8200000003</v>
      </c>
      <c r="N122" s="225">
        <f>EEFFun!Z266</f>
        <v>7567293.46</v>
      </c>
      <c r="O122" s="225">
        <f>EEFFun!AA266</f>
        <v>7554894.71</v>
      </c>
      <c r="P122" s="225">
        <f>EEFFun!AB266</f>
        <v>7542246.0599999996</v>
      </c>
      <c r="Q122" s="225">
        <f>EEFFun!AC266</f>
        <v>7529440.0199999996</v>
      </c>
      <c r="R122" s="225">
        <f>EEFFun!AD266</f>
        <v>7517539.1600000001</v>
      </c>
      <c r="S122" s="225">
        <f>EEFFun!AE266</f>
        <v>7504889.1699999999</v>
      </c>
      <c r="T122" s="225">
        <f>EEFFun!AF266</f>
        <v>7492665.0999999996</v>
      </c>
      <c r="U122" s="225">
        <f>EEFFun!AG266</f>
        <v>7481593.04</v>
      </c>
      <c r="V122" s="225">
        <f>EEFFun!AH266</f>
        <v>7469081.9199999999</v>
      </c>
      <c r="W122" s="225">
        <f>EEFFun!AI266</f>
        <v>7456786.6299999999</v>
      </c>
      <c r="X122" s="225">
        <f>EEFFun!AJ266</f>
        <v>7450213.21</v>
      </c>
      <c r="Y122" s="225">
        <f>EEFFun!AK266</f>
        <v>7445996.6799999997</v>
      </c>
      <c r="Z122" s="225">
        <f>EEFFun!AL266</f>
        <v>7436883.54</v>
      </c>
      <c r="AA122" s="225">
        <f>EEFFun!AM266</f>
        <v>7432070.04</v>
      </c>
      <c r="AB122" s="225">
        <f>EEFFun!AN266</f>
        <v>7424144.1600000001</v>
      </c>
      <c r="AC122" s="225">
        <f>EEFFun!AO266</f>
        <v>7412810.5700000003</v>
      </c>
      <c r="AD122" s="225">
        <f>EEFFun!AP266</f>
        <v>7470211.6600000001</v>
      </c>
      <c r="AE122" s="225">
        <f>EEFFun!AQ266</f>
        <v>7458482.7199999997</v>
      </c>
      <c r="AF122" s="225">
        <f>EEFFun!AR266</f>
        <v>7449582.8499999996</v>
      </c>
      <c r="AG122" s="225">
        <f>EEFFun!AS266</f>
        <v>7437408.0999999996</v>
      </c>
      <c r="AH122" s="225">
        <f>EEFFun!AT266</f>
        <v>7424048.6699999999</v>
      </c>
      <c r="AI122" s="225">
        <f>EEFFun!AU266</f>
        <v>7412012.5199999996</v>
      </c>
      <c r="AJ122" s="225">
        <f>EEFFun!AV266</f>
        <v>7399845.04</v>
      </c>
      <c r="AK122" s="225">
        <f>EEFFun!AW266</f>
        <v>7386467.5800000001</v>
      </c>
      <c r="AL122" s="225">
        <f>EEFFun!AX266</f>
        <v>7376318.6600000001</v>
      </c>
      <c r="AM122" s="226">
        <f t="shared" ref="AM122:AS122" si="202">SUM(AM123:AM129)</f>
        <v>7515702.2700000005</v>
      </c>
      <c r="AN122" s="226">
        <f t="shared" si="202"/>
        <v>7491028.9600000009</v>
      </c>
      <c r="AO122" s="226">
        <f t="shared" si="202"/>
        <v>7464797.2700000014</v>
      </c>
      <c r="AP122" s="226">
        <f t="shared" si="202"/>
        <v>7439447.4800000004</v>
      </c>
      <c r="AQ122" s="226">
        <f t="shared" si="202"/>
        <v>7415169.9200000018</v>
      </c>
      <c r="AR122" s="226">
        <f t="shared" si="202"/>
        <v>7389246.0300000012</v>
      </c>
      <c r="AS122" s="226">
        <f t="shared" si="202"/>
        <v>7363723.7500000009</v>
      </c>
      <c r="AT122" s="226">
        <f t="shared" ref="AT122" si="203">SUM(AT123:AT129)</f>
        <v>7344003.4500000011</v>
      </c>
      <c r="AU122" s="226">
        <f t="shared" ref="AU122" si="204">SUM(AU123:AU129)</f>
        <v>7326896.950000003</v>
      </c>
      <c r="AV122" s="226">
        <f t="shared" ref="AV122" si="205">SUM(AV123:AV129)</f>
        <v>7304441.620000002</v>
      </c>
      <c r="AW122" s="226">
        <f t="shared" ref="AW122" si="206">SUM(AW123:AW129)</f>
        <v>7287908.1900000013</v>
      </c>
      <c r="AX122" s="226">
        <f>SUM(AX123:AX129)</f>
        <v>7266514.0899999999</v>
      </c>
      <c r="AY122" s="226">
        <f t="shared" si="147"/>
        <v>-202567.83000000007</v>
      </c>
      <c r="AZ122" s="226">
        <f t="shared" si="158"/>
        <v>-275731.96999999974</v>
      </c>
      <c r="BA122" s="231">
        <f t="shared" si="159"/>
        <v>0.19762922031871979</v>
      </c>
      <c r="BB122" s="231">
        <f t="shared" si="160"/>
        <v>5.4332173255066521E-2</v>
      </c>
      <c r="BC122" s="228">
        <f t="shared" si="124"/>
        <v>-112783.17999999877</v>
      </c>
    </row>
    <row r="123" spans="1:55" outlineLevel="2" collapsed="1" x14ac:dyDescent="0.25">
      <c r="A123" s="222">
        <v>4</v>
      </c>
      <c r="B123" s="233">
        <f>EEFFun!B267</f>
        <v>1801</v>
      </c>
      <c r="C123" s="234" t="str">
        <f>EEFFun!C267</f>
        <v>Terrenos</v>
      </c>
      <c r="D123" s="235">
        <f>EEFFun!P267</f>
        <v>2464038.54</v>
      </c>
      <c r="E123" s="235">
        <f>EEFFun!Q267</f>
        <v>2503205.7799999998</v>
      </c>
      <c r="F123" s="235">
        <f>EEFFun!R267</f>
        <v>2503205.7799999998</v>
      </c>
      <c r="G123" s="235">
        <f>EEFFun!S267</f>
        <v>2503205.7799999998</v>
      </c>
      <c r="H123" s="235">
        <f>EEFFun!T267</f>
        <v>2503205.7799999998</v>
      </c>
      <c r="I123" s="235">
        <f>EEFFun!U267</f>
        <v>2503205.7799999998</v>
      </c>
      <c r="J123" s="235">
        <f>EEFFun!V267</f>
        <v>2503205.7799999998</v>
      </c>
      <c r="K123" s="235">
        <f>EEFFun!W267</f>
        <v>2503205.7799999998</v>
      </c>
      <c r="L123" s="235">
        <f>EEFFun!X267</f>
        <v>2503205.7799999998</v>
      </c>
      <c r="M123" s="235">
        <f>EEFFun!Y267</f>
        <v>2503205.7799999998</v>
      </c>
      <c r="N123" s="235">
        <f>EEFFun!Z267</f>
        <v>2503205.7799999998</v>
      </c>
      <c r="O123" s="235">
        <f>EEFFun!AA267</f>
        <v>2503205.7799999998</v>
      </c>
      <c r="P123" s="235">
        <f>EEFFun!AB267</f>
        <v>2503205.7799999998</v>
      </c>
      <c r="Q123" s="235">
        <f>EEFFun!AC267</f>
        <v>2503205.7799999998</v>
      </c>
      <c r="R123" s="235">
        <f>EEFFun!AD267</f>
        <v>2503205.7799999998</v>
      </c>
      <c r="S123" s="235">
        <f>EEFFun!AE267</f>
        <v>2503205.7799999998</v>
      </c>
      <c r="T123" s="235">
        <f>EEFFun!AF267</f>
        <v>2503205.7799999998</v>
      </c>
      <c r="U123" s="235">
        <f>EEFFun!AG267</f>
        <v>2503205.7799999998</v>
      </c>
      <c r="V123" s="235">
        <f>EEFFun!AH267</f>
        <v>2503205.7799999998</v>
      </c>
      <c r="W123" s="235">
        <f>EEFFun!AI267</f>
        <v>2503205.7799999998</v>
      </c>
      <c r="X123" s="235">
        <f>EEFFun!AJ267</f>
        <v>2503205.7799999998</v>
      </c>
      <c r="Y123" s="235">
        <f>EEFFun!AK267</f>
        <v>2503205.7799999998</v>
      </c>
      <c r="Z123" s="235">
        <f>EEFFun!AL267</f>
        <v>2503205.7799999998</v>
      </c>
      <c r="AA123" s="235">
        <f>EEFFun!AM267</f>
        <v>2503205.7799999998</v>
      </c>
      <c r="AB123" s="235">
        <f>EEFFun!AN267</f>
        <v>2503205.7799999998</v>
      </c>
      <c r="AC123" s="235">
        <f>EEFFun!AO267</f>
        <v>2503205.7799999998</v>
      </c>
      <c r="AD123" s="235">
        <f>EEFFun!AP267</f>
        <v>2503205.7799999998</v>
      </c>
      <c r="AE123" s="235">
        <f>EEFFun!AQ267</f>
        <v>2503205.7799999998</v>
      </c>
      <c r="AF123" s="235">
        <f>EEFFun!AR267</f>
        <v>2503205.7799999998</v>
      </c>
      <c r="AG123" s="235">
        <f>EEFFun!AS267</f>
        <v>2503205.7799999998</v>
      </c>
      <c r="AH123" s="235">
        <f>EEFFun!AT267</f>
        <v>2503205.7799999998</v>
      </c>
      <c r="AI123" s="235">
        <f>EEFFun!AU267</f>
        <v>2503205.7799999998</v>
      </c>
      <c r="AJ123" s="235">
        <f>EEFFun!AV267</f>
        <v>2503205.7799999998</v>
      </c>
      <c r="AK123" s="235">
        <f>EEFFun!AW267</f>
        <v>2503205.7799999998</v>
      </c>
      <c r="AL123" s="235">
        <f>EEFFun!AX267</f>
        <v>2503205.7799999998</v>
      </c>
      <c r="AM123" s="236">
        <f t="shared" ref="AM123:AM128" si="207">Q123</f>
        <v>2503205.7799999998</v>
      </c>
      <c r="AN123" s="236">
        <f t="shared" ref="AN123:AX128" si="208">R123</f>
        <v>2503205.7799999998</v>
      </c>
      <c r="AO123" s="236">
        <f t="shared" si="208"/>
        <v>2503205.7799999998</v>
      </c>
      <c r="AP123" s="236">
        <f t="shared" si="208"/>
        <v>2503205.7799999998</v>
      </c>
      <c r="AQ123" s="236">
        <f t="shared" si="208"/>
        <v>2503205.7799999998</v>
      </c>
      <c r="AR123" s="236">
        <f t="shared" si="208"/>
        <v>2503205.7799999998</v>
      </c>
      <c r="AS123" s="236">
        <f t="shared" si="208"/>
        <v>2503205.7799999998</v>
      </c>
      <c r="AT123" s="236">
        <f t="shared" si="208"/>
        <v>2503205.7799999998</v>
      </c>
      <c r="AU123" s="236">
        <f t="shared" si="208"/>
        <v>2503205.7799999998</v>
      </c>
      <c r="AV123" s="236">
        <f t="shared" si="208"/>
        <v>2503205.7799999998</v>
      </c>
      <c r="AW123" s="236">
        <f t="shared" si="208"/>
        <v>2503205.7799999998</v>
      </c>
      <c r="AX123" s="236">
        <f t="shared" si="208"/>
        <v>2503205.7799999998</v>
      </c>
      <c r="AY123" s="236">
        <f t="shared" si="147"/>
        <v>0</v>
      </c>
      <c r="AZ123" s="236">
        <f t="shared" si="158"/>
        <v>0</v>
      </c>
      <c r="BA123" s="232">
        <f t="shared" si="159"/>
        <v>6.5591417021299461E-2</v>
      </c>
      <c r="BB123" s="232">
        <f t="shared" si="160"/>
        <v>1.8716623741115448E-2</v>
      </c>
      <c r="BC123" s="228">
        <f t="shared" si="124"/>
        <v>0</v>
      </c>
    </row>
    <row r="124" spans="1:55" outlineLevel="2" collapsed="1" x14ac:dyDescent="0.25">
      <c r="A124" s="222">
        <v>4</v>
      </c>
      <c r="B124" s="233">
        <f>EEFFun!B268</f>
        <v>1802</v>
      </c>
      <c r="C124" s="234" t="str">
        <f>EEFFun!C268</f>
        <v>Edificios</v>
      </c>
      <c r="D124" s="235">
        <f>EEFFun!P268</f>
        <v>5947674.6200000001</v>
      </c>
      <c r="E124" s="235">
        <f>EEFFun!Q268</f>
        <v>5908507.4400000004</v>
      </c>
      <c r="F124" s="235">
        <f>EEFFun!R268</f>
        <v>5908507.4400000004</v>
      </c>
      <c r="G124" s="235">
        <f>EEFFun!S268</f>
        <v>5908507.4400000004</v>
      </c>
      <c r="H124" s="235">
        <f>EEFFun!T268</f>
        <v>5908507.4400000004</v>
      </c>
      <c r="I124" s="235">
        <f>EEFFun!U268</f>
        <v>5908507.4400000004</v>
      </c>
      <c r="J124" s="235">
        <f>EEFFun!V268</f>
        <v>5908507.4400000004</v>
      </c>
      <c r="K124" s="235">
        <f>EEFFun!W268</f>
        <v>5908507.4400000004</v>
      </c>
      <c r="L124" s="235">
        <f>EEFFun!X268</f>
        <v>5908507.4400000004</v>
      </c>
      <c r="M124" s="235">
        <f>EEFFun!Y268</f>
        <v>5908507.4400000004</v>
      </c>
      <c r="N124" s="235">
        <f>EEFFun!Z268</f>
        <v>5908507.4400000004</v>
      </c>
      <c r="O124" s="235">
        <f>EEFFun!AA268</f>
        <v>5908507.4400000004</v>
      </c>
      <c r="P124" s="235">
        <f>EEFFun!AB268</f>
        <v>5908507.4400000004</v>
      </c>
      <c r="Q124" s="235">
        <f>EEFFun!AC268</f>
        <v>5908507.4400000004</v>
      </c>
      <c r="R124" s="235">
        <f>EEFFun!AD268</f>
        <v>5908507.4400000004</v>
      </c>
      <c r="S124" s="235">
        <f>EEFFun!AE268</f>
        <v>5908507.4400000004</v>
      </c>
      <c r="T124" s="235">
        <f>EEFFun!AF268</f>
        <v>5908507.4400000004</v>
      </c>
      <c r="U124" s="235">
        <f>EEFFun!AG268</f>
        <v>5908507.4400000004</v>
      </c>
      <c r="V124" s="235">
        <f>EEFFun!AH268</f>
        <v>5908507.4400000004</v>
      </c>
      <c r="W124" s="235">
        <f>EEFFun!AI268</f>
        <v>5908507.4400000004</v>
      </c>
      <c r="X124" s="235">
        <f>EEFFun!AJ268</f>
        <v>5908507.4400000004</v>
      </c>
      <c r="Y124" s="235">
        <f>EEFFun!AK268</f>
        <v>5908507.4400000004</v>
      </c>
      <c r="Z124" s="235">
        <f>EEFFun!AL268</f>
        <v>5908507.4400000004</v>
      </c>
      <c r="AA124" s="235">
        <f>EEFFun!AM268</f>
        <v>5908507.4400000004</v>
      </c>
      <c r="AB124" s="235">
        <f>EEFFun!AN268</f>
        <v>5908507.4400000004</v>
      </c>
      <c r="AC124" s="235">
        <f>EEFFun!AO268</f>
        <v>5908507.4400000004</v>
      </c>
      <c r="AD124" s="235">
        <f>EEFFun!AP268</f>
        <v>5908507.4400000004</v>
      </c>
      <c r="AE124" s="235">
        <f>EEFFun!AQ268</f>
        <v>5908507.4400000004</v>
      </c>
      <c r="AF124" s="235">
        <f>EEFFun!AR268</f>
        <v>5908507.4400000004</v>
      </c>
      <c r="AG124" s="235">
        <f>EEFFun!AS268</f>
        <v>5908507.4400000004</v>
      </c>
      <c r="AH124" s="235">
        <f>EEFFun!AT268</f>
        <v>5908507.4400000004</v>
      </c>
      <c r="AI124" s="235">
        <f>EEFFun!AU268</f>
        <v>5908507.4400000004</v>
      </c>
      <c r="AJ124" s="235">
        <f>EEFFun!AV268</f>
        <v>5908507.4400000004</v>
      </c>
      <c r="AK124" s="235">
        <f>EEFFun!AW268</f>
        <v>5908507.4400000004</v>
      </c>
      <c r="AL124" s="235">
        <f>EEFFun!AX268</f>
        <v>5908507.4400000004</v>
      </c>
      <c r="AM124" s="236">
        <f t="shared" si="207"/>
        <v>5908507.4400000004</v>
      </c>
      <c r="AN124" s="236">
        <f t="shared" si="208"/>
        <v>5908507.4400000004</v>
      </c>
      <c r="AO124" s="236">
        <f t="shared" si="208"/>
        <v>5908507.4400000004</v>
      </c>
      <c r="AP124" s="236">
        <f t="shared" si="208"/>
        <v>5908507.4400000004</v>
      </c>
      <c r="AQ124" s="236">
        <f t="shared" si="208"/>
        <v>5908507.4400000004</v>
      </c>
      <c r="AR124" s="236">
        <f t="shared" si="208"/>
        <v>5908507.4400000004</v>
      </c>
      <c r="AS124" s="236">
        <f t="shared" si="208"/>
        <v>5908507.4400000004</v>
      </c>
      <c r="AT124" s="236">
        <f t="shared" si="208"/>
        <v>5908507.4400000004</v>
      </c>
      <c r="AU124" s="236">
        <f t="shared" si="208"/>
        <v>5908507.4400000004</v>
      </c>
      <c r="AV124" s="236">
        <f t="shared" si="208"/>
        <v>5908507.4400000004</v>
      </c>
      <c r="AW124" s="236">
        <f t="shared" si="208"/>
        <v>5908507.4400000004</v>
      </c>
      <c r="AX124" s="236">
        <f t="shared" si="208"/>
        <v>5908507.4400000004</v>
      </c>
      <c r="AY124" s="236">
        <f t="shared" si="147"/>
        <v>0</v>
      </c>
      <c r="AZ124" s="236">
        <f t="shared" si="158"/>
        <v>0</v>
      </c>
      <c r="BA124" s="232">
        <f t="shared" si="159"/>
        <v>0.15482042210308836</v>
      </c>
      <c r="BB124" s="232">
        <f t="shared" si="160"/>
        <v>4.4178273919638071E-2</v>
      </c>
      <c r="BC124" s="228">
        <f t="shared" si="124"/>
        <v>0</v>
      </c>
    </row>
    <row r="125" spans="1:55" outlineLevel="2" collapsed="1" x14ac:dyDescent="0.25">
      <c r="A125" s="222">
        <v>4</v>
      </c>
      <c r="B125" s="233">
        <f>EEFFun!B269</f>
        <v>1805</v>
      </c>
      <c r="C125" s="234" t="str">
        <f>EEFFun!C269</f>
        <v>Muebles, enseres y equipos de oficina</v>
      </c>
      <c r="D125" s="235">
        <f>EEFFun!P269</f>
        <v>1170626.97</v>
      </c>
      <c r="E125" s="235">
        <f>EEFFun!Q269</f>
        <v>1170626.97</v>
      </c>
      <c r="F125" s="235">
        <f>EEFFun!R269</f>
        <v>1170626.97</v>
      </c>
      <c r="G125" s="235">
        <f>EEFFun!S269</f>
        <v>1170626.97</v>
      </c>
      <c r="H125" s="235">
        <f>EEFFun!T269</f>
        <v>1170626.97</v>
      </c>
      <c r="I125" s="235">
        <f>EEFFun!U269</f>
        <v>1170626.97</v>
      </c>
      <c r="J125" s="235">
        <f>EEFFun!V269</f>
        <v>1170626.97</v>
      </c>
      <c r="K125" s="235">
        <f>EEFFun!W269</f>
        <v>1170626.97</v>
      </c>
      <c r="L125" s="235">
        <f>EEFFun!X269</f>
        <v>1170626.97</v>
      </c>
      <c r="M125" s="235">
        <f>EEFFun!Y269</f>
        <v>1170626.97</v>
      </c>
      <c r="N125" s="235">
        <f>EEFFun!Z269</f>
        <v>1170626.97</v>
      </c>
      <c r="O125" s="235">
        <f>EEFFun!AA269</f>
        <v>1170626.97</v>
      </c>
      <c r="P125" s="235">
        <f>EEFFun!AB269</f>
        <v>1170792.1499999999</v>
      </c>
      <c r="Q125" s="235">
        <f>EEFFun!AC269</f>
        <v>1170792.1499999999</v>
      </c>
      <c r="R125" s="235">
        <f>EEFFun!AD269</f>
        <v>1170792.1499999999</v>
      </c>
      <c r="S125" s="235">
        <f>EEFFun!AE269</f>
        <v>1170792.1499999999</v>
      </c>
      <c r="T125" s="235">
        <f>EEFFun!AF269</f>
        <v>1170792.1499999999</v>
      </c>
      <c r="U125" s="235">
        <f>EEFFun!AG269</f>
        <v>1170792.1499999999</v>
      </c>
      <c r="V125" s="235">
        <f>EEFFun!AH269</f>
        <v>1170792.1499999999</v>
      </c>
      <c r="W125" s="235">
        <f>EEFFun!AI269</f>
        <v>1170792.1499999999</v>
      </c>
      <c r="X125" s="235">
        <f>EEFFun!AJ269</f>
        <v>1176433.8999999999</v>
      </c>
      <c r="Y125" s="235">
        <f>EEFFun!AK269</f>
        <v>1176555.6399999999</v>
      </c>
      <c r="Z125" s="235">
        <f>EEFFun!AL269</f>
        <v>1177129.3899999999</v>
      </c>
      <c r="AA125" s="235">
        <f>EEFFun!AM269</f>
        <v>1177129.3899999999</v>
      </c>
      <c r="AB125" s="235">
        <f>EEFFun!AN269</f>
        <v>1177416.3500000001</v>
      </c>
      <c r="AC125" s="235">
        <f>EEFFun!AO269</f>
        <v>1177956.78</v>
      </c>
      <c r="AD125" s="235">
        <f>EEFFun!AP269</f>
        <v>1177956.78</v>
      </c>
      <c r="AE125" s="235">
        <f>EEFFun!AQ269</f>
        <v>1177956.78</v>
      </c>
      <c r="AF125" s="235">
        <f>EEFFun!AR269</f>
        <v>1177956.78</v>
      </c>
      <c r="AG125" s="235">
        <f>EEFFun!AS269</f>
        <v>1179155.9099999999</v>
      </c>
      <c r="AH125" s="235">
        <f>EEFFun!AT269</f>
        <v>1179155.9099999999</v>
      </c>
      <c r="AI125" s="235">
        <f>EEFFun!AU269</f>
        <v>1179155.9099999999</v>
      </c>
      <c r="AJ125" s="235">
        <f>EEFFun!AV269</f>
        <v>1179611.9099999999</v>
      </c>
      <c r="AK125" s="235">
        <f>EEFFun!AW269</f>
        <v>1179611.9099999999</v>
      </c>
      <c r="AL125" s="235">
        <f>EEFFun!AX269</f>
        <v>1180697.8799999999</v>
      </c>
      <c r="AM125" s="236">
        <f t="shared" si="207"/>
        <v>1170792.1499999999</v>
      </c>
      <c r="AN125" s="236">
        <f t="shared" si="208"/>
        <v>1170792.1499999999</v>
      </c>
      <c r="AO125" s="236">
        <f t="shared" si="208"/>
        <v>1170792.1499999999</v>
      </c>
      <c r="AP125" s="236">
        <f t="shared" si="208"/>
        <v>1170792.1499999999</v>
      </c>
      <c r="AQ125" s="236">
        <f t="shared" si="208"/>
        <v>1170792.1499999999</v>
      </c>
      <c r="AR125" s="236">
        <f t="shared" si="208"/>
        <v>1170792.1499999999</v>
      </c>
      <c r="AS125" s="236">
        <f t="shared" si="208"/>
        <v>1170792.1499999999</v>
      </c>
      <c r="AT125" s="236">
        <f t="shared" si="208"/>
        <v>1176433.8999999999</v>
      </c>
      <c r="AU125" s="236">
        <f t="shared" si="208"/>
        <v>1176555.6399999999</v>
      </c>
      <c r="AV125" s="236">
        <f t="shared" si="208"/>
        <v>1177129.3899999999</v>
      </c>
      <c r="AW125" s="236">
        <f t="shared" si="208"/>
        <v>1177129.3899999999</v>
      </c>
      <c r="AX125" s="236">
        <f t="shared" si="208"/>
        <v>1177416.3500000001</v>
      </c>
      <c r="AY125" s="236">
        <f t="shared" si="147"/>
        <v>6624.2000000001863</v>
      </c>
      <c r="AZ125" s="236">
        <f t="shared" si="158"/>
        <v>6624.2000000001863</v>
      </c>
      <c r="BA125" s="232">
        <f t="shared" si="159"/>
        <v>3.0678227403227627E-2</v>
      </c>
      <c r="BB125" s="232">
        <f t="shared" si="160"/>
        <v>8.8036145432627989E-3</v>
      </c>
      <c r="BC125" s="228">
        <f t="shared" si="124"/>
        <v>5641.75</v>
      </c>
    </row>
    <row r="126" spans="1:55" outlineLevel="2" collapsed="1" x14ac:dyDescent="0.25">
      <c r="A126" s="222">
        <v>4</v>
      </c>
      <c r="B126" s="233">
        <f>EEFFun!B273</f>
        <v>1806</v>
      </c>
      <c r="C126" s="234" t="str">
        <f>EEFFun!C273</f>
        <v>Equipos de computación</v>
      </c>
      <c r="D126" s="235">
        <f>EEFFun!P273</f>
        <v>1173983.1100000001</v>
      </c>
      <c r="E126" s="235">
        <f>EEFFun!Q273</f>
        <v>1174776.3600000001</v>
      </c>
      <c r="F126" s="235">
        <f>EEFFun!R273</f>
        <v>1174776.3600000001</v>
      </c>
      <c r="G126" s="235">
        <f>EEFFun!S273</f>
        <v>1174776.3600000001</v>
      </c>
      <c r="H126" s="235">
        <f>EEFFun!T273</f>
        <v>1174776.3600000001</v>
      </c>
      <c r="I126" s="235">
        <f>EEFFun!U273</f>
        <v>1177463.97</v>
      </c>
      <c r="J126" s="235">
        <f>EEFFun!V273</f>
        <v>1177463.97</v>
      </c>
      <c r="K126" s="235">
        <f>EEFFun!W273</f>
        <v>1178569.8400000001</v>
      </c>
      <c r="L126" s="235">
        <f>EEFFun!X273</f>
        <v>1178569.8400000001</v>
      </c>
      <c r="M126" s="235">
        <f>EEFFun!Y273</f>
        <v>1178569.8400000001</v>
      </c>
      <c r="N126" s="235">
        <f>EEFFun!Z273</f>
        <v>1178569.8400000001</v>
      </c>
      <c r="O126" s="235">
        <f>EEFFun!AA273</f>
        <v>1178569.8400000001</v>
      </c>
      <c r="P126" s="235">
        <f>EEFFun!AB273</f>
        <v>1178569.8400000001</v>
      </c>
      <c r="Q126" s="235">
        <f>EEFFun!AC273</f>
        <v>1178569.8400000001</v>
      </c>
      <c r="R126" s="235">
        <f>EEFFun!AD273</f>
        <v>1178569.8400000001</v>
      </c>
      <c r="S126" s="235">
        <f>EEFFun!AE273</f>
        <v>1178569.8400000001</v>
      </c>
      <c r="T126" s="235">
        <f>EEFFun!AF273</f>
        <v>1178569.8400000001</v>
      </c>
      <c r="U126" s="235">
        <f>EEFFun!AG273</f>
        <v>1179771.58</v>
      </c>
      <c r="V126" s="235">
        <f>EEFFun!AH273</f>
        <v>1179771.58</v>
      </c>
      <c r="W126" s="235">
        <f>EEFFun!AI273</f>
        <v>1179771.58</v>
      </c>
      <c r="X126" s="235">
        <f>EEFFun!AJ273</f>
        <v>1179771.58</v>
      </c>
      <c r="Y126" s="235">
        <f>EEFFun!AK273</f>
        <v>1187422.6299999999</v>
      </c>
      <c r="Z126" s="235">
        <f>EEFFun!AL273</f>
        <v>1190146.23</v>
      </c>
      <c r="AA126" s="235">
        <f>EEFFun!AM273</f>
        <v>1197454.8500000001</v>
      </c>
      <c r="AB126" s="235">
        <f>EEFFun!AN273</f>
        <v>1201778.52</v>
      </c>
      <c r="AC126" s="235">
        <f>EEFFun!AO273</f>
        <v>1202438.52</v>
      </c>
      <c r="AD126" s="235">
        <f>EEFFun!AP273</f>
        <v>1203729.3899999999</v>
      </c>
      <c r="AE126" s="235">
        <f>EEFFun!AQ273</f>
        <v>1205740.8700000001</v>
      </c>
      <c r="AF126" s="235">
        <f>EEFFun!AR273</f>
        <v>1210207.3</v>
      </c>
      <c r="AG126" s="235">
        <f>EEFFun!AS273</f>
        <v>1210700.27</v>
      </c>
      <c r="AH126" s="235">
        <f>EEFFun!AT273</f>
        <v>1210700.27</v>
      </c>
      <c r="AI126" s="235">
        <f>EEFFun!AU273</f>
        <v>1212460.21</v>
      </c>
      <c r="AJ126" s="235">
        <f>EEFFun!AV273</f>
        <v>1213660.18</v>
      </c>
      <c r="AK126" s="235">
        <f>EEFFun!AW273</f>
        <v>1213660.18</v>
      </c>
      <c r="AL126" s="235">
        <f>EEFFun!AX273</f>
        <v>1216360.8</v>
      </c>
      <c r="AM126" s="236">
        <f t="shared" si="207"/>
        <v>1178569.8400000001</v>
      </c>
      <c r="AN126" s="236">
        <f t="shared" si="208"/>
        <v>1178569.8400000001</v>
      </c>
      <c r="AO126" s="236">
        <f t="shared" si="208"/>
        <v>1178569.8400000001</v>
      </c>
      <c r="AP126" s="236">
        <f t="shared" si="208"/>
        <v>1178569.8400000001</v>
      </c>
      <c r="AQ126" s="236">
        <f t="shared" si="208"/>
        <v>1179771.58</v>
      </c>
      <c r="AR126" s="236">
        <f t="shared" si="208"/>
        <v>1179771.58</v>
      </c>
      <c r="AS126" s="236">
        <f t="shared" si="208"/>
        <v>1179771.58</v>
      </c>
      <c r="AT126" s="236">
        <f t="shared" si="208"/>
        <v>1179771.58</v>
      </c>
      <c r="AU126" s="236">
        <f t="shared" si="208"/>
        <v>1187422.6299999999</v>
      </c>
      <c r="AV126" s="236">
        <f t="shared" si="208"/>
        <v>1190146.23</v>
      </c>
      <c r="AW126" s="236">
        <f t="shared" si="208"/>
        <v>1197454.8500000001</v>
      </c>
      <c r="AX126" s="236">
        <f t="shared" si="208"/>
        <v>1201778.52</v>
      </c>
      <c r="AY126" s="236">
        <f t="shared" si="147"/>
        <v>22006.939999999944</v>
      </c>
      <c r="AZ126" s="236">
        <f t="shared" si="158"/>
        <v>23208.679999999935</v>
      </c>
      <c r="BA126" s="232">
        <f t="shared" si="159"/>
        <v>3.0882025953202375E-2</v>
      </c>
      <c r="BB126" s="232">
        <f t="shared" si="160"/>
        <v>8.985771988347914E-3</v>
      </c>
      <c r="BC126" s="228">
        <f t="shared" si="124"/>
        <v>0</v>
      </c>
    </row>
    <row r="127" spans="1:55" outlineLevel="2" collapsed="1" x14ac:dyDescent="0.25">
      <c r="A127" s="222">
        <v>4</v>
      </c>
      <c r="B127" s="233">
        <f>EEFFun!B274</f>
        <v>1807</v>
      </c>
      <c r="C127" s="234" t="str">
        <f>EEFFun!C274</f>
        <v>Unidades de transporte</v>
      </c>
      <c r="D127" s="235">
        <f>EEFFun!P274</f>
        <v>119715.69</v>
      </c>
      <c r="E127" s="235">
        <f>EEFFun!Q274</f>
        <v>119715.69</v>
      </c>
      <c r="F127" s="235">
        <f>EEFFun!R274</f>
        <v>119715.69</v>
      </c>
      <c r="G127" s="235">
        <f>EEFFun!S274</f>
        <v>119715.69</v>
      </c>
      <c r="H127" s="235">
        <f>EEFFun!T274</f>
        <v>119715.69</v>
      </c>
      <c r="I127" s="235">
        <f>EEFFun!U274</f>
        <v>119715.69</v>
      </c>
      <c r="J127" s="235">
        <f>EEFFun!V274</f>
        <v>119715.69</v>
      </c>
      <c r="K127" s="235">
        <f>EEFFun!W274</f>
        <v>119715.69</v>
      </c>
      <c r="L127" s="235">
        <f>EEFFun!X274</f>
        <v>119715.69</v>
      </c>
      <c r="M127" s="235">
        <f>EEFFun!Y274</f>
        <v>119715.69</v>
      </c>
      <c r="N127" s="235">
        <f>EEFFun!Z274</f>
        <v>119715.69</v>
      </c>
      <c r="O127" s="235">
        <f>EEFFun!AA274</f>
        <v>119715.69</v>
      </c>
      <c r="P127" s="235">
        <f>EEFFun!AB274</f>
        <v>119715.69</v>
      </c>
      <c r="Q127" s="235">
        <f>EEFFun!AC274</f>
        <v>119715.69</v>
      </c>
      <c r="R127" s="235">
        <f>EEFFun!AD274</f>
        <v>119715.69</v>
      </c>
      <c r="S127" s="235">
        <f>EEFFun!AE274</f>
        <v>119715.69</v>
      </c>
      <c r="T127" s="235">
        <f>EEFFun!AF274</f>
        <v>119715.69</v>
      </c>
      <c r="U127" s="235">
        <f>EEFFun!AG274</f>
        <v>119715.69</v>
      </c>
      <c r="V127" s="235">
        <f>EEFFun!AH274</f>
        <v>119715.69</v>
      </c>
      <c r="W127" s="235">
        <f>EEFFun!AI274</f>
        <v>119715.69</v>
      </c>
      <c r="X127" s="235">
        <f>EEFFun!AJ274</f>
        <v>119715.69</v>
      </c>
      <c r="Y127" s="235">
        <f>EEFFun!AK274</f>
        <v>79897.070000000007</v>
      </c>
      <c r="Z127" s="235">
        <f>EEFFun!AL274</f>
        <v>79897.070000000007</v>
      </c>
      <c r="AA127" s="235">
        <f>EEFFun!AM274</f>
        <v>79897.070000000007</v>
      </c>
      <c r="AB127" s="235">
        <f>EEFFun!AN274</f>
        <v>79897.070000000007</v>
      </c>
      <c r="AC127" s="235">
        <f>EEFFun!AO274</f>
        <v>79897.070000000007</v>
      </c>
      <c r="AD127" s="235">
        <f>EEFFun!AP274</f>
        <v>147739.73000000001</v>
      </c>
      <c r="AE127" s="235">
        <f>EEFFun!AQ274</f>
        <v>147739.73000000001</v>
      </c>
      <c r="AF127" s="235">
        <f>EEFFun!AR274</f>
        <v>147739.73000000001</v>
      </c>
      <c r="AG127" s="235">
        <f>EEFFun!AS274</f>
        <v>147739.73000000001</v>
      </c>
      <c r="AH127" s="235">
        <f>EEFFun!AT274</f>
        <v>147739.73000000001</v>
      </c>
      <c r="AI127" s="235">
        <f>EEFFun!AU274</f>
        <v>147739.73000000001</v>
      </c>
      <c r="AJ127" s="235">
        <f>EEFFun!AV274</f>
        <v>147739.73000000001</v>
      </c>
      <c r="AK127" s="235">
        <f>EEFFun!AW274</f>
        <v>147739.73000000001</v>
      </c>
      <c r="AL127" s="235">
        <f>EEFFun!AX274</f>
        <v>147739.73000000001</v>
      </c>
      <c r="AM127" s="236">
        <f t="shared" si="207"/>
        <v>119715.69</v>
      </c>
      <c r="AN127" s="236">
        <f t="shared" si="208"/>
        <v>119715.69</v>
      </c>
      <c r="AO127" s="236">
        <f t="shared" si="208"/>
        <v>119715.69</v>
      </c>
      <c r="AP127" s="236">
        <f t="shared" si="208"/>
        <v>119715.69</v>
      </c>
      <c r="AQ127" s="236">
        <f t="shared" si="208"/>
        <v>119715.69</v>
      </c>
      <c r="AR127" s="236">
        <f t="shared" si="208"/>
        <v>119715.69</v>
      </c>
      <c r="AS127" s="236">
        <f t="shared" si="208"/>
        <v>119715.69</v>
      </c>
      <c r="AT127" s="236">
        <f t="shared" si="208"/>
        <v>119715.69</v>
      </c>
      <c r="AU127" s="236">
        <f t="shared" si="208"/>
        <v>79897.070000000007</v>
      </c>
      <c r="AV127" s="236">
        <f t="shared" si="208"/>
        <v>79897.070000000007</v>
      </c>
      <c r="AW127" s="236">
        <f t="shared" si="208"/>
        <v>79897.070000000007</v>
      </c>
      <c r="AX127" s="236">
        <f t="shared" si="208"/>
        <v>79897.070000000007</v>
      </c>
      <c r="AY127" s="236">
        <f t="shared" si="147"/>
        <v>-39818.619999999995</v>
      </c>
      <c r="AZ127" s="236">
        <f t="shared" si="158"/>
        <v>-39818.619999999995</v>
      </c>
      <c r="BA127" s="232">
        <f t="shared" si="159"/>
        <v>3.1369062062419056E-3</v>
      </c>
      <c r="BB127" s="232">
        <f t="shared" si="160"/>
        <v>5.9739531170608078E-4</v>
      </c>
      <c r="BC127" s="228">
        <f t="shared" si="124"/>
        <v>0</v>
      </c>
    </row>
    <row r="128" spans="1:55" outlineLevel="2" collapsed="1" x14ac:dyDescent="0.25">
      <c r="A128" s="222">
        <v>4</v>
      </c>
      <c r="B128" s="233">
        <f>EEFFun!B275</f>
        <v>1890</v>
      </c>
      <c r="C128" s="234" t="str">
        <f>EEFFun!C275</f>
        <v>Otros</v>
      </c>
      <c r="D128" s="235">
        <f>EEFFun!P275</f>
        <v>3055.41</v>
      </c>
      <c r="E128" s="235">
        <f>EEFFun!Q275</f>
        <v>3055.41</v>
      </c>
      <c r="F128" s="235">
        <f>EEFFun!R275</f>
        <v>3055.41</v>
      </c>
      <c r="G128" s="235">
        <f>EEFFun!S275</f>
        <v>3055.41</v>
      </c>
      <c r="H128" s="235">
        <f>EEFFun!T275</f>
        <v>3055.41</v>
      </c>
      <c r="I128" s="235">
        <f>EEFFun!U275</f>
        <v>3055.41</v>
      </c>
      <c r="J128" s="235">
        <f>EEFFun!V275</f>
        <v>3055.41</v>
      </c>
      <c r="K128" s="235">
        <f>EEFFun!W275</f>
        <v>3055.41</v>
      </c>
      <c r="L128" s="235">
        <f>EEFFun!X275</f>
        <v>3055.41</v>
      </c>
      <c r="M128" s="235">
        <f>EEFFun!Y275</f>
        <v>3055.41</v>
      </c>
      <c r="N128" s="235">
        <f>EEFFun!Z275</f>
        <v>3055.41</v>
      </c>
      <c r="O128" s="235">
        <f>EEFFun!AA275</f>
        <v>3055.41</v>
      </c>
      <c r="P128" s="235">
        <f>EEFFun!AB275</f>
        <v>3055.41</v>
      </c>
      <c r="Q128" s="235">
        <f>EEFFun!AC275</f>
        <v>3055.41</v>
      </c>
      <c r="R128" s="235">
        <f>EEFFun!AD275</f>
        <v>3055.41</v>
      </c>
      <c r="S128" s="235">
        <f>EEFFun!AE275</f>
        <v>3055.41</v>
      </c>
      <c r="T128" s="235">
        <f>EEFFun!AF275</f>
        <v>3055.41</v>
      </c>
      <c r="U128" s="235">
        <f>EEFFun!AG275</f>
        <v>3055.41</v>
      </c>
      <c r="V128" s="235">
        <f>EEFFun!AH275</f>
        <v>3055.41</v>
      </c>
      <c r="W128" s="235">
        <f>EEFFun!AI275</f>
        <v>3055.41</v>
      </c>
      <c r="X128" s="235">
        <f>EEFFun!AJ275</f>
        <v>3055.41</v>
      </c>
      <c r="Y128" s="235">
        <f>EEFFun!AK275</f>
        <v>3055.41</v>
      </c>
      <c r="Z128" s="235">
        <f>EEFFun!AL275</f>
        <v>3055.41</v>
      </c>
      <c r="AA128" s="235">
        <f>EEFFun!AM275</f>
        <v>3055.41</v>
      </c>
      <c r="AB128" s="235">
        <f>EEFFun!AN275</f>
        <v>3055.41</v>
      </c>
      <c r="AC128" s="235">
        <f>EEFFun!AO275</f>
        <v>3055.41</v>
      </c>
      <c r="AD128" s="235">
        <f>EEFFun!AP275</f>
        <v>3055.41</v>
      </c>
      <c r="AE128" s="235">
        <f>EEFFun!AQ275</f>
        <v>3055.41</v>
      </c>
      <c r="AF128" s="235">
        <f>EEFFun!AR275</f>
        <v>3055.41</v>
      </c>
      <c r="AG128" s="235">
        <f>EEFFun!AS275</f>
        <v>3055.41</v>
      </c>
      <c r="AH128" s="235">
        <f>EEFFun!AT275</f>
        <v>3055.41</v>
      </c>
      <c r="AI128" s="235">
        <f>EEFFun!AU275</f>
        <v>3055.41</v>
      </c>
      <c r="AJ128" s="235">
        <f>EEFFun!AV275</f>
        <v>3055.41</v>
      </c>
      <c r="AK128" s="235">
        <f>EEFFun!AW275</f>
        <v>3055.41</v>
      </c>
      <c r="AL128" s="235">
        <f>EEFFun!AX275</f>
        <v>3055.41</v>
      </c>
      <c r="AM128" s="236">
        <f t="shared" si="207"/>
        <v>3055.41</v>
      </c>
      <c r="AN128" s="236">
        <f t="shared" si="208"/>
        <v>3055.41</v>
      </c>
      <c r="AO128" s="236">
        <f t="shared" si="208"/>
        <v>3055.41</v>
      </c>
      <c r="AP128" s="236">
        <f t="shared" si="208"/>
        <v>3055.41</v>
      </c>
      <c r="AQ128" s="236">
        <f t="shared" si="208"/>
        <v>3055.41</v>
      </c>
      <c r="AR128" s="236">
        <f t="shared" si="208"/>
        <v>3055.41</v>
      </c>
      <c r="AS128" s="236">
        <f t="shared" si="208"/>
        <v>3055.41</v>
      </c>
      <c r="AT128" s="236">
        <f t="shared" si="208"/>
        <v>3055.41</v>
      </c>
      <c r="AU128" s="236">
        <f t="shared" si="208"/>
        <v>3055.41</v>
      </c>
      <c r="AV128" s="236">
        <f t="shared" si="208"/>
        <v>3055.41</v>
      </c>
      <c r="AW128" s="236">
        <f t="shared" si="208"/>
        <v>3055.41</v>
      </c>
      <c r="AX128" s="236">
        <f t="shared" si="208"/>
        <v>3055.41</v>
      </c>
      <c r="AY128" s="236">
        <f t="shared" si="147"/>
        <v>0</v>
      </c>
      <c r="AZ128" s="236">
        <f t="shared" si="158"/>
        <v>0</v>
      </c>
      <c r="BA128" s="232">
        <f t="shared" si="159"/>
        <v>8.0060805660591195E-5</v>
      </c>
      <c r="BB128" s="232">
        <f t="shared" si="160"/>
        <v>2.2845488693638906E-5</v>
      </c>
      <c r="BC128" s="228">
        <f t="shared" si="124"/>
        <v>0</v>
      </c>
    </row>
    <row r="129" spans="1:55" outlineLevel="2" collapsed="1" x14ac:dyDescent="0.25">
      <c r="A129" s="222">
        <v>4</v>
      </c>
      <c r="B129" s="233">
        <f>EEFFun!B277</f>
        <v>1899</v>
      </c>
      <c r="C129" s="234" t="str">
        <f>EEFFun!C277</f>
        <v>(Depreciación acumulada)</v>
      </c>
      <c r="D129" s="235">
        <f>EEFFun!P277</f>
        <v>-3166595.78</v>
      </c>
      <c r="E129" s="235">
        <f>EEFFun!Q277</f>
        <v>-3202957.06</v>
      </c>
      <c r="F129" s="235">
        <f>EEFFun!R277</f>
        <v>-3214730.72</v>
      </c>
      <c r="G129" s="235">
        <f>EEFFun!S277</f>
        <v>-3227537.4</v>
      </c>
      <c r="H129" s="235">
        <f>EEFFun!T277</f>
        <v>-3239930.04</v>
      </c>
      <c r="I129" s="235">
        <f>EEFFun!U277</f>
        <v>-3252997.87</v>
      </c>
      <c r="J129" s="235">
        <f>EEFFun!V277</f>
        <v>-3265453.28</v>
      </c>
      <c r="K129" s="235">
        <f>EEFFun!W277</f>
        <v>-3278319.85</v>
      </c>
      <c r="L129" s="235">
        <f>EEFFun!X277</f>
        <v>-3291166.22</v>
      </c>
      <c r="M129" s="235">
        <f>EEFFun!Y277</f>
        <v>-3303570.31</v>
      </c>
      <c r="N129" s="235">
        <f>EEFFun!Z277</f>
        <v>-3316387.67</v>
      </c>
      <c r="O129" s="235">
        <f>EEFFun!AA277</f>
        <v>-3328786.42</v>
      </c>
      <c r="P129" s="235">
        <f>EEFFun!AB277</f>
        <v>-3341600.25</v>
      </c>
      <c r="Q129" s="235">
        <f>EEFFun!AC277</f>
        <v>-3354406.29</v>
      </c>
      <c r="R129" s="235">
        <f>EEFFun!AD277</f>
        <v>-3366307.15</v>
      </c>
      <c r="S129" s="235">
        <f>EEFFun!AE277</f>
        <v>-3378957.14</v>
      </c>
      <c r="T129" s="235">
        <f>EEFFun!AF277</f>
        <v>-3391181.21</v>
      </c>
      <c r="U129" s="235">
        <f>EEFFun!AG277</f>
        <v>-3403455.01</v>
      </c>
      <c r="V129" s="235">
        <f>EEFFun!AH277</f>
        <v>-3415966.13</v>
      </c>
      <c r="W129" s="235">
        <f>EEFFun!AI277</f>
        <v>-3428261.42</v>
      </c>
      <c r="X129" s="235">
        <f>EEFFun!AJ277</f>
        <v>-3440476.59</v>
      </c>
      <c r="Y129" s="235">
        <f>EEFFun!AK277</f>
        <v>-3412647.29</v>
      </c>
      <c r="Z129" s="235">
        <f>EEFFun!AL277</f>
        <v>-3425057.78</v>
      </c>
      <c r="AA129" s="235">
        <f>EEFFun!AM277</f>
        <v>-3437179.9</v>
      </c>
      <c r="AB129" s="235">
        <f>EEFFun!AN277</f>
        <v>-3449716.41</v>
      </c>
      <c r="AC129" s="235">
        <f>EEFFun!AO277</f>
        <v>-3462250.43</v>
      </c>
      <c r="AD129" s="235">
        <f>EEFFun!AP277</f>
        <v>-3473982.87</v>
      </c>
      <c r="AE129" s="235">
        <f>EEFFun!AQ277</f>
        <v>-3487723.29</v>
      </c>
      <c r="AF129" s="235">
        <f>EEFFun!AR277</f>
        <v>-3501089.59</v>
      </c>
      <c r="AG129" s="235">
        <f>EEFFun!AS277</f>
        <v>-3514956.44</v>
      </c>
      <c r="AH129" s="235">
        <f>EEFFun!AT277</f>
        <v>-3528315.87</v>
      </c>
      <c r="AI129" s="235">
        <f>EEFFun!AU277</f>
        <v>-3542111.96</v>
      </c>
      <c r="AJ129" s="235">
        <f>EEFFun!AV277</f>
        <v>-3555935.41</v>
      </c>
      <c r="AK129" s="235">
        <f>EEFFun!AW277</f>
        <v>-3569312.87</v>
      </c>
      <c r="AL129" s="235">
        <f>EEFFun!AX277</f>
        <v>-3583248.38</v>
      </c>
      <c r="AM129" s="236">
        <f t="shared" ref="AM129:AS129" si="209">SUM(AM130:AM133)</f>
        <v>-3368144.04</v>
      </c>
      <c r="AN129" s="236">
        <f t="shared" si="209"/>
        <v>-3392817.35</v>
      </c>
      <c r="AO129" s="236">
        <f t="shared" si="209"/>
        <v>-3419049.0399999996</v>
      </c>
      <c r="AP129" s="236">
        <f t="shared" si="209"/>
        <v>-3444398.83</v>
      </c>
      <c r="AQ129" s="236">
        <f t="shared" si="209"/>
        <v>-3469878.1299999994</v>
      </c>
      <c r="AR129" s="236">
        <f t="shared" si="209"/>
        <v>-3495802.0199999996</v>
      </c>
      <c r="AS129" s="236">
        <f t="shared" si="209"/>
        <v>-3521324.3</v>
      </c>
      <c r="AT129" s="236">
        <f t="shared" ref="AT129" si="210">SUM(AT130:AT133)</f>
        <v>-3546686.3499999996</v>
      </c>
      <c r="AU129" s="236">
        <f t="shared" ref="AU129" si="211">SUM(AU130:AU133)</f>
        <v>-3531747.02</v>
      </c>
      <c r="AV129" s="236">
        <f t="shared" ref="AV129" si="212">SUM(AV130:AV133)</f>
        <v>-3557499.7</v>
      </c>
      <c r="AW129" s="236">
        <f t="shared" ref="AW129" si="213">SUM(AW130:AW133)</f>
        <v>-3581341.75</v>
      </c>
      <c r="AX129" s="236">
        <f t="shared" ref="AX129" si="214">SUM(AX130:AX133)</f>
        <v>-3607346.48</v>
      </c>
      <c r="AY129" s="236">
        <f t="shared" si="147"/>
        <v>-191380.35000000009</v>
      </c>
      <c r="AZ129" s="236">
        <f t="shared" si="158"/>
        <v>-265746.23</v>
      </c>
      <c r="BA129" s="247">
        <f t="shared" si="159"/>
        <v>-8.7559839174000523E-2</v>
      </c>
      <c r="BB129" s="247">
        <f t="shared" si="160"/>
        <v>-2.6972351737697429E-2</v>
      </c>
      <c r="BC129" s="228">
        <f t="shared" si="124"/>
        <v>-118424.9299999997</v>
      </c>
    </row>
    <row r="130" spans="1:55" outlineLevel="2" collapsed="1" x14ac:dyDescent="0.25">
      <c r="A130" s="222">
        <v>6</v>
      </c>
      <c r="B130" s="233">
        <f>EEFFun!B278</f>
        <v>189905</v>
      </c>
      <c r="C130" s="234" t="str">
        <f>EEFFun!C278</f>
        <v>(Edificios)</v>
      </c>
      <c r="D130" s="235">
        <f>EEFFun!P278</f>
        <v>-733985.97</v>
      </c>
      <c r="E130" s="235">
        <f>EEFFun!Q278</f>
        <v>-768540.55</v>
      </c>
      <c r="F130" s="235">
        <f>EEFFun!R278</f>
        <v>-778868.32</v>
      </c>
      <c r="G130" s="235">
        <f>EEFFun!S278</f>
        <v>-790302.62</v>
      </c>
      <c r="H130" s="235">
        <f>EEFFun!T278</f>
        <v>-801368.1</v>
      </c>
      <c r="I130" s="235">
        <f>EEFFun!U278</f>
        <v>-812802.41</v>
      </c>
      <c r="J130" s="235">
        <f>EEFFun!V278</f>
        <v>-823867.87</v>
      </c>
      <c r="K130" s="235">
        <f>EEFFun!W278</f>
        <v>-835302.18</v>
      </c>
      <c r="L130" s="235">
        <f>EEFFun!X278</f>
        <v>-846736.49</v>
      </c>
      <c r="M130" s="235">
        <f>EEFFun!Y278</f>
        <v>-857801.96</v>
      </c>
      <c r="N130" s="235">
        <f>EEFFun!Z278</f>
        <v>-869236.27</v>
      </c>
      <c r="O130" s="235">
        <f>EEFFun!AA278</f>
        <v>-880301.73</v>
      </c>
      <c r="P130" s="235">
        <f>EEFFun!AB278</f>
        <v>-891736.04</v>
      </c>
      <c r="Q130" s="235">
        <f>EEFFun!AC278</f>
        <v>-903170.37</v>
      </c>
      <c r="R130" s="235">
        <f>EEFFun!AD278</f>
        <v>-913866.97</v>
      </c>
      <c r="S130" s="235">
        <f>EEFFun!AE278</f>
        <v>-925301.28</v>
      </c>
      <c r="T130" s="235">
        <f>EEFFun!AF278</f>
        <v>-936366.76</v>
      </c>
      <c r="U130" s="235">
        <f>EEFFun!AG278</f>
        <v>-947432.21</v>
      </c>
      <c r="V130" s="235">
        <f>EEFFun!AH278</f>
        <v>-958866.52</v>
      </c>
      <c r="W130" s="235">
        <f>EEFFun!AI278</f>
        <v>-970300.84</v>
      </c>
      <c r="X130" s="235">
        <f>EEFFun!AJ278</f>
        <v>-981735.16</v>
      </c>
      <c r="Y130" s="235">
        <f>EEFFun!AK278</f>
        <v>-992800.61</v>
      </c>
      <c r="Z130" s="235">
        <f>EEFFun!AL278</f>
        <v>-1004234.93</v>
      </c>
      <c r="AA130" s="235">
        <f>EEFFun!AM278</f>
        <v>-1015300.39</v>
      </c>
      <c r="AB130" s="235">
        <f>EEFFun!AN278</f>
        <v>-1026734.7</v>
      </c>
      <c r="AC130" s="235">
        <f>EEFFun!AO278</f>
        <v>-1038169.02</v>
      </c>
      <c r="AD130" s="235">
        <f>EEFFun!AP278</f>
        <v>-1048496.79</v>
      </c>
      <c r="AE130" s="235">
        <f>EEFFun!AQ278</f>
        <v>-1059931.1000000001</v>
      </c>
      <c r="AF130" s="235">
        <f>EEFFun!AR278</f>
        <v>-1070996.55</v>
      </c>
      <c r="AG130" s="235">
        <f>EEFFun!AS278</f>
        <v>-1082430.8700000001</v>
      </c>
      <c r="AH130" s="235">
        <f>EEFFun!AT278</f>
        <v>-1093496.3400000001</v>
      </c>
      <c r="AI130" s="235">
        <f>EEFFun!AU278</f>
        <v>-1104930.6499999999</v>
      </c>
      <c r="AJ130" s="235">
        <f>EEFFun!AV278</f>
        <v>-1116364.96</v>
      </c>
      <c r="AK130" s="235">
        <f>EEFFun!AW278</f>
        <v>-1127430.42</v>
      </c>
      <c r="AL130" s="235">
        <f>EEFFun!AX278</f>
        <v>-1138864.74</v>
      </c>
      <c r="AM130" s="235">
        <f>Q130-BRhoriz!AC114</f>
        <v>-915536.41</v>
      </c>
      <c r="AN130" s="235">
        <f>R130-BRhoriz!AD114</f>
        <v>-937801.2</v>
      </c>
      <c r="AO130" s="235">
        <f>S130-BRhoriz!AE114</f>
        <v>-961601.53</v>
      </c>
      <c r="AP130" s="235">
        <f>T130-BRhoriz!AF114</f>
        <v>-984634.14</v>
      </c>
      <c r="AQ130" s="235">
        <f>U130-BRhoriz!AG114</f>
        <v>-1007696.74</v>
      </c>
      <c r="AR130" s="235">
        <f>V130-BRhoriz!AH114</f>
        <v>-1031467.01</v>
      </c>
      <c r="AS130" s="235">
        <f>W130-BRhoriz!AI114</f>
        <v>-1055267.3499999999</v>
      </c>
      <c r="AT130" s="235">
        <f>X130-BRhoriz!AJ114</f>
        <v>-1079067.7</v>
      </c>
      <c r="AU130" s="235">
        <f>Y130-BRhoriz!AK114</f>
        <v>-1102100.25</v>
      </c>
      <c r="AV130" s="235">
        <f>Z130-BRhoriz!AL114</f>
        <v>-1125900.5900000001</v>
      </c>
      <c r="AW130" s="235">
        <f>AA130-BRhoriz!AM114</f>
        <v>-1147629.32</v>
      </c>
      <c r="AX130" s="235">
        <f>AB130-BRhoriz!AN114</f>
        <v>-1171429.6499999999</v>
      </c>
      <c r="AY130" s="236">
        <f t="shared" si="147"/>
        <v>-212563.12999999989</v>
      </c>
      <c r="AZ130" s="236">
        <f t="shared" si="158"/>
        <v>-279693.60999999987</v>
      </c>
      <c r="BA130" s="247">
        <f t="shared" si="159"/>
        <v>-2.3366129520746865E-2</v>
      </c>
      <c r="BB130" s="247">
        <f t="shared" si="160"/>
        <v>-8.7588516187576716E-3</v>
      </c>
      <c r="BC130" s="228">
        <f t="shared" si="124"/>
        <v>-108766.85999999999</v>
      </c>
    </row>
    <row r="131" spans="1:55" outlineLevel="2" collapsed="1" x14ac:dyDescent="0.25">
      <c r="A131" s="222">
        <v>6</v>
      </c>
      <c r="B131" s="233">
        <f>EEFFun!B279</f>
        <v>189915</v>
      </c>
      <c r="C131" s="234" t="str">
        <f>EEFFun!C279</f>
        <v>(Muebles, enseres y equipos de oficina)</v>
      </c>
      <c r="D131" s="235">
        <f>EEFFun!P279</f>
        <v>-1144744.3600000001</v>
      </c>
      <c r="E131" s="235">
        <f>EEFFun!Q279</f>
        <v>-1145949.49</v>
      </c>
      <c r="F131" s="235">
        <f>EEFFun!R279</f>
        <v>-1147036.01</v>
      </c>
      <c r="G131" s="235">
        <f>EEFFun!S279</f>
        <v>-1148236.08</v>
      </c>
      <c r="H131" s="235">
        <f>EEFFun!T279</f>
        <v>-1149396.49</v>
      </c>
      <c r="I131" s="235">
        <f>EEFFun!U279</f>
        <v>-1150593.19</v>
      </c>
      <c r="J131" s="235">
        <f>EEFFun!V279</f>
        <v>-1151742.75</v>
      </c>
      <c r="K131" s="235">
        <f>EEFFun!W279</f>
        <v>-1152901.3600000001</v>
      </c>
      <c r="L131" s="235">
        <f>EEFFun!X279</f>
        <v>-1154033.72</v>
      </c>
      <c r="M131" s="235">
        <f>EEFFun!Y279</f>
        <v>-1155101.6499999999</v>
      </c>
      <c r="N131" s="235">
        <f>EEFFun!Z279</f>
        <v>-1156205</v>
      </c>
      <c r="O131" s="235">
        <f>EEFFun!AA279</f>
        <v>-1157267.6000000001</v>
      </c>
      <c r="P131" s="235">
        <f>EEFFun!AB279</f>
        <v>-1158367.42</v>
      </c>
      <c r="Q131" s="235">
        <f>EEFFun!AC279</f>
        <v>-1159459.42</v>
      </c>
      <c r="R131" s="235">
        <f>EEFFun!AD279</f>
        <v>-1160402.02</v>
      </c>
      <c r="S131" s="235">
        <f>EEFFun!AE279</f>
        <v>-1161337.99</v>
      </c>
      <c r="T131" s="235">
        <f>EEFFun!AF279</f>
        <v>-1162225.8999999999</v>
      </c>
      <c r="U131" s="235">
        <f>EEFFun!AG279</f>
        <v>-1163139.18</v>
      </c>
      <c r="V131" s="235">
        <f>EEFFun!AH279</f>
        <v>-1163912.3799999999</v>
      </c>
      <c r="W131" s="235">
        <f>EEFFun!AI279</f>
        <v>-1164459.6200000001</v>
      </c>
      <c r="X131" s="235">
        <f>EEFFun!AJ279</f>
        <v>-1164926.74</v>
      </c>
      <c r="Y131" s="235">
        <f>EEFFun!AK279</f>
        <v>-1165378.31</v>
      </c>
      <c r="Z131" s="235">
        <f>EEFFun!AL279</f>
        <v>-1165809.22</v>
      </c>
      <c r="AA131" s="235">
        <f>EEFFun!AM279</f>
        <v>-1166206.3700000001</v>
      </c>
      <c r="AB131" s="235">
        <f>EEFFun!AN279</f>
        <v>-1166489.26</v>
      </c>
      <c r="AC131" s="235">
        <f>EEFFun!AO279</f>
        <v>-1166651.99</v>
      </c>
      <c r="AD131" s="235">
        <f>EEFFun!AP279</f>
        <v>-1166826.73</v>
      </c>
      <c r="AE131" s="235">
        <f>EEFFun!AQ279</f>
        <v>-1167020.22</v>
      </c>
      <c r="AF131" s="235">
        <f>EEFFun!AR279</f>
        <v>-1167171.5</v>
      </c>
      <c r="AG131" s="235">
        <f>EEFFun!AS279</f>
        <v>-1167322.74</v>
      </c>
      <c r="AH131" s="235">
        <f>EEFFun!AT279</f>
        <v>-1167426.76</v>
      </c>
      <c r="AI131" s="235">
        <f>EEFFun!AU279</f>
        <v>-1167535.23</v>
      </c>
      <c r="AJ131" s="235">
        <f>EEFFun!AV279</f>
        <v>-1167643.74</v>
      </c>
      <c r="AK131" s="235">
        <f>EEFFun!AW279</f>
        <v>-1167748.7</v>
      </c>
      <c r="AL131" s="235">
        <f>EEFFun!AX279</f>
        <v>-1167870.92</v>
      </c>
      <c r="AM131" s="235">
        <f>Q131-BRhoriz!AC115</f>
        <v>-1160551.42</v>
      </c>
      <c r="AN131" s="235">
        <f>R131-BRhoriz!AD115</f>
        <v>-1162436.6200000001</v>
      </c>
      <c r="AO131" s="235">
        <f>S131-BRhoriz!AE115</f>
        <v>-1164308.56</v>
      </c>
      <c r="AP131" s="235">
        <f>T131-BRhoriz!AF115</f>
        <v>-1166084.3799999999</v>
      </c>
      <c r="AQ131" s="235">
        <f>U131-BRhoriz!AG115</f>
        <v>-1167910.94</v>
      </c>
      <c r="AR131" s="235">
        <f>V131-BRhoriz!AH115</f>
        <v>-1169457.3399999999</v>
      </c>
      <c r="AS131" s="235">
        <f>W131-BRhoriz!AI115</f>
        <v>-1170551.82</v>
      </c>
      <c r="AT131" s="235">
        <f>X131-BRhoriz!AJ115</f>
        <v>-1171486.06</v>
      </c>
      <c r="AU131" s="235">
        <f>Y131-BRhoriz!AK115</f>
        <v>-1172389.2</v>
      </c>
      <c r="AV131" s="235">
        <f>Z131-BRhoriz!AL115</f>
        <v>-1173251.02</v>
      </c>
      <c r="AW131" s="235">
        <f>AA131-BRhoriz!AM115</f>
        <v>-1174045.32</v>
      </c>
      <c r="AX131" s="235">
        <f>AB131-BRhoriz!AN115</f>
        <v>-1174611.1000000001</v>
      </c>
      <c r="AY131" s="236">
        <f t="shared" si="147"/>
        <v>-10698.720000000205</v>
      </c>
      <c r="AZ131" s="236">
        <f t="shared" si="158"/>
        <v>-16243.680000000168</v>
      </c>
      <c r="BA131" s="247">
        <f t="shared" si="159"/>
        <v>-3.0352662620132947E-2</v>
      </c>
      <c r="BB131" s="247">
        <f t="shared" si="160"/>
        <v>-8.7826395162916796E-3</v>
      </c>
      <c r="BC131" s="228">
        <f t="shared" si="124"/>
        <v>-7026.4399999999441</v>
      </c>
    </row>
    <row r="132" spans="1:55" outlineLevel="2" collapsed="1" x14ac:dyDescent="0.25">
      <c r="A132" s="222">
        <v>6</v>
      </c>
      <c r="B132" s="233">
        <f>EEFFun!B283</f>
        <v>189920</v>
      </c>
      <c r="C132" s="234" t="str">
        <f>EEFFun!C283</f>
        <v>(Equipos de computación)</v>
      </c>
      <c r="D132" s="235">
        <f>EEFFun!P283</f>
        <v>-1168152.76</v>
      </c>
      <c r="E132" s="235">
        <f>EEFFun!Q283</f>
        <v>-1168754.33</v>
      </c>
      <c r="F132" s="235">
        <f>EEFFun!R283</f>
        <v>-1169113.7</v>
      </c>
      <c r="G132" s="235">
        <f>EEFFun!S283</f>
        <v>-1169286.01</v>
      </c>
      <c r="H132" s="235">
        <f>EEFFun!T283</f>
        <v>-1169452.76</v>
      </c>
      <c r="I132" s="235">
        <f>EEFFun!U283</f>
        <v>-1169889.58</v>
      </c>
      <c r="J132" s="235">
        <f>EEFFun!V283</f>
        <v>-1170129.97</v>
      </c>
      <c r="K132" s="235">
        <f>EEFFun!W283</f>
        <v>-1170403.6200000001</v>
      </c>
      <c r="L132" s="235">
        <f>EEFFun!X283</f>
        <v>-1170683.32</v>
      </c>
      <c r="M132" s="235">
        <f>EEFFun!Y283</f>
        <v>-1170954.01</v>
      </c>
      <c r="N132" s="235">
        <f>EEFFun!Z283</f>
        <v>-1171233.71</v>
      </c>
      <c r="O132" s="235">
        <f>EEFFun!AA283</f>
        <v>-1171504.3999999999</v>
      </c>
      <c r="P132" s="235">
        <f>EEFFun!AB283</f>
        <v>-1171784.1000000001</v>
      </c>
      <c r="Q132" s="235">
        <f>EEFFun!AC283</f>
        <v>-1172063.81</v>
      </c>
      <c r="R132" s="235">
        <f>EEFFun!AD283</f>
        <v>-1172325.47</v>
      </c>
      <c r="S132" s="235">
        <f>EEFFun!AE283</f>
        <v>-1172605.18</v>
      </c>
      <c r="T132" s="235">
        <f>EEFFun!AF283</f>
        <v>-1172875.8600000001</v>
      </c>
      <c r="U132" s="235">
        <f>EEFFun!AG283</f>
        <v>-1173170.93</v>
      </c>
      <c r="V132" s="235">
        <f>EEFFun!AH283</f>
        <v>-1173474.54</v>
      </c>
      <c r="W132" s="235">
        <f>EEFFun!AI283</f>
        <v>-1173788.27</v>
      </c>
      <c r="X132" s="235">
        <f>EEFFun!AJ283</f>
        <v>-1174102</v>
      </c>
      <c r="Y132" s="235">
        <f>EEFFun!AK283</f>
        <v>-1174573.3</v>
      </c>
      <c r="Z132" s="235">
        <f>EEFFun!AL283</f>
        <v>-1175118.56</v>
      </c>
      <c r="AA132" s="235">
        <f>EEFFun!AM283</f>
        <v>-1175778.07</v>
      </c>
      <c r="AB132" s="235">
        <f>EEFFun!AN283</f>
        <v>-1176597.3799999999</v>
      </c>
      <c r="AC132" s="235">
        <f>EEFFun!AO283</f>
        <v>-1177534.3500000001</v>
      </c>
      <c r="AD132" s="235">
        <f>EEFFun!AP283</f>
        <v>-1178355.3700000001</v>
      </c>
      <c r="AE132" s="235">
        <f>EEFFun!AQ283</f>
        <v>-1179315.5900000001</v>
      </c>
      <c r="AF132" s="235">
        <f>EEFFun!AR283</f>
        <v>-1180349.94</v>
      </c>
      <c r="AG132" s="235">
        <f>EEFFun!AS283</f>
        <v>-1181478.83</v>
      </c>
      <c r="AH132" s="235">
        <f>EEFFun!AT283</f>
        <v>-1182553.55</v>
      </c>
      <c r="AI132" s="235">
        <f>EEFFun!AU283</f>
        <v>-1183654.46</v>
      </c>
      <c r="AJ132" s="235">
        <f>EEFFun!AV283</f>
        <v>-1184782.7</v>
      </c>
      <c r="AK132" s="235">
        <f>EEFFun!AW283</f>
        <v>-1185874.52</v>
      </c>
      <c r="AL132" s="235">
        <f>EEFFun!AX283</f>
        <v>-1187101.0900000001</v>
      </c>
      <c r="AM132" s="235">
        <f>Q132-BRhoriz!AC116</f>
        <v>-1172343.52</v>
      </c>
      <c r="AN132" s="235">
        <f>R132-BRhoriz!AD116</f>
        <v>-1172866.8400000001</v>
      </c>
      <c r="AO132" s="235">
        <f>S132-BRhoriz!AE116</f>
        <v>-1173426.26</v>
      </c>
      <c r="AP132" s="235">
        <f>T132-BRhoriz!AF116</f>
        <v>-1173967.6200000001</v>
      </c>
      <c r="AQ132" s="235">
        <f>U132-BRhoriz!AG116</f>
        <v>-1174557.76</v>
      </c>
      <c r="AR132" s="235">
        <f>V132-BRhoriz!AH116</f>
        <v>-1175164.98</v>
      </c>
      <c r="AS132" s="235">
        <f>W132-BRhoriz!AI116</f>
        <v>-1175792.44</v>
      </c>
      <c r="AT132" s="235">
        <f>X132-BRhoriz!AJ116</f>
        <v>-1176419.8999999999</v>
      </c>
      <c r="AU132" s="235">
        <f>Y132-BRhoriz!AK116</f>
        <v>-1177362.5</v>
      </c>
      <c r="AV132" s="235">
        <f>Z132-BRhoriz!AL116</f>
        <v>-1178453.02</v>
      </c>
      <c r="AW132" s="235">
        <f>AA132-BRhoriz!AM116</f>
        <v>-1179772.04</v>
      </c>
      <c r="AX132" s="235">
        <f>AB132-BRhoriz!AN116</f>
        <v>-1181410.6599999999</v>
      </c>
      <c r="AY132" s="236">
        <f t="shared" si="147"/>
        <v>-7936.1199999998789</v>
      </c>
      <c r="AZ132" s="236">
        <f t="shared" si="158"/>
        <v>-9626.559999999823</v>
      </c>
      <c r="BA132" s="247">
        <f t="shared" si="159"/>
        <v>-3.0704219435778102E-2</v>
      </c>
      <c r="BB132" s="247">
        <f t="shared" si="160"/>
        <v>-8.8334802450651395E-3</v>
      </c>
      <c r="BC132" s="228">
        <f t="shared" si="124"/>
        <v>-2631.6299999998882</v>
      </c>
    </row>
    <row r="133" spans="1:55" outlineLevel="2" collapsed="1" x14ac:dyDescent="0.25">
      <c r="A133" s="222">
        <v>6</v>
      </c>
      <c r="B133" s="233">
        <f>EEFFun!B284</f>
        <v>189925</v>
      </c>
      <c r="C133" s="234" t="str">
        <f>EEFFun!C284</f>
        <v>(Unidades de transporte)</v>
      </c>
      <c r="D133" s="235">
        <f>EEFFun!P284</f>
        <v>-119712.69</v>
      </c>
      <c r="E133" s="235">
        <f>EEFFun!Q284</f>
        <v>-119712.69</v>
      </c>
      <c r="F133" s="235">
        <f>EEFFun!R284</f>
        <v>-119712.69</v>
      </c>
      <c r="G133" s="235">
        <f>EEFFun!S284</f>
        <v>-119712.69</v>
      </c>
      <c r="H133" s="235">
        <f>EEFFun!T284</f>
        <v>-119712.69</v>
      </c>
      <c r="I133" s="235">
        <f>EEFFun!U284</f>
        <v>-119712.69</v>
      </c>
      <c r="J133" s="235">
        <f>EEFFun!V284</f>
        <v>-119712.69</v>
      </c>
      <c r="K133" s="235">
        <f>EEFFun!W284</f>
        <v>-119712.69</v>
      </c>
      <c r="L133" s="235">
        <f>EEFFun!X284</f>
        <v>-119712.69</v>
      </c>
      <c r="M133" s="235">
        <f>EEFFun!Y284</f>
        <v>-119712.69</v>
      </c>
      <c r="N133" s="235">
        <f>EEFFun!Z284</f>
        <v>-119712.69</v>
      </c>
      <c r="O133" s="235">
        <f>EEFFun!AA284</f>
        <v>-119712.69</v>
      </c>
      <c r="P133" s="235">
        <f>EEFFun!AB284</f>
        <v>-119712.69</v>
      </c>
      <c r="Q133" s="235">
        <f>EEFFun!AC284</f>
        <v>-119712.69</v>
      </c>
      <c r="R133" s="235">
        <f>EEFFun!AD284</f>
        <v>-119712.69</v>
      </c>
      <c r="S133" s="235">
        <f>EEFFun!AE284</f>
        <v>-119712.69</v>
      </c>
      <c r="T133" s="235">
        <f>EEFFun!AF284</f>
        <v>-119712.69</v>
      </c>
      <c r="U133" s="235">
        <f>EEFFun!AG284</f>
        <v>-119712.69</v>
      </c>
      <c r="V133" s="235">
        <f>EEFFun!AH284</f>
        <v>-119712.69</v>
      </c>
      <c r="W133" s="235">
        <f>EEFFun!AI284</f>
        <v>-119712.69</v>
      </c>
      <c r="X133" s="235">
        <f>EEFFun!AJ284</f>
        <v>-119712.69</v>
      </c>
      <c r="Y133" s="235">
        <f>EEFFun!AK284</f>
        <v>-79895.070000000007</v>
      </c>
      <c r="Z133" s="235">
        <f>EEFFun!AL284</f>
        <v>-79895.070000000007</v>
      </c>
      <c r="AA133" s="235">
        <f>EEFFun!AM284</f>
        <v>-79895.070000000007</v>
      </c>
      <c r="AB133" s="235">
        <f>EEFFun!AN284</f>
        <v>-79895.070000000007</v>
      </c>
      <c r="AC133" s="235">
        <f>EEFFun!AO284</f>
        <v>-79895.070000000007</v>
      </c>
      <c r="AD133" s="235">
        <f>EEFFun!AP284</f>
        <v>-80303.98</v>
      </c>
      <c r="AE133" s="235">
        <f>EEFFun!AQ284</f>
        <v>-81456.38</v>
      </c>
      <c r="AF133" s="235">
        <f>EEFFun!AR284</f>
        <v>-82571.600000000006</v>
      </c>
      <c r="AG133" s="235">
        <f>EEFFun!AS284</f>
        <v>-83724</v>
      </c>
      <c r="AH133" s="235">
        <f>EEFFun!AT284</f>
        <v>-84839.22</v>
      </c>
      <c r="AI133" s="235">
        <f>EEFFun!AU284</f>
        <v>-85991.62</v>
      </c>
      <c r="AJ133" s="235">
        <f>EEFFun!AV284</f>
        <v>-87144.01</v>
      </c>
      <c r="AK133" s="235">
        <f>EEFFun!AW284</f>
        <v>-88259.23</v>
      </c>
      <c r="AL133" s="235">
        <f>EEFFun!AX284</f>
        <v>-89411.63</v>
      </c>
      <c r="AM133" s="236">
        <f t="shared" ref="AM133:AX133" si="215">Q133</f>
        <v>-119712.69</v>
      </c>
      <c r="AN133" s="236">
        <f t="shared" si="215"/>
        <v>-119712.69</v>
      </c>
      <c r="AO133" s="236">
        <f t="shared" si="215"/>
        <v>-119712.69</v>
      </c>
      <c r="AP133" s="236">
        <f t="shared" si="215"/>
        <v>-119712.69</v>
      </c>
      <c r="AQ133" s="236">
        <f t="shared" si="215"/>
        <v>-119712.69</v>
      </c>
      <c r="AR133" s="236">
        <f t="shared" si="215"/>
        <v>-119712.69</v>
      </c>
      <c r="AS133" s="236">
        <f t="shared" si="215"/>
        <v>-119712.69</v>
      </c>
      <c r="AT133" s="236">
        <f t="shared" si="215"/>
        <v>-119712.69</v>
      </c>
      <c r="AU133" s="236">
        <f t="shared" si="215"/>
        <v>-79895.070000000007</v>
      </c>
      <c r="AV133" s="236">
        <f t="shared" si="215"/>
        <v>-79895.070000000007</v>
      </c>
      <c r="AW133" s="236">
        <f t="shared" si="215"/>
        <v>-79895.070000000007</v>
      </c>
      <c r="AX133" s="236">
        <f t="shared" si="215"/>
        <v>-79895.070000000007</v>
      </c>
      <c r="AY133" s="236">
        <f t="shared" ref="AY133:AY151" si="216">AX133-V133</f>
        <v>39817.619999999995</v>
      </c>
      <c r="AZ133" s="236">
        <f t="shared" si="158"/>
        <v>39817.619999999995</v>
      </c>
      <c r="BA133" s="247">
        <f t="shared" si="159"/>
        <v>-3.1368275973426151E-3</v>
      </c>
      <c r="BB133" s="247">
        <f t="shared" si="160"/>
        <v>-5.973803575829395E-4</v>
      </c>
      <c r="BC133" s="228">
        <f t="shared" ref="BC133:BC196" si="217">AT133-W133</f>
        <v>0</v>
      </c>
    </row>
    <row r="134" spans="1:55" s="229" customFormat="1" outlineLevel="1" x14ac:dyDescent="0.25">
      <c r="A134" s="222">
        <v>2</v>
      </c>
      <c r="B134" s="223">
        <f>EEFFun!B285</f>
        <v>19</v>
      </c>
      <c r="C134" s="223" t="str">
        <f>EEFFun!C285</f>
        <v>OTROS ACTIVOS</v>
      </c>
      <c r="D134" s="225">
        <f>EEFFun!P285</f>
        <v>2887600.29</v>
      </c>
      <c r="E134" s="225">
        <f>EEFFun!Q285</f>
        <v>2918504.62</v>
      </c>
      <c r="F134" s="225">
        <f>EEFFun!R285</f>
        <v>2902369.12</v>
      </c>
      <c r="G134" s="225">
        <f>EEFFun!S285</f>
        <v>2886278.72</v>
      </c>
      <c r="H134" s="225">
        <f>EEFFun!T285</f>
        <v>2877705.42</v>
      </c>
      <c r="I134" s="225">
        <f>EEFFun!U285</f>
        <v>2867695.39</v>
      </c>
      <c r="J134" s="225">
        <f>EEFFun!V285</f>
        <v>2811063.5</v>
      </c>
      <c r="K134" s="225">
        <f>EEFFun!W285</f>
        <v>2764389.65</v>
      </c>
      <c r="L134" s="225">
        <f>EEFFun!X285</f>
        <v>2735425.72</v>
      </c>
      <c r="M134" s="225">
        <f>EEFFun!Y285</f>
        <v>2709774.08</v>
      </c>
      <c r="N134" s="225">
        <f>EEFFun!Z285</f>
        <v>2703549.6</v>
      </c>
      <c r="O134" s="225">
        <f>EEFFun!AA285</f>
        <v>2712508.67</v>
      </c>
      <c r="P134" s="225">
        <f>EEFFun!AB285</f>
        <v>2761635.19</v>
      </c>
      <c r="Q134" s="225">
        <f>EEFFun!AC285</f>
        <v>2798130.36</v>
      </c>
      <c r="R134" s="225">
        <f>EEFFun!AD285</f>
        <v>2799577.83</v>
      </c>
      <c r="S134" s="225">
        <f>EEFFun!AE285</f>
        <v>2795115.48</v>
      </c>
      <c r="T134" s="225">
        <f>EEFFun!AF285</f>
        <v>2760279.67</v>
      </c>
      <c r="U134" s="225">
        <f>EEFFun!AG285</f>
        <v>2778976.29</v>
      </c>
      <c r="V134" s="225">
        <f>EEFFun!AH285</f>
        <v>2797193.76</v>
      </c>
      <c r="W134" s="225">
        <f>EEFFun!AI285</f>
        <v>2869984.82</v>
      </c>
      <c r="X134" s="225">
        <f>EEFFun!AJ285</f>
        <v>2810931.21</v>
      </c>
      <c r="Y134" s="225">
        <f>EEFFun!AK285</f>
        <v>2929018.69</v>
      </c>
      <c r="Z134" s="225">
        <f>EEFFun!AL285</f>
        <v>2940444.57</v>
      </c>
      <c r="AA134" s="225">
        <f>EEFFun!AM285</f>
        <v>4774068.3899999997</v>
      </c>
      <c r="AB134" s="225">
        <f>EEFFun!AN285</f>
        <v>4827949.6100000003</v>
      </c>
      <c r="AC134" s="225">
        <f>EEFFun!AO285</f>
        <v>4843070.09</v>
      </c>
      <c r="AD134" s="225">
        <f>EEFFun!AP285</f>
        <v>4864844.6500000004</v>
      </c>
      <c r="AE134" s="225">
        <f>EEFFun!AQ285</f>
        <v>4818468.25</v>
      </c>
      <c r="AF134" s="225">
        <f>EEFFun!AR285</f>
        <v>4818258.95</v>
      </c>
      <c r="AG134" s="225">
        <f>EEFFun!AS285</f>
        <v>4910247.8899999997</v>
      </c>
      <c r="AH134" s="225">
        <f>EEFFun!AT285</f>
        <v>4891084.47</v>
      </c>
      <c r="AI134" s="225">
        <f>EEFFun!AU285</f>
        <v>5048294.5599999996</v>
      </c>
      <c r="AJ134" s="225">
        <f>EEFFun!AV285</f>
        <v>5238009.1399999997</v>
      </c>
      <c r="AK134" s="225">
        <f>EEFFun!AW285</f>
        <v>5453926.2699999996</v>
      </c>
      <c r="AL134" s="225">
        <f>EEFFun!AX285</f>
        <v>3448964.09</v>
      </c>
      <c r="AM134" s="226">
        <f t="shared" ref="AM134:AS134" si="218">SUM(AM135+AM140+AM141+AM146+AM147+AM151)</f>
        <v>3218608.0619818908</v>
      </c>
      <c r="AN134" s="226">
        <f t="shared" si="218"/>
        <v>3225115.9772286392</v>
      </c>
      <c r="AO134" s="226">
        <f t="shared" si="218"/>
        <v>3218766.2814277406</v>
      </c>
      <c r="AP134" s="226">
        <f t="shared" si="218"/>
        <v>3061867.4357291325</v>
      </c>
      <c r="AQ134" s="226">
        <f t="shared" si="218"/>
        <v>3189492.4677443583</v>
      </c>
      <c r="AR134" s="226">
        <f t="shared" si="218"/>
        <v>3144391.4909329782</v>
      </c>
      <c r="AS134" s="226">
        <f t="shared" si="218"/>
        <v>3135054.2636903622</v>
      </c>
      <c r="AT134" s="226">
        <f t="shared" ref="AT134" si="219">SUM(AT135+AT140+AT141+AT146+AT147+AT151)</f>
        <v>3260147.1562615088</v>
      </c>
      <c r="AU134" s="226">
        <f t="shared" ref="AU134" si="220">SUM(AU135+AU140+AU141+AU146+AU147+AU151)</f>
        <v>3478026.0357294935</v>
      </c>
      <c r="AV134" s="226">
        <f t="shared" ref="AV134" si="221">SUM(AV135+AV140+AV141+AV146+AV147+AV151)</f>
        <v>3221987.2974211746</v>
      </c>
      <c r="AW134" s="226">
        <f t="shared" ref="AW134" si="222">SUM(AW135+AW140+AW141+AW146+AW147+AW151)</f>
        <v>3006673.6667932118</v>
      </c>
      <c r="AX134" s="226">
        <f t="shared" ref="AX134" si="223">SUM(AX135+AX140+AX141+AX146+AX147+AX151)</f>
        <v>4676541.7434245944</v>
      </c>
      <c r="AY134" s="226">
        <f t="shared" si="216"/>
        <v>1879347.9834245946</v>
      </c>
      <c r="AZ134" s="226">
        <f t="shared" si="158"/>
        <v>1914906.5534245945</v>
      </c>
      <c r="BA134" s="231">
        <f t="shared" si="159"/>
        <v>7.2363034176113797E-2</v>
      </c>
      <c r="BB134" s="231">
        <f t="shared" si="160"/>
        <v>3.4966790553391178E-2</v>
      </c>
      <c r="BC134" s="228">
        <f t="shared" si="217"/>
        <v>390162.33626150899</v>
      </c>
    </row>
    <row r="135" spans="1:55" outlineLevel="2" collapsed="1" x14ac:dyDescent="0.25">
      <c r="A135" s="222">
        <v>4</v>
      </c>
      <c r="B135" s="233">
        <f>EEFFun!B286</f>
        <v>1902</v>
      </c>
      <c r="C135" s="233" t="str">
        <f>EEFFun!C286</f>
        <v>Derechos fiduciarios</v>
      </c>
      <c r="D135" s="235">
        <f>EEFFun!P286</f>
        <v>974659.33</v>
      </c>
      <c r="E135" s="235">
        <f>EEFFun!Q286</f>
        <v>983763.14</v>
      </c>
      <c r="F135" s="235">
        <f>EEFFun!R286</f>
        <v>987714.43</v>
      </c>
      <c r="G135" s="235">
        <f>EEFFun!S286</f>
        <v>982189.21</v>
      </c>
      <c r="H135" s="235">
        <f>EEFFun!T286</f>
        <v>978562.2</v>
      </c>
      <c r="I135" s="235">
        <f>EEFFun!U286</f>
        <v>972114.14</v>
      </c>
      <c r="J135" s="235">
        <f>EEFFun!V286</f>
        <v>958640.98</v>
      </c>
      <c r="K135" s="235">
        <f>EEFFun!W286</f>
        <v>945638.77</v>
      </c>
      <c r="L135" s="235">
        <f>EEFFun!X286</f>
        <v>938477.42</v>
      </c>
      <c r="M135" s="235">
        <f>EEFFun!Y286</f>
        <v>933339.48</v>
      </c>
      <c r="N135" s="235">
        <f>EEFFun!Z286</f>
        <v>924392.46</v>
      </c>
      <c r="O135" s="235">
        <f>EEFFun!AA286</f>
        <v>935042.68</v>
      </c>
      <c r="P135" s="235">
        <f>EEFFun!AB286</f>
        <v>941108.55</v>
      </c>
      <c r="Q135" s="235">
        <f>EEFFun!AC286</f>
        <v>946051.46</v>
      </c>
      <c r="R135" s="235">
        <f>EEFFun!AD286</f>
        <v>948105.99</v>
      </c>
      <c r="S135" s="235">
        <f>EEFFun!AE286</f>
        <v>942894.88</v>
      </c>
      <c r="T135" s="235">
        <f>EEFFun!AF286</f>
        <v>946311.2</v>
      </c>
      <c r="U135" s="235">
        <f>EEFFun!AG286</f>
        <v>954997.97</v>
      </c>
      <c r="V135" s="235">
        <f>EEFFun!AH286</f>
        <v>982615.36</v>
      </c>
      <c r="W135" s="235">
        <f>EEFFun!AI286</f>
        <v>1051912.5</v>
      </c>
      <c r="X135" s="235">
        <f>EEFFun!AJ286</f>
        <v>962140.82</v>
      </c>
      <c r="Y135" s="235">
        <f>EEFFun!AK286</f>
        <v>1031625.19</v>
      </c>
      <c r="Z135" s="235">
        <f>EEFFun!AL286</f>
        <v>1028959.44</v>
      </c>
      <c r="AA135" s="235">
        <f>EEFFun!AM286</f>
        <v>1045292.5</v>
      </c>
      <c r="AB135" s="235">
        <f>EEFFun!AN286</f>
        <v>1062643.1200000001</v>
      </c>
      <c r="AC135" s="235">
        <f>EEFFun!AO286</f>
        <v>1115734.52</v>
      </c>
      <c r="AD135" s="235">
        <f>EEFFun!AP286</f>
        <v>1142446.43</v>
      </c>
      <c r="AE135" s="235">
        <f>EEFFun!AQ286</f>
        <v>1169923.0900000001</v>
      </c>
      <c r="AF135" s="235">
        <f>EEFFun!AR286</f>
        <v>1221585.0900000001</v>
      </c>
      <c r="AG135" s="235">
        <f>EEFFun!AS286</f>
        <v>1248150.93</v>
      </c>
      <c r="AH135" s="235">
        <f>EEFFun!AT286</f>
        <v>1245273.72</v>
      </c>
      <c r="AI135" s="235">
        <f>EEFFun!AU286</f>
        <v>1297045.52</v>
      </c>
      <c r="AJ135" s="235">
        <f>EEFFun!AV286</f>
        <v>1446463.15</v>
      </c>
      <c r="AK135" s="235">
        <f>EEFFun!AW286</f>
        <v>1674507.76</v>
      </c>
      <c r="AL135" s="235">
        <f>EEFFun!AX286</f>
        <v>1382717.78</v>
      </c>
      <c r="AM135" s="236">
        <f t="shared" ref="AM135:AS135" si="224">SUM(AM136:AM139)</f>
        <v>1165732.6689818916</v>
      </c>
      <c r="AN135" s="236">
        <f t="shared" si="224"/>
        <v>1184856.385106639</v>
      </c>
      <c r="AO135" s="236">
        <f t="shared" si="224"/>
        <v>1279541.025015129</v>
      </c>
      <c r="AP135" s="236">
        <f t="shared" si="224"/>
        <v>1174025.6798527797</v>
      </c>
      <c r="AQ135" s="236">
        <f t="shared" si="224"/>
        <v>1294374.0572266178</v>
      </c>
      <c r="AR135" s="236">
        <f t="shared" si="224"/>
        <v>1277616.6405916864</v>
      </c>
      <c r="AS135" s="236">
        <f t="shared" si="224"/>
        <v>1357424.1183388368</v>
      </c>
      <c r="AT135" s="236">
        <f t="shared" ref="AT135" si="225">SUM(AT136:AT139)</f>
        <v>1486069.7807085474</v>
      </c>
      <c r="AU135" s="236">
        <f t="shared" ref="AU135" si="226">SUM(AU136:AU139)</f>
        <v>1695098.5447793768</v>
      </c>
      <c r="AV135" s="236">
        <f t="shared" ref="AV135" si="227">SUM(AV136:AV139)</f>
        <v>1430955.8858736637</v>
      </c>
      <c r="AW135" s="236">
        <f t="shared" ref="AW135" si="228">SUM(AW136:AW139)</f>
        <v>1238496.3894435463</v>
      </c>
      <c r="AX135" s="236">
        <f t="shared" ref="AX135" si="229">SUM(AX136:AX139)</f>
        <v>1259517.6750634939</v>
      </c>
      <c r="AY135" s="236">
        <f t="shared" si="216"/>
        <v>276902.31506349391</v>
      </c>
      <c r="AZ135" s="236">
        <f t="shared" si="158"/>
        <v>318409.12506349385</v>
      </c>
      <c r="BA135" s="232">
        <f t="shared" si="159"/>
        <v>2.4659835742853096E-2</v>
      </c>
      <c r="BB135" s="232">
        <f t="shared" si="160"/>
        <v>9.4174912057960834E-3</v>
      </c>
      <c r="BC135" s="228">
        <f t="shared" si="217"/>
        <v>434157.28070854745</v>
      </c>
    </row>
    <row r="136" spans="1:55" outlineLevel="2" collapsed="1" x14ac:dyDescent="0.25">
      <c r="A136" s="222">
        <v>4</v>
      </c>
      <c r="B136" s="233">
        <f>EEFFun!B287</f>
        <v>190205</v>
      </c>
      <c r="C136" s="233" t="str">
        <f>EEFFun!C287</f>
        <v>Inversiones</v>
      </c>
      <c r="D136" s="235">
        <f>EEFFun!P287</f>
        <v>58266.57</v>
      </c>
      <c r="E136" s="235">
        <f>EEFFun!Q287</f>
        <v>58266.57</v>
      </c>
      <c r="F136" s="235">
        <f>EEFFun!R287</f>
        <v>58266.57</v>
      </c>
      <c r="G136" s="235">
        <f>EEFFun!S287</f>
        <v>58266.57</v>
      </c>
      <c r="H136" s="235">
        <f>EEFFun!T287</f>
        <v>58266.57</v>
      </c>
      <c r="I136" s="235">
        <f>EEFFun!U287</f>
        <v>58266.57</v>
      </c>
      <c r="J136" s="235">
        <f>EEFFun!V287</f>
        <v>58266.57</v>
      </c>
      <c r="K136" s="235">
        <f>EEFFun!W287</f>
        <v>58266.57</v>
      </c>
      <c r="L136" s="235">
        <f>EEFFun!X287</f>
        <v>58266.57</v>
      </c>
      <c r="M136" s="235">
        <f>EEFFun!Y287</f>
        <v>58266.57</v>
      </c>
      <c r="N136" s="235">
        <f>EEFFun!Z287</f>
        <v>58266.57</v>
      </c>
      <c r="O136" s="235">
        <f>EEFFun!AA287</f>
        <v>58266.57</v>
      </c>
      <c r="P136" s="235">
        <f>EEFFun!AB287</f>
        <v>58266.57</v>
      </c>
      <c r="Q136" s="235">
        <f>EEFFun!AC287</f>
        <v>58266.57</v>
      </c>
      <c r="R136" s="235">
        <f>EEFFun!AD287</f>
        <v>58266.57</v>
      </c>
      <c r="S136" s="235">
        <f>EEFFun!AE287</f>
        <v>58266.57</v>
      </c>
      <c r="T136" s="235">
        <f>EEFFun!AF287</f>
        <v>57765.9</v>
      </c>
      <c r="U136" s="235">
        <f>EEFFun!AG287</f>
        <v>57765.9</v>
      </c>
      <c r="V136" s="235">
        <f>EEFFun!AH287</f>
        <v>57765.9</v>
      </c>
      <c r="W136" s="235">
        <f>EEFFun!AI287</f>
        <v>57765.9</v>
      </c>
      <c r="X136" s="235">
        <f>EEFFun!AJ287</f>
        <v>57765.9</v>
      </c>
      <c r="Y136" s="235">
        <f>EEFFun!AK287</f>
        <v>57765.9</v>
      </c>
      <c r="Z136" s="235">
        <f>EEFFun!AL287</f>
        <v>57765.9</v>
      </c>
      <c r="AA136" s="235">
        <f>EEFFun!AM287</f>
        <v>57765.9</v>
      </c>
      <c r="AB136" s="235">
        <f>EEFFun!AN287</f>
        <v>57765.9</v>
      </c>
      <c r="AC136" s="235">
        <f>EEFFun!AO287</f>
        <v>57765.9</v>
      </c>
      <c r="AD136" s="235">
        <f>EEFFun!AP287</f>
        <v>57765.9</v>
      </c>
      <c r="AE136" s="235">
        <f>EEFFun!AQ287</f>
        <v>57765.9</v>
      </c>
      <c r="AF136" s="235">
        <f>EEFFun!AR287</f>
        <v>57423.14</v>
      </c>
      <c r="AG136" s="235">
        <f>EEFFun!AS287</f>
        <v>57423.14</v>
      </c>
      <c r="AH136" s="235">
        <f>EEFFun!AT287</f>
        <v>57423.14</v>
      </c>
      <c r="AI136" s="235">
        <f>EEFFun!AU287</f>
        <v>80197.56</v>
      </c>
      <c r="AJ136" s="235">
        <f>EEFFun!AV287</f>
        <v>184574.46</v>
      </c>
      <c r="AK136" s="235">
        <f>EEFFun!AW287</f>
        <v>375541.25</v>
      </c>
      <c r="AL136" s="235">
        <f>EEFFun!AX287</f>
        <v>60000</v>
      </c>
      <c r="AM136" s="236">
        <f>AC136</f>
        <v>57765.9</v>
      </c>
      <c r="AN136" s="236">
        <f t="shared" ref="AN136:AX136" si="230">AD136</f>
        <v>57765.9</v>
      </c>
      <c r="AO136" s="236">
        <f t="shared" si="230"/>
        <v>57765.9</v>
      </c>
      <c r="AP136" s="236">
        <f t="shared" si="230"/>
        <v>57423.14</v>
      </c>
      <c r="AQ136" s="236">
        <f t="shared" si="230"/>
        <v>57423.14</v>
      </c>
      <c r="AR136" s="236">
        <f t="shared" si="230"/>
        <v>57423.14</v>
      </c>
      <c r="AS136" s="236">
        <f t="shared" si="230"/>
        <v>80197.56</v>
      </c>
      <c r="AT136" s="236">
        <f t="shared" si="230"/>
        <v>184574.46</v>
      </c>
      <c r="AU136" s="236">
        <f t="shared" si="230"/>
        <v>375541.25</v>
      </c>
      <c r="AV136" s="236">
        <f t="shared" si="230"/>
        <v>60000</v>
      </c>
      <c r="AW136" s="236">
        <f t="shared" si="230"/>
        <v>57765.9</v>
      </c>
      <c r="AX136" s="236">
        <f t="shared" si="230"/>
        <v>57765.9</v>
      </c>
      <c r="AY136" s="236">
        <f t="shared" si="216"/>
        <v>0</v>
      </c>
      <c r="AZ136" s="236">
        <f t="shared" si="158"/>
        <v>-500.66999999999825</v>
      </c>
      <c r="BA136" s="232">
        <f t="shared" si="159"/>
        <v>1.5267569777146874E-3</v>
      </c>
      <c r="BB136" s="232">
        <f t="shared" si="160"/>
        <v>4.319191909851299E-4</v>
      </c>
      <c r="BC136" s="228">
        <f t="shared" si="217"/>
        <v>126808.56</v>
      </c>
    </row>
    <row r="137" spans="1:55" outlineLevel="2" collapsed="1" x14ac:dyDescent="0.25">
      <c r="A137" s="222">
        <v>6</v>
      </c>
      <c r="B137" s="233">
        <f>EEFFun!B288</f>
        <v>190210</v>
      </c>
      <c r="C137" s="233" t="str">
        <f>EEFFun!C288</f>
        <v>Cartera de créditos por vencer</v>
      </c>
      <c r="D137" s="235">
        <f>EEFFun!P288</f>
        <v>0</v>
      </c>
      <c r="E137" s="235">
        <f>EEFFun!Q288</f>
        <v>0</v>
      </c>
      <c r="F137" s="235">
        <f>EEFFun!R288</f>
        <v>0</v>
      </c>
      <c r="G137" s="235">
        <f>EEFFun!S288</f>
        <v>0</v>
      </c>
      <c r="H137" s="235">
        <f>EEFFun!T288</f>
        <v>0</v>
      </c>
      <c r="I137" s="235">
        <f>EEFFun!U288</f>
        <v>0</v>
      </c>
      <c r="J137" s="235">
        <f>EEFFun!V288</f>
        <v>0</v>
      </c>
      <c r="K137" s="235">
        <f>EEFFun!W288</f>
        <v>0</v>
      </c>
      <c r="L137" s="235">
        <f>EEFFun!X288</f>
        <v>0</v>
      </c>
      <c r="M137" s="235">
        <f>EEFFun!Y288</f>
        <v>0</v>
      </c>
      <c r="N137" s="235">
        <f>EEFFun!Z288</f>
        <v>0</v>
      </c>
      <c r="O137" s="235">
        <f>EEFFun!AA288</f>
        <v>0</v>
      </c>
      <c r="P137" s="235">
        <f>EEFFun!AB288</f>
        <v>0</v>
      </c>
      <c r="Q137" s="235">
        <f>EEFFun!AC288</f>
        <v>0</v>
      </c>
      <c r="R137" s="235">
        <f>EEFFun!AD288</f>
        <v>0</v>
      </c>
      <c r="S137" s="235">
        <f>EEFFun!AE288</f>
        <v>0</v>
      </c>
      <c r="T137" s="235">
        <f>EEFFun!AF288</f>
        <v>0</v>
      </c>
      <c r="U137" s="235">
        <f>EEFFun!AG288</f>
        <v>0</v>
      </c>
      <c r="V137" s="235">
        <f>EEFFun!AH288</f>
        <v>0</v>
      </c>
      <c r="W137" s="235">
        <f>EEFFun!AI288</f>
        <v>0</v>
      </c>
      <c r="X137" s="235">
        <f>EEFFun!AJ288</f>
        <v>0</v>
      </c>
      <c r="Y137" s="235">
        <f>EEFFun!AK288</f>
        <v>0</v>
      </c>
      <c r="Z137" s="235">
        <f>EEFFun!AL288</f>
        <v>0</v>
      </c>
      <c r="AA137" s="235">
        <f>EEFFun!AM288</f>
        <v>0</v>
      </c>
      <c r="AB137" s="235">
        <f>EEFFun!AN288</f>
        <v>0</v>
      </c>
      <c r="AC137" s="235">
        <f>EEFFun!AO288</f>
        <v>0</v>
      </c>
      <c r="AD137" s="235">
        <f>EEFFun!AP288</f>
        <v>0</v>
      </c>
      <c r="AE137" s="235">
        <f>EEFFun!AQ288</f>
        <v>0</v>
      </c>
      <c r="AF137" s="235">
        <f>EEFFun!AR288</f>
        <v>0</v>
      </c>
      <c r="AG137" s="235">
        <f>EEFFun!AS288</f>
        <v>0</v>
      </c>
      <c r="AH137" s="235">
        <f>EEFFun!AT288</f>
        <v>0</v>
      </c>
      <c r="AI137" s="235">
        <f>EEFFun!AU288</f>
        <v>0</v>
      </c>
      <c r="AJ137" s="235">
        <f>EEFFun!AV288</f>
        <v>0</v>
      </c>
      <c r="AK137" s="235">
        <f>EEFFun!AW288</f>
        <v>0</v>
      </c>
      <c r="AL137" s="235">
        <f>EEFFun!AX288</f>
        <v>0</v>
      </c>
      <c r="AM137" s="236">
        <f t="shared" ref="AM137:AX138" si="231">Q137</f>
        <v>0</v>
      </c>
      <c r="AN137" s="236">
        <f t="shared" si="231"/>
        <v>0</v>
      </c>
      <c r="AO137" s="236">
        <f t="shared" si="231"/>
        <v>0</v>
      </c>
      <c r="AP137" s="236">
        <f t="shared" si="231"/>
        <v>0</v>
      </c>
      <c r="AQ137" s="236">
        <f t="shared" si="231"/>
        <v>0</v>
      </c>
      <c r="AR137" s="236">
        <f t="shared" si="231"/>
        <v>0</v>
      </c>
      <c r="AS137" s="236">
        <f t="shared" si="231"/>
        <v>0</v>
      </c>
      <c r="AT137" s="236">
        <f t="shared" si="231"/>
        <v>0</v>
      </c>
      <c r="AU137" s="236">
        <f t="shared" si="231"/>
        <v>0</v>
      </c>
      <c r="AV137" s="236">
        <f t="shared" si="231"/>
        <v>0</v>
      </c>
      <c r="AW137" s="236">
        <f t="shared" si="231"/>
        <v>0</v>
      </c>
      <c r="AX137" s="236">
        <f t="shared" si="231"/>
        <v>0</v>
      </c>
      <c r="AY137" s="236">
        <f t="shared" si="216"/>
        <v>0</v>
      </c>
      <c r="AZ137" s="236">
        <f t="shared" si="158"/>
        <v>0</v>
      </c>
      <c r="BA137" s="232">
        <f t="shared" si="159"/>
        <v>0</v>
      </c>
      <c r="BB137" s="232">
        <f t="shared" si="160"/>
        <v>0</v>
      </c>
      <c r="BC137" s="228">
        <f t="shared" si="217"/>
        <v>0</v>
      </c>
    </row>
    <row r="138" spans="1:55" outlineLevel="2" collapsed="1" x14ac:dyDescent="0.25">
      <c r="A138" s="222">
        <v>6</v>
      </c>
      <c r="B138" s="233">
        <f>EEFFun!B294</f>
        <v>190245</v>
      </c>
      <c r="C138" s="233" t="str">
        <f>EEFFun!C294</f>
        <v>Cuentas por cobrar</v>
      </c>
      <c r="D138" s="235">
        <f>EEFFun!P294</f>
        <v>0</v>
      </c>
      <c r="E138" s="235">
        <f>EEFFun!Q294</f>
        <v>0</v>
      </c>
      <c r="F138" s="235">
        <f>EEFFun!R294</f>
        <v>0</v>
      </c>
      <c r="G138" s="235">
        <f>EEFFun!S294</f>
        <v>0</v>
      </c>
      <c r="H138" s="235">
        <f>EEFFun!T294</f>
        <v>0</v>
      </c>
      <c r="I138" s="235">
        <f>EEFFun!U294</f>
        <v>0</v>
      </c>
      <c r="J138" s="235">
        <f>EEFFun!V294</f>
        <v>0</v>
      </c>
      <c r="K138" s="235">
        <f>EEFFun!W294</f>
        <v>0</v>
      </c>
      <c r="L138" s="235">
        <f>EEFFun!X294</f>
        <v>0</v>
      </c>
      <c r="M138" s="235">
        <f>EEFFun!Y294</f>
        <v>0</v>
      </c>
      <c r="N138" s="235">
        <f>EEFFun!Z294</f>
        <v>0</v>
      </c>
      <c r="O138" s="235">
        <f>EEFFun!AA294</f>
        <v>0</v>
      </c>
      <c r="P138" s="235">
        <f>EEFFun!AB294</f>
        <v>0</v>
      </c>
      <c r="Q138" s="235">
        <f>EEFFun!AC294</f>
        <v>0</v>
      </c>
      <c r="R138" s="235">
        <f>EEFFun!AD294</f>
        <v>0</v>
      </c>
      <c r="S138" s="235">
        <f>EEFFun!AE294</f>
        <v>0</v>
      </c>
      <c r="T138" s="235">
        <f>EEFFun!AF294</f>
        <v>0</v>
      </c>
      <c r="U138" s="235">
        <f>EEFFun!AG294</f>
        <v>0</v>
      </c>
      <c r="V138" s="235">
        <f>EEFFun!AH294</f>
        <v>0</v>
      </c>
      <c r="W138" s="235">
        <f>EEFFun!AI294</f>
        <v>0</v>
      </c>
      <c r="X138" s="235">
        <f>EEFFun!AJ294</f>
        <v>0</v>
      </c>
      <c r="Y138" s="235">
        <f>EEFFun!AK294</f>
        <v>0</v>
      </c>
      <c r="Z138" s="235">
        <f>EEFFun!AL294</f>
        <v>0</v>
      </c>
      <c r="AA138" s="235">
        <f>EEFFun!AM294</f>
        <v>0</v>
      </c>
      <c r="AB138" s="235">
        <f>EEFFun!AN294</f>
        <v>0</v>
      </c>
      <c r="AC138" s="235">
        <f>EEFFun!AO294</f>
        <v>0</v>
      </c>
      <c r="AD138" s="235">
        <f>EEFFun!AP294</f>
        <v>0</v>
      </c>
      <c r="AE138" s="235">
        <f>EEFFun!AQ294</f>
        <v>0</v>
      </c>
      <c r="AF138" s="235">
        <f>EEFFun!AR294</f>
        <v>0</v>
      </c>
      <c r="AG138" s="235">
        <f>EEFFun!AS294</f>
        <v>0</v>
      </c>
      <c r="AH138" s="235">
        <f>EEFFun!AT294</f>
        <v>0</v>
      </c>
      <c r="AI138" s="235">
        <f>EEFFun!AU294</f>
        <v>0</v>
      </c>
      <c r="AJ138" s="235">
        <f>EEFFun!AV294</f>
        <v>0</v>
      </c>
      <c r="AK138" s="235">
        <f>EEFFun!AW294</f>
        <v>0</v>
      </c>
      <c r="AL138" s="235">
        <f>EEFFun!AX294</f>
        <v>0</v>
      </c>
      <c r="AM138" s="236">
        <f t="shared" si="231"/>
        <v>0</v>
      </c>
      <c r="AN138" s="236">
        <f t="shared" si="231"/>
        <v>0</v>
      </c>
      <c r="AO138" s="236">
        <f t="shared" si="231"/>
        <v>0</v>
      </c>
      <c r="AP138" s="236">
        <f t="shared" si="231"/>
        <v>0</v>
      </c>
      <c r="AQ138" s="236">
        <f t="shared" si="231"/>
        <v>0</v>
      </c>
      <c r="AR138" s="236">
        <f t="shared" si="231"/>
        <v>0</v>
      </c>
      <c r="AS138" s="236">
        <f t="shared" si="231"/>
        <v>0</v>
      </c>
      <c r="AT138" s="236">
        <f t="shared" si="231"/>
        <v>0</v>
      </c>
      <c r="AU138" s="236">
        <f t="shared" si="231"/>
        <v>0</v>
      </c>
      <c r="AV138" s="236">
        <f t="shared" si="231"/>
        <v>0</v>
      </c>
      <c r="AW138" s="236">
        <f t="shared" si="231"/>
        <v>0</v>
      </c>
      <c r="AX138" s="236">
        <f t="shared" si="231"/>
        <v>0</v>
      </c>
      <c r="AY138" s="236">
        <f t="shared" si="216"/>
        <v>0</v>
      </c>
      <c r="AZ138" s="236">
        <f t="shared" si="158"/>
        <v>0</v>
      </c>
      <c r="BA138" s="232">
        <f t="shared" si="159"/>
        <v>0</v>
      </c>
      <c r="BB138" s="232">
        <f t="shared" si="160"/>
        <v>0</v>
      </c>
      <c r="BC138" s="228">
        <f t="shared" si="217"/>
        <v>0</v>
      </c>
    </row>
    <row r="139" spans="1:55" outlineLevel="2" collapsed="1" x14ac:dyDescent="0.25">
      <c r="A139" s="222">
        <v>6</v>
      </c>
      <c r="B139" s="233">
        <f>EEFFun!B295</f>
        <v>190286</v>
      </c>
      <c r="C139" s="233" t="str">
        <f>EEFFun!C295</f>
        <v>FONDO DE LIQUIDEZ</v>
      </c>
      <c r="D139" s="235">
        <f>EEFFun!P295</f>
        <v>916392.76</v>
      </c>
      <c r="E139" s="235">
        <f>EEFFun!Q295</f>
        <v>925496.57</v>
      </c>
      <c r="F139" s="235">
        <f>EEFFun!R295</f>
        <v>929447.86</v>
      </c>
      <c r="G139" s="235">
        <f>EEFFun!S295</f>
        <v>923922.64</v>
      </c>
      <c r="H139" s="235">
        <f>EEFFun!T295</f>
        <v>920295.63</v>
      </c>
      <c r="I139" s="235">
        <f>EEFFun!U295</f>
        <v>913847.57</v>
      </c>
      <c r="J139" s="235">
        <f>EEFFun!V295</f>
        <v>900374.41</v>
      </c>
      <c r="K139" s="235">
        <f>EEFFun!W295</f>
        <v>887372.2</v>
      </c>
      <c r="L139" s="235">
        <f>EEFFun!X295</f>
        <v>880210.85</v>
      </c>
      <c r="M139" s="235">
        <f>EEFFun!Y295</f>
        <v>875072.91</v>
      </c>
      <c r="N139" s="235">
        <f>EEFFun!Z295</f>
        <v>866125.89</v>
      </c>
      <c r="O139" s="235">
        <f>EEFFun!AA295</f>
        <v>876776.11</v>
      </c>
      <c r="P139" s="235">
        <f>EEFFun!AB295</f>
        <v>882841.98</v>
      </c>
      <c r="Q139" s="235">
        <f>EEFFun!AC295</f>
        <v>887784.89</v>
      </c>
      <c r="R139" s="235">
        <f>EEFFun!AD295</f>
        <v>889839.42</v>
      </c>
      <c r="S139" s="235">
        <f>EEFFun!AE295</f>
        <v>884628.31</v>
      </c>
      <c r="T139" s="235">
        <f>EEFFun!AF295</f>
        <v>888545.3</v>
      </c>
      <c r="U139" s="235">
        <f>EEFFun!AG295</f>
        <v>897232.07</v>
      </c>
      <c r="V139" s="235">
        <f>EEFFun!AH295</f>
        <v>924849.46</v>
      </c>
      <c r="W139" s="235">
        <f>EEFFun!AI295</f>
        <v>994146.6</v>
      </c>
      <c r="X139" s="235">
        <f>EEFFun!AJ295</f>
        <v>904374.92</v>
      </c>
      <c r="Y139" s="235">
        <f>EEFFun!AK295</f>
        <v>973859.29</v>
      </c>
      <c r="Z139" s="235">
        <f>EEFFun!AL295</f>
        <v>971193.54</v>
      </c>
      <c r="AA139" s="235">
        <f>EEFFun!AM295</f>
        <v>987526.6</v>
      </c>
      <c r="AB139" s="235">
        <f>EEFFun!AN295</f>
        <v>1004877.22</v>
      </c>
      <c r="AC139" s="235">
        <f>EEFFun!AO295</f>
        <v>1057968.6200000001</v>
      </c>
      <c r="AD139" s="235">
        <f>EEFFun!AP295</f>
        <v>1084680.53</v>
      </c>
      <c r="AE139" s="235">
        <f>EEFFun!AQ295</f>
        <v>1112157.19</v>
      </c>
      <c r="AF139" s="235">
        <f>EEFFun!AR295</f>
        <v>1164161.95</v>
      </c>
      <c r="AG139" s="235">
        <f>EEFFun!AS295</f>
        <v>1190727.79</v>
      </c>
      <c r="AH139" s="235">
        <f>EEFFun!AT295</f>
        <v>1187850.58</v>
      </c>
      <c r="AI139" s="235">
        <f>EEFFun!AU295</f>
        <v>1216847.96</v>
      </c>
      <c r="AJ139" s="235">
        <f>EEFFun!AV295</f>
        <v>1261888.69</v>
      </c>
      <c r="AK139" s="235">
        <f>EEFFun!AW295</f>
        <v>1298966.51</v>
      </c>
      <c r="AL139" s="235">
        <f>EEFFun!AX295</f>
        <v>1322717.78</v>
      </c>
      <c r="AM139" s="236">
        <f>(AC139/AB5)*AC5</f>
        <v>1107966.7689818917</v>
      </c>
      <c r="AN139" s="236">
        <f t="shared" ref="AN139:AX139" si="232">(AD139/AC5)*AD5</f>
        <v>1127090.4851066391</v>
      </c>
      <c r="AO139" s="236">
        <f t="shared" si="232"/>
        <v>1221775.1250151291</v>
      </c>
      <c r="AP139" s="236">
        <f t="shared" si="232"/>
        <v>1116602.5398527798</v>
      </c>
      <c r="AQ139" s="236">
        <f t="shared" si="232"/>
        <v>1236950.9172266179</v>
      </c>
      <c r="AR139" s="236">
        <f t="shared" si="232"/>
        <v>1220193.5005916865</v>
      </c>
      <c r="AS139" s="236">
        <f t="shared" si="232"/>
        <v>1277226.5583388368</v>
      </c>
      <c r="AT139" s="236">
        <f t="shared" si="232"/>
        <v>1301495.3207085475</v>
      </c>
      <c r="AU139" s="236">
        <f t="shared" si="232"/>
        <v>1319557.2947793768</v>
      </c>
      <c r="AV139" s="236">
        <f t="shared" si="232"/>
        <v>1370955.8858736637</v>
      </c>
      <c r="AW139" s="236">
        <f t="shared" si="232"/>
        <v>1180730.4894435464</v>
      </c>
      <c r="AX139" s="236">
        <f t="shared" si="232"/>
        <v>1201751.775063494</v>
      </c>
      <c r="AY139" s="236">
        <f t="shared" si="216"/>
        <v>276902.31506349402</v>
      </c>
      <c r="AZ139" s="236">
        <f t="shared" si="158"/>
        <v>318909.79506349401</v>
      </c>
      <c r="BA139" s="232">
        <f t="shared" si="159"/>
        <v>2.3133078765138405E-2</v>
      </c>
      <c r="BB139" s="232">
        <f t="shared" si="160"/>
        <v>8.9855720148109535E-3</v>
      </c>
      <c r="BC139" s="228">
        <f t="shared" si="217"/>
        <v>307348.72070854751</v>
      </c>
    </row>
    <row r="140" spans="1:55" outlineLevel="2" collapsed="1" x14ac:dyDescent="0.25">
      <c r="A140" s="222">
        <v>4</v>
      </c>
      <c r="B140" s="233">
        <f>EEFFun!B296</f>
        <v>1904</v>
      </c>
      <c r="C140" s="233" t="str">
        <f>EEFFun!C296</f>
        <v>Gastos y pagos anticipados</v>
      </c>
      <c r="D140" s="235">
        <f>EEFFun!P296</f>
        <v>58673.19</v>
      </c>
      <c r="E140" s="235">
        <f>EEFFun!Q296</f>
        <v>56637.66</v>
      </c>
      <c r="F140" s="235">
        <f>EEFFun!R296</f>
        <v>67184.759999999995</v>
      </c>
      <c r="G140" s="235">
        <f>EEFFun!S296</f>
        <v>55245.5</v>
      </c>
      <c r="H140" s="235">
        <f>EEFFun!T296</f>
        <v>54182.55</v>
      </c>
      <c r="I140" s="235">
        <f>EEFFun!U296</f>
        <v>84611.28</v>
      </c>
      <c r="J140" s="235">
        <f>EEFFun!V296</f>
        <v>65669.259999999995</v>
      </c>
      <c r="K140" s="235">
        <f>EEFFun!W296</f>
        <v>49673.2</v>
      </c>
      <c r="L140" s="235">
        <f>EEFFun!X296</f>
        <v>44170.47</v>
      </c>
      <c r="M140" s="235">
        <f>EEFFun!Y296</f>
        <v>41815.71</v>
      </c>
      <c r="N140" s="235">
        <f>EEFFun!Z296</f>
        <v>39619.53</v>
      </c>
      <c r="O140" s="235">
        <f>EEFFun!AA296</f>
        <v>36267.129999999997</v>
      </c>
      <c r="P140" s="235">
        <f>EEFFun!AB296</f>
        <v>14109.49</v>
      </c>
      <c r="Q140" s="235">
        <f>EEFFun!AC296</f>
        <v>13781.33</v>
      </c>
      <c r="R140" s="235">
        <f>EEFFun!AD296</f>
        <v>13210.01</v>
      </c>
      <c r="S140" s="235">
        <f>EEFFun!AE296</f>
        <v>12765.18</v>
      </c>
      <c r="T140" s="235">
        <f>EEFFun!AF296</f>
        <v>12319.87</v>
      </c>
      <c r="U140" s="235">
        <f>EEFFun!AG296</f>
        <v>11887.28</v>
      </c>
      <c r="V140" s="235">
        <f>EEFFun!AH296</f>
        <v>11463.94</v>
      </c>
      <c r="W140" s="235">
        <f>EEFFun!AI296</f>
        <v>11075.49</v>
      </c>
      <c r="X140" s="235">
        <f>EEFFun!AJ296</f>
        <v>10643</v>
      </c>
      <c r="Y140" s="235">
        <f>EEFFun!AK296</f>
        <v>10227.1</v>
      </c>
      <c r="Z140" s="235">
        <f>EEFFun!AL296</f>
        <v>9753.1</v>
      </c>
      <c r="AA140" s="235">
        <f>EEFFun!AM296</f>
        <v>1826575.61</v>
      </c>
      <c r="AB140" s="235">
        <f>EEFFun!AN296</f>
        <v>1841819.98</v>
      </c>
      <c r="AC140" s="235">
        <f>EEFFun!AO296</f>
        <v>1795857.51</v>
      </c>
      <c r="AD140" s="235">
        <f>EEFFun!AP296</f>
        <v>1757361.87</v>
      </c>
      <c r="AE140" s="235">
        <f>EEFFun!AQ296</f>
        <v>1709085.3</v>
      </c>
      <c r="AF140" s="235">
        <f>EEFFun!AR296</f>
        <v>1670394.98</v>
      </c>
      <c r="AG140" s="235">
        <f>EEFFun!AS296</f>
        <v>1659965.91</v>
      </c>
      <c r="AH140" s="235">
        <f>EEFFun!AT296</f>
        <v>1612230.43</v>
      </c>
      <c r="AI140" s="235">
        <f>EEFFun!AU296</f>
        <v>1572355.74</v>
      </c>
      <c r="AJ140" s="235">
        <f>EEFFun!AV296</f>
        <v>1605493.68</v>
      </c>
      <c r="AK140" s="235">
        <f>EEFFun!AW296</f>
        <v>1616341.17</v>
      </c>
      <c r="AL140" s="235">
        <f>EEFFun!AX296</f>
        <v>1628649.98</v>
      </c>
      <c r="AM140" s="236">
        <f>AC140</f>
        <v>1795857.51</v>
      </c>
      <c r="AN140" s="236">
        <f t="shared" ref="AN140:AX140" si="233">AD140</f>
        <v>1757361.87</v>
      </c>
      <c r="AO140" s="236">
        <f t="shared" si="233"/>
        <v>1709085.3</v>
      </c>
      <c r="AP140" s="236">
        <f t="shared" si="233"/>
        <v>1670394.98</v>
      </c>
      <c r="AQ140" s="236">
        <f t="shared" si="233"/>
        <v>1659965.91</v>
      </c>
      <c r="AR140" s="236">
        <f t="shared" si="233"/>
        <v>1612230.43</v>
      </c>
      <c r="AS140" s="236">
        <f t="shared" si="233"/>
        <v>1572355.74</v>
      </c>
      <c r="AT140" s="236">
        <f t="shared" si="233"/>
        <v>1605493.68</v>
      </c>
      <c r="AU140" s="236">
        <f t="shared" si="233"/>
        <v>1616341.17</v>
      </c>
      <c r="AV140" s="236">
        <f t="shared" si="233"/>
        <v>1628649.98</v>
      </c>
      <c r="AW140" s="236">
        <f t="shared" si="233"/>
        <v>1795857.51</v>
      </c>
      <c r="AX140" s="236">
        <f t="shared" si="233"/>
        <v>1757361.87</v>
      </c>
      <c r="AY140" s="236">
        <f t="shared" si="216"/>
        <v>1745897.9300000002</v>
      </c>
      <c r="AZ140" s="236">
        <f t="shared" si="158"/>
        <v>1743252.3800000001</v>
      </c>
      <c r="BA140" s="232">
        <f t="shared" si="159"/>
        <v>3.6971049281767581E-4</v>
      </c>
      <c r="BB140" s="232">
        <f t="shared" si="160"/>
        <v>1.3139902903936665E-2</v>
      </c>
      <c r="BC140" s="228">
        <f t="shared" si="217"/>
        <v>1594418.19</v>
      </c>
    </row>
    <row r="141" spans="1:55" outlineLevel="2" collapsed="1" x14ac:dyDescent="0.25">
      <c r="A141" s="222">
        <v>4</v>
      </c>
      <c r="B141" s="233">
        <f>EEFFun!B302</f>
        <v>1905</v>
      </c>
      <c r="C141" s="233" t="str">
        <f>EEFFun!C302</f>
        <v>Gastos diferidos</v>
      </c>
      <c r="D141" s="235">
        <f>EEFFun!P302</f>
        <v>1652784.82</v>
      </c>
      <c r="E141" s="235">
        <f>EEFFun!Q302</f>
        <v>1662539.52</v>
      </c>
      <c r="F141" s="235">
        <f>EEFFun!R302</f>
        <v>1644006.77</v>
      </c>
      <c r="G141" s="235">
        <f>EEFFun!S302</f>
        <v>1633783.6</v>
      </c>
      <c r="H141" s="235">
        <f>EEFFun!T302</f>
        <v>1612431.89</v>
      </c>
      <c r="I141" s="235">
        <f>EEFFun!U302</f>
        <v>1623055.62</v>
      </c>
      <c r="J141" s="235">
        <f>EEFFun!V302</f>
        <v>1601309.31</v>
      </c>
      <c r="K141" s="235">
        <f>EEFFun!W302</f>
        <v>1574472.35</v>
      </c>
      <c r="L141" s="235">
        <f>EEFFun!X302</f>
        <v>1546896.06</v>
      </c>
      <c r="M141" s="235">
        <f>EEFFun!Y302</f>
        <v>1516907.8</v>
      </c>
      <c r="N141" s="235">
        <f>EEFFun!Z302</f>
        <v>1507463.75</v>
      </c>
      <c r="O141" s="235">
        <f>EEFFun!AA302</f>
        <v>1500085.15</v>
      </c>
      <c r="P141" s="235">
        <f>EEFFun!AB302</f>
        <v>1543123.53</v>
      </c>
      <c r="Q141" s="235">
        <f>EEFFun!AC302</f>
        <v>1565914.29</v>
      </c>
      <c r="R141" s="235">
        <f>EEFFun!AD302</f>
        <v>1554872.84</v>
      </c>
      <c r="S141" s="235">
        <f>EEFFun!AE302</f>
        <v>1543398.91</v>
      </c>
      <c r="T141" s="235">
        <f>EEFFun!AF302</f>
        <v>1528734.18</v>
      </c>
      <c r="U141" s="235">
        <f>EEFFun!AG302</f>
        <v>1525735.21</v>
      </c>
      <c r="V141" s="235">
        <f>EEFFun!AH302</f>
        <v>1507184.5</v>
      </c>
      <c r="W141" s="235">
        <f>EEFFun!AI302</f>
        <v>1501344.44</v>
      </c>
      <c r="X141" s="235">
        <f>EEFFun!AJ302</f>
        <v>1527788.6</v>
      </c>
      <c r="Y141" s="235">
        <f>EEFFun!AK302</f>
        <v>1563194.97</v>
      </c>
      <c r="Z141" s="235">
        <f>EEFFun!AL302</f>
        <v>1564030.09</v>
      </c>
      <c r="AA141" s="235">
        <f>EEFFun!AM302</f>
        <v>1554826.53</v>
      </c>
      <c r="AB141" s="235">
        <f>EEFFun!AN302</f>
        <v>1561419.11</v>
      </c>
      <c r="AC141" s="235">
        <f>EEFFun!AO302</f>
        <v>1557893.32</v>
      </c>
      <c r="AD141" s="235">
        <f>EEFFun!AP302</f>
        <v>1531045.21</v>
      </c>
      <c r="AE141" s="235">
        <f>EEFFun!AQ302</f>
        <v>1535374.78</v>
      </c>
      <c r="AF141" s="235">
        <f>EEFFun!AR302</f>
        <v>1500440.93</v>
      </c>
      <c r="AG141" s="235">
        <f>EEFFun!AS302</f>
        <v>1537704.37</v>
      </c>
      <c r="AH141" s="235">
        <f>EEFFun!AT302</f>
        <v>1522473.99</v>
      </c>
      <c r="AI141" s="235">
        <f>EEFFun!AU302</f>
        <v>1688758.68</v>
      </c>
      <c r="AJ141" s="235">
        <f>EEFFun!AV302</f>
        <v>1697220.75</v>
      </c>
      <c r="AK141" s="235">
        <f>EEFFun!AW302</f>
        <v>1654405.41</v>
      </c>
      <c r="AL141" s="235">
        <f>EEFFun!AX302</f>
        <v>1571034.72</v>
      </c>
      <c r="AM141" s="236">
        <f t="shared" ref="AM141:AS141" si="234">SUM(AM142:AM145)</f>
        <v>1542284.5029999996</v>
      </c>
      <c r="AN141" s="236">
        <f t="shared" si="234"/>
        <v>1513985.9721219996</v>
      </c>
      <c r="AO141" s="236">
        <f t="shared" si="234"/>
        <v>1485687.4864126118</v>
      </c>
      <c r="AP141" s="236">
        <f t="shared" si="234"/>
        <v>1457389.045876353</v>
      </c>
      <c r="AQ141" s="236">
        <f t="shared" si="234"/>
        <v>1429090.6505177403</v>
      </c>
      <c r="AR141" s="236">
        <f t="shared" si="234"/>
        <v>1400792.3003412923</v>
      </c>
      <c r="AS141" s="236">
        <f t="shared" si="234"/>
        <v>1372493.995351526</v>
      </c>
      <c r="AT141" s="236">
        <f t="shared" ref="AT141" si="235">SUM(AT142:AT145)</f>
        <v>1344195.735552961</v>
      </c>
      <c r="AU141" s="236">
        <f t="shared" ref="AU141" si="236">SUM(AU142:AU145)</f>
        <v>1315897.5209501162</v>
      </c>
      <c r="AV141" s="236">
        <f t="shared" ref="AV141" si="237">SUM(AV142:AV145)</f>
        <v>1287599.3515475113</v>
      </c>
      <c r="AW141" s="236">
        <f t="shared" ref="AW141" si="238">SUM(AW142:AW145)</f>
        <v>1259301.2273496659</v>
      </c>
      <c r="AX141" s="236">
        <f>SUM(AX142:AX145)</f>
        <v>1231003.1483611008</v>
      </c>
      <c r="AY141" s="236">
        <f t="shared" si="216"/>
        <v>-276181.35163889918</v>
      </c>
      <c r="AZ141" s="236">
        <f t="shared" si="158"/>
        <v>-312120.38163889921</v>
      </c>
      <c r="BA141" s="232">
        <f t="shared" si="159"/>
        <v>4.0434414054289103E-2</v>
      </c>
      <c r="BB141" s="232">
        <f t="shared" si="160"/>
        <v>9.2042863339837945E-3</v>
      </c>
      <c r="BC141" s="228">
        <f t="shared" si="217"/>
        <v>-157148.70444703894</v>
      </c>
    </row>
    <row r="142" spans="1:55" outlineLevel="2" collapsed="1" x14ac:dyDescent="0.25">
      <c r="A142" s="222">
        <v>6</v>
      </c>
      <c r="B142" s="233">
        <f>EEFFun!B303</f>
        <v>190520</v>
      </c>
      <c r="C142" s="233" t="str">
        <f>EEFFun!C303</f>
        <v>Programas de computación</v>
      </c>
      <c r="D142" s="235">
        <f>EEFFun!P303</f>
        <v>4178924.72</v>
      </c>
      <c r="E142" s="235">
        <f>EEFFun!Q303</f>
        <v>4184720.8</v>
      </c>
      <c r="F142" s="235">
        <f>EEFFun!R303</f>
        <v>4185716.88</v>
      </c>
      <c r="G142" s="235">
        <f>EEFFun!S303</f>
        <v>4185716.88</v>
      </c>
      <c r="H142" s="235">
        <f>EEFFun!T303</f>
        <v>4185716.88</v>
      </c>
      <c r="I142" s="235">
        <f>EEFFun!U303</f>
        <v>4190256.39</v>
      </c>
      <c r="J142" s="235">
        <f>EEFFun!V303</f>
        <v>4192850.99</v>
      </c>
      <c r="K142" s="235">
        <f>EEFFun!W303</f>
        <v>4194364.16</v>
      </c>
      <c r="L142" s="235">
        <f>EEFFun!X303</f>
        <v>4200377.33</v>
      </c>
      <c r="M142" s="235">
        <f>EEFFun!Y303</f>
        <v>4201890.5</v>
      </c>
      <c r="N142" s="235">
        <f>EEFFun!Z303</f>
        <v>4205803.67</v>
      </c>
      <c r="O142" s="235">
        <f>EEFFun!AA303</f>
        <v>4227316.84</v>
      </c>
      <c r="P142" s="235">
        <f>EEFFun!AB303</f>
        <v>4195095.55</v>
      </c>
      <c r="Q142" s="235">
        <f>EEFFun!AC303</f>
        <v>4222058.72</v>
      </c>
      <c r="R142" s="235">
        <f>EEFFun!AD303</f>
        <v>4218771.8899999997</v>
      </c>
      <c r="S142" s="235">
        <f>EEFFun!AE303</f>
        <v>4218771.8899999997</v>
      </c>
      <c r="T142" s="235">
        <f>EEFFun!AF303</f>
        <v>4238771.8899999997</v>
      </c>
      <c r="U142" s="235">
        <f>EEFFun!AG303</f>
        <v>4241739.7699999996</v>
      </c>
      <c r="V142" s="235">
        <f>EEFFun!AH303</f>
        <v>4245352.53</v>
      </c>
      <c r="W142" s="235">
        <f>EEFFun!AI303</f>
        <v>4266833.91</v>
      </c>
      <c r="X142" s="235">
        <f>EEFFun!AJ303</f>
        <v>4269515.29</v>
      </c>
      <c r="Y142" s="235">
        <f>EEFFun!AK303</f>
        <v>4271224.75</v>
      </c>
      <c r="Z142" s="235">
        <f>EEFFun!AL303</f>
        <v>4294013.82</v>
      </c>
      <c r="AA142" s="235">
        <f>EEFFun!AM303</f>
        <v>4302406.71</v>
      </c>
      <c r="AB142" s="235">
        <f>EEFFun!AN303</f>
        <v>4349528.55</v>
      </c>
      <c r="AC142" s="235">
        <f>EEFFun!AO303</f>
        <v>4357862.43</v>
      </c>
      <c r="AD142" s="235">
        <f>EEFFun!AP303</f>
        <v>4362212.01</v>
      </c>
      <c r="AE142" s="235">
        <f>EEFFun!AQ303</f>
        <v>4404047.01</v>
      </c>
      <c r="AF142" s="235">
        <f>EEFFun!AR303</f>
        <v>4406122.3899999997</v>
      </c>
      <c r="AG142" s="235">
        <f>EEFFun!AS303</f>
        <v>4421120.03</v>
      </c>
      <c r="AH142" s="235">
        <f>EEFFun!AT303</f>
        <v>4445195.46</v>
      </c>
      <c r="AI142" s="235">
        <f>EEFFun!AU303</f>
        <v>4464788.13</v>
      </c>
      <c r="AJ142" s="235">
        <f>EEFFun!AV303</f>
        <v>4472609.16</v>
      </c>
      <c r="AK142" s="235">
        <f>EEFFun!AW303</f>
        <v>4502060.1900000004</v>
      </c>
      <c r="AL142" s="235">
        <f>EEFFun!AX303</f>
        <v>4516861.22</v>
      </c>
      <c r="AM142" s="236">
        <f>+AL142</f>
        <v>4516861.22</v>
      </c>
      <c r="AN142" s="236">
        <f>+AM142*1.0001</f>
        <v>4517312.906122</v>
      </c>
      <c r="AO142" s="236">
        <f t="shared" ref="AO142:AX142" si="239">+AN142*1.0001</f>
        <v>4517764.6374126123</v>
      </c>
      <c r="AP142" s="236">
        <f t="shared" si="239"/>
        <v>4518216.4138763538</v>
      </c>
      <c r="AQ142" s="236">
        <f t="shared" si="239"/>
        <v>4518668.2355177412</v>
      </c>
      <c r="AR142" s="236">
        <f t="shared" si="239"/>
        <v>4519120.1023412934</v>
      </c>
      <c r="AS142" s="236">
        <f t="shared" si="239"/>
        <v>4519572.0143515272</v>
      </c>
      <c r="AT142" s="236">
        <f t="shared" si="239"/>
        <v>4520023.9715529624</v>
      </c>
      <c r="AU142" s="236">
        <f t="shared" si="239"/>
        <v>4520475.9739501178</v>
      </c>
      <c r="AV142" s="236">
        <f t="shared" si="239"/>
        <v>4520928.0215475131</v>
      </c>
      <c r="AW142" s="236">
        <f t="shared" si="239"/>
        <v>4521380.1143496679</v>
      </c>
      <c r="AX142" s="236">
        <f t="shared" si="239"/>
        <v>4521832.252361103</v>
      </c>
      <c r="AY142" s="236">
        <f t="shared" si="216"/>
        <v>276479.7223611027</v>
      </c>
      <c r="AZ142" s="236">
        <f t="shared" si="158"/>
        <v>326736.70236110315</v>
      </c>
      <c r="BA142" s="232">
        <f t="shared" si="159"/>
        <v>0.10992394786826021</v>
      </c>
      <c r="BB142" s="232">
        <f t="shared" si="160"/>
        <v>3.3810018163142531E-2</v>
      </c>
      <c r="BC142" s="228">
        <f t="shared" si="217"/>
        <v>253190.06155296229</v>
      </c>
    </row>
    <row r="143" spans="1:55" outlineLevel="2" collapsed="1" x14ac:dyDescent="0.25">
      <c r="A143" s="222">
        <v>6</v>
      </c>
      <c r="B143" s="233">
        <f>EEFFun!B304</f>
        <v>190525</v>
      </c>
      <c r="C143" s="233" t="str">
        <f>EEFFun!C304</f>
        <v>Gastos de adecuación</v>
      </c>
      <c r="D143" s="235">
        <f>EEFFun!P304</f>
        <v>999768.92</v>
      </c>
      <c r="E143" s="235">
        <f>EEFFun!Q304</f>
        <v>999768.92</v>
      </c>
      <c r="F143" s="235">
        <f>EEFFun!R304</f>
        <v>999768.92</v>
      </c>
      <c r="G143" s="235">
        <f>EEFFun!S304</f>
        <v>999768.92</v>
      </c>
      <c r="H143" s="235">
        <f>EEFFun!T304</f>
        <v>999768.92</v>
      </c>
      <c r="I143" s="235">
        <f>EEFFun!U304</f>
        <v>999768.92</v>
      </c>
      <c r="J143" s="235">
        <f>EEFFun!V304</f>
        <v>999768.92</v>
      </c>
      <c r="K143" s="235">
        <f>EEFFun!W304</f>
        <v>999768.92</v>
      </c>
      <c r="L143" s="235">
        <f>EEFFun!X304</f>
        <v>999768.92</v>
      </c>
      <c r="M143" s="235">
        <f>EEFFun!Y304</f>
        <v>999768.92</v>
      </c>
      <c r="N143" s="235">
        <f>EEFFun!Z304</f>
        <v>999768.92</v>
      </c>
      <c r="O143" s="235">
        <f>EEFFun!AA304</f>
        <v>999768.92</v>
      </c>
      <c r="P143" s="235">
        <f>EEFFun!AB304</f>
        <v>999768.92</v>
      </c>
      <c r="Q143" s="235">
        <f>EEFFun!AC304</f>
        <v>999768.92</v>
      </c>
      <c r="R143" s="235">
        <f>EEFFun!AD304</f>
        <v>999768.92</v>
      </c>
      <c r="S143" s="235">
        <f>EEFFun!AE304</f>
        <v>999768.92</v>
      </c>
      <c r="T143" s="235">
        <f>EEFFun!AF304</f>
        <v>999768.92</v>
      </c>
      <c r="U143" s="235">
        <f>EEFFun!AG304</f>
        <v>999768.92</v>
      </c>
      <c r="V143" s="235">
        <f>EEFFun!AH304</f>
        <v>999768.92</v>
      </c>
      <c r="W143" s="235">
        <f>EEFFun!AI304</f>
        <v>999768.92</v>
      </c>
      <c r="X143" s="235">
        <f>EEFFun!AJ304</f>
        <v>1020649.35</v>
      </c>
      <c r="Y143" s="235">
        <f>EEFFun!AK304</f>
        <v>1030410.23</v>
      </c>
      <c r="Z143" s="235">
        <f>EEFFun!AL304</f>
        <v>1044216.33</v>
      </c>
      <c r="AA143" s="235">
        <f>EEFFun!AM304</f>
        <v>1061100.33</v>
      </c>
      <c r="AB143" s="235">
        <f>EEFFun!AN304</f>
        <v>1061100.33</v>
      </c>
      <c r="AC143" s="235">
        <f>EEFFun!AO304</f>
        <v>1080604.19</v>
      </c>
      <c r="AD143" s="235">
        <f>EEFFun!AP304</f>
        <v>1080604.19</v>
      </c>
      <c r="AE143" s="235">
        <f>EEFFun!AQ304</f>
        <v>1080604.19</v>
      </c>
      <c r="AF143" s="235">
        <f>EEFFun!AR304</f>
        <v>1080604.19</v>
      </c>
      <c r="AG143" s="235">
        <f>EEFFun!AS304</f>
        <v>1087386.8</v>
      </c>
      <c r="AH143" s="235">
        <f>EEFFun!AT304</f>
        <v>1087386.8</v>
      </c>
      <c r="AI143" s="235">
        <f>EEFFun!AU304</f>
        <v>1088186.83</v>
      </c>
      <c r="AJ143" s="235">
        <f>EEFFun!AV304</f>
        <v>1088186.83</v>
      </c>
      <c r="AK143" s="235">
        <f>EEFFun!AW304</f>
        <v>1088186.83</v>
      </c>
      <c r="AL143" s="235">
        <f>EEFFun!AX304</f>
        <v>1088186.83</v>
      </c>
      <c r="AM143" s="236">
        <f>+AL143</f>
        <v>1088186.83</v>
      </c>
      <c r="AN143" s="236">
        <f t="shared" ref="AN143:AX143" si="240">+AM143</f>
        <v>1088186.83</v>
      </c>
      <c r="AO143" s="236">
        <f t="shared" si="240"/>
        <v>1088186.83</v>
      </c>
      <c r="AP143" s="236">
        <f t="shared" si="240"/>
        <v>1088186.83</v>
      </c>
      <c r="AQ143" s="236">
        <f t="shared" si="240"/>
        <v>1088186.83</v>
      </c>
      <c r="AR143" s="236">
        <f t="shared" si="240"/>
        <v>1088186.83</v>
      </c>
      <c r="AS143" s="236">
        <f t="shared" si="240"/>
        <v>1088186.83</v>
      </c>
      <c r="AT143" s="236">
        <f t="shared" si="240"/>
        <v>1088186.83</v>
      </c>
      <c r="AU143" s="236">
        <f t="shared" si="240"/>
        <v>1088186.83</v>
      </c>
      <c r="AV143" s="236">
        <f t="shared" si="240"/>
        <v>1088186.83</v>
      </c>
      <c r="AW143" s="236">
        <f t="shared" si="240"/>
        <v>1088186.83</v>
      </c>
      <c r="AX143" s="236">
        <f t="shared" si="240"/>
        <v>1088186.83</v>
      </c>
      <c r="AY143" s="236">
        <f t="shared" si="216"/>
        <v>88417.910000000033</v>
      </c>
      <c r="AZ143" s="236">
        <f t="shared" si="158"/>
        <v>88417.910000000033</v>
      </c>
      <c r="BA143" s="232">
        <f t="shared" si="159"/>
        <v>2.6196911448748007E-2</v>
      </c>
      <c r="BB143" s="232">
        <f t="shared" si="160"/>
        <v>8.1364399283015247E-3</v>
      </c>
      <c r="BC143" s="228">
        <f t="shared" si="217"/>
        <v>88417.910000000033</v>
      </c>
    </row>
    <row r="144" spans="1:55" outlineLevel="2" collapsed="1" x14ac:dyDescent="0.25">
      <c r="A144" s="222">
        <v>6</v>
      </c>
      <c r="B144" s="233">
        <f>EEFFun!B305</f>
        <v>190590</v>
      </c>
      <c r="C144" s="233" t="str">
        <f>EEFFun!C305</f>
        <v>Otros</v>
      </c>
      <c r="D144" s="235">
        <f>EEFFun!P305</f>
        <v>571508.98</v>
      </c>
      <c r="E144" s="235">
        <f>EEFFun!Q305</f>
        <v>593940.13</v>
      </c>
      <c r="F144" s="235">
        <f>EEFFun!R305</f>
        <v>593245.56999999995</v>
      </c>
      <c r="G144" s="235">
        <f>EEFFun!S305</f>
        <v>601551.01</v>
      </c>
      <c r="H144" s="235">
        <f>EEFFun!T305</f>
        <v>605551.01</v>
      </c>
      <c r="I144" s="235">
        <f>EEFFun!U305</f>
        <v>645255.99</v>
      </c>
      <c r="J144" s="235">
        <f>EEFFun!V305</f>
        <v>648561.42000000004</v>
      </c>
      <c r="K144" s="235">
        <f>EEFFun!W305</f>
        <v>654053.97</v>
      </c>
      <c r="L144" s="235">
        <f>EEFFun!X305</f>
        <v>653369.19999999995</v>
      </c>
      <c r="M144" s="235">
        <f>EEFFun!Y305</f>
        <v>652684.43000000005</v>
      </c>
      <c r="N144" s="235">
        <f>EEFFun!Z305</f>
        <v>671790.97</v>
      </c>
      <c r="O144" s="235">
        <f>EEFFun!AA305</f>
        <v>671790.97</v>
      </c>
      <c r="P144" s="235">
        <f>EEFFun!AB305</f>
        <v>502525.65</v>
      </c>
      <c r="Q144" s="235">
        <f>EEFFun!AC305</f>
        <v>524822.63</v>
      </c>
      <c r="R144" s="235">
        <f>EEFFun!AD305</f>
        <v>435273.47</v>
      </c>
      <c r="S144" s="235">
        <f>EEFFun!AE305</f>
        <v>456779.86</v>
      </c>
      <c r="T144" s="235">
        <f>EEFFun!AF305</f>
        <v>456136.25</v>
      </c>
      <c r="U144" s="235">
        <f>EEFFun!AG305</f>
        <v>491885.36</v>
      </c>
      <c r="V144" s="235">
        <f>EEFFun!AH305</f>
        <v>514452.11</v>
      </c>
      <c r="W144" s="235">
        <f>EEFFun!AI305</f>
        <v>516617.74</v>
      </c>
      <c r="X144" s="235">
        <f>EEFFun!AJ305</f>
        <v>558945.89</v>
      </c>
      <c r="Y144" s="235">
        <f>EEFFun!AK305</f>
        <v>627817.6</v>
      </c>
      <c r="Z144" s="235">
        <f>EEFFun!AL305</f>
        <v>642752.01</v>
      </c>
      <c r="AA144" s="235">
        <f>EEFFun!AM305</f>
        <v>645094.44999999995</v>
      </c>
      <c r="AB144" s="235">
        <f>EEFFun!AN305</f>
        <v>651578.18000000005</v>
      </c>
      <c r="AC144" s="235">
        <f>EEFFun!AO305</f>
        <v>660715.39</v>
      </c>
      <c r="AD144" s="235">
        <f>EEFFun!AP305</f>
        <v>666569.32999999996</v>
      </c>
      <c r="AE144" s="235">
        <f>EEFFun!AQ305</f>
        <v>665802.69999999995</v>
      </c>
      <c r="AF144" s="235">
        <f>EEFFun!AR305</f>
        <v>664999.25</v>
      </c>
      <c r="AG144" s="235">
        <f>EEFFun!AS305</f>
        <v>721439.32</v>
      </c>
      <c r="AH144" s="235">
        <f>EEFFun!AT305</f>
        <v>725420.95</v>
      </c>
      <c r="AI144" s="235">
        <f>EEFFun!AU305</f>
        <v>915043.61</v>
      </c>
      <c r="AJ144" s="235">
        <f>EEFFun!AV305</f>
        <v>1020923.48</v>
      </c>
      <c r="AK144" s="235">
        <f>EEFFun!AW305</f>
        <v>1060185.24</v>
      </c>
      <c r="AL144" s="235">
        <f>EEFFun!AX305</f>
        <v>1075942.26</v>
      </c>
      <c r="AM144" s="236">
        <f>+AL144</f>
        <v>1075942.26</v>
      </c>
      <c r="AN144" s="236">
        <f t="shared" ref="AN144:AX144" si="241">+AM144</f>
        <v>1075942.26</v>
      </c>
      <c r="AO144" s="236">
        <f t="shared" si="241"/>
        <v>1075942.26</v>
      </c>
      <c r="AP144" s="236">
        <f t="shared" si="241"/>
        <v>1075942.26</v>
      </c>
      <c r="AQ144" s="236">
        <f t="shared" si="241"/>
        <v>1075942.26</v>
      </c>
      <c r="AR144" s="236">
        <f t="shared" si="241"/>
        <v>1075942.26</v>
      </c>
      <c r="AS144" s="236">
        <f t="shared" si="241"/>
        <v>1075942.26</v>
      </c>
      <c r="AT144" s="236">
        <f t="shared" si="241"/>
        <v>1075942.26</v>
      </c>
      <c r="AU144" s="236">
        <f t="shared" si="241"/>
        <v>1075942.26</v>
      </c>
      <c r="AV144" s="236">
        <f t="shared" si="241"/>
        <v>1075942.26</v>
      </c>
      <c r="AW144" s="236">
        <f t="shared" si="241"/>
        <v>1075942.26</v>
      </c>
      <c r="AX144" s="236">
        <f t="shared" si="241"/>
        <v>1075942.26</v>
      </c>
      <c r="AY144" s="236">
        <f t="shared" si="216"/>
        <v>561490.15</v>
      </c>
      <c r="AZ144" s="236">
        <f t="shared" si="158"/>
        <v>573416.61</v>
      </c>
      <c r="BA144" s="232">
        <f t="shared" si="159"/>
        <v>1.3167662737279864E-2</v>
      </c>
      <c r="BB144" s="232">
        <f t="shared" si="160"/>
        <v>8.0448865245051539E-3</v>
      </c>
      <c r="BC144" s="228">
        <f t="shared" si="217"/>
        <v>559324.52</v>
      </c>
    </row>
    <row r="145" spans="1:55" outlineLevel="2" collapsed="1" x14ac:dyDescent="0.25">
      <c r="A145" s="222">
        <v>6</v>
      </c>
      <c r="B145" s="233">
        <f>EEFFun!B306</f>
        <v>190599</v>
      </c>
      <c r="C145" s="233" t="str">
        <f>EEFFun!C306</f>
        <v>(Amortización acumulada gastos diferidos)</v>
      </c>
      <c r="D145" s="235">
        <f>EEFFun!P306</f>
        <v>-4097417.8</v>
      </c>
      <c r="E145" s="235">
        <f>EEFFun!Q306</f>
        <v>-4115890.33</v>
      </c>
      <c r="F145" s="235">
        <f>EEFFun!R306</f>
        <v>-4134724.6</v>
      </c>
      <c r="G145" s="235">
        <f>EEFFun!S306</f>
        <v>-4153253.21</v>
      </c>
      <c r="H145" s="235">
        <f>EEFFun!T306</f>
        <v>-4178604.92</v>
      </c>
      <c r="I145" s="235">
        <f>EEFFun!U306</f>
        <v>-4212225.68</v>
      </c>
      <c r="J145" s="235">
        <f>EEFFun!V306</f>
        <v>-4239872.0199999996</v>
      </c>
      <c r="K145" s="235">
        <f>EEFFun!W306</f>
        <v>-4273714.7</v>
      </c>
      <c r="L145" s="235">
        <f>EEFFun!X306</f>
        <v>-4306619.3899999997</v>
      </c>
      <c r="M145" s="235">
        <f>EEFFun!Y306</f>
        <v>-4337436.05</v>
      </c>
      <c r="N145" s="235">
        <f>EEFFun!Z306</f>
        <v>-4369899.8099999996</v>
      </c>
      <c r="O145" s="235">
        <f>EEFFun!AA306</f>
        <v>-4398791.58</v>
      </c>
      <c r="P145" s="235">
        <f>EEFFun!AB306</f>
        <v>-4154266.59</v>
      </c>
      <c r="Q145" s="235">
        <f>EEFFun!AC306</f>
        <v>-4180735.98</v>
      </c>
      <c r="R145" s="235">
        <f>EEFFun!AD306</f>
        <v>-4098941.44</v>
      </c>
      <c r="S145" s="235">
        <f>EEFFun!AE306</f>
        <v>-4131921.76</v>
      </c>
      <c r="T145" s="235">
        <f>EEFFun!AF306</f>
        <v>-4165942.88</v>
      </c>
      <c r="U145" s="235">
        <f>EEFFun!AG306</f>
        <v>-4207658.84</v>
      </c>
      <c r="V145" s="235">
        <f>EEFFun!AH306</f>
        <v>-4252389.0599999996</v>
      </c>
      <c r="W145" s="235">
        <f>EEFFun!AI306</f>
        <v>-4281876.13</v>
      </c>
      <c r="X145" s="235">
        <f>EEFFun!AJ306</f>
        <v>-4321321.93</v>
      </c>
      <c r="Y145" s="235">
        <f>EEFFun!AK306</f>
        <v>-4366257.6100000003</v>
      </c>
      <c r="Z145" s="235">
        <f>EEFFun!AL306</f>
        <v>-4416952.07</v>
      </c>
      <c r="AA145" s="235">
        <f>EEFFun!AM306</f>
        <v>-4453774.96</v>
      </c>
      <c r="AB145" s="235">
        <f>EEFFun!AN306</f>
        <v>-4500787.95</v>
      </c>
      <c r="AC145" s="235">
        <f>EEFFun!AO306</f>
        <v>-4541288.6900000004</v>
      </c>
      <c r="AD145" s="235">
        <f>EEFFun!AP306</f>
        <v>-4578340.32</v>
      </c>
      <c r="AE145" s="235">
        <f>EEFFun!AQ306</f>
        <v>-4615079.12</v>
      </c>
      <c r="AF145" s="235">
        <f>EEFFun!AR306</f>
        <v>-4651284.9000000004</v>
      </c>
      <c r="AG145" s="235">
        <f>EEFFun!AS306</f>
        <v>-4692241.78</v>
      </c>
      <c r="AH145" s="235">
        <f>EEFFun!AT306</f>
        <v>-4735529.22</v>
      </c>
      <c r="AI145" s="235">
        <f>EEFFun!AU306</f>
        <v>-4779259.8899999997</v>
      </c>
      <c r="AJ145" s="235">
        <f>EEFFun!AV306</f>
        <v>-4884498.72</v>
      </c>
      <c r="AK145" s="235">
        <f>EEFFun!AW306</f>
        <v>-4996026.8499999996</v>
      </c>
      <c r="AL145" s="235">
        <f>EEFFun!AX306</f>
        <v>-5109955.59</v>
      </c>
      <c r="AM145" s="235">
        <f>AL145-BRhoriz!AY117</f>
        <v>-5138705.807</v>
      </c>
      <c r="AN145" s="235">
        <f>AM145-BRhoriz!AZ117</f>
        <v>-5167456.0240000002</v>
      </c>
      <c r="AO145" s="235">
        <f>AN145-BRhoriz!BA117</f>
        <v>-5196206.2410000004</v>
      </c>
      <c r="AP145" s="235">
        <f>AO145-BRhoriz!BB117</f>
        <v>-5224956.4580000006</v>
      </c>
      <c r="AQ145" s="235">
        <f>AP145-BRhoriz!BC117</f>
        <v>-5253706.6750000007</v>
      </c>
      <c r="AR145" s="235">
        <f>AQ145-BRhoriz!BD117</f>
        <v>-5282456.8920000009</v>
      </c>
      <c r="AS145" s="235">
        <f>AR145-BRhoriz!BE117</f>
        <v>-5311207.1090000011</v>
      </c>
      <c r="AT145" s="235">
        <f>AS145-BRhoriz!BF117</f>
        <v>-5339957.3260000013</v>
      </c>
      <c r="AU145" s="235">
        <f>AT145-BRhoriz!BG117</f>
        <v>-5368707.5430000015</v>
      </c>
      <c r="AV145" s="235">
        <f>AU145-BRhoriz!BH117</f>
        <v>-5397457.7600000016</v>
      </c>
      <c r="AW145" s="235">
        <f>AV145-BRhoriz!BI117</f>
        <v>-5426207.9770000018</v>
      </c>
      <c r="AX145" s="235">
        <f>AW145-BRhoriz!BJ117</f>
        <v>-5454958.194000002</v>
      </c>
      <c r="AY145" s="236">
        <f t="shared" si="216"/>
        <v>-1202569.1340000024</v>
      </c>
      <c r="AZ145" s="236">
        <f t="shared" si="158"/>
        <v>-1300691.6040000021</v>
      </c>
      <c r="BA145" s="247">
        <f t="shared" si="159"/>
        <v>-0.10885410799999898</v>
      </c>
      <c r="BB145" s="247">
        <f t="shared" si="160"/>
        <v>-4.0787058281965417E-2</v>
      </c>
      <c r="BC145" s="228">
        <f t="shared" si="217"/>
        <v>-1058081.1960000014</v>
      </c>
    </row>
    <row r="146" spans="1:55" outlineLevel="2" collapsed="1" x14ac:dyDescent="0.25">
      <c r="A146" s="222">
        <v>4</v>
      </c>
      <c r="B146" s="233">
        <f>EEFFun!B307</f>
        <v>1906</v>
      </c>
      <c r="C146" s="233" t="str">
        <f>EEFFun!C307</f>
        <v>Materiales, mercaderías e insumos</v>
      </c>
      <c r="D146" s="235">
        <f>EEFFun!P307</f>
        <v>15633.98</v>
      </c>
      <c r="E146" s="235">
        <f>EEFFun!Q307</f>
        <v>15980.2</v>
      </c>
      <c r="F146" s="235">
        <f>EEFFun!R307</f>
        <v>17257.12</v>
      </c>
      <c r="G146" s="235">
        <f>EEFFun!S307</f>
        <v>18698.830000000002</v>
      </c>
      <c r="H146" s="235">
        <f>EEFFun!T307</f>
        <v>19103.560000000001</v>
      </c>
      <c r="I146" s="235">
        <f>EEFFun!U307</f>
        <v>19319.560000000001</v>
      </c>
      <c r="J146" s="235">
        <f>EEFFun!V307</f>
        <v>11314.79</v>
      </c>
      <c r="K146" s="235">
        <f>EEFFun!W307</f>
        <v>11314.79</v>
      </c>
      <c r="L146" s="235">
        <f>EEFFun!X307</f>
        <v>15022.66</v>
      </c>
      <c r="M146" s="235">
        <f>EEFFun!Y307</f>
        <v>18561.599999999999</v>
      </c>
      <c r="N146" s="235">
        <f>EEFFun!Z307</f>
        <v>21793.82</v>
      </c>
      <c r="O146" s="235">
        <f>EEFFun!AA307</f>
        <v>24774</v>
      </c>
      <c r="P146" s="235">
        <f>EEFFun!AB307</f>
        <v>31988.53</v>
      </c>
      <c r="Q146" s="235">
        <f>EEFFun!AC307</f>
        <v>32456.18</v>
      </c>
      <c r="R146" s="235">
        <f>EEFFun!AD307</f>
        <v>30550.240000000002</v>
      </c>
      <c r="S146" s="235">
        <f>EEFFun!AE307</f>
        <v>29046.25</v>
      </c>
      <c r="T146" s="235">
        <f>EEFFun!AF307</f>
        <v>30458.639999999999</v>
      </c>
      <c r="U146" s="235">
        <f>EEFFun!AG307</f>
        <v>30059.03</v>
      </c>
      <c r="V146" s="235">
        <f>EEFFun!AH307</f>
        <v>31505.77</v>
      </c>
      <c r="W146" s="235">
        <f>EEFFun!AI307</f>
        <v>31505.77</v>
      </c>
      <c r="X146" s="235">
        <f>EEFFun!AJ307</f>
        <v>24720.58</v>
      </c>
      <c r="Y146" s="235">
        <f>EEFFun!AK307</f>
        <v>28887.23</v>
      </c>
      <c r="Z146" s="235">
        <f>EEFFun!AL307</f>
        <v>27816.34</v>
      </c>
      <c r="AA146" s="235">
        <f>EEFFun!AM307</f>
        <v>30741.34</v>
      </c>
      <c r="AB146" s="235">
        <f>EEFFun!AN307</f>
        <v>23023.05</v>
      </c>
      <c r="AC146" s="235">
        <f>EEFFun!AO307</f>
        <v>24033.05</v>
      </c>
      <c r="AD146" s="235">
        <f>EEFFun!AP307</f>
        <v>28355.14</v>
      </c>
      <c r="AE146" s="235">
        <f>EEFFun!AQ307</f>
        <v>21404.37</v>
      </c>
      <c r="AF146" s="235">
        <f>EEFFun!AR307</f>
        <v>28964.37</v>
      </c>
      <c r="AG146" s="235">
        <f>EEFFun!AS307</f>
        <v>21149.37</v>
      </c>
      <c r="AH146" s="235">
        <f>EEFFun!AT307</f>
        <v>21585.49</v>
      </c>
      <c r="AI146" s="235">
        <f>EEFFun!AU307</f>
        <v>21585.49</v>
      </c>
      <c r="AJ146" s="235">
        <f>EEFFun!AV307</f>
        <v>21889.69</v>
      </c>
      <c r="AK146" s="235">
        <f>EEFFun!AW307</f>
        <v>19595.87</v>
      </c>
      <c r="AL146" s="235">
        <f>EEFFun!AX307</f>
        <v>19595.87</v>
      </c>
      <c r="AM146" s="236">
        <f t="shared" ref="AM146:AX146" si="242">Q146</f>
        <v>32456.18</v>
      </c>
      <c r="AN146" s="236">
        <f t="shared" si="242"/>
        <v>30550.240000000002</v>
      </c>
      <c r="AO146" s="236">
        <f t="shared" si="242"/>
        <v>29046.25</v>
      </c>
      <c r="AP146" s="236">
        <f t="shared" si="242"/>
        <v>30458.639999999999</v>
      </c>
      <c r="AQ146" s="236">
        <f t="shared" si="242"/>
        <v>30059.03</v>
      </c>
      <c r="AR146" s="236">
        <f t="shared" si="242"/>
        <v>31505.77</v>
      </c>
      <c r="AS146" s="236">
        <f t="shared" si="242"/>
        <v>31505.77</v>
      </c>
      <c r="AT146" s="236">
        <f t="shared" si="242"/>
        <v>24720.58</v>
      </c>
      <c r="AU146" s="236">
        <f t="shared" si="242"/>
        <v>28887.23</v>
      </c>
      <c r="AV146" s="236">
        <f t="shared" si="242"/>
        <v>27816.34</v>
      </c>
      <c r="AW146" s="236">
        <f t="shared" si="242"/>
        <v>30741.34</v>
      </c>
      <c r="AX146" s="236">
        <f t="shared" si="242"/>
        <v>23023.05</v>
      </c>
      <c r="AY146" s="236">
        <f t="shared" si="216"/>
        <v>-8482.7200000000012</v>
      </c>
      <c r="AZ146" s="236">
        <f t="shared" si="158"/>
        <v>-8965.48</v>
      </c>
      <c r="BA146" s="232">
        <f t="shared" si="159"/>
        <v>8.3819437774242773E-4</v>
      </c>
      <c r="BB146" s="232">
        <f t="shared" si="160"/>
        <v>1.7214476239459949E-4</v>
      </c>
      <c r="BC146" s="228">
        <f t="shared" si="217"/>
        <v>-6785.1899999999987</v>
      </c>
    </row>
    <row r="147" spans="1:55" outlineLevel="2" collapsed="1" x14ac:dyDescent="0.25">
      <c r="A147" s="222">
        <v>4</v>
      </c>
      <c r="B147" s="233">
        <f>EEFFun!B313</f>
        <v>1990</v>
      </c>
      <c r="C147" s="234" t="str">
        <f>EEFFun!C313</f>
        <v>Otros</v>
      </c>
      <c r="D147" s="235">
        <f>EEFFun!P313</f>
        <v>186072.63</v>
      </c>
      <c r="E147" s="235">
        <f>EEFFun!Q313</f>
        <v>199807.76</v>
      </c>
      <c r="F147" s="235">
        <f>EEFFun!R313</f>
        <v>186429.7</v>
      </c>
      <c r="G147" s="235">
        <f>EEFFun!S313</f>
        <v>196585.24</v>
      </c>
      <c r="H147" s="235">
        <f>EEFFun!T313</f>
        <v>213648.88</v>
      </c>
      <c r="I147" s="235">
        <f>EEFFun!U313</f>
        <v>168818.45</v>
      </c>
      <c r="J147" s="235">
        <f>EEFFun!V313</f>
        <v>174352.82</v>
      </c>
      <c r="K147" s="235">
        <f>EEFFun!W313</f>
        <v>183514.2</v>
      </c>
      <c r="L147" s="235">
        <f>EEFFun!X313</f>
        <v>191082.77</v>
      </c>
      <c r="M147" s="235">
        <f>EEFFun!Y313</f>
        <v>199373.15</v>
      </c>
      <c r="N147" s="235">
        <f>EEFFun!Z313</f>
        <v>210503.7</v>
      </c>
      <c r="O147" s="235">
        <f>EEFFun!AA313</f>
        <v>216563.37</v>
      </c>
      <c r="P147" s="235">
        <f>EEFFun!AB313</f>
        <v>231528.75</v>
      </c>
      <c r="Q147" s="235">
        <f>EEFFun!AC313</f>
        <v>240150.76</v>
      </c>
      <c r="R147" s="235">
        <f>EEFFun!AD313</f>
        <v>253062.41</v>
      </c>
      <c r="S147" s="235">
        <f>EEFFun!AE313</f>
        <v>267302.93</v>
      </c>
      <c r="T147" s="235">
        <f>EEFFun!AF313</f>
        <v>242748.45</v>
      </c>
      <c r="U147" s="235">
        <f>EEFFun!AG313</f>
        <v>256589.47</v>
      </c>
      <c r="V147" s="235">
        <f>EEFFun!AH313</f>
        <v>264717.25</v>
      </c>
      <c r="W147" s="235">
        <f>EEFFun!AI313</f>
        <v>274439.67999999999</v>
      </c>
      <c r="X147" s="235">
        <f>EEFFun!AJ313</f>
        <v>285931.27</v>
      </c>
      <c r="Y147" s="235">
        <f>EEFFun!AK313</f>
        <v>295377.86</v>
      </c>
      <c r="Z147" s="235">
        <f>EEFFun!AL313</f>
        <v>310179.26</v>
      </c>
      <c r="AA147" s="235">
        <f>EEFFun!AM313</f>
        <v>316926.07</v>
      </c>
      <c r="AB147" s="235">
        <f>EEFFun!AN313</f>
        <v>339338.01</v>
      </c>
      <c r="AC147" s="235">
        <f>EEFFun!AO313</f>
        <v>349845.35</v>
      </c>
      <c r="AD147" s="235">
        <f>EEFFun!AP313</f>
        <v>405929.66</v>
      </c>
      <c r="AE147" s="235">
        <f>EEFFun!AQ313</f>
        <v>382974.37</v>
      </c>
      <c r="AF147" s="235">
        <f>EEFFun!AR313</f>
        <v>397167.24</v>
      </c>
      <c r="AG147" s="235">
        <f>EEFFun!AS313</f>
        <v>443570.97</v>
      </c>
      <c r="AH147" s="235">
        <f>EEFFun!AT313</f>
        <v>489814.5</v>
      </c>
      <c r="AI147" s="235">
        <f>EEFFun!AU313</f>
        <v>468842.79</v>
      </c>
      <c r="AJ147" s="235">
        <f>EEFFun!AV313</f>
        <v>467235.53</v>
      </c>
      <c r="AK147" s="235">
        <f>EEFFun!AW313</f>
        <v>489369.72</v>
      </c>
      <c r="AL147" s="235">
        <f>EEFFun!AX313</f>
        <v>514533.89</v>
      </c>
      <c r="AM147" s="236">
        <f t="shared" ref="AM147:AS147" si="243">SUM(AM148:AM150)</f>
        <v>349845.35</v>
      </c>
      <c r="AN147" s="236">
        <f t="shared" si="243"/>
        <v>405929.66</v>
      </c>
      <c r="AO147" s="236">
        <f t="shared" si="243"/>
        <v>382974.36999999994</v>
      </c>
      <c r="AP147" s="236">
        <f t="shared" si="243"/>
        <v>397167.24</v>
      </c>
      <c r="AQ147" s="236">
        <f t="shared" si="243"/>
        <v>443570.97</v>
      </c>
      <c r="AR147" s="236">
        <f t="shared" si="243"/>
        <v>489814.5</v>
      </c>
      <c r="AS147" s="236">
        <f t="shared" si="243"/>
        <v>468842.79</v>
      </c>
      <c r="AT147" s="236">
        <f t="shared" ref="AT147" si="244">SUM(AT148:AT150)</f>
        <v>467235.52999999997</v>
      </c>
      <c r="AU147" s="236">
        <f t="shared" ref="AU147" si="245">SUM(AU148:AU150)</f>
        <v>489369.72</v>
      </c>
      <c r="AV147" s="236">
        <f t="shared" ref="AV147" si="246">SUM(AV148:AV150)</f>
        <v>514533.89</v>
      </c>
      <c r="AW147" s="236">
        <f t="shared" ref="AW147" si="247">SUM(AW148:AW150)</f>
        <v>349845.35</v>
      </c>
      <c r="AX147" s="236">
        <f t="shared" ref="AX147" si="248">SUM(AX148:AX150)</f>
        <v>405929.66</v>
      </c>
      <c r="AY147" s="236">
        <f t="shared" si="216"/>
        <v>141212.40999999997</v>
      </c>
      <c r="AZ147" s="236">
        <f t="shared" si="158"/>
        <v>174400.90999999997</v>
      </c>
      <c r="BA147" s="232">
        <f t="shared" si="159"/>
        <v>6.0667400638832773E-3</v>
      </c>
      <c r="BB147" s="232">
        <f t="shared" si="160"/>
        <v>3.0351610611808839E-3</v>
      </c>
      <c r="BC147" s="228">
        <f t="shared" si="217"/>
        <v>192795.84999999998</v>
      </c>
    </row>
    <row r="148" spans="1:55" outlineLevel="2" collapsed="1" x14ac:dyDescent="0.25">
      <c r="A148" s="222">
        <v>6</v>
      </c>
      <c r="B148" s="234">
        <f>EEFFun!B314</f>
        <v>199005</v>
      </c>
      <c r="C148" s="234" t="str">
        <f>EEFFun!C314</f>
        <v>Impuesto al valor agregado IVA</v>
      </c>
      <c r="D148" s="235">
        <f>EEFFun!P314</f>
        <v>6765.65</v>
      </c>
      <c r="E148" s="235">
        <f>EEFFun!Q314</f>
        <v>6439.98</v>
      </c>
      <c r="F148" s="235">
        <f>EEFFun!R314</f>
        <v>3996.56</v>
      </c>
      <c r="G148" s="235">
        <f>EEFFun!S314</f>
        <v>6308.72</v>
      </c>
      <c r="H148" s="235">
        <f>EEFFun!T314</f>
        <v>6915.05</v>
      </c>
      <c r="I148" s="235">
        <f>EEFFun!U314</f>
        <v>7624.44</v>
      </c>
      <c r="J148" s="235">
        <f>EEFFun!V314</f>
        <v>4516.53</v>
      </c>
      <c r="K148" s="235">
        <f>EEFFun!W314</f>
        <v>6284.8</v>
      </c>
      <c r="L148" s="235">
        <f>EEFFun!X314</f>
        <v>5691.49</v>
      </c>
      <c r="M148" s="235">
        <f>EEFFun!Y314</f>
        <v>5334.78</v>
      </c>
      <c r="N148" s="235">
        <f>EEFFun!Z314</f>
        <v>7771.63</v>
      </c>
      <c r="O148" s="235">
        <f>EEFFun!AA314</f>
        <v>6232.51</v>
      </c>
      <c r="P148" s="235">
        <f>EEFFun!AB314</f>
        <v>10308.799999999999</v>
      </c>
      <c r="Q148" s="235">
        <f>EEFFun!AC314</f>
        <v>6307.67</v>
      </c>
      <c r="R148" s="235">
        <f>EEFFun!AD314</f>
        <v>7732.91</v>
      </c>
      <c r="S148" s="235">
        <f>EEFFun!AE314</f>
        <v>6719.56</v>
      </c>
      <c r="T148" s="235">
        <f>EEFFun!AF314</f>
        <v>7440.62</v>
      </c>
      <c r="U148" s="235">
        <f>EEFFun!AG314</f>
        <v>11946.75</v>
      </c>
      <c r="V148" s="235">
        <f>EEFFun!AH314</f>
        <v>10673.48</v>
      </c>
      <c r="W148" s="235">
        <f>EEFFun!AI314</f>
        <v>11589.93</v>
      </c>
      <c r="X148" s="235">
        <f>EEFFun!AJ314</f>
        <v>12455.3</v>
      </c>
      <c r="Y148" s="235">
        <f>EEFFun!AK314</f>
        <v>12287.83</v>
      </c>
      <c r="Z148" s="235">
        <f>EEFFun!AL314</f>
        <v>16838.330000000002</v>
      </c>
      <c r="AA148" s="235">
        <f>EEFFun!AM314</f>
        <v>15045.3</v>
      </c>
      <c r="AB148" s="235">
        <f>EEFFun!AN314</f>
        <v>23029.68</v>
      </c>
      <c r="AC148" s="235">
        <f>EEFFun!AO314</f>
        <v>15593.41</v>
      </c>
      <c r="AD148" s="235">
        <f>EEFFun!AP314</f>
        <v>55215.01</v>
      </c>
      <c r="AE148" s="235">
        <f>EEFFun!AQ314</f>
        <v>14096.54</v>
      </c>
      <c r="AF148" s="235">
        <f>EEFFun!AR314</f>
        <v>11788.23</v>
      </c>
      <c r="AG148" s="235">
        <f>EEFFun!AS314</f>
        <v>19471.88</v>
      </c>
      <c r="AH148" s="235">
        <f>EEFFun!AT314</f>
        <v>16220.19</v>
      </c>
      <c r="AI148" s="235">
        <f>EEFFun!AU314</f>
        <v>16772.849999999999</v>
      </c>
      <c r="AJ148" s="235">
        <f>EEFFun!AV314</f>
        <v>12780.05</v>
      </c>
      <c r="AK148" s="235">
        <f>EEFFun!AW314</f>
        <v>13725.61</v>
      </c>
      <c r="AL148" s="235">
        <f>EEFFun!AX314</f>
        <v>19929.509999999998</v>
      </c>
      <c r="AM148" s="236">
        <f>AC148</f>
        <v>15593.41</v>
      </c>
      <c r="AN148" s="236">
        <f t="shared" ref="AN148:AX148" si="249">AD148</f>
        <v>55215.01</v>
      </c>
      <c r="AO148" s="236">
        <f t="shared" si="249"/>
        <v>14096.54</v>
      </c>
      <c r="AP148" s="236">
        <f t="shared" si="249"/>
        <v>11788.23</v>
      </c>
      <c r="AQ148" s="236">
        <f t="shared" si="249"/>
        <v>19471.88</v>
      </c>
      <c r="AR148" s="236">
        <f t="shared" si="249"/>
        <v>16220.19</v>
      </c>
      <c r="AS148" s="236">
        <f t="shared" si="249"/>
        <v>16772.849999999999</v>
      </c>
      <c r="AT148" s="236">
        <f t="shared" si="249"/>
        <v>12780.05</v>
      </c>
      <c r="AU148" s="236">
        <f t="shared" si="249"/>
        <v>13725.61</v>
      </c>
      <c r="AV148" s="236">
        <f t="shared" si="249"/>
        <v>19929.509999999998</v>
      </c>
      <c r="AW148" s="236">
        <f t="shared" si="249"/>
        <v>15593.41</v>
      </c>
      <c r="AX148" s="236">
        <f t="shared" si="249"/>
        <v>55215.01</v>
      </c>
      <c r="AY148" s="236">
        <f t="shared" si="216"/>
        <v>44541.53</v>
      </c>
      <c r="AZ148" s="236">
        <f t="shared" si="158"/>
        <v>44906.210000000006</v>
      </c>
      <c r="BA148" s="232">
        <f t="shared" si="159"/>
        <v>2.7012114033596226E-4</v>
      </c>
      <c r="BB148" s="232">
        <f t="shared" si="160"/>
        <v>4.1284602939512508E-4</v>
      </c>
      <c r="BC148" s="228">
        <f t="shared" si="217"/>
        <v>1190.119999999999</v>
      </c>
    </row>
    <row r="149" spans="1:55" outlineLevel="2" collapsed="1" x14ac:dyDescent="0.25">
      <c r="A149" s="222">
        <v>6</v>
      </c>
      <c r="B149" s="234">
        <f>EEFFun!B318</f>
        <v>199010</v>
      </c>
      <c r="C149" s="234" t="str">
        <f>EEFFun!C318</f>
        <v>Otros impuestos</v>
      </c>
      <c r="D149" s="235">
        <f>EEFFun!P318</f>
        <v>157931.62</v>
      </c>
      <c r="E149" s="235">
        <f>EEFFun!Q318</f>
        <v>171992.42</v>
      </c>
      <c r="F149" s="235">
        <f>EEFFun!R318</f>
        <v>161057.78</v>
      </c>
      <c r="G149" s="235">
        <f>EEFFun!S318</f>
        <v>168901.16</v>
      </c>
      <c r="H149" s="235">
        <f>EEFFun!T318</f>
        <v>185358.47</v>
      </c>
      <c r="I149" s="235">
        <f>EEFFun!U318</f>
        <v>21375.360000000001</v>
      </c>
      <c r="J149" s="235">
        <f>EEFFun!V318</f>
        <v>148460.93</v>
      </c>
      <c r="K149" s="235">
        <f>EEFFun!W318</f>
        <v>155854.04</v>
      </c>
      <c r="L149" s="235">
        <f>EEFFun!X318</f>
        <v>164015.92000000001</v>
      </c>
      <c r="M149" s="235">
        <f>EEFFun!Y318</f>
        <v>172663.01</v>
      </c>
      <c r="N149" s="235">
        <f>EEFFun!Z318</f>
        <v>181356.71</v>
      </c>
      <c r="O149" s="235">
        <f>EEFFun!AA318</f>
        <v>188955.13</v>
      </c>
      <c r="P149" s="235">
        <f>EEFFun!AB318</f>
        <v>199844.59</v>
      </c>
      <c r="Q149" s="235">
        <f>EEFFun!AC318</f>
        <v>0</v>
      </c>
      <c r="R149" s="235">
        <f>EEFFun!AD318</f>
        <v>0</v>
      </c>
      <c r="S149" s="235">
        <f>EEFFun!AE318</f>
        <v>0</v>
      </c>
      <c r="T149" s="235">
        <f>EEFFun!AF318</f>
        <v>2541.9299999999998</v>
      </c>
      <c r="U149" s="235">
        <f>EEFFun!AG318</f>
        <v>0</v>
      </c>
      <c r="V149" s="235">
        <f>EEFFun!AH318</f>
        <v>225668.41</v>
      </c>
      <c r="W149" s="235">
        <f>EEFFun!AI318</f>
        <v>234474.39</v>
      </c>
      <c r="X149" s="235">
        <f>EEFFun!AJ318</f>
        <v>245100.61</v>
      </c>
      <c r="Y149" s="235">
        <f>EEFFun!AK318</f>
        <v>254714.67</v>
      </c>
      <c r="Z149" s="235">
        <f>EEFFun!AL318</f>
        <v>264889.32</v>
      </c>
      <c r="AA149" s="235">
        <f>EEFFun!AM318</f>
        <v>273505.40999999997</v>
      </c>
      <c r="AB149" s="235">
        <f>EEFFun!AN318</f>
        <v>287932.96999999997</v>
      </c>
      <c r="AC149" s="235">
        <f>EEFFun!AO318</f>
        <v>305876.58</v>
      </c>
      <c r="AD149" s="235">
        <f>EEFFun!AP318</f>
        <v>322339.28999999998</v>
      </c>
      <c r="AE149" s="235">
        <f>EEFFun!AQ318</f>
        <v>340502.47</v>
      </c>
      <c r="AF149" s="235">
        <f>EEFFun!AR318</f>
        <v>357003.65</v>
      </c>
      <c r="AG149" s="235">
        <f>EEFFun!AS318</f>
        <v>395723.73</v>
      </c>
      <c r="AH149" s="235">
        <f>EEFFun!AT318</f>
        <v>445218.95</v>
      </c>
      <c r="AI149" s="235">
        <f>EEFFun!AU318</f>
        <v>423694.58</v>
      </c>
      <c r="AJ149" s="235">
        <f>EEFFun!AV318</f>
        <v>426080.12</v>
      </c>
      <c r="AK149" s="235">
        <f>EEFFun!AW318</f>
        <v>447268.75</v>
      </c>
      <c r="AL149" s="235">
        <f>EEFFun!AX318</f>
        <v>466229.02</v>
      </c>
      <c r="AM149" s="236">
        <f>+AC149</f>
        <v>305876.58</v>
      </c>
      <c r="AN149" s="236">
        <f t="shared" ref="AN149:AX149" si="250">+AD149</f>
        <v>322339.28999999998</v>
      </c>
      <c r="AO149" s="236">
        <f t="shared" si="250"/>
        <v>340502.47</v>
      </c>
      <c r="AP149" s="236">
        <f t="shared" si="250"/>
        <v>357003.65</v>
      </c>
      <c r="AQ149" s="236">
        <f t="shared" si="250"/>
        <v>395723.73</v>
      </c>
      <c r="AR149" s="236">
        <f t="shared" si="250"/>
        <v>445218.95</v>
      </c>
      <c r="AS149" s="236">
        <f t="shared" si="250"/>
        <v>423694.58</v>
      </c>
      <c r="AT149" s="236">
        <f t="shared" si="250"/>
        <v>426080.12</v>
      </c>
      <c r="AU149" s="236">
        <f t="shared" si="250"/>
        <v>447268.75</v>
      </c>
      <c r="AV149" s="236">
        <f t="shared" si="250"/>
        <v>466229.02</v>
      </c>
      <c r="AW149" s="236">
        <f t="shared" si="250"/>
        <v>305876.58</v>
      </c>
      <c r="AX149" s="236">
        <f t="shared" si="250"/>
        <v>322339.28999999998</v>
      </c>
      <c r="AY149" s="236">
        <f t="shared" si="216"/>
        <v>96670.879999999976</v>
      </c>
      <c r="AZ149" s="236">
        <f t="shared" si="158"/>
        <v>122494.69999999998</v>
      </c>
      <c r="BA149" s="232">
        <f t="shared" si="159"/>
        <v>5.2365210830332184E-3</v>
      </c>
      <c r="BB149" s="232">
        <f t="shared" si="160"/>
        <v>2.41015071797585E-3</v>
      </c>
      <c r="BC149" s="228">
        <f t="shared" si="217"/>
        <v>191605.72999999998</v>
      </c>
    </row>
    <row r="150" spans="1:55" outlineLevel="2" collapsed="1" x14ac:dyDescent="0.25">
      <c r="A150" s="222">
        <v>6</v>
      </c>
      <c r="B150" s="234">
        <f>EEFFun!B319</f>
        <v>199015</v>
      </c>
      <c r="C150" s="234" t="str">
        <f>EEFFun!C319</f>
        <v>Depósitos en garantía y para importaciones</v>
      </c>
      <c r="D150" s="235">
        <f>EEFFun!P319</f>
        <v>21375.360000000001</v>
      </c>
      <c r="E150" s="235">
        <f>EEFFun!Q319</f>
        <v>21375.360000000001</v>
      </c>
      <c r="F150" s="235">
        <f>EEFFun!R319</f>
        <v>21375.360000000001</v>
      </c>
      <c r="G150" s="235">
        <f>EEFFun!S319</f>
        <v>21375.360000000001</v>
      </c>
      <c r="H150" s="235">
        <f>EEFFun!T319</f>
        <v>21375.360000000001</v>
      </c>
      <c r="I150" s="235">
        <f>EEFFun!U319</f>
        <v>0.03</v>
      </c>
      <c r="J150" s="235">
        <f>EEFFun!V319</f>
        <v>21375.360000000001</v>
      </c>
      <c r="K150" s="235">
        <f>EEFFun!W319</f>
        <v>21375.360000000001</v>
      </c>
      <c r="L150" s="235">
        <f>EEFFun!X319</f>
        <v>21375.360000000001</v>
      </c>
      <c r="M150" s="235">
        <f>EEFFun!Y319</f>
        <v>21375.360000000001</v>
      </c>
      <c r="N150" s="235">
        <f>EEFFun!Z319</f>
        <v>21375.360000000001</v>
      </c>
      <c r="O150" s="235">
        <f>EEFFun!AA319</f>
        <v>21375.360000000001</v>
      </c>
      <c r="P150" s="235">
        <f>EEFFun!AB319</f>
        <v>21375.360000000001</v>
      </c>
      <c r="Q150" s="235">
        <f>EEFFun!AC319</f>
        <v>212467.73</v>
      </c>
      <c r="R150" s="235">
        <f>EEFFun!AD319</f>
        <v>223954.14</v>
      </c>
      <c r="S150" s="235">
        <f>EEFFun!AE319</f>
        <v>232208.01</v>
      </c>
      <c r="T150" s="235">
        <f>EEFFun!AF319</f>
        <v>206932.47</v>
      </c>
      <c r="U150" s="235">
        <f>EEFFun!AG319</f>
        <v>216267.36</v>
      </c>
      <c r="V150" s="235">
        <f>EEFFun!AH319</f>
        <v>28375.360000000001</v>
      </c>
      <c r="W150" s="235">
        <f>EEFFun!AI319</f>
        <v>28375.360000000001</v>
      </c>
      <c r="X150" s="235">
        <f>EEFFun!AJ319</f>
        <v>28375.360000000001</v>
      </c>
      <c r="Y150" s="235">
        <f>EEFFun!AK319</f>
        <v>28375.360000000001</v>
      </c>
      <c r="Z150" s="235">
        <f>EEFFun!AL319</f>
        <v>28375.360000000001</v>
      </c>
      <c r="AA150" s="235">
        <f>EEFFun!AM319</f>
        <v>28375.360000000001</v>
      </c>
      <c r="AB150" s="235">
        <f>EEFFun!AN319</f>
        <v>28375.360000000001</v>
      </c>
      <c r="AC150" s="235">
        <f>EEFFun!AO319</f>
        <v>28375.360000000001</v>
      </c>
      <c r="AD150" s="235">
        <f>EEFFun!AP319</f>
        <v>28375.360000000001</v>
      </c>
      <c r="AE150" s="235">
        <f>EEFFun!AQ319</f>
        <v>28375.360000000001</v>
      </c>
      <c r="AF150" s="235">
        <f>EEFFun!AR319</f>
        <v>28375.360000000001</v>
      </c>
      <c r="AG150" s="235">
        <f>EEFFun!AS319</f>
        <v>28375.360000000001</v>
      </c>
      <c r="AH150" s="235">
        <f>EEFFun!AT319</f>
        <v>28375.360000000001</v>
      </c>
      <c r="AI150" s="235">
        <f>EEFFun!AU319</f>
        <v>28375.360000000001</v>
      </c>
      <c r="AJ150" s="235">
        <f>EEFFun!AV319</f>
        <v>28375.360000000001</v>
      </c>
      <c r="AK150" s="235">
        <f>EEFFun!AW319</f>
        <v>28375.360000000001</v>
      </c>
      <c r="AL150" s="235">
        <f>EEFFun!AX319</f>
        <v>28375.360000000001</v>
      </c>
      <c r="AM150" s="236">
        <f>AC150</f>
        <v>28375.360000000001</v>
      </c>
      <c r="AN150" s="236">
        <f t="shared" ref="AN150:AX150" si="251">AD150</f>
        <v>28375.360000000001</v>
      </c>
      <c r="AO150" s="236">
        <f t="shared" si="251"/>
        <v>28375.360000000001</v>
      </c>
      <c r="AP150" s="236">
        <f t="shared" si="251"/>
        <v>28375.360000000001</v>
      </c>
      <c r="AQ150" s="236">
        <f t="shared" si="251"/>
        <v>28375.360000000001</v>
      </c>
      <c r="AR150" s="236">
        <f t="shared" si="251"/>
        <v>28375.360000000001</v>
      </c>
      <c r="AS150" s="236">
        <f t="shared" si="251"/>
        <v>28375.360000000001</v>
      </c>
      <c r="AT150" s="236">
        <f t="shared" si="251"/>
        <v>28375.360000000001</v>
      </c>
      <c r="AU150" s="236">
        <f t="shared" si="251"/>
        <v>28375.360000000001</v>
      </c>
      <c r="AV150" s="236">
        <f t="shared" si="251"/>
        <v>28375.360000000001</v>
      </c>
      <c r="AW150" s="236">
        <f t="shared" si="251"/>
        <v>28375.360000000001</v>
      </c>
      <c r="AX150" s="236">
        <f t="shared" si="251"/>
        <v>28375.360000000001</v>
      </c>
      <c r="AY150" s="236">
        <f t="shared" si="216"/>
        <v>0</v>
      </c>
      <c r="AZ150" s="236">
        <f t="shared" si="158"/>
        <v>7000</v>
      </c>
      <c r="BA150" s="232">
        <f t="shared" si="159"/>
        <v>5.6009784051409622E-4</v>
      </c>
      <c r="BB150" s="232">
        <f t="shared" si="160"/>
        <v>2.1216431380990887E-4</v>
      </c>
      <c r="BC150" s="228">
        <f t="shared" si="217"/>
        <v>0</v>
      </c>
    </row>
    <row r="151" spans="1:55" outlineLevel="2" collapsed="1" x14ac:dyDescent="0.25">
      <c r="A151" s="222">
        <v>4</v>
      </c>
      <c r="B151" s="233">
        <f>EEFFun!B321</f>
        <v>1999</v>
      </c>
      <c r="C151" s="234" t="str">
        <f>EEFFun!C321</f>
        <v>(Provisión para otros activos irrecuperables)</v>
      </c>
      <c r="D151" s="235">
        <f>EEFFun!P321</f>
        <v>-223.66</v>
      </c>
      <c r="E151" s="235">
        <f>EEFFun!Q321</f>
        <v>-223.66</v>
      </c>
      <c r="F151" s="235">
        <f>EEFFun!R321</f>
        <v>-223.66</v>
      </c>
      <c r="G151" s="235">
        <f>EEFFun!S321</f>
        <v>-223.66</v>
      </c>
      <c r="H151" s="235">
        <f>EEFFun!T321</f>
        <v>-223.66</v>
      </c>
      <c r="I151" s="235">
        <f>EEFFun!U321</f>
        <v>-223.66</v>
      </c>
      <c r="J151" s="235">
        <f>EEFFun!V321</f>
        <v>-223.66</v>
      </c>
      <c r="K151" s="235">
        <f>EEFFun!W321</f>
        <v>-223.66</v>
      </c>
      <c r="L151" s="235">
        <f>EEFFun!X321</f>
        <v>-223.66</v>
      </c>
      <c r="M151" s="235">
        <f>EEFFun!Y321</f>
        <v>-223.66</v>
      </c>
      <c r="N151" s="235">
        <f>EEFFun!Z321</f>
        <v>-223.66</v>
      </c>
      <c r="O151" s="235">
        <f>EEFFun!AA321</f>
        <v>-223.66</v>
      </c>
      <c r="P151" s="235">
        <f>EEFFun!AB321</f>
        <v>-223.66</v>
      </c>
      <c r="Q151" s="235">
        <f>EEFFun!AC321</f>
        <v>-223.66</v>
      </c>
      <c r="R151" s="235">
        <f>EEFFun!AD321</f>
        <v>-223.66</v>
      </c>
      <c r="S151" s="235">
        <f>EEFFun!AE321</f>
        <v>-292.67</v>
      </c>
      <c r="T151" s="235">
        <f>EEFFun!AF321</f>
        <v>-292.67</v>
      </c>
      <c r="U151" s="235">
        <f>EEFFun!AG321</f>
        <v>-292.67</v>
      </c>
      <c r="V151" s="235">
        <f>EEFFun!AH321</f>
        <v>-293.06</v>
      </c>
      <c r="W151" s="235">
        <f>EEFFun!AI321</f>
        <v>-293.06</v>
      </c>
      <c r="X151" s="235">
        <f>EEFFun!AJ321</f>
        <v>-293.06</v>
      </c>
      <c r="Y151" s="235">
        <f>EEFFun!AK321</f>
        <v>-293.66000000000003</v>
      </c>
      <c r="Z151" s="235">
        <f>EEFFun!AL321</f>
        <v>-293.66000000000003</v>
      </c>
      <c r="AA151" s="235">
        <f>EEFFun!AM321</f>
        <v>-293.66000000000003</v>
      </c>
      <c r="AB151" s="235">
        <f>EEFFun!AN321</f>
        <v>-293.66000000000003</v>
      </c>
      <c r="AC151" s="235">
        <f>EEFFun!AO321</f>
        <v>-293.66000000000003</v>
      </c>
      <c r="AD151" s="235">
        <f>EEFFun!AP321</f>
        <v>-293.66000000000003</v>
      </c>
      <c r="AE151" s="235">
        <f>EEFFun!AQ321</f>
        <v>-293.66000000000003</v>
      </c>
      <c r="AF151" s="235">
        <f>EEFFun!AR321</f>
        <v>-293.66000000000003</v>
      </c>
      <c r="AG151" s="235">
        <f>EEFFun!AS321</f>
        <v>-293.66000000000003</v>
      </c>
      <c r="AH151" s="235">
        <f>EEFFun!AT321</f>
        <v>-293.66000000000003</v>
      </c>
      <c r="AI151" s="235">
        <f>EEFFun!AU321</f>
        <v>-293.66000000000003</v>
      </c>
      <c r="AJ151" s="235">
        <f>EEFFun!AV321</f>
        <v>-293.66000000000003</v>
      </c>
      <c r="AK151" s="235">
        <f>EEFFun!AW321</f>
        <v>-293.66000000000003</v>
      </c>
      <c r="AL151" s="235">
        <f>EEFFun!AX321</f>
        <v>-1667568.15</v>
      </c>
      <c r="AM151" s="236">
        <f>+AL151</f>
        <v>-1667568.15</v>
      </c>
      <c r="AN151" s="236">
        <f t="shared" ref="AN151:AW151" si="252">+AM151</f>
        <v>-1667568.15</v>
      </c>
      <c r="AO151" s="236">
        <f t="shared" si="252"/>
        <v>-1667568.15</v>
      </c>
      <c r="AP151" s="236">
        <f t="shared" si="252"/>
        <v>-1667568.15</v>
      </c>
      <c r="AQ151" s="236">
        <f t="shared" si="252"/>
        <v>-1667568.15</v>
      </c>
      <c r="AR151" s="236">
        <f t="shared" si="252"/>
        <v>-1667568.15</v>
      </c>
      <c r="AS151" s="236">
        <f t="shared" si="252"/>
        <v>-1667568.15</v>
      </c>
      <c r="AT151" s="236">
        <f t="shared" si="252"/>
        <v>-1667568.15</v>
      </c>
      <c r="AU151" s="236">
        <f t="shared" si="252"/>
        <v>-1667568.15</v>
      </c>
      <c r="AV151" s="236">
        <f t="shared" si="252"/>
        <v>-1667568.15</v>
      </c>
      <c r="AW151" s="236">
        <f t="shared" si="252"/>
        <v>-1667568.15</v>
      </c>
      <c r="AX151" s="236">
        <f>AB151</f>
        <v>-293.66000000000003</v>
      </c>
      <c r="AY151" s="236">
        <f t="shared" si="216"/>
        <v>-0.60000000000002274</v>
      </c>
      <c r="AZ151" s="236">
        <f t="shared" si="158"/>
        <v>-70.000000000000028</v>
      </c>
      <c r="BA151" s="247">
        <f t="shared" si="159"/>
        <v>-5.8605554717853988E-6</v>
      </c>
      <c r="BB151" s="247">
        <f t="shared" si="160"/>
        <v>-2.1957139008427682E-6</v>
      </c>
      <c r="BC151" s="228">
        <f t="shared" si="217"/>
        <v>-1667275.0899999999</v>
      </c>
    </row>
    <row r="152" spans="1:55" x14ac:dyDescent="0.25">
      <c r="A152" s="222">
        <v>1</v>
      </c>
      <c r="B152" s="230">
        <f>EEFFun!B324</f>
        <v>2</v>
      </c>
      <c r="C152" s="230" t="str">
        <f>EEFFun!C324</f>
        <v>PASIVOS</v>
      </c>
      <c r="D152" s="226">
        <f t="shared" ref="D152:AZ152" si="253">D153+D167+D169+D189+D192+D196</f>
        <v>36059373.399999999</v>
      </c>
      <c r="E152" s="226">
        <f t="shared" si="253"/>
        <v>35710466.640000001</v>
      </c>
      <c r="F152" s="226">
        <f t="shared" si="253"/>
        <v>35617627.349999994</v>
      </c>
      <c r="G152" s="226">
        <f t="shared" si="253"/>
        <v>35936687.469999999</v>
      </c>
      <c r="H152" s="226">
        <f t="shared" si="253"/>
        <v>35503000.359999999</v>
      </c>
      <c r="I152" s="226">
        <f t="shared" si="253"/>
        <v>34996410.369999997</v>
      </c>
      <c r="J152" s="226">
        <f t="shared" si="253"/>
        <v>34181073.199999996</v>
      </c>
      <c r="K152" s="226">
        <f t="shared" si="253"/>
        <v>33194030.280000001</v>
      </c>
      <c r="L152" s="226">
        <f t="shared" si="253"/>
        <v>32893108.57</v>
      </c>
      <c r="M152" s="226">
        <f t="shared" si="253"/>
        <v>32855896.600000001</v>
      </c>
      <c r="N152" s="226">
        <f t="shared" si="253"/>
        <v>33825110.150000006</v>
      </c>
      <c r="O152" s="226">
        <f t="shared" si="253"/>
        <v>33040704.849999998</v>
      </c>
      <c r="P152" s="226">
        <f t="shared" si="253"/>
        <v>32363256.349999998</v>
      </c>
      <c r="Q152" s="226">
        <f t="shared" si="253"/>
        <v>32478124.020000003</v>
      </c>
      <c r="R152" s="226">
        <f t="shared" si="253"/>
        <v>32148021.460000001</v>
      </c>
      <c r="S152" s="226">
        <f t="shared" si="253"/>
        <v>32618101.52</v>
      </c>
      <c r="T152" s="226">
        <f t="shared" si="253"/>
        <v>32913039.130000003</v>
      </c>
      <c r="U152" s="226">
        <f t="shared" si="253"/>
        <v>36222889.899999999</v>
      </c>
      <c r="V152" s="226">
        <f t="shared" si="253"/>
        <v>41694567.32</v>
      </c>
      <c r="W152" s="226">
        <f t="shared" si="253"/>
        <v>41677736.619999997</v>
      </c>
      <c r="X152" s="226">
        <f>X153+X167+X169+X189+X192+X196</f>
        <v>36600108.43</v>
      </c>
      <c r="Y152" s="226">
        <f t="shared" ref="Y152:AS152" si="254">Y153+Y167+Y169+Y189+Y192+Y196</f>
        <v>37487436.649999999</v>
      </c>
      <c r="Z152" s="226">
        <f t="shared" si="254"/>
        <v>39114757.170000002</v>
      </c>
      <c r="AA152" s="226">
        <f t="shared" si="254"/>
        <v>40388410.230000004</v>
      </c>
      <c r="AB152" s="226">
        <f t="shared" ref="AB152:AL152" si="255">AB153+AB167+AB169+AB189+AB192+AB196</f>
        <v>41112303.659999996</v>
      </c>
      <c r="AC152" s="226">
        <f t="shared" si="255"/>
        <v>43484157.330000006</v>
      </c>
      <c r="AD152" s="226">
        <f t="shared" si="255"/>
        <v>45447800.149999991</v>
      </c>
      <c r="AE152" s="226">
        <f t="shared" si="255"/>
        <v>50940568.569999993</v>
      </c>
      <c r="AF152" s="226">
        <f t="shared" si="255"/>
        <v>48430534.230000004</v>
      </c>
      <c r="AG152" s="226">
        <f t="shared" si="255"/>
        <v>50703286.500000007</v>
      </c>
      <c r="AH152" s="226">
        <f t="shared" si="255"/>
        <v>52499657.539999992</v>
      </c>
      <c r="AI152" s="226">
        <f t="shared" si="255"/>
        <v>55632311.43</v>
      </c>
      <c r="AJ152" s="226">
        <f t="shared" si="255"/>
        <v>57714809.309999995</v>
      </c>
      <c r="AK152" s="226">
        <f t="shared" si="255"/>
        <v>58792896.630000003</v>
      </c>
      <c r="AL152" s="226">
        <f t="shared" si="255"/>
        <v>61356200.789999999</v>
      </c>
      <c r="AM152" s="226">
        <f t="shared" si="254"/>
        <v>67644964.65129146</v>
      </c>
      <c r="AN152" s="226">
        <f t="shared" si="254"/>
        <v>74356945.751758978</v>
      </c>
      <c r="AO152" s="226">
        <f t="shared" si="254"/>
        <v>80974681.04869172</v>
      </c>
      <c r="AP152" s="226">
        <f t="shared" si="254"/>
        <v>87561426.799237669</v>
      </c>
      <c r="AQ152" s="226">
        <f t="shared" si="254"/>
        <v>94103705.759724751</v>
      </c>
      <c r="AR152" s="226">
        <f t="shared" si="254"/>
        <v>100802125.76612951</v>
      </c>
      <c r="AS152" s="226">
        <f t="shared" si="254"/>
        <v>107430871.19739844</v>
      </c>
      <c r="AT152" s="226">
        <f t="shared" si="253"/>
        <v>114064368.06372631</v>
      </c>
      <c r="AU152" s="226">
        <f t="shared" si="253"/>
        <v>120413447.78892778</v>
      </c>
      <c r="AV152" s="226">
        <f t="shared" si="253"/>
        <v>127070628.49047607</v>
      </c>
      <c r="AW152" s="226">
        <f t="shared" si="253"/>
        <v>133698677.68756621</v>
      </c>
      <c r="AX152" s="226">
        <f t="shared" si="253"/>
        <v>140304763.409908</v>
      </c>
      <c r="AY152" s="226">
        <f t="shared" si="253"/>
        <v>98610196.089908019</v>
      </c>
      <c r="AZ152" s="226">
        <f t="shared" si="253"/>
        <v>107941507.059908</v>
      </c>
      <c r="BA152" s="231">
        <f>BA153+BA167+BA169+BA189+BA196</f>
        <v>1</v>
      </c>
      <c r="BB152" s="231">
        <f>BB153+BB167+BB169+BB189+BB196</f>
        <v>1</v>
      </c>
      <c r="BC152" s="228">
        <f t="shared" si="217"/>
        <v>72386631.443726301</v>
      </c>
    </row>
    <row r="153" spans="1:55" s="229" customFormat="1" outlineLevel="1" x14ac:dyDescent="0.25">
      <c r="A153" s="222">
        <v>2</v>
      </c>
      <c r="B153" s="230">
        <f>EEFFun!B325</f>
        <v>21</v>
      </c>
      <c r="C153" s="230" t="str">
        <f>EEFFun!C325</f>
        <v>OBLIGACIONES CON EL PUBLICO</v>
      </c>
      <c r="D153" s="225">
        <f>EEFFun!P325</f>
        <v>33474627.530000001</v>
      </c>
      <c r="E153" s="225">
        <f>EEFFun!Q325</f>
        <v>33076530.940000001</v>
      </c>
      <c r="F153" s="225">
        <f>EEFFun!R325</f>
        <v>32542783.809999999</v>
      </c>
      <c r="G153" s="225">
        <f>EEFFun!S325</f>
        <v>32688741.670000002</v>
      </c>
      <c r="H153" s="225">
        <f>EEFFun!T325</f>
        <v>31323782.859999999</v>
      </c>
      <c r="I153" s="225">
        <f>EEFFun!U325</f>
        <v>30646542.879999999</v>
      </c>
      <c r="J153" s="225">
        <f>EEFFun!V325</f>
        <v>30175093.699999999</v>
      </c>
      <c r="K153" s="225">
        <f>EEFFun!W325</f>
        <v>29708156.25</v>
      </c>
      <c r="L153" s="225">
        <f>EEFFun!X325</f>
        <v>29331614.530000001</v>
      </c>
      <c r="M153" s="225">
        <f>EEFFun!Y325</f>
        <v>28758404.260000002</v>
      </c>
      <c r="N153" s="225">
        <f>EEFFun!Z325</f>
        <v>30002048.82</v>
      </c>
      <c r="O153" s="225">
        <f>EEFFun!AA325</f>
        <v>29945443.190000001</v>
      </c>
      <c r="P153" s="225">
        <f>EEFFun!AB325</f>
        <v>29670156.870000001</v>
      </c>
      <c r="Q153" s="225">
        <f>EEFFun!AC325</f>
        <v>29727154.920000002</v>
      </c>
      <c r="R153" s="225">
        <f>EEFFun!AD325</f>
        <v>29562549.100000001</v>
      </c>
      <c r="S153" s="225">
        <f>EEFFun!AE325</f>
        <v>29807181.149999999</v>
      </c>
      <c r="T153" s="225">
        <f>EEFFun!AF325</f>
        <v>30256838.489999998</v>
      </c>
      <c r="U153" s="225">
        <f>EEFFun!AG325</f>
        <v>33415403.210000001</v>
      </c>
      <c r="V153" s="225">
        <f>EEFFun!AH325</f>
        <v>33400252.079999998</v>
      </c>
      <c r="W153" s="225">
        <f>EEFFun!AI325</f>
        <v>32718034.23</v>
      </c>
      <c r="X153" s="225">
        <f>EEFFun!AJ325</f>
        <v>33378953.420000002</v>
      </c>
      <c r="Y153" s="225">
        <f>EEFFun!AK325</f>
        <v>33247974.059999999</v>
      </c>
      <c r="Z153" s="225">
        <f>EEFFun!AL325</f>
        <v>34538852.799999997</v>
      </c>
      <c r="AA153" s="225">
        <f>EEFFun!AM325</f>
        <v>35257549.18</v>
      </c>
      <c r="AB153" s="225">
        <f>EEFFun!AN325</f>
        <v>36652317.259999998</v>
      </c>
      <c r="AC153" s="225">
        <f>EEFFun!AO325</f>
        <v>38639818.140000001</v>
      </c>
      <c r="AD153" s="225">
        <f>EEFFun!AP325</f>
        <v>40665920.399999999</v>
      </c>
      <c r="AE153" s="225">
        <f>EEFFun!AQ325</f>
        <v>41861894.119999997</v>
      </c>
      <c r="AF153" s="225">
        <f>EEFFun!AR325</f>
        <v>42994695.390000001</v>
      </c>
      <c r="AG153" s="225">
        <f>EEFFun!AS325</f>
        <v>45618494.170000002</v>
      </c>
      <c r="AH153" s="225">
        <f>EEFFun!AT325</f>
        <v>47667087.409999996</v>
      </c>
      <c r="AI153" s="225">
        <f>EEFFun!AU325</f>
        <v>51116295.619999997</v>
      </c>
      <c r="AJ153" s="225">
        <f>EEFFun!AV325</f>
        <v>52915603.380000003</v>
      </c>
      <c r="AK153" s="225">
        <f>EEFFun!AW325</f>
        <v>54576179.469999999</v>
      </c>
      <c r="AL153" s="225">
        <f>EEFFun!AX325</f>
        <v>56448059.579999998</v>
      </c>
      <c r="AM153" s="226">
        <f t="shared" ref="AM153:AS153" si="256">AM154+AM160+AM166</f>
        <v>62844559.579999983</v>
      </c>
      <c r="AN153" s="226">
        <f t="shared" si="256"/>
        <v>69241059.579999998</v>
      </c>
      <c r="AO153" s="226">
        <f t="shared" si="256"/>
        <v>75637559.579999998</v>
      </c>
      <c r="AP153" s="226">
        <f t="shared" si="256"/>
        <v>82034059.580000013</v>
      </c>
      <c r="AQ153" s="226">
        <f t="shared" si="256"/>
        <v>88430559.579999998</v>
      </c>
      <c r="AR153" s="226">
        <f t="shared" si="256"/>
        <v>94827059.580000013</v>
      </c>
      <c r="AS153" s="226">
        <f t="shared" si="256"/>
        <v>101223559.58</v>
      </c>
      <c r="AT153" s="226">
        <f t="shared" ref="AT153" si="257">AT154+AT160+AT166</f>
        <v>107620059.58000001</v>
      </c>
      <c r="AU153" s="226">
        <f t="shared" ref="AU153" si="258">AU154+AU160+AU166</f>
        <v>113816559.58000001</v>
      </c>
      <c r="AV153" s="226">
        <f t="shared" ref="AV153" si="259">AV154+AV160+AV166</f>
        <v>120213059.58</v>
      </c>
      <c r="AW153" s="226">
        <f t="shared" ref="AW153" si="260">AW154+AW160+AW166</f>
        <v>126609559.58000003</v>
      </c>
      <c r="AX153" s="226">
        <f t="shared" ref="AX153" si="261">AX154+AX160+AX166</f>
        <v>133006059.58000001</v>
      </c>
      <c r="AY153" s="226">
        <f t="shared" ref="AY153:AY184" si="262">AX153-V153</f>
        <v>99605807.500000015</v>
      </c>
      <c r="AZ153" s="226">
        <f t="shared" ref="AZ153:AZ184" si="263">AX153-P153</f>
        <v>103335902.71000001</v>
      </c>
      <c r="BA153" s="231">
        <f t="shared" ref="BA153:BA184" si="264">P153/$P$152</f>
        <v>0.91678527491563755</v>
      </c>
      <c r="BB153" s="231">
        <f t="shared" ref="BB153:BB185" si="265">AX153/$AX$152</f>
        <v>0.94797964336688678</v>
      </c>
      <c r="BC153" s="228">
        <f t="shared" si="217"/>
        <v>74902025.350000009</v>
      </c>
    </row>
    <row r="154" spans="1:55" outlineLevel="2" collapsed="1" x14ac:dyDescent="0.25">
      <c r="A154" s="222">
        <v>4</v>
      </c>
      <c r="B154" s="233">
        <f>EEFFun!B326</f>
        <v>2101</v>
      </c>
      <c r="C154" s="234" t="str">
        <f>EEFFun!C326</f>
        <v>Depósitos a la vista</v>
      </c>
      <c r="D154" s="235">
        <f>EEFFun!P326</f>
        <v>2785447.84</v>
      </c>
      <c r="E154" s="235">
        <f>EEFFun!Q326</f>
        <v>2149664.19</v>
      </c>
      <c r="F154" s="235">
        <f>EEFFun!R326</f>
        <v>2220716.85</v>
      </c>
      <c r="G154" s="235">
        <f>EEFFun!S326</f>
        <v>2486838.7400000002</v>
      </c>
      <c r="H154" s="235">
        <f>EEFFun!T326</f>
        <v>2370594.61</v>
      </c>
      <c r="I154" s="235">
        <f>EEFFun!U326</f>
        <v>2070144.32</v>
      </c>
      <c r="J154" s="235">
        <f>EEFFun!V326</f>
        <v>1932542.77</v>
      </c>
      <c r="K154" s="235">
        <f>EEFFun!W326</f>
        <v>2143831.6800000002</v>
      </c>
      <c r="L154" s="235">
        <f>EEFFun!X326</f>
        <v>2109438.85</v>
      </c>
      <c r="M154" s="235">
        <f>EEFFun!Y326</f>
        <v>1554788.74</v>
      </c>
      <c r="N154" s="235">
        <f>EEFFun!Z326</f>
        <v>1585440.94</v>
      </c>
      <c r="O154" s="235">
        <f>EEFFun!AA326</f>
        <v>1720835.11</v>
      </c>
      <c r="P154" s="235">
        <f>EEFFun!AB326</f>
        <v>1654073.08</v>
      </c>
      <c r="Q154" s="235">
        <f>EEFFun!AC326</f>
        <v>1763984.37</v>
      </c>
      <c r="R154" s="235">
        <f>EEFFun!AD326</f>
        <v>1565857.09</v>
      </c>
      <c r="S154" s="235">
        <f>EEFFun!AE326</f>
        <v>1674007.78</v>
      </c>
      <c r="T154" s="235">
        <f>EEFFun!AF326</f>
        <v>1828667.75</v>
      </c>
      <c r="U154" s="235">
        <f>EEFFun!AG326</f>
        <v>5321348.2300000004</v>
      </c>
      <c r="V154" s="235">
        <f>EEFFun!AH326</f>
        <v>5398046.9900000002</v>
      </c>
      <c r="W154" s="235">
        <f>EEFFun!AI326</f>
        <v>3624771.57</v>
      </c>
      <c r="X154" s="235">
        <f>EEFFun!AJ326</f>
        <v>3473864.84</v>
      </c>
      <c r="Y154" s="235">
        <f>EEFFun!AK326</f>
        <v>3550861.75</v>
      </c>
      <c r="Z154" s="235">
        <f>EEFFun!AL326</f>
        <v>2598330.56</v>
      </c>
      <c r="AA154" s="235">
        <f>EEFFun!AM326</f>
        <v>2793866.7</v>
      </c>
      <c r="AB154" s="235">
        <f>EEFFun!AN326</f>
        <v>3550753.7</v>
      </c>
      <c r="AC154" s="235">
        <f>EEFFun!AO326</f>
        <v>3344738.82</v>
      </c>
      <c r="AD154" s="235">
        <f>EEFFun!AP326</f>
        <v>3213452.6</v>
      </c>
      <c r="AE154" s="235">
        <f>EEFFun!AQ326</f>
        <v>3495435.68</v>
      </c>
      <c r="AF154" s="235">
        <f>EEFFun!AR326</f>
        <v>3281849.34</v>
      </c>
      <c r="AG154" s="235">
        <f>EEFFun!AS326</f>
        <v>3448782.41</v>
      </c>
      <c r="AH154" s="235">
        <f>EEFFun!AT326</f>
        <v>4105433.61</v>
      </c>
      <c r="AI154" s="235">
        <f>EEFFun!AU326</f>
        <v>4288749.26</v>
      </c>
      <c r="AJ154" s="235">
        <f>EEFFun!AV326</f>
        <v>4189119.69</v>
      </c>
      <c r="AK154" s="235">
        <f>EEFFun!AW326</f>
        <v>3597423.31</v>
      </c>
      <c r="AL154" s="235">
        <f>EEFFun!AX326</f>
        <v>3263886.28</v>
      </c>
      <c r="AM154" s="236">
        <f t="shared" ref="AM154:AS154" si="266">SUM(AM155:AM159)</f>
        <v>3463886.2800000003</v>
      </c>
      <c r="AN154" s="236">
        <f t="shared" si="266"/>
        <v>3663886.28</v>
      </c>
      <c r="AO154" s="236">
        <f t="shared" si="266"/>
        <v>3863886.28</v>
      </c>
      <c r="AP154" s="236">
        <f t="shared" si="266"/>
        <v>4063886.28</v>
      </c>
      <c r="AQ154" s="236">
        <f t="shared" si="266"/>
        <v>4263886.2799999993</v>
      </c>
      <c r="AR154" s="236">
        <f t="shared" si="266"/>
        <v>4463886.2800000012</v>
      </c>
      <c r="AS154" s="236">
        <f t="shared" si="266"/>
        <v>4663886.28</v>
      </c>
      <c r="AT154" s="236">
        <f t="shared" ref="AT154" si="267">SUM(AT155:AT159)</f>
        <v>4863886.28</v>
      </c>
      <c r="AU154" s="236">
        <f t="shared" ref="AU154" si="268">SUM(AU155:AU159)</f>
        <v>4863886.28</v>
      </c>
      <c r="AV154" s="236">
        <f t="shared" ref="AV154" si="269">SUM(AV155:AV159)</f>
        <v>5063886.2800000012</v>
      </c>
      <c r="AW154" s="236">
        <f t="shared" ref="AW154" si="270">SUM(AW155:AW159)</f>
        <v>5263886.2799999993</v>
      </c>
      <c r="AX154" s="236">
        <f t="shared" ref="AX154" si="271">SUM(AX155:AX159)</f>
        <v>5463886.2800000003</v>
      </c>
      <c r="AY154" s="236">
        <f t="shared" si="262"/>
        <v>65839.290000000037</v>
      </c>
      <c r="AZ154" s="236">
        <f t="shared" si="263"/>
        <v>3809813.2</v>
      </c>
      <c r="BA154" s="232">
        <f t="shared" si="264"/>
        <v>5.1109599791554973E-2</v>
      </c>
      <c r="BB154" s="232">
        <f t="shared" si="265"/>
        <v>3.8942984879543681E-2</v>
      </c>
      <c r="BC154" s="228">
        <f t="shared" si="217"/>
        <v>1239114.7100000004</v>
      </c>
    </row>
    <row r="155" spans="1:55" outlineLevel="2" collapsed="1" x14ac:dyDescent="0.25">
      <c r="A155" s="222">
        <v>6</v>
      </c>
      <c r="B155" s="234">
        <f>EEFFun!B327</f>
        <v>210105</v>
      </c>
      <c r="C155" s="234" t="str">
        <f>EEFFun!C327</f>
        <v>Depósitos monetarios que generan intereses</v>
      </c>
      <c r="D155" s="235">
        <f>EEFFun!P327</f>
        <v>725392.49</v>
      </c>
      <c r="E155" s="235">
        <f>EEFFun!Q327</f>
        <v>768437.68</v>
      </c>
      <c r="F155" s="235">
        <f>EEFFun!R327</f>
        <v>806328.96</v>
      </c>
      <c r="G155" s="235">
        <f>EEFFun!S327</f>
        <v>1106248.8500000001</v>
      </c>
      <c r="H155" s="235">
        <f>EEFFun!T327</f>
        <v>1064365.51</v>
      </c>
      <c r="I155" s="235">
        <f>EEFFun!U327</f>
        <v>758720.07</v>
      </c>
      <c r="J155" s="235">
        <f>EEFFun!V327</f>
        <v>753232.43</v>
      </c>
      <c r="K155" s="235">
        <f>EEFFun!W327</f>
        <v>705190.11</v>
      </c>
      <c r="L155" s="235">
        <f>EEFFun!X327</f>
        <v>706149.68</v>
      </c>
      <c r="M155" s="235">
        <f>EEFFun!Y327</f>
        <v>604426.52</v>
      </c>
      <c r="N155" s="235">
        <f>EEFFun!Z327</f>
        <v>625475.59</v>
      </c>
      <c r="O155" s="235">
        <f>EEFFun!AA327</f>
        <v>578207.99</v>
      </c>
      <c r="P155" s="235">
        <f>EEFFun!AB327</f>
        <v>662845.12</v>
      </c>
      <c r="Q155" s="235">
        <f>EEFFun!AC327</f>
        <v>580515.13</v>
      </c>
      <c r="R155" s="235">
        <f>EEFFun!AD327</f>
        <v>567497.9</v>
      </c>
      <c r="S155" s="235">
        <f>EEFFun!AE327</f>
        <v>708952.11</v>
      </c>
      <c r="T155" s="235">
        <f>EEFFun!AF327</f>
        <v>862191.11</v>
      </c>
      <c r="U155" s="235">
        <f>EEFFun!AG327</f>
        <v>4295631.07</v>
      </c>
      <c r="V155" s="235">
        <f>EEFFun!AH327</f>
        <v>4313670.66</v>
      </c>
      <c r="W155" s="235">
        <f>EEFFun!AI327</f>
        <v>2580643.6</v>
      </c>
      <c r="X155" s="235">
        <f>EEFFun!AJ327</f>
        <v>2283295.27</v>
      </c>
      <c r="Y155" s="235">
        <f>EEFFun!AK327</f>
        <v>2355385.56</v>
      </c>
      <c r="Z155" s="235">
        <f>EEFFun!AL327</f>
        <v>1412352.12</v>
      </c>
      <c r="AA155" s="235">
        <f>EEFFun!AM327</f>
        <v>1594867.25</v>
      </c>
      <c r="AB155" s="235">
        <f>EEFFun!AN327</f>
        <v>1744096.21</v>
      </c>
      <c r="AC155" s="235">
        <f>EEFFun!AO327</f>
        <v>1590364.95</v>
      </c>
      <c r="AD155" s="235">
        <f>EEFFun!AP327</f>
        <v>1323385.83</v>
      </c>
      <c r="AE155" s="235">
        <f>EEFFun!AQ327</f>
        <v>1509371.31</v>
      </c>
      <c r="AF155" s="235">
        <f>EEFFun!AR327</f>
        <v>1770907.33</v>
      </c>
      <c r="AG155" s="235">
        <f>EEFFun!AS327</f>
        <v>1921778.76</v>
      </c>
      <c r="AH155" s="235">
        <f>EEFFun!AT327</f>
        <v>2478071.83</v>
      </c>
      <c r="AI155" s="235">
        <f>EEFFun!AU327</f>
        <v>2596953.81</v>
      </c>
      <c r="AJ155" s="235">
        <f>EEFFun!AV327</f>
        <v>2359999.52</v>
      </c>
      <c r="AK155" s="235">
        <f>EEFFun!AW327</f>
        <v>1302756.27</v>
      </c>
      <c r="AL155" s="235">
        <f>EEFFun!AX327</f>
        <v>1251670.18</v>
      </c>
      <c r="AM155" s="235">
        <f>(AC155/AC154)*CaptObFin!B5</f>
        <v>1647017.4883484282</v>
      </c>
      <c r="AN155" s="235">
        <f>(AD155/AD154)*CaptObFin!C5</f>
        <v>1508886.481065074</v>
      </c>
      <c r="AO155" s="235">
        <f>(AE155/AE154)*CaptObFin!D5</f>
        <v>1668472.7255901406</v>
      </c>
      <c r="AP155" s="235">
        <f>(AF155/AF154)*CaptObFin!E5</f>
        <v>2192899.5684909876</v>
      </c>
      <c r="AQ155" s="235">
        <f>(AG155/AG154)*CaptObFin!F5</f>
        <v>2375982.3363166056</v>
      </c>
      <c r="AR155" s="235">
        <f>(AH155/AH154)*CaptObFin!G5</f>
        <v>2694436.664582062</v>
      </c>
      <c r="AS155" s="235">
        <f>(AI155/AI154)*CaptObFin!H5</f>
        <v>2824109.433772943</v>
      </c>
      <c r="AT155" s="235">
        <f>(AJ155/AJ154)*CaptObFin!I5</f>
        <v>2740138.7727201907</v>
      </c>
      <c r="AU155" s="235">
        <f>(AK155/AK154)*CaptObFin!J5</f>
        <v>1761388.0274314941</v>
      </c>
      <c r="AV155" s="235">
        <f>(AL155/AL154)*CaptObFin!K5</f>
        <v>1941953.5203864796</v>
      </c>
      <c r="AW155" s="235">
        <f>(AM155/AM154)*CaptObFin!L5</f>
        <v>2502886.0819984395</v>
      </c>
      <c r="AX155" s="235">
        <f>(AN155/AN154)*CaptObFin!M5</f>
        <v>2250174.6811773148</v>
      </c>
      <c r="AY155" s="236">
        <f t="shared" si="262"/>
        <v>-2063495.9788226853</v>
      </c>
      <c r="AZ155" s="236">
        <f t="shared" si="263"/>
        <v>1587329.5611773147</v>
      </c>
      <c r="BA155" s="232">
        <f t="shared" si="264"/>
        <v>2.048140993080259E-2</v>
      </c>
      <c r="BB155" s="232">
        <f t="shared" si="265"/>
        <v>1.6037763982419521E-2</v>
      </c>
      <c r="BC155" s="228">
        <f t="shared" si="217"/>
        <v>159495.1727201906</v>
      </c>
    </row>
    <row r="156" spans="1:55" outlineLevel="2" collapsed="1" x14ac:dyDescent="0.25">
      <c r="A156" s="222">
        <v>6</v>
      </c>
      <c r="B156" s="234">
        <f>EEFFun!B329</f>
        <v>210110</v>
      </c>
      <c r="C156" s="234" t="str">
        <f>EEFFun!C329</f>
        <v>Depósitos monetarios que no generan intereses</v>
      </c>
      <c r="D156" s="235">
        <f>EEFFun!P329</f>
        <v>50011.85</v>
      </c>
      <c r="E156" s="235">
        <f>EEFFun!Q329</f>
        <v>36786.03</v>
      </c>
      <c r="F156" s="235">
        <f>EEFFun!R329</f>
        <v>36783.879999999997</v>
      </c>
      <c r="G156" s="235">
        <f>EEFFun!S329</f>
        <v>35041.99</v>
      </c>
      <c r="H156" s="235">
        <f>EEFFun!T329</f>
        <v>35041.99</v>
      </c>
      <c r="I156" s="235">
        <f>EEFFun!U329</f>
        <v>35041.99</v>
      </c>
      <c r="J156" s="235">
        <f>EEFFun!V329</f>
        <v>35041.99</v>
      </c>
      <c r="K156" s="235">
        <f>EEFFun!W329</f>
        <v>35041.99</v>
      </c>
      <c r="L156" s="235">
        <f>EEFFun!X329</f>
        <v>35041.99</v>
      </c>
      <c r="M156" s="235">
        <f>EEFFun!Y329</f>
        <v>35041.99</v>
      </c>
      <c r="N156" s="235">
        <f>EEFFun!Z329</f>
        <v>35041.99</v>
      </c>
      <c r="O156" s="235">
        <f>EEFFun!AA329</f>
        <v>35041.99</v>
      </c>
      <c r="P156" s="235">
        <f>EEFFun!AB329</f>
        <v>35041.99</v>
      </c>
      <c r="Q156" s="235">
        <f>EEFFun!AC329</f>
        <v>35041.99</v>
      </c>
      <c r="R156" s="235">
        <f>EEFFun!AD329</f>
        <v>35041.99</v>
      </c>
      <c r="S156" s="235">
        <f>EEFFun!AE329</f>
        <v>35041.99</v>
      </c>
      <c r="T156" s="235">
        <f>EEFFun!AF329</f>
        <v>35041.99</v>
      </c>
      <c r="U156" s="235">
        <f>EEFFun!AG329</f>
        <v>35041.99</v>
      </c>
      <c r="V156" s="235">
        <f>EEFFun!AH329</f>
        <v>35041.99</v>
      </c>
      <c r="W156" s="235">
        <f>EEFFun!AI329</f>
        <v>35041.99</v>
      </c>
      <c r="X156" s="235">
        <f>EEFFun!AJ329</f>
        <v>35041.99</v>
      </c>
      <c r="Y156" s="235">
        <f>EEFFun!AK329</f>
        <v>35041.99</v>
      </c>
      <c r="Z156" s="235">
        <f>EEFFun!AL329</f>
        <v>35041.99</v>
      </c>
      <c r="AA156" s="235">
        <f>EEFFun!AM329</f>
        <v>35041.99</v>
      </c>
      <c r="AB156" s="235">
        <f>EEFFun!AN329</f>
        <v>35042.94</v>
      </c>
      <c r="AC156" s="235">
        <f>EEFFun!AO329</f>
        <v>35042.94</v>
      </c>
      <c r="AD156" s="235">
        <f>EEFFun!AP329</f>
        <v>35042.94</v>
      </c>
      <c r="AE156" s="235">
        <f>EEFFun!AQ329</f>
        <v>35042.94</v>
      </c>
      <c r="AF156" s="235">
        <f>EEFFun!AR329</f>
        <v>35135.879999999997</v>
      </c>
      <c r="AG156" s="235">
        <f>EEFFun!AS329</f>
        <v>35568.44</v>
      </c>
      <c r="AH156" s="235">
        <f>EEFFun!AT329</f>
        <v>35568.44</v>
      </c>
      <c r="AI156" s="235">
        <f>EEFFun!AU329</f>
        <v>35568.44</v>
      </c>
      <c r="AJ156" s="235">
        <f>EEFFun!AV329</f>
        <v>35568.44</v>
      </c>
      <c r="AK156" s="235">
        <f>EEFFun!AW329</f>
        <v>35568.44</v>
      </c>
      <c r="AL156" s="235">
        <f>EEFFun!AX329</f>
        <v>36514.199999999997</v>
      </c>
      <c r="AM156" s="235">
        <f>(AC156/AC154)*CaptObFin!B5</f>
        <v>36291.251906139325</v>
      </c>
      <c r="AN156" s="235">
        <f>(AD156/AD154)*CaptObFin!C5</f>
        <v>39954.952836977645</v>
      </c>
      <c r="AO156" s="235">
        <f>(AE156/AE154)*CaptObFin!D5</f>
        <v>38736.783472114468</v>
      </c>
      <c r="AP156" s="235">
        <f>(AF156/AF154)*CaptObFin!E5</f>
        <v>43508.463026436912</v>
      </c>
      <c r="AQ156" s="235">
        <f>(AG156/AG154)*CaptObFin!F5</f>
        <v>43974.877300827808</v>
      </c>
      <c r="AR156" s="235">
        <f>(AH156/AH154)*CaptObFin!G5</f>
        <v>38673.983408296597</v>
      </c>
      <c r="AS156" s="235">
        <f>(AI156/AI154)*CaptObFin!H5</f>
        <v>38679.61246048766</v>
      </c>
      <c r="AT156" s="235">
        <f>(AJ156/AJ154)*CaptObFin!I5</f>
        <v>41297.661589851399</v>
      </c>
      <c r="AU156" s="235">
        <f>(AK156/AK154)*CaptObFin!J5</f>
        <v>48090.211356584339</v>
      </c>
      <c r="AV156" s="235">
        <f>(AL156/AL154)*CaptObFin!K5</f>
        <v>56651.408947120552</v>
      </c>
      <c r="AW156" s="235">
        <f>(AM156/AM154)*CaptObFin!L5</f>
        <v>55149.911847784635</v>
      </c>
      <c r="AX156" s="235">
        <f>(AN156/AN154)*CaptObFin!M5</f>
        <v>59584.086934054423</v>
      </c>
      <c r="AY156" s="236">
        <f t="shared" si="262"/>
        <v>24542.096934054425</v>
      </c>
      <c r="AZ156" s="236">
        <f t="shared" si="263"/>
        <v>24542.096934054425</v>
      </c>
      <c r="BA156" s="232">
        <f t="shared" si="264"/>
        <v>1.0827708318665529E-3</v>
      </c>
      <c r="BB156" s="232">
        <f t="shared" si="265"/>
        <v>4.2467615130055333E-4</v>
      </c>
      <c r="BC156" s="228">
        <f t="shared" si="217"/>
        <v>6255.6715898514012</v>
      </c>
    </row>
    <row r="157" spans="1:55" outlineLevel="2" collapsed="1" x14ac:dyDescent="0.25">
      <c r="A157" s="222">
        <v>6</v>
      </c>
      <c r="B157" s="234">
        <f>EEFFun!B331</f>
        <v>210130</v>
      </c>
      <c r="C157" s="234" t="str">
        <f>EEFFun!C331</f>
        <v>Cheques Certificados</v>
      </c>
      <c r="D157" s="235">
        <f>EEFFun!P331</f>
        <v>39856.6</v>
      </c>
      <c r="E157" s="235">
        <f>EEFFun!Q331</f>
        <v>40631.440000000002</v>
      </c>
      <c r="F157" s="235">
        <f>EEFFun!R331</f>
        <v>40007.919999999998</v>
      </c>
      <c r="G157" s="235">
        <f>EEFFun!S331</f>
        <v>39856.6</v>
      </c>
      <c r="H157" s="235">
        <f>EEFFun!T331</f>
        <v>36177.72</v>
      </c>
      <c r="I157" s="235">
        <f>EEFFun!U331</f>
        <v>35465.08</v>
      </c>
      <c r="J157" s="235">
        <f>EEFFun!V331</f>
        <v>35360.839999999997</v>
      </c>
      <c r="K157" s="235">
        <f>EEFFun!W331</f>
        <v>35263.68</v>
      </c>
      <c r="L157" s="235">
        <f>EEFFun!X331</f>
        <v>35327.71</v>
      </c>
      <c r="M157" s="235">
        <f>EEFFun!Y331</f>
        <v>35263.68</v>
      </c>
      <c r="N157" s="235">
        <f>EEFFun!Z331</f>
        <v>35263.68</v>
      </c>
      <c r="O157" s="235">
        <f>EEFFun!AA331</f>
        <v>35263.68</v>
      </c>
      <c r="P157" s="235">
        <f>EEFFun!AB331</f>
        <v>35263.68</v>
      </c>
      <c r="Q157" s="235">
        <f>EEFFun!AC331</f>
        <v>35263.68</v>
      </c>
      <c r="R157" s="235">
        <f>EEFFun!AD331</f>
        <v>35263.68</v>
      </c>
      <c r="S157" s="235">
        <f>EEFFun!AE331</f>
        <v>35860.339999999997</v>
      </c>
      <c r="T157" s="235">
        <f>EEFFun!AF331</f>
        <v>35903.07</v>
      </c>
      <c r="U157" s="235">
        <f>EEFFun!AG331</f>
        <v>35505.68</v>
      </c>
      <c r="V157" s="235">
        <f>EEFFun!AH331</f>
        <v>35863.410000000003</v>
      </c>
      <c r="W157" s="235">
        <f>EEFFun!AI331</f>
        <v>35263.68</v>
      </c>
      <c r="X157" s="235">
        <f>EEFFun!AJ331</f>
        <v>35263.68</v>
      </c>
      <c r="Y157" s="235">
        <f>EEFFun!AK331</f>
        <v>35608.68</v>
      </c>
      <c r="Z157" s="235">
        <f>EEFFun!AL331</f>
        <v>35608.68</v>
      </c>
      <c r="AA157" s="235">
        <f>EEFFun!AM331</f>
        <v>36282.5</v>
      </c>
      <c r="AB157" s="235">
        <f>EEFFun!AN331</f>
        <v>35608.68</v>
      </c>
      <c r="AC157" s="235">
        <f>EEFFun!AO331</f>
        <v>98885.47</v>
      </c>
      <c r="AD157" s="235">
        <f>EEFFun!AP331</f>
        <v>10292.32</v>
      </c>
      <c r="AE157" s="235">
        <f>EEFFun!AQ331</f>
        <v>10292.32</v>
      </c>
      <c r="AF157" s="235">
        <f>EEFFun!AR331</f>
        <v>10292.32</v>
      </c>
      <c r="AG157" s="235">
        <f>EEFFun!AS331</f>
        <v>10292.32</v>
      </c>
      <c r="AH157" s="235">
        <f>EEFFun!AT331</f>
        <v>10292.32</v>
      </c>
      <c r="AI157" s="235">
        <f>EEFFun!AU331</f>
        <v>10446.76</v>
      </c>
      <c r="AJ157" s="235">
        <f>EEFFun!AV331</f>
        <v>10292.32</v>
      </c>
      <c r="AK157" s="235">
        <f>EEFFun!AW331</f>
        <v>10292.32</v>
      </c>
      <c r="AL157" s="235">
        <f>EEFFun!AX331</f>
        <v>10292.32</v>
      </c>
      <c r="AM157" s="235">
        <f>(AC157/AC154)*CaptObFin!B5</f>
        <v>102408.0029137676</v>
      </c>
      <c r="AN157" s="235">
        <f>(AD157/AD154)*CaptObFin!C5</f>
        <v>11735.007399010521</v>
      </c>
      <c r="AO157" s="235">
        <f>(AE157/AE154)*CaptObFin!D5</f>
        <v>11377.223807868664</v>
      </c>
      <c r="AP157" s="235">
        <f>(AF157/AF154)*CaptObFin!E5</f>
        <v>12744.892804058336</v>
      </c>
      <c r="AQ157" s="235">
        <f>(AG157/AG154)*CaptObFin!F5</f>
        <v>12724.862522529973</v>
      </c>
      <c r="AR157" s="235">
        <f>(AH157/AH154)*CaptObFin!G5</f>
        <v>11190.960663804182</v>
      </c>
      <c r="AS157" s="235">
        <f>(AI157/AI154)*CaptObFin!H5</f>
        <v>11360.538394928875</v>
      </c>
      <c r="AT157" s="235">
        <f>(AJ157/AJ154)*CaptObFin!I5</f>
        <v>11950.165605645325</v>
      </c>
      <c r="AU157" s="235">
        <f>(AK157/AK154)*CaptObFin!J5</f>
        <v>13915.70291386409</v>
      </c>
      <c r="AV157" s="235">
        <f>(AL157/AL154)*CaptObFin!K5</f>
        <v>15968.429524257079</v>
      </c>
      <c r="AW157" s="235">
        <f>(AM157/AM154)*CaptObFin!L5</f>
        <v>155624.07017010421</v>
      </c>
      <c r="AX157" s="235">
        <f>(AN157/AN154)*CaptObFin!M5</f>
        <v>17500.200885916165</v>
      </c>
      <c r="AY157" s="236">
        <f t="shared" si="262"/>
        <v>-18363.209114083838</v>
      </c>
      <c r="AZ157" s="236">
        <f t="shared" si="263"/>
        <v>-17763.479114083835</v>
      </c>
      <c r="BA157" s="232">
        <f t="shared" si="264"/>
        <v>1.0896208842099415E-3</v>
      </c>
      <c r="BB157" s="232">
        <f t="shared" si="265"/>
        <v>1.2472991266011672E-4</v>
      </c>
      <c r="BC157" s="228">
        <f t="shared" si="217"/>
        <v>-23313.514394354675</v>
      </c>
    </row>
    <row r="158" spans="1:55" outlineLevel="2" collapsed="1" x14ac:dyDescent="0.25">
      <c r="A158" s="222">
        <v>6</v>
      </c>
      <c r="B158" s="234">
        <f>EEFFun!B332</f>
        <v>210135</v>
      </c>
      <c r="C158" s="234" t="str">
        <f>EEFFun!C332</f>
        <v>Depósitos de Ahorro</v>
      </c>
      <c r="D158" s="235">
        <f>EEFFun!P332</f>
        <v>1882581.93</v>
      </c>
      <c r="E158" s="235">
        <f>EEFFun!Q332</f>
        <v>1232938.6299999999</v>
      </c>
      <c r="F158" s="235">
        <f>EEFFun!R332</f>
        <v>1257058.82</v>
      </c>
      <c r="G158" s="235">
        <f>EEFFun!S332</f>
        <v>1186020.54</v>
      </c>
      <c r="H158" s="235">
        <f>EEFFun!T332</f>
        <v>1132962</v>
      </c>
      <c r="I158" s="235">
        <f>EEFFun!U332</f>
        <v>1169319.18</v>
      </c>
      <c r="J158" s="235">
        <f>EEFFun!V332</f>
        <v>1055075.98</v>
      </c>
      <c r="K158" s="235">
        <f>EEFFun!W332</f>
        <v>1279696.44</v>
      </c>
      <c r="L158" s="235">
        <f>EEFFun!X332</f>
        <v>1261747.8899999999</v>
      </c>
      <c r="M158" s="235">
        <f>EEFFun!Y332</f>
        <v>822670.21</v>
      </c>
      <c r="N158" s="235">
        <f>EEFFun!Z332</f>
        <v>804620.88</v>
      </c>
      <c r="O158" s="235">
        <f>EEFFun!AA332</f>
        <v>1015053.9</v>
      </c>
      <c r="P158" s="235">
        <f>EEFFun!AB332</f>
        <v>854348.73</v>
      </c>
      <c r="Q158" s="235">
        <f>EEFFun!AC332</f>
        <v>767708.17</v>
      </c>
      <c r="R158" s="235">
        <f>EEFFun!AD332</f>
        <v>837219.77</v>
      </c>
      <c r="S158" s="235">
        <f>EEFFun!AE332</f>
        <v>830640.39</v>
      </c>
      <c r="T158" s="235">
        <f>EEFFun!AF332</f>
        <v>835857.77</v>
      </c>
      <c r="U158" s="235">
        <f>EEFFun!AG332</f>
        <v>890394.72</v>
      </c>
      <c r="V158" s="235">
        <f>EEFFun!AH332</f>
        <v>945972.84</v>
      </c>
      <c r="W158" s="235">
        <f>EEFFun!AI332</f>
        <v>901281.57</v>
      </c>
      <c r="X158" s="235">
        <f>EEFFun!AJ332</f>
        <v>1020458.46</v>
      </c>
      <c r="Y158" s="235">
        <f>EEFFun!AK332</f>
        <v>1034647.67</v>
      </c>
      <c r="Z158" s="235">
        <f>EEFFun!AL332</f>
        <v>1053340.73</v>
      </c>
      <c r="AA158" s="235">
        <f>EEFFun!AM332</f>
        <v>1056657.27</v>
      </c>
      <c r="AB158" s="235">
        <f>EEFFun!AN332</f>
        <v>1585527.91</v>
      </c>
      <c r="AC158" s="235">
        <f>EEFFun!AO332</f>
        <v>1509714.23</v>
      </c>
      <c r="AD158" s="235">
        <f>EEFFun!AP332</f>
        <v>1800342.73</v>
      </c>
      <c r="AE158" s="235">
        <f>EEFFun!AQ332</f>
        <v>1792106.36</v>
      </c>
      <c r="AF158" s="235">
        <f>EEFFun!AR332</f>
        <v>1404069.57</v>
      </c>
      <c r="AG158" s="235">
        <f>EEFFun!AS332</f>
        <v>1366934.42</v>
      </c>
      <c r="AH158" s="235">
        <f>EEFFun!AT332</f>
        <v>1373091.65</v>
      </c>
      <c r="AI158" s="235">
        <f>EEFFun!AU332</f>
        <v>1514111.92</v>
      </c>
      <c r="AJ158" s="235">
        <f>EEFFun!AV332</f>
        <v>1681279.94</v>
      </c>
      <c r="AK158" s="235">
        <f>EEFFun!AW332</f>
        <v>2176796.6800000002</v>
      </c>
      <c r="AL158" s="235">
        <f>EEFFun!AX332</f>
        <v>1890406.27</v>
      </c>
      <c r="AM158" s="235">
        <f>(AC158/AC154)*CaptObFin!B5</f>
        <v>1563493.8000981985</v>
      </c>
      <c r="AN158" s="235">
        <f>(AD158/AD154)*CaptObFin!C5</f>
        <v>2052699.0277512553</v>
      </c>
      <c r="AO158" s="235">
        <f>(AE158/AE154)*CaptObFin!D5</f>
        <v>1981010.6123036258</v>
      </c>
      <c r="AP158" s="235">
        <f>(AF158/AF154)*CaptObFin!E5</f>
        <v>1738647.4729789088</v>
      </c>
      <c r="AQ158" s="235">
        <f>(AG158/AG154)*CaptObFin!F5</f>
        <v>1690003.0869438809</v>
      </c>
      <c r="AR158" s="235">
        <f>(AH158/AH154)*CaptObFin!G5</f>
        <v>1492978.7106257849</v>
      </c>
      <c r="AS158" s="235">
        <f>(AI158/AI154)*CaptObFin!H5</f>
        <v>1646551.3327940414</v>
      </c>
      <c r="AT158" s="235">
        <f>(AJ158/AJ154)*CaptObFin!I5</f>
        <v>1952093.7662693576</v>
      </c>
      <c r="AU158" s="235">
        <f>(AK158/AK154)*CaptObFin!J5</f>
        <v>2943131.9569121129</v>
      </c>
      <c r="AV158" s="235">
        <f>(AL158/AL154)*CaptObFin!K5</f>
        <v>2932946.0505220103</v>
      </c>
      <c r="AW158" s="235">
        <f>(AM158/AM154)*CaptObFin!L5</f>
        <v>2375959.5142372772</v>
      </c>
      <c r="AX158" s="235">
        <f>(AN158/AN154)*CaptObFin!M5</f>
        <v>3061152.3386854203</v>
      </c>
      <c r="AY158" s="236">
        <f t="shared" si="262"/>
        <v>2115179.4986854205</v>
      </c>
      <c r="AZ158" s="236">
        <f t="shared" si="263"/>
        <v>2206803.6086854204</v>
      </c>
      <c r="BA158" s="232">
        <f t="shared" si="264"/>
        <v>2.6398725788296641E-2</v>
      </c>
      <c r="BB158" s="232">
        <f t="shared" si="265"/>
        <v>2.1817878910797187E-2</v>
      </c>
      <c r="BC158" s="228">
        <f t="shared" si="217"/>
        <v>1050812.1962693576</v>
      </c>
    </row>
    <row r="159" spans="1:55" outlineLevel="2" collapsed="1" x14ac:dyDescent="0.25">
      <c r="A159" s="222">
        <v>6</v>
      </c>
      <c r="B159" s="234">
        <f>EEFFun!B335</f>
        <v>210140</v>
      </c>
      <c r="C159" s="234" t="str">
        <f>EEFFun!C335</f>
        <v>Otros depósitos</v>
      </c>
      <c r="D159" s="235">
        <f>EEFFun!P335</f>
        <v>87604.97</v>
      </c>
      <c r="E159" s="235">
        <f>EEFFun!Q335</f>
        <v>70870.41</v>
      </c>
      <c r="F159" s="235">
        <f>EEFFun!R335</f>
        <v>80537.27</v>
      </c>
      <c r="G159" s="235">
        <f>EEFFun!S335</f>
        <v>119670.76</v>
      </c>
      <c r="H159" s="235">
        <f>EEFFun!T335</f>
        <v>102047.39</v>
      </c>
      <c r="I159" s="235">
        <f>EEFFun!U335</f>
        <v>71598</v>
      </c>
      <c r="J159" s="235">
        <f>EEFFun!V335</f>
        <v>53831.53</v>
      </c>
      <c r="K159" s="235">
        <f>EEFFun!W335</f>
        <v>88639.46</v>
      </c>
      <c r="L159" s="235">
        <f>EEFFun!X335</f>
        <v>71171.58</v>
      </c>
      <c r="M159" s="235">
        <f>EEFFun!Y335</f>
        <v>57386.34</v>
      </c>
      <c r="N159" s="235">
        <f>EEFFun!Z335</f>
        <v>85038.8</v>
      </c>
      <c r="O159" s="235">
        <f>EEFFun!AA335</f>
        <v>57267.55</v>
      </c>
      <c r="P159" s="235">
        <f>EEFFun!AB335</f>
        <v>66573.56</v>
      </c>
      <c r="Q159" s="235">
        <f>EEFFun!AC335</f>
        <v>345455.4</v>
      </c>
      <c r="R159" s="235">
        <f>EEFFun!AD335</f>
        <v>90833.75</v>
      </c>
      <c r="S159" s="235">
        <f>EEFFun!AE335</f>
        <v>63512.95</v>
      </c>
      <c r="T159" s="235">
        <f>EEFFun!AF335</f>
        <v>59673.81</v>
      </c>
      <c r="U159" s="235">
        <f>EEFFun!AG335</f>
        <v>64774.77</v>
      </c>
      <c r="V159" s="235">
        <f>EEFFun!AH335</f>
        <v>67498.09</v>
      </c>
      <c r="W159" s="235">
        <f>EEFFun!AI335</f>
        <v>72540.73</v>
      </c>
      <c r="X159" s="235">
        <f>EEFFun!AJ335</f>
        <v>99805.440000000002</v>
      </c>
      <c r="Y159" s="235">
        <f>EEFFun!AK335</f>
        <v>90177.85</v>
      </c>
      <c r="Z159" s="235">
        <f>EEFFun!AL335</f>
        <v>61987.040000000001</v>
      </c>
      <c r="AA159" s="235">
        <f>EEFFun!AM335</f>
        <v>71017.69</v>
      </c>
      <c r="AB159" s="235">
        <f>EEFFun!AN335</f>
        <v>150477.96</v>
      </c>
      <c r="AC159" s="235">
        <f>EEFFun!AO335</f>
        <v>110731.23</v>
      </c>
      <c r="AD159" s="235">
        <f>EEFFun!AP335</f>
        <v>44388.78</v>
      </c>
      <c r="AE159" s="235">
        <f>EEFFun!AQ335</f>
        <v>148622.75</v>
      </c>
      <c r="AF159" s="235">
        <f>EEFFun!AR335</f>
        <v>61444.24</v>
      </c>
      <c r="AG159" s="235">
        <f>EEFFun!AS335</f>
        <v>114208.47</v>
      </c>
      <c r="AH159" s="235">
        <f>EEFFun!AT335</f>
        <v>208409.37</v>
      </c>
      <c r="AI159" s="235">
        <f>EEFFun!AU335</f>
        <v>131668.32999999999</v>
      </c>
      <c r="AJ159" s="235">
        <f>EEFFun!AV335</f>
        <v>101979.47</v>
      </c>
      <c r="AK159" s="235">
        <f>EEFFun!AW335</f>
        <v>72009.600000000006</v>
      </c>
      <c r="AL159" s="235">
        <f>EEFFun!AX335</f>
        <v>75003.31</v>
      </c>
      <c r="AM159" s="235">
        <f>(AC159/AC154)*CaptObFin!B5</f>
        <v>114675.7367334662</v>
      </c>
      <c r="AN159" s="235">
        <f>(AD159/AD154)*CaptObFin!C5</f>
        <v>50610.810947682374</v>
      </c>
      <c r="AO159" s="235">
        <f>(AE159/AE154)*CaptObFin!D5</f>
        <v>164288.9348262503</v>
      </c>
      <c r="AP159" s="235">
        <f>(AF159/AF154)*CaptObFin!E5</f>
        <v>76085.882699608381</v>
      </c>
      <c r="AQ159" s="235">
        <f>(AG159/AG154)*CaptObFin!F5</f>
        <v>141201.11691615582</v>
      </c>
      <c r="AR159" s="235">
        <f>(AH159/AH154)*CaptObFin!G5</f>
        <v>226605.96072005256</v>
      </c>
      <c r="AS159" s="235">
        <f>(AI159/AI154)*CaptObFin!H5</f>
        <v>143185.36257759971</v>
      </c>
      <c r="AT159" s="235">
        <f>(AJ159/AJ154)*CaptObFin!I5</f>
        <v>118405.91381495514</v>
      </c>
      <c r="AU159" s="235">
        <f>(AK159/AK154)*CaptObFin!J5</f>
        <v>97360.381385944827</v>
      </c>
      <c r="AV159" s="235">
        <f>(AL159/AL154)*CaptObFin!K5</f>
        <v>116366.87062013289</v>
      </c>
      <c r="AW159" s="235">
        <f>(AM159/AM154)*CaptObFin!L5</f>
        <v>174266.70174639355</v>
      </c>
      <c r="AX159" s="235">
        <f>(AN159/AN154)*CaptObFin!M5</f>
        <v>75474.972317294611</v>
      </c>
      <c r="AY159" s="236">
        <f t="shared" si="262"/>
        <v>7976.882317294614</v>
      </c>
      <c r="AZ159" s="236">
        <f t="shared" si="263"/>
        <v>8901.4123172946129</v>
      </c>
      <c r="BA159" s="232">
        <f t="shared" si="264"/>
        <v>2.057072356379243E-3</v>
      </c>
      <c r="BB159" s="232">
        <f t="shared" si="265"/>
        <v>5.3793592236630185E-4</v>
      </c>
      <c r="BC159" s="228">
        <f t="shared" si="217"/>
        <v>45865.183814955148</v>
      </c>
    </row>
    <row r="160" spans="1:55" outlineLevel="2" collapsed="1" x14ac:dyDescent="0.25">
      <c r="A160" s="222">
        <v>4</v>
      </c>
      <c r="B160" s="233">
        <f>EEFFun!B337</f>
        <v>2103</v>
      </c>
      <c r="C160" s="234" t="str">
        <f>EEFFun!C337</f>
        <v>Depósitos a plazo</v>
      </c>
      <c r="D160" s="235">
        <f>EEFFun!P337</f>
        <v>30608843.57</v>
      </c>
      <c r="E160" s="235">
        <f>EEFFun!Q337</f>
        <v>30846530.629999999</v>
      </c>
      <c r="F160" s="235">
        <f>EEFFun!R337</f>
        <v>30241730.84</v>
      </c>
      <c r="G160" s="235">
        <f>EEFFun!S337</f>
        <v>30121566.809999999</v>
      </c>
      <c r="H160" s="235">
        <f>EEFFun!T337</f>
        <v>28872852.129999999</v>
      </c>
      <c r="I160" s="235">
        <f>EEFFun!U337</f>
        <v>28496062.440000001</v>
      </c>
      <c r="J160" s="235">
        <f>EEFFun!V337</f>
        <v>28162214.809999999</v>
      </c>
      <c r="K160" s="235">
        <f>EEFFun!W337</f>
        <v>27483988.449999999</v>
      </c>
      <c r="L160" s="235">
        <f>EEFFun!X337</f>
        <v>27141839.559999999</v>
      </c>
      <c r="M160" s="235">
        <f>EEFFun!Y337</f>
        <v>27123279.399999999</v>
      </c>
      <c r="N160" s="235">
        <f>EEFFun!Z337</f>
        <v>28336271.760000002</v>
      </c>
      <c r="O160" s="235">
        <f>EEFFun!AA337</f>
        <v>28144271.960000001</v>
      </c>
      <c r="P160" s="235">
        <f>EEFFun!AB337</f>
        <v>27935747.670000002</v>
      </c>
      <c r="Q160" s="235">
        <f>EEFFun!AC337</f>
        <v>27882834.43</v>
      </c>
      <c r="R160" s="235">
        <f>EEFFun!AD337</f>
        <v>27906757.120000001</v>
      </c>
      <c r="S160" s="235">
        <f>EEFFun!AE337</f>
        <v>28043238.48</v>
      </c>
      <c r="T160" s="235">
        <f>EEFFun!AF337</f>
        <v>28347834.620000001</v>
      </c>
      <c r="U160" s="235">
        <f>EEFFun!AG337</f>
        <v>28013718.859999999</v>
      </c>
      <c r="V160" s="235">
        <f>EEFFun!AH337</f>
        <v>27921868.969999999</v>
      </c>
      <c r="W160" s="235">
        <f>EEFFun!AI337</f>
        <v>29012926.539999999</v>
      </c>
      <c r="X160" s="235">
        <f>EEFFun!AJ337</f>
        <v>29824752.460000001</v>
      </c>
      <c r="Y160" s="235">
        <f>EEFFun!AK337</f>
        <v>29616776.190000001</v>
      </c>
      <c r="Z160" s="235">
        <f>EEFFun!AL337</f>
        <v>31860186.120000001</v>
      </c>
      <c r="AA160" s="235">
        <f>EEFFun!AM337</f>
        <v>32383346.359999999</v>
      </c>
      <c r="AB160" s="235">
        <f>EEFFun!AN337</f>
        <v>33021227.440000001</v>
      </c>
      <c r="AC160" s="235">
        <f>EEFFun!AO337</f>
        <v>35214743.200000003</v>
      </c>
      <c r="AD160" s="235">
        <f>EEFFun!AP337</f>
        <v>37372131.68</v>
      </c>
      <c r="AE160" s="235">
        <f>EEFFun!AQ337</f>
        <v>38286122.32</v>
      </c>
      <c r="AF160" s="235">
        <f>EEFFun!AR337</f>
        <v>39632509.93</v>
      </c>
      <c r="AG160" s="235">
        <f>EEFFun!AS337</f>
        <v>42089375.640000001</v>
      </c>
      <c r="AH160" s="235">
        <f>EEFFun!AT337</f>
        <v>43481317.68</v>
      </c>
      <c r="AI160" s="235">
        <f>EEFFun!AU337</f>
        <v>46747210.240000002</v>
      </c>
      <c r="AJ160" s="235">
        <f>EEFFun!AV337</f>
        <v>48646147.57</v>
      </c>
      <c r="AK160" s="235">
        <f>EEFFun!AW337</f>
        <v>50898420.039999999</v>
      </c>
      <c r="AL160" s="235">
        <f>EEFFun!AX337</f>
        <v>53103837.18</v>
      </c>
      <c r="AM160" s="236">
        <f t="shared" ref="AM160:AS160" si="272">SUM(AM161:AM165)</f>
        <v>59300337.179999985</v>
      </c>
      <c r="AN160" s="236">
        <f t="shared" si="272"/>
        <v>65496837.18</v>
      </c>
      <c r="AO160" s="236">
        <f t="shared" si="272"/>
        <v>71693337.179999992</v>
      </c>
      <c r="AP160" s="236">
        <f t="shared" si="272"/>
        <v>77889837.180000007</v>
      </c>
      <c r="AQ160" s="236">
        <f t="shared" si="272"/>
        <v>84086337.179999992</v>
      </c>
      <c r="AR160" s="236">
        <f t="shared" si="272"/>
        <v>90282837.180000007</v>
      </c>
      <c r="AS160" s="236">
        <f t="shared" si="272"/>
        <v>96479337.179999992</v>
      </c>
      <c r="AT160" s="236">
        <f t="shared" ref="AT160" si="273">SUM(AT161:AT165)</f>
        <v>102675837.18000001</v>
      </c>
      <c r="AU160" s="236">
        <f t="shared" ref="AU160" si="274">SUM(AU161:AU165)</f>
        <v>108872337.18000001</v>
      </c>
      <c r="AV160" s="236">
        <f t="shared" ref="AV160" si="275">SUM(AV161:AV165)</f>
        <v>115068837.17999999</v>
      </c>
      <c r="AW160" s="236">
        <f t="shared" ref="AW160" si="276">SUM(AW161:AW165)</f>
        <v>121265337.18000002</v>
      </c>
      <c r="AX160" s="236">
        <f t="shared" ref="AX160" si="277">SUM(AX161:AX165)</f>
        <v>127461837.18000001</v>
      </c>
      <c r="AY160" s="236">
        <f t="shared" si="262"/>
        <v>99539968.210000008</v>
      </c>
      <c r="AZ160" s="236">
        <f t="shared" si="263"/>
        <v>99526089.510000005</v>
      </c>
      <c r="BA160" s="232">
        <f t="shared" si="264"/>
        <v>0.86319335013393994</v>
      </c>
      <c r="BB160" s="232">
        <f t="shared" si="265"/>
        <v>0.90846407550407482</v>
      </c>
      <c r="BC160" s="228">
        <f t="shared" si="217"/>
        <v>73662910.640000015</v>
      </c>
    </row>
    <row r="161" spans="1:55" outlineLevel="2" collapsed="1" x14ac:dyDescent="0.25">
      <c r="A161" s="222">
        <v>6</v>
      </c>
      <c r="B161" s="233">
        <f>EEFFun!B338</f>
        <v>210305</v>
      </c>
      <c r="C161" s="234" t="str">
        <f>EEFFun!C338</f>
        <v>De 1 a 30 días</v>
      </c>
      <c r="D161" s="235">
        <f>EEFFun!P338</f>
        <v>5517049.5300000003</v>
      </c>
      <c r="E161" s="235">
        <f>EEFFun!Q338</f>
        <v>5419533.2400000002</v>
      </c>
      <c r="F161" s="235">
        <f>EEFFun!R338</f>
        <v>3631898.63</v>
      </c>
      <c r="G161" s="235">
        <f>EEFFun!S338</f>
        <v>4139425.61</v>
      </c>
      <c r="H161" s="235">
        <f>EEFFun!T338</f>
        <v>3809258.71</v>
      </c>
      <c r="I161" s="235">
        <f>EEFFun!U338</f>
        <v>3529739.1</v>
      </c>
      <c r="J161" s="235">
        <f>EEFFun!V338</f>
        <v>3845884.83</v>
      </c>
      <c r="K161" s="235">
        <f>EEFFun!W338</f>
        <v>4259391.33</v>
      </c>
      <c r="L161" s="235">
        <f>EEFFun!X338</f>
        <v>3525112.58</v>
      </c>
      <c r="M161" s="235">
        <f>EEFFun!Y338</f>
        <v>3622239.94</v>
      </c>
      <c r="N161" s="235">
        <f>EEFFun!Z338</f>
        <v>3033997.83</v>
      </c>
      <c r="O161" s="235">
        <f>EEFFun!AA338</f>
        <v>3614115.47</v>
      </c>
      <c r="P161" s="235">
        <f>EEFFun!AB338</f>
        <v>4750984.6900000004</v>
      </c>
      <c r="Q161" s="235">
        <f>EEFFun!AC338</f>
        <v>4470048.22</v>
      </c>
      <c r="R161" s="235">
        <f>EEFFun!AD338</f>
        <v>2845893.33</v>
      </c>
      <c r="S161" s="235">
        <f>EEFFun!AE338</f>
        <v>2965598.98</v>
      </c>
      <c r="T161" s="235">
        <f>EEFFun!AF338</f>
        <v>3600753.25</v>
      </c>
      <c r="U161" s="235">
        <f>EEFFun!AG338</f>
        <v>3974374.51</v>
      </c>
      <c r="V161" s="235">
        <f>EEFFun!AH338</f>
        <v>3836988.28</v>
      </c>
      <c r="W161" s="235">
        <f>EEFFun!AI338</f>
        <v>3032097.32</v>
      </c>
      <c r="X161" s="235">
        <f>EEFFun!AJ338</f>
        <v>3343116.61</v>
      </c>
      <c r="Y161" s="235">
        <f>EEFFun!AK338</f>
        <v>4232257.54</v>
      </c>
      <c r="Z161" s="235">
        <f>EEFFun!AL338</f>
        <v>2377799.85</v>
      </c>
      <c r="AA161" s="235">
        <f>EEFFun!AM338</f>
        <v>4264467.59</v>
      </c>
      <c r="AB161" s="235">
        <f>EEFFun!AN338</f>
        <v>4811660.92</v>
      </c>
      <c r="AC161" s="235">
        <f>EEFFun!AO338</f>
        <v>4192474.59</v>
      </c>
      <c r="AD161" s="235">
        <f>EEFFun!AP338</f>
        <v>3259655.87</v>
      </c>
      <c r="AE161" s="235">
        <f>EEFFun!AQ338</f>
        <v>5740853.4800000004</v>
      </c>
      <c r="AF161" s="235">
        <f>EEFFun!AR338</f>
        <v>5543196.6699999999</v>
      </c>
      <c r="AG161" s="235">
        <f>EEFFun!AS338</f>
        <v>4903604.7699999996</v>
      </c>
      <c r="AH161" s="235">
        <f>EEFFun!AT338</f>
        <v>5302450.71</v>
      </c>
      <c r="AI161" s="235">
        <f>EEFFun!AU338</f>
        <v>4871483.21</v>
      </c>
      <c r="AJ161" s="235">
        <f>EEFFun!AV338</f>
        <v>3968926.42</v>
      </c>
      <c r="AK161" s="235">
        <f>EEFFun!AW338</f>
        <v>4937612.7300000004</v>
      </c>
      <c r="AL161" s="235">
        <f>EEFFun!AX338</f>
        <v>4549186.2300000004</v>
      </c>
      <c r="AM161" s="235">
        <f>(AC161/AC160)*CaptObFin!B6</f>
        <v>7059973.5853130464</v>
      </c>
      <c r="AN161" s="235">
        <f>(AD161/AD160)*CaptObFin!C6</f>
        <v>5712736.7421344062</v>
      </c>
      <c r="AO161" s="235">
        <f>(AE161/AE160)*CaptObFin!D6</f>
        <v>10750133.97289424</v>
      </c>
      <c r="AP161" s="235">
        <f>(AF161/AF160)*CaptObFin!E6</f>
        <v>10894053.564752825</v>
      </c>
      <c r="AQ161" s="235">
        <f>(AG161/AG160)*CaptObFin!F6</f>
        <v>9796442.8746673688</v>
      </c>
      <c r="AR161" s="235">
        <f>(AH161/AH160)*CaptObFin!G6</f>
        <v>11009792.702903787</v>
      </c>
      <c r="AS161" s="235">
        <f>(AI161/AI160)*CaptObFin!H6</f>
        <v>10054021.80731927</v>
      </c>
      <c r="AT161" s="235">
        <f>(AJ161/AJ160)*CaptObFin!I6</f>
        <v>8377083.5561628891</v>
      </c>
      <c r="AU161" s="235">
        <f>(AK161/AK160)*CaptObFin!J6</f>
        <v>10561613.456416838</v>
      </c>
      <c r="AV161" s="235">
        <f>(AL161/AL160)*CaptObFin!K6</f>
        <v>9857471.6517569758</v>
      </c>
      <c r="AW161" s="235">
        <f>(AM161/AM160)*CaptObFin!L6</f>
        <v>14437187.341889586</v>
      </c>
      <c r="AX161" s="235">
        <f>(AN161/AN160)*CaptObFin!M6</f>
        <v>11117421.112671496</v>
      </c>
      <c r="AY161" s="236">
        <f t="shared" si="262"/>
        <v>7280432.832671497</v>
      </c>
      <c r="AZ161" s="236">
        <f t="shared" si="263"/>
        <v>6366436.4226714959</v>
      </c>
      <c r="BA161" s="232">
        <f t="shared" si="264"/>
        <v>0.14680181248201252</v>
      </c>
      <c r="BB161" s="232">
        <f t="shared" si="265"/>
        <v>7.9237659809106742E-2</v>
      </c>
      <c r="BC161" s="228">
        <f t="shared" si="217"/>
        <v>5344986.2361628897</v>
      </c>
    </row>
    <row r="162" spans="1:55" outlineLevel="2" collapsed="1" x14ac:dyDescent="0.25">
      <c r="A162" s="222">
        <v>6</v>
      </c>
      <c r="B162" s="233">
        <f>EEFFun!B339</f>
        <v>210310</v>
      </c>
      <c r="C162" s="234" t="str">
        <f>EEFFun!C339</f>
        <v>De 31 a 90 días</v>
      </c>
      <c r="D162" s="235">
        <f>EEFFun!P339</f>
        <v>7865714.2800000003</v>
      </c>
      <c r="E162" s="235">
        <f>EEFFun!Q339</f>
        <v>6596724.4199999999</v>
      </c>
      <c r="F162" s="235">
        <f>EEFFun!R339</f>
        <v>7443052.8600000003</v>
      </c>
      <c r="G162" s="235">
        <f>EEFFun!S339</f>
        <v>7088478.1399999997</v>
      </c>
      <c r="H162" s="235">
        <f>EEFFun!T339</f>
        <v>6926210.1200000001</v>
      </c>
      <c r="I162" s="235">
        <f>EEFFun!U339</f>
        <v>7590094.21</v>
      </c>
      <c r="J162" s="235">
        <f>EEFFun!V339</f>
        <v>7081861.9000000004</v>
      </c>
      <c r="K162" s="235">
        <f>EEFFun!W339</f>
        <v>6004456.54</v>
      </c>
      <c r="L162" s="235">
        <f>EEFFun!X339</f>
        <v>5537815.5499999998</v>
      </c>
      <c r="M162" s="235">
        <f>EEFFun!Y339</f>
        <v>5637806.6900000004</v>
      </c>
      <c r="N162" s="235">
        <f>EEFFun!Z339</f>
        <v>7852460.0199999996</v>
      </c>
      <c r="O162" s="235">
        <f>EEFFun!AA339</f>
        <v>8529017.75</v>
      </c>
      <c r="P162" s="235">
        <f>EEFFun!AB339</f>
        <v>6916715.8799999999</v>
      </c>
      <c r="Q162" s="235">
        <f>EEFFun!AC339</f>
        <v>5513189.7999999998</v>
      </c>
      <c r="R162" s="235">
        <f>EEFFun!AD339</f>
        <v>6168774.5599999996</v>
      </c>
      <c r="S162" s="235">
        <f>EEFFun!AE339</f>
        <v>6538414.7400000002</v>
      </c>
      <c r="T162" s="235">
        <f>EEFFun!AF339</f>
        <v>6070244.1500000004</v>
      </c>
      <c r="U162" s="235">
        <f>EEFFun!AG339</f>
        <v>5251602.24</v>
      </c>
      <c r="V162" s="235">
        <f>EEFFun!AH339</f>
        <v>5449837.1799999997</v>
      </c>
      <c r="W162" s="235">
        <f>EEFFun!AI339</f>
        <v>7108858.9000000004</v>
      </c>
      <c r="X162" s="235">
        <f>EEFFun!AJ339</f>
        <v>6271403.6200000001</v>
      </c>
      <c r="Y162" s="235">
        <f>EEFFun!AK339</f>
        <v>5661222.9400000004</v>
      </c>
      <c r="Z162" s="235">
        <f>EEFFun!AL339</f>
        <v>7898159.7999999998</v>
      </c>
      <c r="AA162" s="235">
        <f>EEFFun!AM339</f>
        <v>9066467.1300000008</v>
      </c>
      <c r="AB162" s="235">
        <f>EEFFun!AN339</f>
        <v>6396342.9199999999</v>
      </c>
      <c r="AC162" s="235">
        <f>EEFFun!AO339</f>
        <v>8007309.2699999996</v>
      </c>
      <c r="AD162" s="235">
        <f>EEFFun!AP339</f>
        <v>10241954.359999999</v>
      </c>
      <c r="AE162" s="235">
        <f>EEFFun!AQ339</f>
        <v>8998177.7300000004</v>
      </c>
      <c r="AF162" s="235">
        <f>EEFFun!AR339</f>
        <v>8825974.7400000002</v>
      </c>
      <c r="AG162" s="235">
        <f>EEFFun!AS339</f>
        <v>8924751.7799999993</v>
      </c>
      <c r="AH162" s="235">
        <f>EEFFun!AT339</f>
        <v>7284621.3600000003</v>
      </c>
      <c r="AI162" s="235">
        <f>EEFFun!AU339</f>
        <v>8673883.6999999993</v>
      </c>
      <c r="AJ162" s="235">
        <f>EEFFun!AV339</f>
        <v>9437153.6999999993</v>
      </c>
      <c r="AK162" s="235">
        <f>EEFFun!AW339</f>
        <v>9579108.8599999994</v>
      </c>
      <c r="AL162" s="235">
        <f>EEFFun!AX339</f>
        <v>11307894.699999999</v>
      </c>
      <c r="AM162" s="235">
        <f>(AC162/AC160)*CaptObFin!B6</f>
        <v>13484015.399991319</v>
      </c>
      <c r="AN162" s="235">
        <f>(AD162/AD160)*CaptObFin!C6</f>
        <v>17949621.468365517</v>
      </c>
      <c r="AO162" s="235">
        <f>(AE162/AE160)*CaptObFin!D6</f>
        <v>16849692.549445342</v>
      </c>
      <c r="AP162" s="235">
        <f>(AF162/AF160)*CaptObFin!E6</f>
        <v>17345702.72404125</v>
      </c>
      <c r="AQ162" s="235">
        <f>(AG162/AG160)*CaptObFin!F6</f>
        <v>17829907.809506416</v>
      </c>
      <c r="AR162" s="235">
        <f>(AH162/AH160)*CaptObFin!G6</f>
        <v>15125491.113286572</v>
      </c>
      <c r="AS162" s="235">
        <f>(AI162/AI160)*CaptObFin!H6</f>
        <v>17901614.788476538</v>
      </c>
      <c r="AT162" s="235">
        <f>(AJ162/AJ160)*CaptObFin!I6</f>
        <v>19918692.540853851</v>
      </c>
      <c r="AU162" s="235">
        <f>(AK162/AK160)*CaptObFin!J6</f>
        <v>20489829.917515162</v>
      </c>
      <c r="AV162" s="235">
        <f>(AL162/AL160)*CaptObFin!K6</f>
        <v>24502679.338828243</v>
      </c>
      <c r="AW162" s="235">
        <f>(AM162/AM160)*CaptObFin!L6</f>
        <v>27573935.525137942</v>
      </c>
      <c r="AX162" s="235">
        <f>(AN162/AN160)*CaptObFin!M6</f>
        <v>34931331.45888859</v>
      </c>
      <c r="AY162" s="236">
        <f t="shared" si="262"/>
        <v>29481494.278888591</v>
      </c>
      <c r="AZ162" s="236">
        <f t="shared" si="263"/>
        <v>28014615.578888591</v>
      </c>
      <c r="BA162" s="232">
        <f t="shared" si="264"/>
        <v>0.21372125861494159</v>
      </c>
      <c r="BB162" s="232">
        <f t="shared" si="265"/>
        <v>0.24896753759410722</v>
      </c>
      <c r="BC162" s="228">
        <f t="shared" si="217"/>
        <v>12809833.64085385</v>
      </c>
    </row>
    <row r="163" spans="1:55" outlineLevel="2" collapsed="1" x14ac:dyDescent="0.25">
      <c r="A163" s="222">
        <v>6</v>
      </c>
      <c r="B163" s="233">
        <f>EEFFun!B340</f>
        <v>210315</v>
      </c>
      <c r="C163" s="234" t="str">
        <f>EEFFun!C340</f>
        <v>De 91 a 180 días</v>
      </c>
      <c r="D163" s="235">
        <f>EEFFun!P340</f>
        <v>9408683.4199999999</v>
      </c>
      <c r="E163" s="235">
        <f>EEFFun!Q340</f>
        <v>9016007.6799999997</v>
      </c>
      <c r="F163" s="235">
        <f>EEFFun!R340</f>
        <v>8921252</v>
      </c>
      <c r="G163" s="235">
        <f>EEFFun!S340</f>
        <v>8742180.6300000008</v>
      </c>
      <c r="H163" s="235">
        <f>EEFFun!T340</f>
        <v>8542330.5700000003</v>
      </c>
      <c r="I163" s="235">
        <f>EEFFun!U340</f>
        <v>7252100.29</v>
      </c>
      <c r="J163" s="235">
        <f>EEFFun!V340</f>
        <v>7124053.7300000004</v>
      </c>
      <c r="K163" s="235">
        <f>EEFFun!W340</f>
        <v>8732263.5099999998</v>
      </c>
      <c r="L163" s="235">
        <f>EEFFun!X340</f>
        <v>10260852.76</v>
      </c>
      <c r="M163" s="235">
        <f>EEFFun!Y340</f>
        <v>9809628.8100000005</v>
      </c>
      <c r="N163" s="235">
        <f>EEFFun!Z340</f>
        <v>8530379.9000000004</v>
      </c>
      <c r="O163" s="235">
        <f>EEFFun!AA340</f>
        <v>7656606.1600000001</v>
      </c>
      <c r="P163" s="235">
        <f>EEFFun!AB340</f>
        <v>7477741.7800000003</v>
      </c>
      <c r="Q163" s="235">
        <f>EEFFun!AC340</f>
        <v>7674845.0999999996</v>
      </c>
      <c r="R163" s="235">
        <f>EEFFun!AD340</f>
        <v>7851535.7000000002</v>
      </c>
      <c r="S163" s="235">
        <f>EEFFun!AE340</f>
        <v>7862510.96</v>
      </c>
      <c r="T163" s="235">
        <f>EEFFun!AF340</f>
        <v>8450177.0099999998</v>
      </c>
      <c r="U163" s="235">
        <f>EEFFun!AG340</f>
        <v>8273251.25</v>
      </c>
      <c r="V163" s="235">
        <f>EEFFun!AH340</f>
        <v>8270801.29</v>
      </c>
      <c r="W163" s="235">
        <f>EEFFun!AI340</f>
        <v>7883970.3700000001</v>
      </c>
      <c r="X163" s="235">
        <f>EEFFun!AJ340</f>
        <v>11064429.74</v>
      </c>
      <c r="Y163" s="235">
        <f>EEFFun!AK340</f>
        <v>10627210.26</v>
      </c>
      <c r="Z163" s="235">
        <f>EEFFun!AL340</f>
        <v>11949621.57</v>
      </c>
      <c r="AA163" s="235">
        <f>EEFFun!AM340</f>
        <v>9592198.1799999997</v>
      </c>
      <c r="AB163" s="235">
        <f>EEFFun!AN340</f>
        <v>11803543.960000001</v>
      </c>
      <c r="AC163" s="235">
        <f>EEFFun!AO340</f>
        <v>11903142.1</v>
      </c>
      <c r="AD163" s="235">
        <f>EEFFun!AP340</f>
        <v>11472152.15</v>
      </c>
      <c r="AE163" s="235">
        <f>EEFFun!AQ340</f>
        <v>10578210.52</v>
      </c>
      <c r="AF163" s="235">
        <f>EEFFun!AR340</f>
        <v>10595602.84</v>
      </c>
      <c r="AG163" s="235">
        <f>EEFFun!AS340</f>
        <v>10991424.460000001</v>
      </c>
      <c r="AH163" s="235">
        <f>EEFFun!AT340</f>
        <v>12311301.369999999</v>
      </c>
      <c r="AI163" s="235">
        <f>EEFFun!AU340</f>
        <v>13822923.439999999</v>
      </c>
      <c r="AJ163" s="235">
        <f>EEFFun!AV340</f>
        <v>13509346.109999999</v>
      </c>
      <c r="AK163" s="235">
        <f>EEFFun!AW340</f>
        <v>11166818.640000001</v>
      </c>
      <c r="AL163" s="235">
        <f>EEFFun!AX340</f>
        <v>11080642.91</v>
      </c>
      <c r="AM163" s="235">
        <f>(AC163/AC160)*CaptObFin!B6</f>
        <v>20044455.131265961</v>
      </c>
      <c r="AN163" s="235">
        <f>(AD163/AD160)*CaptObFin!C6</f>
        <v>20105614.737380613</v>
      </c>
      <c r="AO163" s="235">
        <f>(AE163/AE160)*CaptObFin!D6</f>
        <v>19808410.139650393</v>
      </c>
      <c r="AP163" s="235">
        <f>(AF163/AF160)*CaptObFin!E6</f>
        <v>20823555.74979214</v>
      </c>
      <c r="AQ163" s="235">
        <f>(AG163/AG160)*CaptObFin!F6</f>
        <v>21958715.452022787</v>
      </c>
      <c r="AR163" s="235">
        <f>(AH163/AH160)*CaptObFin!G6</f>
        <v>25562684.765942007</v>
      </c>
      <c r="AS163" s="235">
        <f>(AI163/AI160)*CaptObFin!H6</f>
        <v>28528472.27747393</v>
      </c>
      <c r="AT163" s="235">
        <f>(AJ163/AJ160)*CaptObFin!I6</f>
        <v>28513736.254297726</v>
      </c>
      <c r="AU163" s="235">
        <f>(AK163/AK160)*CaptObFin!J6</f>
        <v>23885960.374537185</v>
      </c>
      <c r="AV163" s="235">
        <f>(AL163/AL160)*CaptObFin!K6</f>
        <v>24010255.427280433</v>
      </c>
      <c r="AW163" s="235">
        <f>(AM163/AM160)*CaptObFin!L6</f>
        <v>40989608.586949833</v>
      </c>
      <c r="AX163" s="235">
        <f>(AN163/AN160)*CaptObFin!M6</f>
        <v>39127058.68555066</v>
      </c>
      <c r="AY163" s="236">
        <f t="shared" si="262"/>
        <v>30856257.395550661</v>
      </c>
      <c r="AZ163" s="236">
        <f t="shared" si="263"/>
        <v>31649316.905550659</v>
      </c>
      <c r="BA163" s="232">
        <f t="shared" si="264"/>
        <v>0.23105653210944579</v>
      </c>
      <c r="BB163" s="232">
        <f t="shared" si="265"/>
        <v>0.27887191948885465</v>
      </c>
      <c r="BC163" s="228">
        <f t="shared" si="217"/>
        <v>20629765.884297725</v>
      </c>
    </row>
    <row r="164" spans="1:55" outlineLevel="2" collapsed="1" x14ac:dyDescent="0.25">
      <c r="A164" s="222">
        <v>6</v>
      </c>
      <c r="B164" s="233">
        <f>EEFFun!B341</f>
        <v>210320</v>
      </c>
      <c r="C164" s="234" t="str">
        <f>EEFFun!C341</f>
        <v>De 181 a 360 días</v>
      </c>
      <c r="D164" s="235">
        <f>EEFFun!P341</f>
        <v>7071857.04</v>
      </c>
      <c r="E164" s="235">
        <f>EEFFun!Q341</f>
        <v>9343840.1400000006</v>
      </c>
      <c r="F164" s="235">
        <f>EEFFun!R341</f>
        <v>9503705.5999999996</v>
      </c>
      <c r="G164" s="235">
        <f>EEFFun!S341</f>
        <v>9736584.6899999995</v>
      </c>
      <c r="H164" s="235">
        <f>EEFFun!T341</f>
        <v>9247762.5099999998</v>
      </c>
      <c r="I164" s="235">
        <f>EEFFun!U341</f>
        <v>9812825.5399999991</v>
      </c>
      <c r="J164" s="235">
        <f>EEFFun!V341</f>
        <v>9714516.6099999994</v>
      </c>
      <c r="K164" s="235">
        <f>EEFFun!W341</f>
        <v>7876471.2800000003</v>
      </c>
      <c r="L164" s="235">
        <f>EEFFun!X341</f>
        <v>6894694.4000000004</v>
      </c>
      <c r="M164" s="235">
        <f>EEFFun!Y341</f>
        <v>7360838.4199999999</v>
      </c>
      <c r="N164" s="235">
        <f>EEFFun!Z341</f>
        <v>8088000.9100000001</v>
      </c>
      <c r="O164" s="235">
        <f>EEFFun!AA341</f>
        <v>7652977.2000000002</v>
      </c>
      <c r="P164" s="235">
        <f>EEFFun!AB341</f>
        <v>7738683.6799999997</v>
      </c>
      <c r="Q164" s="235">
        <f>EEFFun!AC341</f>
        <v>9052945.5700000003</v>
      </c>
      <c r="R164" s="235">
        <f>EEFFun!AD341</f>
        <v>9445017.0700000003</v>
      </c>
      <c r="S164" s="235">
        <f>EEFFun!AE341</f>
        <v>9586730.5199999996</v>
      </c>
      <c r="T164" s="235">
        <f>EEFFun!AF341</f>
        <v>9410473.0399999991</v>
      </c>
      <c r="U164" s="235">
        <f>EEFFun!AG341</f>
        <v>9752826.3300000001</v>
      </c>
      <c r="V164" s="235">
        <f>EEFFun!AH341</f>
        <v>9744232.0600000005</v>
      </c>
      <c r="W164" s="235">
        <f>EEFFun!AI341</f>
        <v>10661728.210000001</v>
      </c>
      <c r="X164" s="235">
        <f>EEFFun!AJ341</f>
        <v>8905664.0700000003</v>
      </c>
      <c r="Y164" s="235">
        <f>EEFFun!AK341</f>
        <v>8821560.8000000007</v>
      </c>
      <c r="Z164" s="235">
        <f>EEFFun!AL341</f>
        <v>8369703.6600000001</v>
      </c>
      <c r="AA164" s="235">
        <f>EEFFun!AM341</f>
        <v>8992699.4000000004</v>
      </c>
      <c r="AB164" s="235">
        <f>EEFFun!AN341</f>
        <v>9093566</v>
      </c>
      <c r="AC164" s="235">
        <f>EEFFun!AO341</f>
        <v>10685246.869999999</v>
      </c>
      <c r="AD164" s="235">
        <f>EEFFun!AP341</f>
        <v>11534807.82</v>
      </c>
      <c r="AE164" s="235">
        <f>EEFFun!AQ341</f>
        <v>11397008.869999999</v>
      </c>
      <c r="AF164" s="235">
        <f>EEFFun!AR341</f>
        <v>12046552.880000001</v>
      </c>
      <c r="AG164" s="235">
        <f>EEFFun!AS341</f>
        <v>14278381.16</v>
      </c>
      <c r="AH164" s="235">
        <f>EEFFun!AT341</f>
        <v>15170091.810000001</v>
      </c>
      <c r="AI164" s="235">
        <f>EEFFun!AU341</f>
        <v>15771949.32</v>
      </c>
      <c r="AJ164" s="235">
        <f>EEFFun!AV341</f>
        <v>18282529.41</v>
      </c>
      <c r="AK164" s="235">
        <f>EEFFun!AW341</f>
        <v>21531250.829999998</v>
      </c>
      <c r="AL164" s="235">
        <f>EEFFun!AX341</f>
        <v>22766160.239999998</v>
      </c>
      <c r="AM164" s="235">
        <f>(AC164/AC160)*CaptObFin!B6</f>
        <v>17993564.19110674</v>
      </c>
      <c r="AN164" s="235">
        <f>(AD164/AD160)*CaptObFin!C6</f>
        <v>20215422.44788352</v>
      </c>
      <c r="AO164" s="235">
        <f>(AE164/AE160)*CaptObFin!D6</f>
        <v>21341665.079869621</v>
      </c>
      <c r="AP164" s="235">
        <f>(AF164/AF160)*CaptObFin!E6</f>
        <v>23675110.258237947</v>
      </c>
      <c r="AQ164" s="235">
        <f>(AG164/AG160)*CaptObFin!F6</f>
        <v>28525411.801625852</v>
      </c>
      <c r="AR164" s="235">
        <f>(AH164/AH160)*CaptObFin!G6</f>
        <v>31498560.806446139</v>
      </c>
      <c r="AS164" s="235">
        <f>(AI164/AI160)*CaptObFin!H6</f>
        <v>32550973.814649433</v>
      </c>
      <c r="AT164" s="235">
        <f>(AJ164/AJ160)*CaptObFin!I6</f>
        <v>38588338.577860415</v>
      </c>
      <c r="AU164" s="235">
        <f>(AK164/AK160)*CaptObFin!J6</f>
        <v>46055606.410350077</v>
      </c>
      <c r="AV164" s="235">
        <f>(AL164/AL160)*CaptObFin!K6</f>
        <v>49331191.962470338</v>
      </c>
      <c r="AW164" s="235">
        <f>(AM164/AM160)*CaptObFin!L6</f>
        <v>36795669.847227223</v>
      </c>
      <c r="AX164" s="235">
        <f>(AN164/AN160)*CaptObFin!M6</f>
        <v>39340752.859496266</v>
      </c>
      <c r="AY164" s="236">
        <f t="shared" si="262"/>
        <v>29596520.799496263</v>
      </c>
      <c r="AZ164" s="236">
        <f t="shared" si="263"/>
        <v>31602069.179496266</v>
      </c>
      <c r="BA164" s="232">
        <f t="shared" si="264"/>
        <v>0.23911943830089893</v>
      </c>
      <c r="BB164" s="232">
        <f t="shared" si="265"/>
        <v>0.28039499089963266</v>
      </c>
      <c r="BC164" s="228">
        <f t="shared" si="217"/>
        <v>27926610.367860414</v>
      </c>
    </row>
    <row r="165" spans="1:55" outlineLevel="2" collapsed="1" x14ac:dyDescent="0.25">
      <c r="A165" s="222">
        <v>6</v>
      </c>
      <c r="B165" s="233">
        <f>EEFFun!B342</f>
        <v>210325</v>
      </c>
      <c r="C165" s="234" t="str">
        <f>EEFFun!C342</f>
        <v>De más de 361 días</v>
      </c>
      <c r="D165" s="235">
        <f>EEFFun!P342</f>
        <v>745539.3</v>
      </c>
      <c r="E165" s="235">
        <f>EEFFun!Q342</f>
        <v>470425.15</v>
      </c>
      <c r="F165" s="235">
        <f>EEFFun!R342</f>
        <v>741821.75</v>
      </c>
      <c r="G165" s="235">
        <f>EEFFun!S342</f>
        <v>414897.74</v>
      </c>
      <c r="H165" s="235">
        <f>EEFFun!T342</f>
        <v>347290.22</v>
      </c>
      <c r="I165" s="235">
        <f>EEFFun!U342</f>
        <v>311303.3</v>
      </c>
      <c r="J165" s="235">
        <f>EEFFun!V342</f>
        <v>395897.74</v>
      </c>
      <c r="K165" s="235">
        <f>EEFFun!W342</f>
        <v>611405.79</v>
      </c>
      <c r="L165" s="235">
        <f>EEFFun!X342</f>
        <v>923364.27</v>
      </c>
      <c r="M165" s="235">
        <f>EEFFun!Y342</f>
        <v>692765.54</v>
      </c>
      <c r="N165" s="235">
        <f>EEFFun!Z342</f>
        <v>831433.1</v>
      </c>
      <c r="O165" s="235">
        <f>EEFFun!AA342</f>
        <v>691555.38</v>
      </c>
      <c r="P165" s="235">
        <f>EEFFun!AB342</f>
        <v>1051621.6399999999</v>
      </c>
      <c r="Q165" s="235">
        <f>EEFFun!AC342</f>
        <v>1171805.74</v>
      </c>
      <c r="R165" s="235">
        <f>EEFFun!AD342</f>
        <v>1595536.46</v>
      </c>
      <c r="S165" s="235">
        <f>EEFFun!AE342</f>
        <v>1089983.28</v>
      </c>
      <c r="T165" s="235">
        <f>EEFFun!AF342</f>
        <v>816187.17</v>
      </c>
      <c r="U165" s="235">
        <f>EEFFun!AG342</f>
        <v>761664.53</v>
      </c>
      <c r="V165" s="235">
        <f>EEFFun!AH342</f>
        <v>620010.16</v>
      </c>
      <c r="W165" s="235">
        <f>EEFFun!AI342</f>
        <v>326271.74</v>
      </c>
      <c r="X165" s="235">
        <f>EEFFun!AJ342</f>
        <v>240138.42</v>
      </c>
      <c r="Y165" s="235">
        <f>EEFFun!AK342</f>
        <v>274524.65000000002</v>
      </c>
      <c r="Z165" s="235">
        <f>EEFFun!AL342</f>
        <v>1264901.24</v>
      </c>
      <c r="AA165" s="235">
        <f>EEFFun!AM342</f>
        <v>467514.06</v>
      </c>
      <c r="AB165" s="235">
        <f>EEFFun!AN342</f>
        <v>916113.64</v>
      </c>
      <c r="AC165" s="235">
        <f>EEFFun!AO342</f>
        <v>426570.37</v>
      </c>
      <c r="AD165" s="235">
        <f>EEFFun!AP342</f>
        <v>863561.48</v>
      </c>
      <c r="AE165" s="235">
        <f>EEFFun!AQ342</f>
        <v>1571871.72</v>
      </c>
      <c r="AF165" s="235">
        <f>EEFFun!AR342</f>
        <v>2621182.7999999998</v>
      </c>
      <c r="AG165" s="235">
        <f>EEFFun!AS342</f>
        <v>2991213.47</v>
      </c>
      <c r="AH165" s="235">
        <f>EEFFun!AT342</f>
        <v>3412852.43</v>
      </c>
      <c r="AI165" s="235">
        <f>EEFFun!AU342</f>
        <v>3606970.57</v>
      </c>
      <c r="AJ165" s="235">
        <f>EEFFun!AV342</f>
        <v>3448191.93</v>
      </c>
      <c r="AK165" s="235">
        <f>EEFFun!AW342</f>
        <v>3683628.98</v>
      </c>
      <c r="AL165" s="235">
        <f>EEFFun!AX342</f>
        <v>3399953.1</v>
      </c>
      <c r="AM165" s="235">
        <f>(AC165/AC160)*CaptObFin!B6</f>
        <v>718328.87232292397</v>
      </c>
      <c r="AN165" s="235">
        <f>(AD165/AD160)*CaptObFin!C6</f>
        <v>1513441.7842359436</v>
      </c>
      <c r="AO165" s="235">
        <f>(AE165/AE160)*CaptObFin!D6</f>
        <v>2943435.4381404109</v>
      </c>
      <c r="AP165" s="235">
        <f>(AF165/AF160)*CaptObFin!E6</f>
        <v>5151414.8831758462</v>
      </c>
      <c r="AQ165" s="235">
        <f>(AG165/AG160)*CaptObFin!F6</f>
        <v>5975859.2421775786</v>
      </c>
      <c r="AR165" s="235">
        <f>(AH165/AH160)*CaptObFin!G6</f>
        <v>7086307.7914215</v>
      </c>
      <c r="AS165" s="235">
        <f>(AI165/AI160)*CaptObFin!H6</f>
        <v>7444254.4920808254</v>
      </c>
      <c r="AT165" s="235">
        <f>(AJ165/AJ160)*CaptObFin!I6</f>
        <v>7277986.2508251239</v>
      </c>
      <c r="AU165" s="235">
        <f>(AK165/AK160)*CaptObFin!J6</f>
        <v>7879327.0211807443</v>
      </c>
      <c r="AV165" s="235">
        <f>(AL165/AL160)*CaptObFin!K6</f>
        <v>7367238.7996640112</v>
      </c>
      <c r="AW165" s="235">
        <f>(AM165/AM160)*CaptObFin!L6</f>
        <v>1468935.8787954294</v>
      </c>
      <c r="AX165" s="235">
        <f>(AN165/AN160)*CaptObFin!M6</f>
        <v>2945273.0633929907</v>
      </c>
      <c r="AY165" s="236">
        <f t="shared" si="262"/>
        <v>2325262.9033929906</v>
      </c>
      <c r="AZ165" s="236">
        <f t="shared" si="263"/>
        <v>1893651.4233929908</v>
      </c>
      <c r="BA165" s="232">
        <f t="shared" si="264"/>
        <v>3.2494308626641023E-2</v>
      </c>
      <c r="BB165" s="232">
        <f t="shared" si="265"/>
        <v>2.0991967712373494E-2</v>
      </c>
      <c r="BC165" s="228">
        <f t="shared" si="217"/>
        <v>6951714.5108251236</v>
      </c>
    </row>
    <row r="166" spans="1:55" outlineLevel="2" collapsed="1" x14ac:dyDescent="0.25">
      <c r="A166" s="222">
        <v>4</v>
      </c>
      <c r="B166" s="233">
        <f>EEFFun!B343</f>
        <v>2105</v>
      </c>
      <c r="C166" s="234" t="str">
        <f>EEFFun!C343</f>
        <v>DEPOSITOS RESTRINGIDOS</v>
      </c>
      <c r="D166" s="235">
        <f>EEFFun!P343</f>
        <v>80336.12</v>
      </c>
      <c r="E166" s="235">
        <f>EEFFun!Q343</f>
        <v>80336.12</v>
      </c>
      <c r="F166" s="235">
        <f>EEFFun!R343</f>
        <v>80336.12</v>
      </c>
      <c r="G166" s="235">
        <f>EEFFun!S343</f>
        <v>80336.12</v>
      </c>
      <c r="H166" s="235">
        <f>EEFFun!T343</f>
        <v>80336.12</v>
      </c>
      <c r="I166" s="235">
        <f>EEFFun!U343</f>
        <v>80336.12</v>
      </c>
      <c r="J166" s="235">
        <f>EEFFun!V343</f>
        <v>80336.12</v>
      </c>
      <c r="K166" s="235">
        <f>EEFFun!W343</f>
        <v>80336.12</v>
      </c>
      <c r="L166" s="235">
        <f>EEFFun!X343</f>
        <v>80336.12</v>
      </c>
      <c r="M166" s="235">
        <f>EEFFun!Y343</f>
        <v>80336.12</v>
      </c>
      <c r="N166" s="235">
        <f>EEFFun!Z343</f>
        <v>80336.12</v>
      </c>
      <c r="O166" s="235">
        <f>EEFFun!AA343</f>
        <v>80336.12</v>
      </c>
      <c r="P166" s="235">
        <f>EEFFun!AB343</f>
        <v>80336.12</v>
      </c>
      <c r="Q166" s="235">
        <f>EEFFun!AC343</f>
        <v>80336.12</v>
      </c>
      <c r="R166" s="235">
        <f>EEFFun!AD343</f>
        <v>89934.89</v>
      </c>
      <c r="S166" s="235">
        <f>EEFFun!AE343</f>
        <v>89934.89</v>
      </c>
      <c r="T166" s="235">
        <f>EEFFun!AF343</f>
        <v>80336.12</v>
      </c>
      <c r="U166" s="235">
        <f>EEFFun!AG343</f>
        <v>80336.12</v>
      </c>
      <c r="V166" s="235">
        <f>EEFFun!AH343</f>
        <v>80336.12</v>
      </c>
      <c r="W166" s="235">
        <f>EEFFun!AI343</f>
        <v>80336.12</v>
      </c>
      <c r="X166" s="235">
        <f>EEFFun!AJ343</f>
        <v>80336.12</v>
      </c>
      <c r="Y166" s="235">
        <f>EEFFun!AK343</f>
        <v>80336.12</v>
      </c>
      <c r="Z166" s="235">
        <f>EEFFun!AL343</f>
        <v>80336.12</v>
      </c>
      <c r="AA166" s="235">
        <f>EEFFun!AM343</f>
        <v>80336.12</v>
      </c>
      <c r="AB166" s="235">
        <f>EEFFun!AN343</f>
        <v>80336.12</v>
      </c>
      <c r="AC166" s="235">
        <f>EEFFun!AO343</f>
        <v>80336.12</v>
      </c>
      <c r="AD166" s="235">
        <f>EEFFun!AP343</f>
        <v>80336.12</v>
      </c>
      <c r="AE166" s="235">
        <f>EEFFun!AQ343</f>
        <v>80336.12</v>
      </c>
      <c r="AF166" s="235">
        <f>EEFFun!AR343</f>
        <v>80336.12</v>
      </c>
      <c r="AG166" s="235">
        <f>EEFFun!AS343</f>
        <v>80336.12</v>
      </c>
      <c r="AH166" s="235">
        <f>EEFFun!AT343</f>
        <v>80336.12</v>
      </c>
      <c r="AI166" s="235">
        <f>EEFFun!AU343</f>
        <v>80336.12</v>
      </c>
      <c r="AJ166" s="235">
        <f>EEFFun!AV343</f>
        <v>80336.12</v>
      </c>
      <c r="AK166" s="235">
        <f>EEFFun!AW343</f>
        <v>80336.12</v>
      </c>
      <c r="AL166" s="235">
        <f>EEFFun!AX343</f>
        <v>80336.12</v>
      </c>
      <c r="AM166" s="235">
        <f>+CaptObFin!B7</f>
        <v>80336.12</v>
      </c>
      <c r="AN166" s="235">
        <f>+CaptObFin!C7</f>
        <v>80336.12</v>
      </c>
      <c r="AO166" s="235">
        <f>+CaptObFin!D7</f>
        <v>80336.12</v>
      </c>
      <c r="AP166" s="235">
        <f>+CaptObFin!E7</f>
        <v>80336.12</v>
      </c>
      <c r="AQ166" s="235">
        <f>+CaptObFin!F7</f>
        <v>80336.12</v>
      </c>
      <c r="AR166" s="235">
        <f>+CaptObFin!G7</f>
        <v>80336.12</v>
      </c>
      <c r="AS166" s="235">
        <f>+CaptObFin!H7</f>
        <v>80336.12</v>
      </c>
      <c r="AT166" s="235">
        <f>+CaptObFin!I7</f>
        <v>80336.12</v>
      </c>
      <c r="AU166" s="235">
        <f>+CaptObFin!J7</f>
        <v>80336.12</v>
      </c>
      <c r="AV166" s="235">
        <f>+CaptObFin!K7</f>
        <v>80336.12</v>
      </c>
      <c r="AW166" s="235">
        <f>+CaptObFin!L7</f>
        <v>80336.12</v>
      </c>
      <c r="AX166" s="235">
        <f>+CaptObFin!M7</f>
        <v>80336.12</v>
      </c>
      <c r="AY166" s="236">
        <f t="shared" si="262"/>
        <v>0</v>
      </c>
      <c r="AZ166" s="236">
        <f t="shared" si="263"/>
        <v>0</v>
      </c>
      <c r="BA166" s="232">
        <f t="shared" si="264"/>
        <v>2.482324990142718E-3</v>
      </c>
      <c r="BB166" s="232">
        <f t="shared" si="265"/>
        <v>5.7258298326831321E-4</v>
      </c>
      <c r="BC166" s="228">
        <f t="shared" si="217"/>
        <v>0</v>
      </c>
    </row>
    <row r="167" spans="1:55" s="229" customFormat="1" outlineLevel="1" x14ac:dyDescent="0.25">
      <c r="A167" s="222">
        <v>2</v>
      </c>
      <c r="B167" s="230">
        <f>EEFFun!B346</f>
        <v>23</v>
      </c>
      <c r="C167" s="230" t="str">
        <f>EEFFun!C346</f>
        <v>OBLIGACIONES INMEDIATAS</v>
      </c>
      <c r="D167" s="225">
        <f>EEFFun!P346</f>
        <v>18084.04</v>
      </c>
      <c r="E167" s="225">
        <f>EEFFun!Q346</f>
        <v>1123.92</v>
      </c>
      <c r="F167" s="225">
        <f>EEFFun!R346</f>
        <v>1411.84</v>
      </c>
      <c r="G167" s="225">
        <f>EEFFun!S346</f>
        <v>0</v>
      </c>
      <c r="H167" s="225">
        <f>EEFFun!T346</f>
        <v>48247.89</v>
      </c>
      <c r="I167" s="225">
        <f>EEFFun!U346</f>
        <v>31993.119999999999</v>
      </c>
      <c r="J167" s="225">
        <f>EEFFun!V346</f>
        <v>90166.24</v>
      </c>
      <c r="K167" s="225">
        <f>EEFFun!W346</f>
        <v>20154.36</v>
      </c>
      <c r="L167" s="225">
        <f>EEFFun!X346</f>
        <v>2702.81</v>
      </c>
      <c r="M167" s="225">
        <f>EEFFun!Y346</f>
        <v>43114.11</v>
      </c>
      <c r="N167" s="225">
        <f>EEFFun!Z346</f>
        <v>51911.92</v>
      </c>
      <c r="O167" s="225">
        <f>EEFFun!AA346</f>
        <v>131379.97</v>
      </c>
      <c r="P167" s="225">
        <f>EEFFun!AB346</f>
        <v>12407.7</v>
      </c>
      <c r="Q167" s="225">
        <f>EEFFun!AC346</f>
        <v>817.7</v>
      </c>
      <c r="R167" s="225">
        <f>EEFFun!AD346</f>
        <v>817.7</v>
      </c>
      <c r="S167" s="225">
        <f>EEFFun!AE346</f>
        <v>17769.05</v>
      </c>
      <c r="T167" s="225">
        <f>EEFFun!AF346</f>
        <v>3178.26</v>
      </c>
      <c r="U167" s="225">
        <f>EEFFun!AG346</f>
        <v>2887.67</v>
      </c>
      <c r="V167" s="225">
        <f>EEFFun!AH346</f>
        <v>71343.37</v>
      </c>
      <c r="W167" s="225">
        <f>EEFFun!AI346</f>
        <v>62335.65</v>
      </c>
      <c r="X167" s="225">
        <f>EEFFun!AJ346</f>
        <v>58836.75</v>
      </c>
      <c r="Y167" s="225">
        <f>EEFFun!AK346</f>
        <v>56584.84</v>
      </c>
      <c r="Z167" s="225">
        <f>EEFFun!AL346</f>
        <v>75408.88</v>
      </c>
      <c r="AA167" s="225">
        <f>EEFFun!AM346</f>
        <v>3591.6</v>
      </c>
      <c r="AB167" s="225">
        <f>EEFFun!AN346</f>
        <v>293971.86</v>
      </c>
      <c r="AC167" s="225">
        <f>EEFFun!AO346</f>
        <v>33690.06</v>
      </c>
      <c r="AD167" s="225">
        <f>EEFFun!AP346</f>
        <v>16326.76</v>
      </c>
      <c r="AE167" s="225">
        <f>EEFFun!AQ346</f>
        <v>4214418.2300000004</v>
      </c>
      <c r="AF167" s="225">
        <f>EEFFun!AR346</f>
        <v>71786.06</v>
      </c>
      <c r="AG167" s="225">
        <f>EEFFun!AS346</f>
        <v>22274.14</v>
      </c>
      <c r="AH167" s="225">
        <f>EEFFun!AT346</f>
        <v>40559.660000000003</v>
      </c>
      <c r="AI167" s="225">
        <f>EEFFun!AU346</f>
        <v>16130.71</v>
      </c>
      <c r="AJ167" s="225">
        <f>EEFFun!AV346</f>
        <v>106013.15</v>
      </c>
      <c r="AK167" s="225">
        <f>EEFFun!AW346</f>
        <v>8597.19</v>
      </c>
      <c r="AL167" s="225">
        <f>EEFFun!AX346</f>
        <v>2254.75</v>
      </c>
      <c r="AM167" s="226">
        <f t="shared" ref="AM167:AS167" si="278">SUM(AM168)</f>
        <v>38230.80857142857</v>
      </c>
      <c r="AN167" s="226">
        <f t="shared" si="278"/>
        <v>38230.80857142857</v>
      </c>
      <c r="AO167" s="226">
        <f t="shared" si="278"/>
        <v>38230.80857142857</v>
      </c>
      <c r="AP167" s="226">
        <f t="shared" si="278"/>
        <v>38230.80857142857</v>
      </c>
      <c r="AQ167" s="226">
        <f t="shared" si="278"/>
        <v>38230.80857142857</v>
      </c>
      <c r="AR167" s="226">
        <f t="shared" si="278"/>
        <v>38230.80857142857</v>
      </c>
      <c r="AS167" s="226">
        <f t="shared" si="278"/>
        <v>38230.80857142857</v>
      </c>
      <c r="AT167" s="226">
        <f t="shared" ref="AT167" si="279">SUM(AT168)</f>
        <v>38230.80857142857</v>
      </c>
      <c r="AU167" s="226">
        <f t="shared" ref="AU167" si="280">SUM(AU168)</f>
        <v>38230.80857142857</v>
      </c>
      <c r="AV167" s="226">
        <f t="shared" ref="AV167" si="281">SUM(AV168)</f>
        <v>38230.80857142857</v>
      </c>
      <c r="AW167" s="226">
        <f t="shared" ref="AW167" si="282">SUM(AW168)</f>
        <v>38230.80857142857</v>
      </c>
      <c r="AX167" s="226">
        <f t="shared" ref="AX167" si="283">SUM(AX168)</f>
        <v>38230.80857142857</v>
      </c>
      <c r="AY167" s="226">
        <f t="shared" si="262"/>
        <v>-33112.561428571425</v>
      </c>
      <c r="AZ167" s="226">
        <f t="shared" si="263"/>
        <v>25823.108571428569</v>
      </c>
      <c r="BA167" s="231">
        <f t="shared" si="264"/>
        <v>3.8338849050954669E-4</v>
      </c>
      <c r="BB167" s="231">
        <f t="shared" si="265"/>
        <v>2.724840386190965E-4</v>
      </c>
      <c r="BC167" s="228">
        <f t="shared" si="217"/>
        <v>-24104.841428571432</v>
      </c>
    </row>
    <row r="168" spans="1:55" outlineLevel="2" collapsed="1" x14ac:dyDescent="0.25">
      <c r="A168" s="222">
        <v>4</v>
      </c>
      <c r="B168" s="233">
        <f>EEFFun!B347</f>
        <v>2301</v>
      </c>
      <c r="C168" s="234" t="str">
        <f>EEFFun!C347</f>
        <v>Cheques de Gerencia</v>
      </c>
      <c r="D168" s="235">
        <f>EEFFun!P347</f>
        <v>18084.04</v>
      </c>
      <c r="E168" s="235">
        <f>EEFFun!Q347</f>
        <v>1123.92</v>
      </c>
      <c r="F168" s="235">
        <f>EEFFun!R347</f>
        <v>1411.84</v>
      </c>
      <c r="G168" s="235">
        <f>EEFFun!S347</f>
        <v>0</v>
      </c>
      <c r="H168" s="235">
        <f>EEFFun!T347</f>
        <v>48247.89</v>
      </c>
      <c r="I168" s="235">
        <f>EEFFun!U347</f>
        <v>31993.119999999999</v>
      </c>
      <c r="J168" s="235">
        <f>EEFFun!V347</f>
        <v>90166.24</v>
      </c>
      <c r="K168" s="235">
        <f>EEFFun!W347</f>
        <v>20154.36</v>
      </c>
      <c r="L168" s="235">
        <f>EEFFun!X347</f>
        <v>2702.81</v>
      </c>
      <c r="M168" s="235">
        <f>EEFFun!Y347</f>
        <v>43114.11</v>
      </c>
      <c r="N168" s="235">
        <f>EEFFun!Z347</f>
        <v>51911.92</v>
      </c>
      <c r="O168" s="235">
        <f>EEFFun!AA347</f>
        <v>131379.97</v>
      </c>
      <c r="P168" s="235">
        <f>EEFFun!AB347</f>
        <v>12407.7</v>
      </c>
      <c r="Q168" s="235">
        <f>EEFFun!AC347</f>
        <v>817.7</v>
      </c>
      <c r="R168" s="235">
        <f>EEFFun!AD347</f>
        <v>817.7</v>
      </c>
      <c r="S168" s="235">
        <f>EEFFun!AE347</f>
        <v>17769.05</v>
      </c>
      <c r="T168" s="235">
        <f>EEFFun!AF347</f>
        <v>3178.26</v>
      </c>
      <c r="U168" s="235">
        <f>EEFFun!AG347</f>
        <v>2887.67</v>
      </c>
      <c r="V168" s="235">
        <f>EEFFun!AH347</f>
        <v>71343.37</v>
      </c>
      <c r="W168" s="235">
        <f>EEFFun!AI347</f>
        <v>62335.65</v>
      </c>
      <c r="X168" s="235">
        <f>EEFFun!AJ347</f>
        <v>58836.75</v>
      </c>
      <c r="Y168" s="235">
        <f>EEFFun!AK347</f>
        <v>56584.84</v>
      </c>
      <c r="Z168" s="235">
        <f>EEFFun!AL347</f>
        <v>75408.88</v>
      </c>
      <c r="AA168" s="235">
        <f>EEFFun!AM347</f>
        <v>3591.6</v>
      </c>
      <c r="AB168" s="235">
        <f>EEFFun!AN347</f>
        <v>293971.86</v>
      </c>
      <c r="AC168" s="235">
        <f>EEFFun!AO347</f>
        <v>33690.06</v>
      </c>
      <c r="AD168" s="235">
        <f>EEFFun!AP347</f>
        <v>16326.76</v>
      </c>
      <c r="AE168" s="235">
        <f>EEFFun!AQ347</f>
        <v>4214418.2300000004</v>
      </c>
      <c r="AF168" s="235">
        <f>EEFFun!AR347</f>
        <v>71786.06</v>
      </c>
      <c r="AG168" s="235">
        <f>EEFFun!AS347</f>
        <v>22274.14</v>
      </c>
      <c r="AH168" s="235">
        <f>EEFFun!AT347</f>
        <v>40559.660000000003</v>
      </c>
      <c r="AI168" s="235">
        <f>EEFFun!AU347</f>
        <v>16130.71</v>
      </c>
      <c r="AJ168" s="235">
        <f>EEFFun!AV347</f>
        <v>106013.15</v>
      </c>
      <c r="AK168" s="235">
        <f>EEFFun!AW347</f>
        <v>8597.19</v>
      </c>
      <c r="AL168" s="235">
        <f>EEFFun!AX347</f>
        <v>2254.75</v>
      </c>
      <c r="AM168" s="236">
        <f>+AVERAGE($AF$168:$AL$168)</f>
        <v>38230.80857142857</v>
      </c>
      <c r="AN168" s="236">
        <f t="shared" ref="AN168:AX168" si="284">+AVERAGE($AF$168:$AL$168)</f>
        <v>38230.80857142857</v>
      </c>
      <c r="AO168" s="236">
        <f t="shared" si="284"/>
        <v>38230.80857142857</v>
      </c>
      <c r="AP168" s="236">
        <f t="shared" si="284"/>
        <v>38230.80857142857</v>
      </c>
      <c r="AQ168" s="236">
        <f t="shared" si="284"/>
        <v>38230.80857142857</v>
      </c>
      <c r="AR168" s="236">
        <f t="shared" si="284"/>
        <v>38230.80857142857</v>
      </c>
      <c r="AS168" s="236">
        <f t="shared" si="284"/>
        <v>38230.80857142857</v>
      </c>
      <c r="AT168" s="236">
        <f t="shared" si="284"/>
        <v>38230.80857142857</v>
      </c>
      <c r="AU168" s="236">
        <f t="shared" si="284"/>
        <v>38230.80857142857</v>
      </c>
      <c r="AV168" s="236">
        <f t="shared" si="284"/>
        <v>38230.80857142857</v>
      </c>
      <c r="AW168" s="236">
        <f t="shared" si="284"/>
        <v>38230.80857142857</v>
      </c>
      <c r="AX168" s="236">
        <f t="shared" si="284"/>
        <v>38230.80857142857</v>
      </c>
      <c r="AY168" s="236">
        <f t="shared" si="262"/>
        <v>-33112.561428571425</v>
      </c>
      <c r="AZ168" s="236">
        <f t="shared" si="263"/>
        <v>25823.108571428569</v>
      </c>
      <c r="BA168" s="232">
        <f t="shared" si="264"/>
        <v>3.8338849050954669E-4</v>
      </c>
      <c r="BB168" s="232">
        <f t="shared" si="265"/>
        <v>2.724840386190965E-4</v>
      </c>
      <c r="BC168" s="228">
        <f t="shared" si="217"/>
        <v>-24104.841428571432</v>
      </c>
    </row>
    <row r="169" spans="1:55" s="229" customFormat="1" outlineLevel="1" x14ac:dyDescent="0.25">
      <c r="A169" s="222">
        <v>2</v>
      </c>
      <c r="B169" s="230">
        <f>EEFFun!B348</f>
        <v>25</v>
      </c>
      <c r="C169" s="230" t="str">
        <f>EEFFun!C348</f>
        <v>CUENTAS POR PAGAR</v>
      </c>
      <c r="D169" s="225">
        <f>EEFFun!P348</f>
        <v>1765268.17</v>
      </c>
      <c r="E169" s="225">
        <f>EEFFun!Q348</f>
        <v>1890005.3</v>
      </c>
      <c r="F169" s="225">
        <f>EEFFun!R348</f>
        <v>1860501.62</v>
      </c>
      <c r="G169" s="225">
        <f>EEFFun!S348</f>
        <v>2062151.57</v>
      </c>
      <c r="H169" s="225">
        <f>EEFFun!T348</f>
        <v>2025183.31</v>
      </c>
      <c r="I169" s="225">
        <f>EEFFun!U348</f>
        <v>2244625.94</v>
      </c>
      <c r="J169" s="225">
        <f>EEFFun!V348</f>
        <v>1880658.27</v>
      </c>
      <c r="K169" s="225">
        <f>EEFFun!W348</f>
        <v>1877626.25</v>
      </c>
      <c r="L169" s="225">
        <f>EEFFun!X348</f>
        <v>1951411.75</v>
      </c>
      <c r="M169" s="225">
        <f>EEFFun!Y348</f>
        <v>2307090.3199999998</v>
      </c>
      <c r="N169" s="225">
        <f>EEFFun!Z348</f>
        <v>2067526.37</v>
      </c>
      <c r="O169" s="225">
        <f>EEFFun!AA348</f>
        <v>2079151.65</v>
      </c>
      <c r="P169" s="226">
        <f t="shared" ref="P169:V169" si="285">P170+P171+P180+P181+P183+P184+P186</f>
        <v>2024366.15</v>
      </c>
      <c r="Q169" s="226">
        <f t="shared" si="285"/>
        <v>1854856.19</v>
      </c>
      <c r="R169" s="226">
        <f t="shared" si="285"/>
        <v>1846781.2400000002</v>
      </c>
      <c r="S169" s="226">
        <f t="shared" si="285"/>
        <v>2111711.75</v>
      </c>
      <c r="T169" s="226">
        <f t="shared" si="285"/>
        <v>1977180.6200000003</v>
      </c>
      <c r="U169" s="226">
        <f t="shared" si="285"/>
        <v>2184996.9700000002</v>
      </c>
      <c r="V169" s="226">
        <f t="shared" si="285"/>
        <v>2151446.67</v>
      </c>
      <c r="W169" s="226">
        <f t="shared" ref="W169:AS169" si="286">W170+W171+W180+W181+W183+W184+W186</f>
        <v>2262048.23</v>
      </c>
      <c r="X169" s="226">
        <f>X170+X171+X180+X181+X183+X184+X186</f>
        <v>2558944.0700000003</v>
      </c>
      <c r="Y169" s="226">
        <f t="shared" si="286"/>
        <v>2958863.99</v>
      </c>
      <c r="Z169" s="226">
        <f t="shared" si="286"/>
        <v>3293354.0200000005</v>
      </c>
      <c r="AA169" s="226">
        <f t="shared" si="286"/>
        <v>3796848.06</v>
      </c>
      <c r="AB169" s="226">
        <f t="shared" ref="AB169:AL169" si="287">AB170+AB171+AB180+AB181+AB183+AB184+AB186</f>
        <v>2843389.71</v>
      </c>
      <c r="AC169" s="226">
        <f t="shared" si="287"/>
        <v>3526660.52</v>
      </c>
      <c r="AD169" s="226">
        <f t="shared" si="287"/>
        <v>3648701.87</v>
      </c>
      <c r="AE169" s="226">
        <f t="shared" si="287"/>
        <v>3757981.04</v>
      </c>
      <c r="AF169" s="226">
        <f t="shared" si="287"/>
        <v>4310320</v>
      </c>
      <c r="AG169" s="226">
        <f t="shared" si="287"/>
        <v>3950383.17</v>
      </c>
      <c r="AH169" s="226">
        <f t="shared" si="287"/>
        <v>4063689.37</v>
      </c>
      <c r="AI169" s="226">
        <f t="shared" si="287"/>
        <v>3674847.02</v>
      </c>
      <c r="AJ169" s="226">
        <f t="shared" si="287"/>
        <v>4039191.73</v>
      </c>
      <c r="AK169" s="226">
        <f t="shared" si="287"/>
        <v>3703434.13</v>
      </c>
      <c r="AL169" s="226">
        <f t="shared" si="287"/>
        <v>4366566.1500000004</v>
      </c>
      <c r="AM169" s="226">
        <f t="shared" si="286"/>
        <v>4400015.1032200456</v>
      </c>
      <c r="AN169" s="226">
        <f t="shared" si="286"/>
        <v>4521048.9477285454</v>
      </c>
      <c r="AO169" s="226">
        <f t="shared" si="286"/>
        <v>4692472.6079437025</v>
      </c>
      <c r="AP169" s="226">
        <f t="shared" si="286"/>
        <v>4877152.8220058624</v>
      </c>
      <c r="AQ169" s="226">
        <f t="shared" si="286"/>
        <v>5066134.2774093598</v>
      </c>
      <c r="AR169" s="226">
        <f t="shared" si="286"/>
        <v>5263124.9319526739</v>
      </c>
      <c r="AS169" s="226">
        <f t="shared" si="286"/>
        <v>5467095.5788415736</v>
      </c>
      <c r="AT169" s="226">
        <f t="shared" ref="AT169:AX169" si="288">AT170+AT171+AT180+AT181+AT183+AT184+AT186</f>
        <v>5688857.1371485638</v>
      </c>
      <c r="AU169" s="226">
        <f t="shared" si="288"/>
        <v>5893756.4593659565</v>
      </c>
      <c r="AV169" s="226">
        <f t="shared" si="288"/>
        <v>6128806.1086253598</v>
      </c>
      <c r="AW169" s="226">
        <f t="shared" si="288"/>
        <v>6398117.6191416821</v>
      </c>
      <c r="AX169" s="226">
        <f t="shared" si="288"/>
        <v>6602232.0291869715</v>
      </c>
      <c r="AY169" s="226">
        <f t="shared" si="262"/>
        <v>4450785.3591869716</v>
      </c>
      <c r="AZ169" s="226">
        <f t="shared" si="263"/>
        <v>4577865.8791869711</v>
      </c>
      <c r="BA169" s="231">
        <f t="shared" si="264"/>
        <v>6.255137394417358E-2</v>
      </c>
      <c r="BB169" s="231">
        <f t="shared" si="265"/>
        <v>4.7056364080086087E-2</v>
      </c>
      <c r="BC169" s="228">
        <f t="shared" si="217"/>
        <v>3426808.9071485638</v>
      </c>
    </row>
    <row r="170" spans="1:55" outlineLevel="2" collapsed="1" x14ac:dyDescent="0.25">
      <c r="A170" s="222">
        <v>4</v>
      </c>
      <c r="B170" s="233">
        <f>EEFFun!B349</f>
        <v>2501</v>
      </c>
      <c r="C170" s="234" t="str">
        <f>EEFFun!C349</f>
        <v>Intereses por pagar</v>
      </c>
      <c r="D170" s="235">
        <f>EEFFun!P349</f>
        <v>703245.19</v>
      </c>
      <c r="E170" s="235">
        <f>EEFFun!Q349</f>
        <v>685529.29</v>
      </c>
      <c r="F170" s="235">
        <f>EEFFun!R349</f>
        <v>654662.44999999995</v>
      </c>
      <c r="G170" s="235">
        <f>EEFFun!S349</f>
        <v>700641.57</v>
      </c>
      <c r="H170" s="235">
        <f>EEFFun!T349</f>
        <v>689071.51</v>
      </c>
      <c r="I170" s="235">
        <f>EEFFun!U349</f>
        <v>735882.71</v>
      </c>
      <c r="J170" s="235">
        <f>EEFFun!V349</f>
        <v>730593.44</v>
      </c>
      <c r="K170" s="235">
        <f>EEFFun!W349</f>
        <v>701629.47</v>
      </c>
      <c r="L170" s="235">
        <f>EEFFun!X349</f>
        <v>714029.07</v>
      </c>
      <c r="M170" s="235">
        <f>EEFFun!Y349</f>
        <v>741520.62</v>
      </c>
      <c r="N170" s="235">
        <f>EEFFun!Z349</f>
        <v>745497.7</v>
      </c>
      <c r="O170" s="235">
        <f>EEFFun!AA349</f>
        <v>755393.52</v>
      </c>
      <c r="P170" s="235">
        <f>EEFFun!AB349</f>
        <v>783880.35</v>
      </c>
      <c r="Q170" s="235">
        <f>EEFFun!AC349</f>
        <v>715298.06</v>
      </c>
      <c r="R170" s="235">
        <f>EEFFun!AD349</f>
        <v>660187.05000000005</v>
      </c>
      <c r="S170" s="235">
        <f>EEFFun!AE349</f>
        <v>704131.05</v>
      </c>
      <c r="T170" s="235">
        <f>EEFFun!AF349</f>
        <v>706307.76</v>
      </c>
      <c r="U170" s="235">
        <f>EEFFun!AG349</f>
        <v>762873.32</v>
      </c>
      <c r="V170" s="235">
        <f>EEFFun!AH349</f>
        <v>739723.22</v>
      </c>
      <c r="W170" s="235">
        <f>EEFFun!AI349</f>
        <v>791129.85</v>
      </c>
      <c r="X170" s="235">
        <f>EEFFun!AJ349</f>
        <v>867281.41</v>
      </c>
      <c r="Y170" s="235">
        <f>EEFFun!AK349</f>
        <v>885652.68</v>
      </c>
      <c r="Z170" s="235">
        <f>EEFFun!AL349</f>
        <v>882873.08</v>
      </c>
      <c r="AA170" s="235">
        <f>EEFFun!AM349</f>
        <v>946971.67</v>
      </c>
      <c r="AB170" s="235">
        <f>EEFFun!AN349</f>
        <v>939999.18</v>
      </c>
      <c r="AC170" s="235">
        <f>EEFFun!AO349</f>
        <v>937702.01</v>
      </c>
      <c r="AD170" s="235">
        <f>EEFFun!AP349</f>
        <v>902465.2</v>
      </c>
      <c r="AE170" s="235">
        <f>EEFFun!AQ349</f>
        <v>962125.97</v>
      </c>
      <c r="AF170" s="235">
        <f>EEFFun!AR349</f>
        <v>896024.03</v>
      </c>
      <c r="AG170" s="235">
        <f>EEFFun!AS349</f>
        <v>907660.65</v>
      </c>
      <c r="AH170" s="235">
        <f>EEFFun!AT349</f>
        <v>865924.79</v>
      </c>
      <c r="AI170" s="235">
        <f>EEFFun!AU349</f>
        <v>913464.58</v>
      </c>
      <c r="AJ170" s="235">
        <f>EEFFun!AV349</f>
        <v>942345.17</v>
      </c>
      <c r="AK170" s="235">
        <f>EEFFun!AW349</f>
        <v>963628.19</v>
      </c>
      <c r="AL170" s="235">
        <f>EEFFun!AX349</f>
        <v>1006891.02</v>
      </c>
      <c r="AM170" s="236">
        <f>(AL170/AL153)*AM153</f>
        <v>1120988.4479249083</v>
      </c>
      <c r="AN170" s="236">
        <f t="shared" ref="AN170:AX170" si="289">(AM170/AM153)*AN153</f>
        <v>1235085.8758498172</v>
      </c>
      <c r="AO170" s="236">
        <f t="shared" si="289"/>
        <v>1349183.3037747259</v>
      </c>
      <c r="AP170" s="236">
        <f t="shared" si="289"/>
        <v>1463280.7316996348</v>
      </c>
      <c r="AQ170" s="236">
        <f t="shared" si="289"/>
        <v>1577378.1596245433</v>
      </c>
      <c r="AR170" s="236">
        <f t="shared" si="289"/>
        <v>1691475.5875494522</v>
      </c>
      <c r="AS170" s="236">
        <f t="shared" si="289"/>
        <v>1805573.0154743607</v>
      </c>
      <c r="AT170" s="236">
        <f t="shared" si="289"/>
        <v>1919670.4433992696</v>
      </c>
      <c r="AU170" s="236">
        <f t="shared" si="289"/>
        <v>2030200.3757273704</v>
      </c>
      <c r="AV170" s="236">
        <f t="shared" si="289"/>
        <v>2144297.8036522786</v>
      </c>
      <c r="AW170" s="236">
        <f t="shared" si="289"/>
        <v>2258395.2315771878</v>
      </c>
      <c r="AX170" s="236">
        <f t="shared" si="289"/>
        <v>2372492.6595020965</v>
      </c>
      <c r="AY170" s="236">
        <f t="shared" si="262"/>
        <v>1632769.4395020965</v>
      </c>
      <c r="AZ170" s="236">
        <f t="shared" si="263"/>
        <v>1588612.3095020964</v>
      </c>
      <c r="BA170" s="232">
        <f t="shared" si="264"/>
        <v>2.4221306457006143E-2</v>
      </c>
      <c r="BB170" s="232">
        <f t="shared" si="265"/>
        <v>1.6909566017874463E-2</v>
      </c>
      <c r="BC170" s="228">
        <f t="shared" si="217"/>
        <v>1128540.5933992695</v>
      </c>
    </row>
    <row r="171" spans="1:55" outlineLevel="2" collapsed="1" x14ac:dyDescent="0.25">
      <c r="A171" s="222">
        <v>4</v>
      </c>
      <c r="B171" s="233">
        <f>EEFFun!B354</f>
        <v>2503</v>
      </c>
      <c r="C171" s="234" t="str">
        <f>EEFFun!C354</f>
        <v>Obligaciones patronales</v>
      </c>
      <c r="D171" s="235">
        <f>EEFFun!P354</f>
        <v>448173.12</v>
      </c>
      <c r="E171" s="235">
        <f>EEFFun!Q354</f>
        <v>456378.86</v>
      </c>
      <c r="F171" s="235">
        <f>EEFFun!R354</f>
        <v>466257.2</v>
      </c>
      <c r="G171" s="235">
        <f>EEFFun!S354</f>
        <v>464992.65</v>
      </c>
      <c r="H171" s="235">
        <f>EEFFun!T354</f>
        <v>497744.81</v>
      </c>
      <c r="I171" s="235">
        <f>EEFFun!U354</f>
        <v>481879.91</v>
      </c>
      <c r="J171" s="235">
        <f>EEFFun!V354</f>
        <v>481049.39</v>
      </c>
      <c r="K171" s="235">
        <f>EEFFun!W354</f>
        <v>481784.99</v>
      </c>
      <c r="L171" s="235">
        <f>EEFFun!X354</f>
        <v>473856.03</v>
      </c>
      <c r="M171" s="235">
        <f>EEFFun!Y354</f>
        <v>473592.18</v>
      </c>
      <c r="N171" s="235">
        <f>EEFFun!Z354</f>
        <v>480977.26</v>
      </c>
      <c r="O171" s="235">
        <f>EEFFun!AA354</f>
        <v>488551.57</v>
      </c>
      <c r="P171" s="235">
        <f>EEFFun!AB354</f>
        <v>455695.79</v>
      </c>
      <c r="Q171" s="235">
        <f>EEFFun!AC354</f>
        <v>462892.26</v>
      </c>
      <c r="R171" s="235">
        <f>EEFFun!AD354</f>
        <v>465846.37</v>
      </c>
      <c r="S171" s="235">
        <f>EEFFun!AE354</f>
        <v>466852.47</v>
      </c>
      <c r="T171" s="235">
        <f>EEFFun!AF354</f>
        <v>462272.08</v>
      </c>
      <c r="U171" s="235">
        <f>EEFFun!AG354</f>
        <v>463729.9</v>
      </c>
      <c r="V171" s="235">
        <f>EEFFun!AH354</f>
        <v>466593.93</v>
      </c>
      <c r="W171" s="235">
        <f>EEFFun!AI354</f>
        <v>475004.14</v>
      </c>
      <c r="X171" s="235">
        <f>EEFFun!AJ354</f>
        <v>456411.26</v>
      </c>
      <c r="Y171" s="235">
        <f>EEFFun!AK354</f>
        <v>468038.68</v>
      </c>
      <c r="Z171" s="235">
        <f>EEFFun!AL354</f>
        <v>483806.46</v>
      </c>
      <c r="AA171" s="235">
        <f>EEFFun!AM354</f>
        <v>487202.99</v>
      </c>
      <c r="AB171" s="235">
        <f>EEFFun!AN354</f>
        <v>462723.56</v>
      </c>
      <c r="AC171" s="235">
        <f>EEFFun!AO354</f>
        <v>475338.35</v>
      </c>
      <c r="AD171" s="235">
        <f>EEFFun!AP354</f>
        <v>457231.61</v>
      </c>
      <c r="AE171" s="235">
        <f>EEFFun!AQ354</f>
        <v>470216.07</v>
      </c>
      <c r="AF171" s="235">
        <f>EEFFun!AR354</f>
        <v>487409.55</v>
      </c>
      <c r="AG171" s="235">
        <f>EEFFun!AS354</f>
        <v>502235.64</v>
      </c>
      <c r="AH171" s="235">
        <f>EEFFun!AT354</f>
        <v>515793.84</v>
      </c>
      <c r="AI171" s="235">
        <f>EEFFun!AU354</f>
        <v>526877.36</v>
      </c>
      <c r="AJ171" s="235">
        <f>EEFFun!AV354</f>
        <v>509074.52</v>
      </c>
      <c r="AK171" s="235">
        <f>EEFFun!AW354</f>
        <v>514344.41</v>
      </c>
      <c r="AL171" s="235">
        <f>EEFFun!AX354</f>
        <v>528926.47</v>
      </c>
      <c r="AM171" s="236">
        <f t="shared" ref="AM171:AS171" si="290">AM172+AM176+AM177+AM178+AM179</f>
        <v>439762.78454389516</v>
      </c>
      <c r="AN171" s="236">
        <f t="shared" si="290"/>
        <v>428383.22756439133</v>
      </c>
      <c r="AO171" s="236">
        <f t="shared" si="290"/>
        <v>455438.78002242849</v>
      </c>
      <c r="AP171" s="236">
        <f t="shared" si="290"/>
        <v>484316.99914422486</v>
      </c>
      <c r="AQ171" s="236">
        <f t="shared" si="290"/>
        <v>516490.53411521798</v>
      </c>
      <c r="AR171" s="236">
        <f t="shared" si="290"/>
        <v>550957.359401086</v>
      </c>
      <c r="AS171" s="236">
        <f t="shared" si="290"/>
        <v>588279.9367684864</v>
      </c>
      <c r="AT171" s="236">
        <f t="shared" ref="AT171" si="291">AT172+AT176+AT177+AT178+AT179</f>
        <v>633781.8156516907</v>
      </c>
      <c r="AU171" s="236">
        <f t="shared" ref="AU171" si="292">AU172+AU176+AU177+AU178+AU179</f>
        <v>674515.88135192683</v>
      </c>
      <c r="AV171" s="236">
        <f t="shared" ref="AV171" si="293">AV172+AV176+AV177+AV178+AV179</f>
        <v>724781.6605308936</v>
      </c>
      <c r="AW171" s="236">
        <f t="shared" ref="AW171" si="294">AW172+AW176+AW177+AW178+AW179</f>
        <v>807862.42286913632</v>
      </c>
      <c r="AX171" s="236">
        <f t="shared" ref="AX171" si="295">AX172+AX176+AX177+AX178+AX179</f>
        <v>832458.59235377633</v>
      </c>
      <c r="AY171" s="236">
        <f t="shared" si="262"/>
        <v>365864.66235377634</v>
      </c>
      <c r="AZ171" s="236">
        <f t="shared" si="263"/>
        <v>376762.80235377635</v>
      </c>
      <c r="BA171" s="232">
        <f t="shared" si="264"/>
        <v>1.4080653228209528E-2</v>
      </c>
      <c r="BB171" s="232">
        <f t="shared" si="265"/>
        <v>5.9332168924422276E-3</v>
      </c>
      <c r="BC171" s="228">
        <f t="shared" si="217"/>
        <v>158777.67565169069</v>
      </c>
    </row>
    <row r="172" spans="1:55" outlineLevel="2" collapsed="1" x14ac:dyDescent="0.25">
      <c r="A172" s="222">
        <v>6</v>
      </c>
      <c r="B172" s="233">
        <f>EEFFun!B355</f>
        <v>250310</v>
      </c>
      <c r="C172" s="234" t="str">
        <f>EEFFun!C355</f>
        <v>Beneficios Sociales</v>
      </c>
      <c r="D172" s="235">
        <f>EEFFun!P355</f>
        <v>69667.02</v>
      </c>
      <c r="E172" s="235">
        <f>EEFFun!Q355</f>
        <v>80832.83</v>
      </c>
      <c r="F172" s="235">
        <f>EEFFun!R355</f>
        <v>90909.47</v>
      </c>
      <c r="G172" s="235">
        <f>EEFFun!S355</f>
        <v>89691.82</v>
      </c>
      <c r="H172" s="235">
        <f>EEFFun!T355</f>
        <v>95690</v>
      </c>
      <c r="I172" s="235">
        <f>EEFFun!U355</f>
        <v>100505.78</v>
      </c>
      <c r="J172" s="235">
        <f>EEFFun!V355</f>
        <v>106915.76</v>
      </c>
      <c r="K172" s="235">
        <f>EEFFun!W355</f>
        <v>107835.65</v>
      </c>
      <c r="L172" s="235">
        <f>EEFFun!X355</f>
        <v>99727.33</v>
      </c>
      <c r="M172" s="235">
        <f>EEFFun!Y355</f>
        <v>99218.84</v>
      </c>
      <c r="N172" s="235">
        <f>EEFFun!Z355</f>
        <v>107926.15</v>
      </c>
      <c r="O172" s="235">
        <f>EEFFun!AA355</f>
        <v>116415.48</v>
      </c>
      <c r="P172" s="235">
        <f>EEFFun!AB355</f>
        <v>67066.45</v>
      </c>
      <c r="Q172" s="235">
        <f>EEFFun!AC355</f>
        <v>73732.289999999994</v>
      </c>
      <c r="R172" s="235">
        <f>EEFFun!AD355</f>
        <v>78650.48</v>
      </c>
      <c r="S172" s="235">
        <f>EEFFun!AE355</f>
        <v>80285.19</v>
      </c>
      <c r="T172" s="235">
        <f>EEFFun!AF355</f>
        <v>85916.02</v>
      </c>
      <c r="U172" s="235">
        <f>EEFFun!AG355</f>
        <v>87832.18</v>
      </c>
      <c r="V172" s="235">
        <f>EEFFun!AH355</f>
        <v>95091.25</v>
      </c>
      <c r="W172" s="235">
        <f>EEFFun!AI355</f>
        <v>103770.66</v>
      </c>
      <c r="X172" s="235">
        <f>EEFFun!AJ355</f>
        <v>84308.94</v>
      </c>
      <c r="Y172" s="235">
        <f>EEFFun!AK355</f>
        <v>95804.77</v>
      </c>
      <c r="Z172" s="235">
        <f>EEFFun!AL355</f>
        <v>108985.94</v>
      </c>
      <c r="AA172" s="235">
        <f>EEFFun!AM355</f>
        <v>117694.19</v>
      </c>
      <c r="AB172" s="235">
        <f>EEFFun!AN355</f>
        <v>77046.11</v>
      </c>
      <c r="AC172" s="235">
        <f>EEFFun!AO355</f>
        <v>90128.52</v>
      </c>
      <c r="AD172" s="235">
        <f>EEFFun!AP355</f>
        <v>94626.76</v>
      </c>
      <c r="AE172" s="235">
        <f>EEFFun!AQ355</f>
        <v>107818.73</v>
      </c>
      <c r="AF172" s="235">
        <f>EEFFun!AR355</f>
        <v>124735.1</v>
      </c>
      <c r="AG172" s="235">
        <f>EEFFun!AS355</f>
        <v>140755.78</v>
      </c>
      <c r="AH172" s="235">
        <f>EEFFun!AT355</f>
        <v>154394.29999999999</v>
      </c>
      <c r="AI172" s="235">
        <f>EEFFun!AU355</f>
        <v>167242.34</v>
      </c>
      <c r="AJ172" s="235">
        <f>EEFFun!AV355</f>
        <v>149024.71</v>
      </c>
      <c r="AK172" s="235">
        <f>EEFFun!AW355</f>
        <v>154800.65</v>
      </c>
      <c r="AL172" s="235">
        <f>EEFFun!AX355</f>
        <v>170638.36</v>
      </c>
      <c r="AM172" s="236">
        <f t="shared" ref="AM172:AS172" si="296">SUM(AM173:AM175)</f>
        <v>58097.433278295925</v>
      </c>
      <c r="AN172" s="236">
        <f t="shared" si="296"/>
        <v>59041.037236591852</v>
      </c>
      <c r="AO172" s="236">
        <f t="shared" si="296"/>
        <v>60007.054461287778</v>
      </c>
      <c r="AP172" s="236">
        <f t="shared" si="296"/>
        <v>60765.673656133935</v>
      </c>
      <c r="AQ172" s="236">
        <f t="shared" si="296"/>
        <v>61545.818552030643</v>
      </c>
      <c r="AR172" s="236">
        <f t="shared" si="296"/>
        <v>62347.058634956906</v>
      </c>
      <c r="AS172" s="236">
        <f t="shared" si="296"/>
        <v>63168.972001172129</v>
      </c>
      <c r="AT172" s="236">
        <f t="shared" ref="AT172" si="297">SUM(AT173:AT175)</f>
        <v>64011.14518501053</v>
      </c>
      <c r="AU172" s="236">
        <f t="shared" ref="AU172" si="298">SUM(AU173:AU175)</f>
        <v>64873.172990119645</v>
      </c>
      <c r="AV172" s="236">
        <f t="shared" ref="AV172" si="299">SUM(AV173:AV175)</f>
        <v>65754.658324074058</v>
      </c>
      <c r="AW172" s="236">
        <f t="shared" ref="AW172" si="300">SUM(AW173:AW175)</f>
        <v>66655.212036296871</v>
      </c>
      <c r="AX172" s="236">
        <f t="shared" ref="AX172" si="301">SUM(AX173:AX175)</f>
        <v>67574.45275922271</v>
      </c>
      <c r="AY172" s="236">
        <f t="shared" si="262"/>
        <v>-27516.79724077729</v>
      </c>
      <c r="AZ172" s="236">
        <f t="shared" si="263"/>
        <v>508.00275922271248</v>
      </c>
      <c r="BA172" s="232">
        <f t="shared" si="264"/>
        <v>2.07230228239996E-3</v>
      </c>
      <c r="BB172" s="232">
        <f t="shared" si="265"/>
        <v>4.8162621935935471E-4</v>
      </c>
      <c r="BC172" s="228">
        <f t="shared" si="217"/>
        <v>-39759.514814989474</v>
      </c>
    </row>
    <row r="173" spans="1:55" outlineLevel="2" collapsed="1" x14ac:dyDescent="0.25">
      <c r="A173" s="222">
        <v>8</v>
      </c>
      <c r="B173" s="233">
        <f>EEFFun!B356</f>
        <v>25031005</v>
      </c>
      <c r="C173" s="234" t="str">
        <f>EEFFun!C356</f>
        <v>DECIMO TERCER SUELDO</v>
      </c>
      <c r="D173" s="235">
        <f>EEFFun!P356</f>
        <v>5492.31</v>
      </c>
      <c r="E173" s="235">
        <f>EEFFun!Q356</f>
        <v>10335.02</v>
      </c>
      <c r="F173" s="235">
        <f>EEFFun!R356</f>
        <v>15231.89</v>
      </c>
      <c r="G173" s="235">
        <f>EEFFun!S356</f>
        <v>19911.04</v>
      </c>
      <c r="H173" s="235">
        <f>EEFFun!T356</f>
        <v>24650.71</v>
      </c>
      <c r="I173" s="235">
        <f>EEFFun!U356</f>
        <v>28270.34</v>
      </c>
      <c r="J173" s="235">
        <f>EEFFun!V356</f>
        <v>32779.1</v>
      </c>
      <c r="K173" s="235">
        <f>EEFFun!W356</f>
        <v>37685.29</v>
      </c>
      <c r="L173" s="235">
        <f>EEFFun!X356</f>
        <v>42635.55</v>
      </c>
      <c r="M173" s="235">
        <f>EEFFun!Y356</f>
        <v>47772.37</v>
      </c>
      <c r="N173" s="235">
        <f>EEFFun!Z356</f>
        <v>52033.93</v>
      </c>
      <c r="O173" s="235">
        <f>EEFFun!AA356</f>
        <v>56383.66</v>
      </c>
      <c r="P173" s="235">
        <f>EEFFun!AB356</f>
        <v>5031.18</v>
      </c>
      <c r="Q173" s="235">
        <f>EEFFun!AC356</f>
        <v>9754.3799999999992</v>
      </c>
      <c r="R173" s="235">
        <f>EEFFun!AD356</f>
        <v>14017.18</v>
      </c>
      <c r="S173" s="235">
        <f>EEFFun!AE356</f>
        <v>18262.14</v>
      </c>
      <c r="T173" s="235">
        <f>EEFFun!AF356</f>
        <v>22041.82</v>
      </c>
      <c r="U173" s="235">
        <f>EEFFun!AG356</f>
        <v>25590.7</v>
      </c>
      <c r="V173" s="235">
        <f>EEFFun!AH356</f>
        <v>28435.55</v>
      </c>
      <c r="W173" s="235">
        <f>EEFFun!AI356</f>
        <v>33130.379999999997</v>
      </c>
      <c r="X173" s="235">
        <f>EEFFun!AJ356</f>
        <v>38269.879999999997</v>
      </c>
      <c r="Y173" s="235">
        <f>EEFFun!AK356</f>
        <v>43765.22</v>
      </c>
      <c r="Z173" s="235">
        <f>EEFFun!AL356</f>
        <v>50624.99</v>
      </c>
      <c r="AA173" s="235">
        <f>EEFFun!AM356</f>
        <v>54350.67</v>
      </c>
      <c r="AB173" s="235">
        <f>EEFFun!AN356</f>
        <v>7611.99</v>
      </c>
      <c r="AC173" s="235">
        <f>EEFFun!AO356</f>
        <v>15150.33</v>
      </c>
      <c r="AD173" s="235">
        <f>EEFFun!AP356</f>
        <v>22425.55</v>
      </c>
      <c r="AE173" s="235">
        <f>EEFFun!AQ356</f>
        <v>30432.84</v>
      </c>
      <c r="AF173" s="235">
        <f>EEFFun!AR356</f>
        <v>39627.14</v>
      </c>
      <c r="AG173" s="235">
        <f>EEFFun!AS356</f>
        <v>48400.39</v>
      </c>
      <c r="AH173" s="235">
        <f>EEFFun!AT356</f>
        <v>57441.23</v>
      </c>
      <c r="AI173" s="235">
        <f>EEFFun!AU356</f>
        <v>65705</v>
      </c>
      <c r="AJ173" s="235">
        <f>EEFFun!AV356</f>
        <v>73741.820000000007</v>
      </c>
      <c r="AK173" s="235">
        <f>EEFFun!AW356</f>
        <v>77821.119999999995</v>
      </c>
      <c r="AL173" s="235">
        <f>EEFFun!AX356</f>
        <v>86628.44</v>
      </c>
      <c r="AM173" s="235">
        <f>(AB173/BRhoriz!AN32)*BRhoriz!BK32</f>
        <v>790.82277127080306</v>
      </c>
      <c r="AN173" s="235">
        <f>(AM173/BRhoriz!BK32)*BRhoriz!BL32</f>
        <v>1581.6455425416061</v>
      </c>
      <c r="AO173" s="235">
        <f>(AN173/BRhoriz!BL32)*BRhoriz!BM32</f>
        <v>2372.4683138124092</v>
      </c>
      <c r="AP173" s="235">
        <f>(AO173/BRhoriz!BM32)*BRhoriz!BN32</f>
        <v>3075.4218882753453</v>
      </c>
      <c r="AQ173" s="235">
        <f>(AP173/BRhoriz!BN32)*BRhoriz!BO32</f>
        <v>3778.3754627382814</v>
      </c>
      <c r="AR173" s="235">
        <f>(AQ173/BRhoriz!BO32)*BRhoriz!BP32</f>
        <v>4481.329037201217</v>
      </c>
      <c r="AS173" s="235">
        <f>(AR173/BRhoriz!BP32)*BRhoriz!BQ32</f>
        <v>5184.2826116641536</v>
      </c>
      <c r="AT173" s="235">
        <f>(AS173/BRhoriz!BQ32)*BRhoriz!BR32</f>
        <v>5887.2361861270901</v>
      </c>
      <c r="AU173" s="235">
        <f>(AT173/BRhoriz!BR32)*BRhoriz!BS32</f>
        <v>6590.1897605900267</v>
      </c>
      <c r="AV173" s="235">
        <f>(AU173/BRhoriz!BS32)*BRhoriz!BT32</f>
        <v>7293.1433350529633</v>
      </c>
      <c r="AW173" s="235">
        <f>(AV173/BRhoriz!BT32)*BRhoriz!BU32</f>
        <v>7996.0969095158989</v>
      </c>
      <c r="AX173" s="235">
        <f>(AW173/BRhoriz!BU32)*BRhoriz!BV32</f>
        <v>8699.0504839788355</v>
      </c>
      <c r="AY173" s="236">
        <f t="shared" si="262"/>
        <v>-19736.499516021162</v>
      </c>
      <c r="AZ173" s="236">
        <f t="shared" si="263"/>
        <v>3667.8704839788352</v>
      </c>
      <c r="BA173" s="232">
        <f t="shared" si="264"/>
        <v>1.5545963439491777E-4</v>
      </c>
      <c r="BB173" s="232">
        <f t="shared" si="265"/>
        <v>6.2001105825353097E-5</v>
      </c>
      <c r="BC173" s="228">
        <f t="shared" si="217"/>
        <v>-27243.143813872906</v>
      </c>
    </row>
    <row r="174" spans="1:55" outlineLevel="2" collapsed="1" x14ac:dyDescent="0.25">
      <c r="A174" s="222">
        <v>8</v>
      </c>
      <c r="B174" s="233">
        <f>EEFFun!B357</f>
        <v>25031010</v>
      </c>
      <c r="C174" s="234" t="str">
        <f>EEFFun!C357</f>
        <v>DECIMO CUARTO SUELDO</v>
      </c>
      <c r="D174" s="235">
        <f>EEFFun!P357</f>
        <v>10176.51</v>
      </c>
      <c r="E174" s="235">
        <f>EEFFun!Q357</f>
        <v>12386.41</v>
      </c>
      <c r="F174" s="235">
        <f>EEFFun!R357</f>
        <v>14246.41</v>
      </c>
      <c r="G174" s="235">
        <f>EEFFun!S357</f>
        <v>13323.49</v>
      </c>
      <c r="H174" s="235">
        <f>EEFFun!T357</f>
        <v>14785.99</v>
      </c>
      <c r="I174" s="235">
        <f>EEFFun!U357</f>
        <v>15856.56</v>
      </c>
      <c r="J174" s="235">
        <f>EEFFun!V357</f>
        <v>17636.560000000001</v>
      </c>
      <c r="K174" s="235">
        <f>EEFFun!W357</f>
        <v>19549.060000000001</v>
      </c>
      <c r="L174" s="235">
        <f>EEFFun!X357</f>
        <v>3096.25</v>
      </c>
      <c r="M174" s="235">
        <f>EEFFun!Y357</f>
        <v>5121.25</v>
      </c>
      <c r="N174" s="235">
        <f>EEFFun!Z357</f>
        <v>6733.75</v>
      </c>
      <c r="O174" s="235">
        <f>EEFFun!AA357</f>
        <v>8371.25</v>
      </c>
      <c r="P174" s="235">
        <f>EEFFun!AB357</f>
        <v>10358.75</v>
      </c>
      <c r="Q174" s="235">
        <f>EEFFun!AC357</f>
        <v>12395.56</v>
      </c>
      <c r="R174" s="235">
        <f>EEFFun!AD357</f>
        <v>13085.54</v>
      </c>
      <c r="S174" s="235">
        <f>EEFFun!AE357</f>
        <v>13497.1</v>
      </c>
      <c r="T174" s="235">
        <f>EEFFun!AF357</f>
        <v>14584.47</v>
      </c>
      <c r="U174" s="235">
        <f>EEFFun!AG357</f>
        <v>16245.58</v>
      </c>
      <c r="V174" s="235">
        <f>EEFFun!AH357</f>
        <v>17248.63</v>
      </c>
      <c r="W174" s="235">
        <f>EEFFun!AI357</f>
        <v>19088.62</v>
      </c>
      <c r="X174" s="235">
        <f>EEFFun!AJ357</f>
        <v>2644.77</v>
      </c>
      <c r="Y174" s="235">
        <f>EEFFun!AK357</f>
        <v>4857.87</v>
      </c>
      <c r="Z174" s="235">
        <f>EEFFun!AL357</f>
        <v>7274.12</v>
      </c>
      <c r="AA174" s="235">
        <f>EEFFun!AM357</f>
        <v>9620.1</v>
      </c>
      <c r="AB174" s="235">
        <f>EEFFun!AN357</f>
        <v>12257.42</v>
      </c>
      <c r="AC174" s="235">
        <f>EEFFun!AO357</f>
        <v>15506.83</v>
      </c>
      <c r="AD174" s="235">
        <f>EEFFun!AP357</f>
        <v>17815.09</v>
      </c>
      <c r="AE174" s="235">
        <f>EEFFun!AQ357</f>
        <v>19302.14</v>
      </c>
      <c r="AF174" s="235">
        <f>EEFFun!AR357</f>
        <v>22726.639999999999</v>
      </c>
      <c r="AG174" s="235">
        <f>EEFFun!AS357</f>
        <v>25860.01</v>
      </c>
      <c r="AH174" s="235">
        <f>EEFFun!AT357</f>
        <v>29116.11</v>
      </c>
      <c r="AI174" s="235">
        <f>EEFFun!AU357</f>
        <v>32128.080000000002</v>
      </c>
      <c r="AJ174" s="235">
        <f>EEFFun!AV357</f>
        <v>6145.53</v>
      </c>
      <c r="AK174" s="235">
        <f>EEFFun!AW357</f>
        <v>8743.64</v>
      </c>
      <c r="AL174" s="235">
        <f>EEFFun!AX357</f>
        <v>12272.6</v>
      </c>
      <c r="AM174" s="235">
        <f>(AB174/BRhoriz!AN32)*BRhoriz!BK32</f>
        <v>1273.4445070251231</v>
      </c>
      <c r="AN174" s="235">
        <f>(AM174/BRhoriz!BK32)*BRhoriz!BL32</f>
        <v>2546.8890140502463</v>
      </c>
      <c r="AO174" s="235">
        <f>(AN174/BRhoriz!BL32)*BRhoriz!BM32</f>
        <v>3820.3335210753694</v>
      </c>
      <c r="AP174" s="235">
        <f>(AO174/BRhoriz!BM32)*BRhoriz!BN32</f>
        <v>4952.2841939865893</v>
      </c>
      <c r="AQ174" s="235">
        <f>(AP174/BRhoriz!BN32)*BRhoriz!BO32</f>
        <v>6084.2348668978093</v>
      </c>
      <c r="AR174" s="235">
        <f>(AQ174/BRhoriz!BO32)*BRhoriz!BP32</f>
        <v>7216.1855398090302</v>
      </c>
      <c r="AS174" s="235">
        <f>(AR174/BRhoriz!BP32)*BRhoriz!BQ32</f>
        <v>8348.1362127202501</v>
      </c>
      <c r="AT174" s="235">
        <f>(AS174/BRhoriz!BQ32)*BRhoriz!BR32</f>
        <v>9480.0868856314701</v>
      </c>
      <c r="AU174" s="235">
        <f>(AT174/BRhoriz!BR32)*BRhoriz!BS32</f>
        <v>10612.03755854269</v>
      </c>
      <c r="AV174" s="235">
        <f>(AU174/BRhoriz!BS32)*BRhoriz!BT32</f>
        <v>11743.988231453912</v>
      </c>
      <c r="AW174" s="235">
        <f>(AV174/BRhoriz!BT32)*BRhoriz!BU32</f>
        <v>12875.938904365132</v>
      </c>
      <c r="AX174" s="235">
        <f>(AW174/BRhoriz!BU32)*BRhoriz!BV32</f>
        <v>14007.889577276354</v>
      </c>
      <c r="AY174" s="236">
        <f t="shared" si="262"/>
        <v>-3240.7404227236475</v>
      </c>
      <c r="AZ174" s="236">
        <f t="shared" si="263"/>
        <v>3649.1395772763535</v>
      </c>
      <c r="BA174" s="232">
        <f t="shared" si="264"/>
        <v>3.2007749430319613E-4</v>
      </c>
      <c r="BB174" s="232">
        <f t="shared" si="265"/>
        <v>9.9839016415654701E-5</v>
      </c>
      <c r="BC174" s="228">
        <f t="shared" si="217"/>
        <v>-9608.5331143685289</v>
      </c>
    </row>
    <row r="175" spans="1:55" outlineLevel="2" collapsed="1" x14ac:dyDescent="0.25">
      <c r="A175" s="222">
        <v>8</v>
      </c>
      <c r="B175" s="233">
        <f>EEFFun!B358</f>
        <v>25031015</v>
      </c>
      <c r="C175" s="234" t="str">
        <f>EEFFun!C358</f>
        <v>PROVISION VACACIONES</v>
      </c>
      <c r="D175" s="235">
        <f>EEFFun!P358</f>
        <v>53998.2</v>
      </c>
      <c r="E175" s="235">
        <f>EEFFun!Q358</f>
        <v>58111.4</v>
      </c>
      <c r="F175" s="235">
        <f>EEFFun!R358</f>
        <v>61431.17</v>
      </c>
      <c r="G175" s="235">
        <f>EEFFun!S358</f>
        <v>56457.29</v>
      </c>
      <c r="H175" s="235">
        <f>EEFFun!T358</f>
        <v>56253.3</v>
      </c>
      <c r="I175" s="235">
        <f>EEFFun!U358</f>
        <v>56378.879999999997</v>
      </c>
      <c r="J175" s="235">
        <f>EEFFun!V358</f>
        <v>56500.1</v>
      </c>
      <c r="K175" s="235">
        <f>EEFFun!W358</f>
        <v>50601.3</v>
      </c>
      <c r="L175" s="235">
        <f>EEFFun!X358</f>
        <v>53995.53</v>
      </c>
      <c r="M175" s="235">
        <f>EEFFun!Y358</f>
        <v>46325.22</v>
      </c>
      <c r="N175" s="235">
        <f>EEFFun!Z358</f>
        <v>49158.47</v>
      </c>
      <c r="O175" s="235">
        <f>EEFFun!AA358</f>
        <v>51660.57</v>
      </c>
      <c r="P175" s="235">
        <f>EEFFun!AB358</f>
        <v>51676.52</v>
      </c>
      <c r="Q175" s="235">
        <f>EEFFun!AC358</f>
        <v>51582.35</v>
      </c>
      <c r="R175" s="235">
        <f>EEFFun!AD358</f>
        <v>51547.76</v>
      </c>
      <c r="S175" s="235">
        <f>EEFFun!AE358</f>
        <v>48525.95</v>
      </c>
      <c r="T175" s="235">
        <f>EEFFun!AF358</f>
        <v>49289.73</v>
      </c>
      <c r="U175" s="235">
        <f>EEFFun!AG358</f>
        <v>45995.9</v>
      </c>
      <c r="V175" s="235">
        <f>EEFFun!AH358</f>
        <v>49407.07</v>
      </c>
      <c r="W175" s="235">
        <f>EEFFun!AI358</f>
        <v>51551.66</v>
      </c>
      <c r="X175" s="235">
        <f>EEFFun!AJ358</f>
        <v>43394.29</v>
      </c>
      <c r="Y175" s="235">
        <f>EEFFun!AK358</f>
        <v>47181.68</v>
      </c>
      <c r="Z175" s="235">
        <f>EEFFun!AL358</f>
        <v>51086.83</v>
      </c>
      <c r="AA175" s="235">
        <f>EEFFun!AM358</f>
        <v>53723.42</v>
      </c>
      <c r="AB175" s="235">
        <f>EEFFun!AN358</f>
        <v>57176.7</v>
      </c>
      <c r="AC175" s="235">
        <f>EEFFun!AO358</f>
        <v>59471.360000000001</v>
      </c>
      <c r="AD175" s="235">
        <f>EEFFun!AP358</f>
        <v>54386.12</v>
      </c>
      <c r="AE175" s="235">
        <f>EEFFun!AQ358</f>
        <v>58083.75</v>
      </c>
      <c r="AF175" s="235">
        <f>EEFFun!AR358</f>
        <v>62381.32</v>
      </c>
      <c r="AG175" s="235">
        <f>EEFFun!AS358</f>
        <v>66495.38</v>
      </c>
      <c r="AH175" s="235">
        <f>EEFFun!AT358</f>
        <v>67836.960000000006</v>
      </c>
      <c r="AI175" s="235">
        <f>EEFFun!AU358</f>
        <v>69409.259999999995</v>
      </c>
      <c r="AJ175" s="235">
        <f>EEFFun!AV358</f>
        <v>69137.36</v>
      </c>
      <c r="AK175" s="235">
        <f>EEFFun!AW358</f>
        <v>68235.89</v>
      </c>
      <c r="AL175" s="235">
        <f>EEFFun!AX358</f>
        <v>71737.320000000007</v>
      </c>
      <c r="AM175" s="236">
        <f>AB175*98%</f>
        <v>56033.165999999997</v>
      </c>
      <c r="AN175" s="236">
        <f t="shared" ref="AN175:AX175" si="302">AM175*98%</f>
        <v>54912.502679999998</v>
      </c>
      <c r="AO175" s="236">
        <f t="shared" si="302"/>
        <v>53814.252626399997</v>
      </c>
      <c r="AP175" s="236">
        <f t="shared" si="302"/>
        <v>52737.967573871996</v>
      </c>
      <c r="AQ175" s="236">
        <f t="shared" si="302"/>
        <v>51683.208222394554</v>
      </c>
      <c r="AR175" s="236">
        <f t="shared" si="302"/>
        <v>50649.544057946659</v>
      </c>
      <c r="AS175" s="236">
        <f t="shared" si="302"/>
        <v>49636.553176787726</v>
      </c>
      <c r="AT175" s="236">
        <f t="shared" si="302"/>
        <v>48643.822113251968</v>
      </c>
      <c r="AU175" s="236">
        <f t="shared" si="302"/>
        <v>47670.945670986926</v>
      </c>
      <c r="AV175" s="236">
        <f t="shared" si="302"/>
        <v>46717.52675756719</v>
      </c>
      <c r="AW175" s="236">
        <f t="shared" si="302"/>
        <v>45783.176222415845</v>
      </c>
      <c r="AX175" s="236">
        <f t="shared" si="302"/>
        <v>44867.512697967526</v>
      </c>
      <c r="AY175" s="236">
        <f t="shared" si="262"/>
        <v>-4539.5573020324737</v>
      </c>
      <c r="AZ175" s="236">
        <f t="shared" si="263"/>
        <v>-6809.0073020324708</v>
      </c>
      <c r="BA175" s="232">
        <f t="shared" si="264"/>
        <v>1.5967651537018462E-3</v>
      </c>
      <c r="BB175" s="232">
        <f t="shared" si="265"/>
        <v>3.1978609711834691E-4</v>
      </c>
      <c r="BC175" s="228">
        <f t="shared" si="217"/>
        <v>-2907.8378867480351</v>
      </c>
    </row>
    <row r="176" spans="1:55" outlineLevel="2" collapsed="1" x14ac:dyDescent="0.25">
      <c r="A176" s="222">
        <v>6</v>
      </c>
      <c r="B176" s="233">
        <f>EEFFun!B359</f>
        <v>250315</v>
      </c>
      <c r="C176" s="234" t="str">
        <f>EEFFun!C359</f>
        <v>Aportes al IESS</v>
      </c>
      <c r="D176" s="235">
        <f>EEFFun!P359</f>
        <v>9534.83</v>
      </c>
      <c r="E176" s="235">
        <f>EEFFun!Q359</f>
        <v>8643.2900000000009</v>
      </c>
      <c r="F176" s="235">
        <f>EEFFun!R359</f>
        <v>8404.64</v>
      </c>
      <c r="G176" s="235">
        <f>EEFFun!S359</f>
        <v>8360.5400000000009</v>
      </c>
      <c r="H176" s="235">
        <f>EEFFun!T359</f>
        <v>8359.14</v>
      </c>
      <c r="I176" s="235">
        <f>EEFFun!U359</f>
        <v>8145.37</v>
      </c>
      <c r="J176" s="235">
        <f>EEFFun!V359</f>
        <v>8047.76</v>
      </c>
      <c r="K176" s="235">
        <f>EEFFun!W359</f>
        <v>8276.1200000000008</v>
      </c>
      <c r="L176" s="235">
        <f>EEFFun!X359</f>
        <v>8457.43</v>
      </c>
      <c r="M176" s="235">
        <f>EEFFun!Y359</f>
        <v>8700.85</v>
      </c>
      <c r="N176" s="235">
        <f>EEFFun!Z359</f>
        <v>8663.18</v>
      </c>
      <c r="O176" s="235">
        <f>EEFFun!AA359</f>
        <v>8961.2199999999993</v>
      </c>
      <c r="P176" s="235">
        <f>EEFFun!AB359</f>
        <v>8791.25</v>
      </c>
      <c r="Q176" s="235">
        <f>EEFFun!AC359</f>
        <v>8409.7999999999993</v>
      </c>
      <c r="R176" s="235">
        <f>EEFFun!AD359</f>
        <v>8632.86</v>
      </c>
      <c r="S176" s="235">
        <f>EEFFun!AE359</f>
        <v>8391.36</v>
      </c>
      <c r="T176" s="235">
        <f>EEFFun!AF359</f>
        <v>8423.6</v>
      </c>
      <c r="U176" s="235">
        <f>EEFFun!AG359</f>
        <v>8245.1</v>
      </c>
      <c r="V176" s="235">
        <f>EEFFun!AH359</f>
        <v>8564.36</v>
      </c>
      <c r="W176" s="235">
        <f>EEFFun!AI359</f>
        <v>8479.4699999999993</v>
      </c>
      <c r="X176" s="235">
        <f>EEFFun!AJ359</f>
        <v>9292.19</v>
      </c>
      <c r="Y176" s="235">
        <f>EEFFun!AK359</f>
        <v>9562.82</v>
      </c>
      <c r="Z176" s="235">
        <f>EEFFun!AL359</f>
        <v>12127.03</v>
      </c>
      <c r="AA176" s="235">
        <f>EEFFun!AM359</f>
        <v>11432.67</v>
      </c>
      <c r="AB176" s="235">
        <f>EEFFun!AN359</f>
        <v>13051.33</v>
      </c>
      <c r="AC176" s="235">
        <f>EEFFun!AO359</f>
        <v>12540.19</v>
      </c>
      <c r="AD176" s="235">
        <f>EEFFun!AP359</f>
        <v>13794.42</v>
      </c>
      <c r="AE176" s="235">
        <f>EEFFun!AQ359</f>
        <v>13630.68</v>
      </c>
      <c r="AF176" s="235">
        <f>EEFFun!AR359</f>
        <v>15152.46</v>
      </c>
      <c r="AG176" s="235">
        <f>EEFFun!AS359</f>
        <v>14821.56</v>
      </c>
      <c r="AH176" s="235">
        <f>EEFFun!AT359</f>
        <v>15389.87</v>
      </c>
      <c r="AI176" s="235">
        <f>EEFFun!AU359</f>
        <v>14497.94</v>
      </c>
      <c r="AJ176" s="235">
        <f>EEFFun!AV359</f>
        <v>15786.51</v>
      </c>
      <c r="AK176" s="235">
        <f>EEFFun!AW359</f>
        <v>16190.19</v>
      </c>
      <c r="AL176" s="235">
        <f>EEFFun!AX359</f>
        <v>15801.71</v>
      </c>
      <c r="AM176" s="235">
        <f>(AB176/BRhoriz!AN32)*BRhoriz!BK32</f>
        <v>1355.9251863664786</v>
      </c>
      <c r="AN176" s="235">
        <f>(AM176/BRhoriz!BK32)*BRhoriz!BL32</f>
        <v>2711.8503727329571</v>
      </c>
      <c r="AO176" s="235">
        <f>(AN176/BRhoriz!BL32)*BRhoriz!BM32</f>
        <v>4067.7755590994357</v>
      </c>
      <c r="AP176" s="235">
        <f>(AO176/BRhoriz!BM32)*BRhoriz!BN32</f>
        <v>5273.0423914251942</v>
      </c>
      <c r="AQ176" s="235">
        <f>(AP176/BRhoriz!BN32)*BRhoriz!BO32</f>
        <v>6478.3092237509527</v>
      </c>
      <c r="AR176" s="235">
        <f>(AQ176/BRhoriz!BO32)*BRhoriz!BP32</f>
        <v>7683.5760560767112</v>
      </c>
      <c r="AS176" s="235">
        <f>(AR176/BRhoriz!BP32)*BRhoriz!BQ32</f>
        <v>8888.8428884024706</v>
      </c>
      <c r="AT176" s="235">
        <f>(AS176/BRhoriz!BQ32)*BRhoriz!BR32</f>
        <v>10094.109720728231</v>
      </c>
      <c r="AU176" s="235">
        <f>(AT176/BRhoriz!BR32)*BRhoriz!BS32</f>
        <v>11299.376553053991</v>
      </c>
      <c r="AV176" s="235">
        <f>(AU176/BRhoriz!BS32)*BRhoriz!BT32</f>
        <v>12504.64338537975</v>
      </c>
      <c r="AW176" s="235">
        <f>(AV176/BRhoriz!BT32)*BRhoriz!BU32</f>
        <v>13709.91021770551</v>
      </c>
      <c r="AX176" s="235">
        <f>(AW176/BRhoriz!BU32)*BRhoriz!BV32</f>
        <v>14915.177050031269</v>
      </c>
      <c r="AY176" s="236">
        <f t="shared" si="262"/>
        <v>6350.8170500312681</v>
      </c>
      <c r="AZ176" s="236">
        <f t="shared" si="263"/>
        <v>6123.9270500312687</v>
      </c>
      <c r="BA176" s="232">
        <f t="shared" si="264"/>
        <v>2.716429368208493E-4</v>
      </c>
      <c r="BB176" s="232">
        <f t="shared" si="265"/>
        <v>1.0630556431256555E-4</v>
      </c>
      <c r="BC176" s="228">
        <f t="shared" si="217"/>
        <v>1614.6397207282316</v>
      </c>
    </row>
    <row r="177" spans="1:55" outlineLevel="2" collapsed="1" x14ac:dyDescent="0.25">
      <c r="A177" s="222">
        <v>6</v>
      </c>
      <c r="B177" s="233">
        <f>EEFFun!B360</f>
        <v>250320</v>
      </c>
      <c r="C177" s="234" t="str">
        <f>EEFFun!C360</f>
        <v>Fondo de reserva IESS</v>
      </c>
      <c r="D177" s="235">
        <f>EEFFun!P360</f>
        <v>618.54999999999995</v>
      </c>
      <c r="E177" s="235">
        <f>EEFFun!Q360</f>
        <v>598.66</v>
      </c>
      <c r="F177" s="235">
        <f>EEFFun!R360</f>
        <v>639.01</v>
      </c>
      <c r="G177" s="235">
        <f>EEFFun!S360</f>
        <v>636.21</v>
      </c>
      <c r="H177" s="235">
        <f>EEFFun!T360</f>
        <v>589.54</v>
      </c>
      <c r="I177" s="235">
        <f>EEFFun!U360</f>
        <v>589.52</v>
      </c>
      <c r="J177" s="235">
        <f>EEFFun!V360</f>
        <v>537.03</v>
      </c>
      <c r="K177" s="235">
        <f>EEFFun!W360</f>
        <v>536.24</v>
      </c>
      <c r="L177" s="235">
        <f>EEFFun!X360</f>
        <v>534.29</v>
      </c>
      <c r="M177" s="235">
        <f>EEFFun!Y360</f>
        <v>535.51</v>
      </c>
      <c r="N177" s="235">
        <f>EEFFun!Z360</f>
        <v>573.84</v>
      </c>
      <c r="O177" s="235">
        <f>EEFFun!AA360</f>
        <v>593.34</v>
      </c>
      <c r="P177" s="235">
        <f>EEFFun!AB360</f>
        <v>581.12</v>
      </c>
      <c r="Q177" s="235">
        <f>EEFFun!AC360</f>
        <v>632.26</v>
      </c>
      <c r="R177" s="235">
        <f>EEFFun!AD360</f>
        <v>641.72</v>
      </c>
      <c r="S177" s="235">
        <f>EEFFun!AE360</f>
        <v>652.54999999999995</v>
      </c>
      <c r="T177" s="235">
        <f>EEFFun!AF360</f>
        <v>769.13</v>
      </c>
      <c r="U177" s="235">
        <f>EEFFun!AG360</f>
        <v>787.1</v>
      </c>
      <c r="V177" s="235">
        <f>EEFFun!AH360</f>
        <v>831.45</v>
      </c>
      <c r="W177" s="235">
        <f>EEFFun!AI360</f>
        <v>823.14</v>
      </c>
      <c r="X177" s="235">
        <f>EEFFun!AJ360</f>
        <v>879.26</v>
      </c>
      <c r="Y177" s="235">
        <f>EEFFun!AK360</f>
        <v>740.22</v>
      </c>
      <c r="Z177" s="235">
        <f>EEFFun!AL360</f>
        <v>762.62</v>
      </c>
      <c r="AA177" s="235">
        <f>EEFFun!AM360</f>
        <v>779.7</v>
      </c>
      <c r="AB177" s="235">
        <f>EEFFun!AN360</f>
        <v>712.21</v>
      </c>
      <c r="AC177" s="235">
        <f>EEFFun!AO360</f>
        <v>755.73</v>
      </c>
      <c r="AD177" s="235">
        <f>EEFFun!AP360</f>
        <v>681.02</v>
      </c>
      <c r="AE177" s="235">
        <f>EEFFun!AQ360</f>
        <v>637.25</v>
      </c>
      <c r="AF177" s="235">
        <f>EEFFun!AR360</f>
        <v>572.14</v>
      </c>
      <c r="AG177" s="235">
        <f>EEFFun!AS360</f>
        <v>477.73</v>
      </c>
      <c r="AH177" s="235">
        <f>EEFFun!AT360</f>
        <v>598.38</v>
      </c>
      <c r="AI177" s="235">
        <f>EEFFun!AU360</f>
        <v>545.66999999999996</v>
      </c>
      <c r="AJ177" s="235">
        <f>EEFFun!AV360</f>
        <v>441.17</v>
      </c>
      <c r="AK177" s="235">
        <f>EEFFun!AW360</f>
        <v>680.23</v>
      </c>
      <c r="AL177" s="235">
        <f>EEFFun!AX360</f>
        <v>582.34</v>
      </c>
      <c r="AM177" s="235">
        <f>(AB177/BRhoriz!AN32)*BRhoriz!BK32</f>
        <v>73.99272541435009</v>
      </c>
      <c r="AN177" s="235">
        <f>(AM177/BRhoriz!BK32)*BRhoriz!BL32</f>
        <v>147.98545082870018</v>
      </c>
      <c r="AO177" s="235">
        <f>(AN177/BRhoriz!BL32)*BRhoriz!BM32</f>
        <v>221.97817624305029</v>
      </c>
      <c r="AP177" s="235">
        <f>(AO177/BRhoriz!BM32)*BRhoriz!BN32</f>
        <v>287.74948772247257</v>
      </c>
      <c r="AQ177" s="235">
        <f>(AP177/BRhoriz!BN32)*BRhoriz!BO32</f>
        <v>353.52079920189487</v>
      </c>
      <c r="AR177" s="235">
        <f>(AQ177/BRhoriz!BO32)*BRhoriz!BP32</f>
        <v>419.29211068131718</v>
      </c>
      <c r="AS177" s="235">
        <f>(AR177/BRhoriz!BP32)*BRhoriz!BQ32</f>
        <v>485.06342216073955</v>
      </c>
      <c r="AT177" s="235">
        <f>(AS177/BRhoriz!BQ32)*BRhoriz!BR32</f>
        <v>550.83473364016186</v>
      </c>
      <c r="AU177" s="235">
        <f>(AT177/BRhoriz!BR32)*BRhoriz!BS32</f>
        <v>616.60604511958422</v>
      </c>
      <c r="AV177" s="235">
        <f>(AU177/BRhoriz!BS32)*BRhoriz!BT32</f>
        <v>682.37735659900659</v>
      </c>
      <c r="AW177" s="235">
        <f>(AV177/BRhoriz!BT32)*BRhoriz!BU32</f>
        <v>748.14866807842895</v>
      </c>
      <c r="AX177" s="235">
        <f>(AW177/BRhoriz!BU32)*BRhoriz!BV32</f>
        <v>813.91997955785121</v>
      </c>
      <c r="AY177" s="236">
        <f t="shared" si="262"/>
        <v>-17.530020442148839</v>
      </c>
      <c r="AZ177" s="236">
        <f t="shared" si="263"/>
        <v>232.7999795578512</v>
      </c>
      <c r="BA177" s="232">
        <f t="shared" si="264"/>
        <v>1.7956165897378865E-5</v>
      </c>
      <c r="BB177" s="232">
        <f t="shared" si="265"/>
        <v>5.8010858632072218E-6</v>
      </c>
      <c r="BC177" s="228">
        <f t="shared" si="217"/>
        <v>-272.30526635983813</v>
      </c>
    </row>
    <row r="178" spans="1:55" outlineLevel="2" collapsed="1" x14ac:dyDescent="0.25">
      <c r="A178" s="222">
        <v>6</v>
      </c>
      <c r="B178" s="233">
        <f>EEFFun!B361</f>
        <v>250325</v>
      </c>
      <c r="C178" s="234" t="str">
        <f>EEFFun!C361</f>
        <v>Participación a empleados</v>
      </c>
      <c r="D178" s="235">
        <f>EEFFun!P361</f>
        <v>0</v>
      </c>
      <c r="E178" s="235">
        <f>EEFFun!Q361</f>
        <v>0</v>
      </c>
      <c r="F178" s="235">
        <f>EEFFun!R361</f>
        <v>0</v>
      </c>
      <c r="G178" s="235">
        <f>EEFFun!S361</f>
        <v>0</v>
      </c>
      <c r="H178" s="235">
        <f>EEFFun!T361</f>
        <v>26936.45</v>
      </c>
      <c r="I178" s="235">
        <f>EEFFun!U361</f>
        <v>7010.7099999999991</v>
      </c>
      <c r="J178" s="235">
        <f>EEFFun!V361</f>
        <v>0</v>
      </c>
      <c r="K178" s="235">
        <f>EEFFun!W361</f>
        <v>0</v>
      </c>
      <c r="L178" s="235">
        <f>EEFFun!X361</f>
        <v>0</v>
      </c>
      <c r="M178" s="235">
        <f>EEFFun!Y361</f>
        <v>0</v>
      </c>
      <c r="N178" s="235">
        <f>EEFFun!Z361</f>
        <v>0</v>
      </c>
      <c r="O178" s="235">
        <f>EEFFun!AA361</f>
        <v>0</v>
      </c>
      <c r="P178" s="235">
        <f>EEFFun!AB361</f>
        <v>9368.11</v>
      </c>
      <c r="Q178" s="235">
        <f>EEFFun!AC361</f>
        <v>10229.049999999999</v>
      </c>
      <c r="R178" s="235">
        <f>EEFFun!AD361</f>
        <v>9368.11</v>
      </c>
      <c r="S178" s="235">
        <f>EEFFun!AE361</f>
        <v>9368.11</v>
      </c>
      <c r="T178" s="235">
        <f>EEFFun!AF361</f>
        <v>0</v>
      </c>
      <c r="U178" s="235">
        <f>EEFFun!AG361</f>
        <v>0</v>
      </c>
      <c r="V178" s="235">
        <f>EEFFun!AH361</f>
        <v>0</v>
      </c>
      <c r="W178" s="235">
        <f>EEFFun!AI361</f>
        <v>0</v>
      </c>
      <c r="X178" s="235">
        <f>EEFFun!AJ361</f>
        <v>0</v>
      </c>
      <c r="Y178" s="235">
        <f>EEFFun!AK361</f>
        <v>0</v>
      </c>
      <c r="Z178" s="235">
        <f>EEFFun!AL361</f>
        <v>0</v>
      </c>
      <c r="AA178" s="235">
        <f>EEFFun!AM361</f>
        <v>0</v>
      </c>
      <c r="AB178" s="235">
        <f>EEFFun!AN361</f>
        <v>0</v>
      </c>
      <c r="AC178" s="235">
        <f>EEFFun!AO361</f>
        <v>0</v>
      </c>
      <c r="AD178" s="235">
        <f>EEFFun!AP361</f>
        <v>0</v>
      </c>
      <c r="AE178" s="235">
        <f>EEFFun!AQ361</f>
        <v>0</v>
      </c>
      <c r="AF178" s="235">
        <f>EEFFun!AR361</f>
        <v>0</v>
      </c>
      <c r="AG178" s="235">
        <f>EEFFun!AS361</f>
        <v>0</v>
      </c>
      <c r="AH178" s="235">
        <f>EEFFun!AT361</f>
        <v>0</v>
      </c>
      <c r="AI178" s="235">
        <f>EEFFun!AU361</f>
        <v>0</v>
      </c>
      <c r="AJ178" s="235">
        <f>EEFFun!AV361</f>
        <v>0</v>
      </c>
      <c r="AK178" s="235">
        <f>EEFFun!AW361</f>
        <v>0</v>
      </c>
      <c r="AL178" s="235">
        <f>EEFFun!AX361</f>
        <v>0</v>
      </c>
      <c r="AM178" s="235">
        <f>BRhoriz!BK146</f>
        <v>8321.5233538184602</v>
      </c>
      <c r="AN178" s="235">
        <f>BRhoriz!BL146</f>
        <v>18352.944504237861</v>
      </c>
      <c r="AO178" s="235">
        <f>BRhoriz!BM146</f>
        <v>43012.561825798242</v>
      </c>
      <c r="AP178" s="235">
        <f>BRhoriz!BN146</f>
        <v>71040.683608943291</v>
      </c>
      <c r="AQ178" s="235">
        <f>BRhoriz!BO146</f>
        <v>101932.31554023446</v>
      </c>
      <c r="AR178" s="235">
        <f>BRhoriz!BP146</f>
        <v>135096.14259937112</v>
      </c>
      <c r="AS178" s="235">
        <f>BRhoriz!BQ146</f>
        <v>171145.64845675108</v>
      </c>
      <c r="AT178" s="235">
        <f>BRhoriz!BR146</f>
        <v>215303.59601231175</v>
      </c>
      <c r="AU178" s="235">
        <f>BRhoriz!BS146</f>
        <v>255053.38576363362</v>
      </c>
      <c r="AV178" s="235">
        <f>BRhoriz!BT146</f>
        <v>303935.92146484071</v>
      </c>
      <c r="AW178" s="235">
        <f>BRhoriz!BU146</f>
        <v>354835.24194705562</v>
      </c>
      <c r="AX178" s="235">
        <f>BRhoriz!BV146</f>
        <v>401025.63256496453</v>
      </c>
      <c r="AY178" s="236">
        <f t="shared" si="262"/>
        <v>401025.63256496453</v>
      </c>
      <c r="AZ178" s="236">
        <f t="shared" si="263"/>
        <v>391657.52256496454</v>
      </c>
      <c r="BA178" s="232">
        <f t="shared" si="264"/>
        <v>2.8946747195913742E-4</v>
      </c>
      <c r="BB178" s="232">
        <f t="shared" si="265"/>
        <v>2.8582467395874959E-3</v>
      </c>
      <c r="BC178" s="228">
        <f t="shared" si="217"/>
        <v>215303.59601231175</v>
      </c>
    </row>
    <row r="179" spans="1:55" outlineLevel="2" collapsed="1" x14ac:dyDescent="0.25">
      <c r="A179" s="222">
        <v>6</v>
      </c>
      <c r="B179" s="233">
        <f>EEFFun!B362</f>
        <v>250390</v>
      </c>
      <c r="C179" s="234" t="str">
        <f>EEFFun!C362</f>
        <v>Otras</v>
      </c>
      <c r="D179" s="235">
        <f>EEFFun!P362</f>
        <v>368352.72</v>
      </c>
      <c r="E179" s="235">
        <f>EEFFun!Q362</f>
        <v>366304.08</v>
      </c>
      <c r="F179" s="235">
        <f>EEFFun!R362</f>
        <v>366304.08</v>
      </c>
      <c r="G179" s="235">
        <f>EEFFun!S362</f>
        <v>366304.08</v>
      </c>
      <c r="H179" s="235">
        <f>EEFFun!T362</f>
        <v>366169.68</v>
      </c>
      <c r="I179" s="235">
        <f>EEFFun!U362</f>
        <v>365628.53</v>
      </c>
      <c r="J179" s="235">
        <f>EEFFun!V362</f>
        <v>365548.84</v>
      </c>
      <c r="K179" s="235">
        <f>EEFFun!W362</f>
        <v>365136.98</v>
      </c>
      <c r="L179" s="235">
        <f>EEFFun!X362</f>
        <v>365136.98</v>
      </c>
      <c r="M179" s="235">
        <f>EEFFun!Y362</f>
        <v>365136.98</v>
      </c>
      <c r="N179" s="235">
        <f>EEFFun!Z362</f>
        <v>363814.09</v>
      </c>
      <c r="O179" s="235">
        <f>EEFFun!AA362</f>
        <v>362581.53</v>
      </c>
      <c r="P179" s="235">
        <f>EEFFun!AB362</f>
        <v>369888.86</v>
      </c>
      <c r="Q179" s="235">
        <f>EEFFun!AC362</f>
        <v>369888.86</v>
      </c>
      <c r="R179" s="235">
        <f>EEFFun!AD362</f>
        <v>368553.2</v>
      </c>
      <c r="S179" s="235">
        <f>EEFFun!AE362</f>
        <v>368155.26</v>
      </c>
      <c r="T179" s="235">
        <f>EEFFun!AF362</f>
        <v>367163.33</v>
      </c>
      <c r="U179" s="235">
        <f>EEFFun!AG362</f>
        <v>366865.52</v>
      </c>
      <c r="V179" s="235">
        <f>EEFFun!AH362</f>
        <v>362106.87</v>
      </c>
      <c r="W179" s="235">
        <f>EEFFun!AI362</f>
        <v>361930.87</v>
      </c>
      <c r="X179" s="235">
        <f>EEFFun!AJ362</f>
        <v>361930.87</v>
      </c>
      <c r="Y179" s="235">
        <f>EEFFun!AK362</f>
        <v>361930.87</v>
      </c>
      <c r="Z179" s="235">
        <f>EEFFun!AL362</f>
        <v>361930.87</v>
      </c>
      <c r="AA179" s="235">
        <f>EEFFun!AM362</f>
        <v>357296.43</v>
      </c>
      <c r="AB179" s="235">
        <f>EEFFun!AN362</f>
        <v>371913.91</v>
      </c>
      <c r="AC179" s="235">
        <f>EEFFun!AO362</f>
        <v>371913.91</v>
      </c>
      <c r="AD179" s="235">
        <f>EEFFun!AP362</f>
        <v>348129.41</v>
      </c>
      <c r="AE179" s="235">
        <f>EEFFun!AQ362</f>
        <v>348129.41</v>
      </c>
      <c r="AF179" s="235">
        <f>EEFFun!AR362</f>
        <v>346949.85</v>
      </c>
      <c r="AG179" s="235">
        <f>EEFFun!AS362</f>
        <v>346180.57</v>
      </c>
      <c r="AH179" s="235">
        <f>EEFFun!AT362</f>
        <v>345411.29</v>
      </c>
      <c r="AI179" s="235">
        <f>EEFFun!AU362</f>
        <v>344591.41</v>
      </c>
      <c r="AJ179" s="235">
        <f>EEFFun!AV362</f>
        <v>343822.13</v>
      </c>
      <c r="AK179" s="235">
        <f>EEFFun!AW362</f>
        <v>342673.34</v>
      </c>
      <c r="AL179" s="235">
        <f>EEFFun!AX362</f>
        <v>341904.06</v>
      </c>
      <c r="AM179" s="236">
        <f>+AC179</f>
        <v>371913.91</v>
      </c>
      <c r="AN179" s="236">
        <f t="shared" ref="AN179:AX179" si="303">+AD179</f>
        <v>348129.41</v>
      </c>
      <c r="AO179" s="236">
        <f t="shared" si="303"/>
        <v>348129.41</v>
      </c>
      <c r="AP179" s="236">
        <f t="shared" si="303"/>
        <v>346949.85</v>
      </c>
      <c r="AQ179" s="236">
        <f t="shared" si="303"/>
        <v>346180.57</v>
      </c>
      <c r="AR179" s="236">
        <f t="shared" si="303"/>
        <v>345411.29</v>
      </c>
      <c r="AS179" s="236">
        <f t="shared" si="303"/>
        <v>344591.41</v>
      </c>
      <c r="AT179" s="236">
        <f t="shared" si="303"/>
        <v>343822.13</v>
      </c>
      <c r="AU179" s="236">
        <f t="shared" si="303"/>
        <v>342673.34</v>
      </c>
      <c r="AV179" s="236">
        <f t="shared" si="303"/>
        <v>341904.06</v>
      </c>
      <c r="AW179" s="236">
        <f t="shared" si="303"/>
        <v>371913.91</v>
      </c>
      <c r="AX179" s="236">
        <f t="shared" si="303"/>
        <v>348129.41</v>
      </c>
      <c r="AY179" s="236">
        <f t="shared" si="262"/>
        <v>-13977.460000000021</v>
      </c>
      <c r="AZ179" s="236">
        <f t="shared" si="263"/>
        <v>-21759.450000000012</v>
      </c>
      <c r="BA179" s="232">
        <f t="shared" si="264"/>
        <v>1.1429284371132203E-2</v>
      </c>
      <c r="BB179" s="232">
        <f t="shared" si="265"/>
        <v>2.4812372833196046E-3</v>
      </c>
      <c r="BC179" s="228">
        <f t="shared" si="217"/>
        <v>-18108.739999999991</v>
      </c>
    </row>
    <row r="180" spans="1:55" outlineLevel="2" collapsed="1" x14ac:dyDescent="0.25">
      <c r="A180" s="222">
        <v>4</v>
      </c>
      <c r="B180" s="233">
        <f>EEFFun!B363</f>
        <v>2504</v>
      </c>
      <c r="C180" s="234" t="str">
        <f>EEFFun!C363</f>
        <v>Retenciones</v>
      </c>
      <c r="D180" s="235">
        <f>EEFFun!P363</f>
        <v>97882.78</v>
      </c>
      <c r="E180" s="235">
        <f>EEFFun!Q363</f>
        <v>87296.69</v>
      </c>
      <c r="F180" s="235">
        <f>EEFFun!R363</f>
        <v>89236.46</v>
      </c>
      <c r="G180" s="235">
        <f>EEFFun!S363</f>
        <v>79501.070000000007</v>
      </c>
      <c r="H180" s="235">
        <f>EEFFun!T363</f>
        <v>92571.48</v>
      </c>
      <c r="I180" s="235">
        <f>EEFFun!U363</f>
        <v>90353.86</v>
      </c>
      <c r="J180" s="235">
        <f>EEFFun!V363</f>
        <v>87254.84</v>
      </c>
      <c r="K180" s="235">
        <f>EEFFun!W363</f>
        <v>84455.97</v>
      </c>
      <c r="L180" s="235">
        <f>EEFFun!X363</f>
        <v>92795.26</v>
      </c>
      <c r="M180" s="235">
        <f>EEFFun!Y363</f>
        <v>94546.78</v>
      </c>
      <c r="N180" s="235">
        <f>EEFFun!Z363</f>
        <v>92648.12</v>
      </c>
      <c r="O180" s="235">
        <f>EEFFun!AA363</f>
        <v>94327.13</v>
      </c>
      <c r="P180" s="235">
        <f>EEFFun!AB363</f>
        <v>97272.23</v>
      </c>
      <c r="Q180" s="235">
        <f>EEFFun!AC363</f>
        <v>95186.16</v>
      </c>
      <c r="R180" s="235">
        <f>EEFFun!AD363</f>
        <v>95924.800000000003</v>
      </c>
      <c r="S180" s="235">
        <f>EEFFun!AE363</f>
        <v>100513.41</v>
      </c>
      <c r="T180" s="235">
        <f>EEFFun!AF363</f>
        <v>95920.36</v>
      </c>
      <c r="U180" s="235">
        <f>EEFFun!AG363</f>
        <v>102013.33</v>
      </c>
      <c r="V180" s="235">
        <f>EEFFun!AH363</f>
        <v>105210.58</v>
      </c>
      <c r="W180" s="235">
        <f>EEFFun!AI363</f>
        <v>115174.56</v>
      </c>
      <c r="X180" s="235">
        <f>EEFFun!AJ363</f>
        <v>115313.31</v>
      </c>
      <c r="Y180" s="235">
        <f>EEFFun!AK363</f>
        <v>128779.53</v>
      </c>
      <c r="Z180" s="235">
        <f>EEFFun!AL363</f>
        <v>138655.32999999999</v>
      </c>
      <c r="AA180" s="235">
        <f>EEFFun!AM363</f>
        <v>168178.78</v>
      </c>
      <c r="AB180" s="235">
        <f>EEFFun!AN363</f>
        <v>149667.97</v>
      </c>
      <c r="AC180" s="235">
        <f>EEFFun!AO363</f>
        <v>152683.19</v>
      </c>
      <c r="AD180" s="235">
        <f>EEFFun!AP363</f>
        <v>246516.84</v>
      </c>
      <c r="AE180" s="235">
        <f>EEFFun!AQ363</f>
        <v>175234.67</v>
      </c>
      <c r="AF180" s="235">
        <f>EEFFun!AR363</f>
        <v>207739.87</v>
      </c>
      <c r="AG180" s="235">
        <f>EEFFun!AS363</f>
        <v>181717.56</v>
      </c>
      <c r="AH180" s="235">
        <f>EEFFun!AT363</f>
        <v>182799.92</v>
      </c>
      <c r="AI180" s="235">
        <f>EEFFun!AU363</f>
        <v>203033.92</v>
      </c>
      <c r="AJ180" s="235">
        <f>EEFFun!AV363</f>
        <v>225459.45</v>
      </c>
      <c r="AK180" s="235">
        <f>EEFFun!AW363</f>
        <v>181651.96</v>
      </c>
      <c r="AL180" s="235">
        <f>EEFFun!AX363</f>
        <v>199047.88</v>
      </c>
      <c r="AM180" s="236">
        <f>+AVERAGE(AC180:AL180)</f>
        <v>195588.52599999998</v>
      </c>
      <c r="AN180" s="236">
        <f>+AVERAGE(AD180:AM180)</f>
        <v>199879.05959999998</v>
      </c>
      <c r="AO180" s="236">
        <f t="shared" ref="AO180:AX180" si="304">+AVERAGE(AE180:AN180)</f>
        <v>195215.28156</v>
      </c>
      <c r="AP180" s="236">
        <f t="shared" si="304"/>
        <v>197213.34271600001</v>
      </c>
      <c r="AQ180" s="236">
        <f t="shared" si="304"/>
        <v>196160.68998760002</v>
      </c>
      <c r="AR180" s="236">
        <f t="shared" si="304"/>
        <v>197605.00298636002</v>
      </c>
      <c r="AS180" s="236">
        <f t="shared" si="304"/>
        <v>199085.511284996</v>
      </c>
      <c r="AT180" s="236">
        <f t="shared" si="304"/>
        <v>198690.67041349562</v>
      </c>
      <c r="AU180" s="236">
        <f t="shared" si="304"/>
        <v>196013.79245484518</v>
      </c>
      <c r="AV180" s="236">
        <f t="shared" si="304"/>
        <v>197449.9757003297</v>
      </c>
      <c r="AW180" s="236">
        <f t="shared" si="304"/>
        <v>197290.18527036271</v>
      </c>
      <c r="AX180" s="236">
        <f t="shared" si="304"/>
        <v>197460.35119739891</v>
      </c>
      <c r="AY180" s="236">
        <f t="shared" si="262"/>
        <v>92249.771197398906</v>
      </c>
      <c r="AZ180" s="236">
        <f t="shared" si="263"/>
        <v>100188.12119739891</v>
      </c>
      <c r="BA180" s="232">
        <f t="shared" si="264"/>
        <v>3.0056379045429404E-3</v>
      </c>
      <c r="BB180" s="232">
        <f t="shared" si="265"/>
        <v>1.4073674079083669E-3</v>
      </c>
      <c r="BC180" s="228">
        <f t="shared" si="217"/>
        <v>83516.110413495626</v>
      </c>
    </row>
    <row r="181" spans="1:55" outlineLevel="2" collapsed="1" x14ac:dyDescent="0.25">
      <c r="A181" s="222">
        <v>4</v>
      </c>
      <c r="B181" s="233">
        <f>EEFFun!B403</f>
        <v>2505</v>
      </c>
      <c r="C181" s="234" t="str">
        <f>EEFFun!C403</f>
        <v>Contribuciones, impuestos y multas</v>
      </c>
      <c r="D181" s="235">
        <f>EEFFun!P403</f>
        <v>0</v>
      </c>
      <c r="E181" s="235">
        <f>EEFFun!Q403</f>
        <v>0</v>
      </c>
      <c r="F181" s="235">
        <f>EEFFun!R403</f>
        <v>0</v>
      </c>
      <c r="G181" s="235">
        <f>EEFFun!S403</f>
        <v>0</v>
      </c>
      <c r="H181" s="235">
        <f>EEFFun!T403</f>
        <v>38159.97</v>
      </c>
      <c r="I181" s="235">
        <f>EEFFun!U403</f>
        <v>9931.84</v>
      </c>
      <c r="J181" s="235">
        <f>EEFFun!V403</f>
        <v>551.86</v>
      </c>
      <c r="K181" s="235">
        <f>EEFFun!W403</f>
        <v>551.86</v>
      </c>
      <c r="L181" s="235">
        <f>EEFFun!X403</f>
        <v>0</v>
      </c>
      <c r="M181" s="235">
        <f>EEFFun!Y403</f>
        <v>0</v>
      </c>
      <c r="N181" s="235">
        <f>EEFFun!Z403</f>
        <v>0</v>
      </c>
      <c r="O181" s="235">
        <f>EEFFun!AA403</f>
        <v>0</v>
      </c>
      <c r="P181" s="235">
        <f>EEFFun!AB403</f>
        <v>37289.839999999997</v>
      </c>
      <c r="Q181" s="235">
        <f>EEFFun!AC403</f>
        <v>38509.51</v>
      </c>
      <c r="R181" s="235">
        <f>EEFFun!AD403</f>
        <v>37289.839999999997</v>
      </c>
      <c r="S181" s="235">
        <f>EEFFun!AE403</f>
        <v>37289.839999999997</v>
      </c>
      <c r="T181" s="235">
        <f>EEFFun!AF403</f>
        <v>0</v>
      </c>
      <c r="U181" s="235">
        <f>EEFFun!AG403</f>
        <v>0</v>
      </c>
      <c r="V181" s="235">
        <f>EEFFun!AH403</f>
        <v>0</v>
      </c>
      <c r="W181" s="235">
        <f>EEFFun!AI403</f>
        <v>0</v>
      </c>
      <c r="X181" s="235">
        <f>EEFFun!AJ403</f>
        <v>0</v>
      </c>
      <c r="Y181" s="235">
        <f>EEFFun!AK403</f>
        <v>0</v>
      </c>
      <c r="Z181" s="235">
        <f>EEFFun!AL403</f>
        <v>0</v>
      </c>
      <c r="AA181" s="235">
        <f>EEFFun!AM403</f>
        <v>0</v>
      </c>
      <c r="AB181" s="235">
        <f>EEFFun!AN403</f>
        <v>0</v>
      </c>
      <c r="AC181" s="235">
        <f>EEFFun!AO403</f>
        <v>0</v>
      </c>
      <c r="AD181" s="235">
        <f>EEFFun!AP403</f>
        <v>0</v>
      </c>
      <c r="AE181" s="235">
        <f>EEFFun!AQ403</f>
        <v>0</v>
      </c>
      <c r="AF181" s="235">
        <f>EEFFun!AR403</f>
        <v>0</v>
      </c>
      <c r="AG181" s="235">
        <f>EEFFun!AS403</f>
        <v>0</v>
      </c>
      <c r="AH181" s="235">
        <f>EEFFun!AT403</f>
        <v>0</v>
      </c>
      <c r="AI181" s="235">
        <f>EEFFun!AU403</f>
        <v>0</v>
      </c>
      <c r="AJ181" s="235">
        <f>EEFFun!AV403</f>
        <v>0</v>
      </c>
      <c r="AK181" s="235">
        <f>EEFFun!AW403</f>
        <v>0</v>
      </c>
      <c r="AL181" s="235">
        <f>EEFFun!AX403</f>
        <v>0</v>
      </c>
      <c r="AM181" s="236">
        <f t="shared" ref="AM181:AS181" si="305">AM182</f>
        <v>11788.824751242819</v>
      </c>
      <c r="AN181" s="236">
        <f t="shared" si="305"/>
        <v>26000.00471433697</v>
      </c>
      <c r="AO181" s="236">
        <f t="shared" si="305"/>
        <v>60934.46258654751</v>
      </c>
      <c r="AP181" s="236">
        <f t="shared" si="305"/>
        <v>100640.968446003</v>
      </c>
      <c r="AQ181" s="236">
        <f t="shared" si="305"/>
        <v>144404.11368199883</v>
      </c>
      <c r="AR181" s="236">
        <f t="shared" si="305"/>
        <v>191386.20201577575</v>
      </c>
      <c r="AS181" s="236">
        <f t="shared" si="305"/>
        <v>242456.3353137307</v>
      </c>
      <c r="AT181" s="236">
        <f t="shared" ref="AT181" si="306">AT182</f>
        <v>305013.42768410832</v>
      </c>
      <c r="AU181" s="236">
        <f t="shared" ref="AU181" si="307">AU182</f>
        <v>361325.62983181432</v>
      </c>
      <c r="AV181" s="236">
        <f t="shared" ref="AV181" si="308">AV182</f>
        <v>430575.88874185766</v>
      </c>
      <c r="AW181" s="236">
        <f t="shared" ref="AW181" si="309">AW182</f>
        <v>502683.25942499546</v>
      </c>
      <c r="AX181" s="236">
        <f t="shared" ref="AX181" si="310">AX182</f>
        <v>568119.64613369969</v>
      </c>
      <c r="AY181" s="236">
        <f t="shared" si="262"/>
        <v>568119.64613369969</v>
      </c>
      <c r="AZ181" s="236">
        <f t="shared" si="263"/>
        <v>530829.80613369972</v>
      </c>
      <c r="BA181" s="232">
        <f t="shared" si="264"/>
        <v>1.1522276867543953E-3</v>
      </c>
      <c r="BB181" s="232">
        <f t="shared" si="265"/>
        <v>4.0491828810822854E-3</v>
      </c>
      <c r="BC181" s="228">
        <f t="shared" si="217"/>
        <v>305013.42768410832</v>
      </c>
    </row>
    <row r="182" spans="1:55" outlineLevel="2" collapsed="1" x14ac:dyDescent="0.25">
      <c r="A182" s="222">
        <v>6</v>
      </c>
      <c r="B182" s="233">
        <f>EEFFun!B404</f>
        <v>250505</v>
      </c>
      <c r="C182" s="234" t="str">
        <f>EEFFun!C404</f>
        <v>Impuesto a la renta</v>
      </c>
      <c r="D182" s="235">
        <f>EEFFun!P404</f>
        <v>0</v>
      </c>
      <c r="E182" s="235">
        <f>EEFFun!Q404</f>
        <v>0</v>
      </c>
      <c r="F182" s="235">
        <f>EEFFun!R404</f>
        <v>0</v>
      </c>
      <c r="G182" s="235">
        <f>EEFFun!S404</f>
        <v>0</v>
      </c>
      <c r="H182" s="235">
        <f>EEFFun!T404</f>
        <v>38159.97</v>
      </c>
      <c r="I182" s="235">
        <f>EEFFun!U404</f>
        <v>9931.84</v>
      </c>
      <c r="J182" s="235">
        <f>EEFFun!V404</f>
        <v>551.86</v>
      </c>
      <c r="K182" s="235">
        <f>EEFFun!W404</f>
        <v>551.86</v>
      </c>
      <c r="L182" s="235">
        <f>EEFFun!X404</f>
        <v>0</v>
      </c>
      <c r="M182" s="235">
        <f>EEFFun!Y404</f>
        <v>0</v>
      </c>
      <c r="N182" s="235">
        <f>EEFFun!Z404</f>
        <v>0</v>
      </c>
      <c r="O182" s="235">
        <f>EEFFun!AA404</f>
        <v>0</v>
      </c>
      <c r="P182" s="235">
        <f>EEFFun!AB404</f>
        <v>37289.839999999997</v>
      </c>
      <c r="Q182" s="235">
        <f>EEFFun!AC404</f>
        <v>38509.51</v>
      </c>
      <c r="R182" s="235">
        <f>EEFFun!AD404</f>
        <v>37289.839999999997</v>
      </c>
      <c r="S182" s="235">
        <f>EEFFun!AE404</f>
        <v>37289.839999999997</v>
      </c>
      <c r="T182" s="235">
        <f>EEFFun!AF404</f>
        <v>0</v>
      </c>
      <c r="U182" s="235">
        <f>EEFFun!AG404</f>
        <v>0</v>
      </c>
      <c r="V182" s="235">
        <f>EEFFun!AH404</f>
        <v>0</v>
      </c>
      <c r="W182" s="235">
        <f>EEFFun!AI404</f>
        <v>0</v>
      </c>
      <c r="X182" s="235">
        <f>EEFFun!AJ404</f>
        <v>0</v>
      </c>
      <c r="Y182" s="235">
        <f>EEFFun!AK404</f>
        <v>0</v>
      </c>
      <c r="Z182" s="235">
        <f>EEFFun!AL404</f>
        <v>0</v>
      </c>
      <c r="AA182" s="235">
        <f>EEFFun!AM404</f>
        <v>0</v>
      </c>
      <c r="AB182" s="235">
        <f>EEFFun!AN404</f>
        <v>0</v>
      </c>
      <c r="AC182" s="235">
        <f>EEFFun!AO404</f>
        <v>0</v>
      </c>
      <c r="AD182" s="235">
        <f>EEFFun!AP404</f>
        <v>0</v>
      </c>
      <c r="AE182" s="235">
        <f>EEFFun!AQ404</f>
        <v>0</v>
      </c>
      <c r="AF182" s="235">
        <f>EEFFun!AR404</f>
        <v>0</v>
      </c>
      <c r="AG182" s="235">
        <f>EEFFun!AS404</f>
        <v>0</v>
      </c>
      <c r="AH182" s="235">
        <f>EEFFun!AT404</f>
        <v>0</v>
      </c>
      <c r="AI182" s="235">
        <f>EEFFun!AU404</f>
        <v>0</v>
      </c>
      <c r="AJ182" s="235">
        <f>EEFFun!AV404</f>
        <v>0</v>
      </c>
      <c r="AK182" s="235">
        <f>EEFFun!AW404</f>
        <v>0</v>
      </c>
      <c r="AL182" s="235">
        <f>EEFFun!AX404</f>
        <v>0</v>
      </c>
      <c r="AM182" s="235">
        <f>BRhoriz!BK147</f>
        <v>11788.824751242819</v>
      </c>
      <c r="AN182" s="235">
        <f>BRhoriz!BL147</f>
        <v>26000.00471433697</v>
      </c>
      <c r="AO182" s="235">
        <f>BRhoriz!BM147</f>
        <v>60934.46258654751</v>
      </c>
      <c r="AP182" s="235">
        <f>BRhoriz!BN147</f>
        <v>100640.968446003</v>
      </c>
      <c r="AQ182" s="235">
        <f>BRhoriz!BO147</f>
        <v>144404.11368199883</v>
      </c>
      <c r="AR182" s="235">
        <f>BRhoriz!BP147</f>
        <v>191386.20201577575</v>
      </c>
      <c r="AS182" s="235">
        <f>BRhoriz!BQ147</f>
        <v>242456.3353137307</v>
      </c>
      <c r="AT182" s="235">
        <f>BRhoriz!BR147</f>
        <v>305013.42768410832</v>
      </c>
      <c r="AU182" s="235">
        <f>BRhoriz!BS147</f>
        <v>361325.62983181432</v>
      </c>
      <c r="AV182" s="235">
        <f>BRhoriz!BT147</f>
        <v>430575.88874185766</v>
      </c>
      <c r="AW182" s="235">
        <f>BRhoriz!BU147</f>
        <v>502683.25942499546</v>
      </c>
      <c r="AX182" s="235">
        <f>BRhoriz!BV147</f>
        <v>568119.64613369969</v>
      </c>
      <c r="AY182" s="236">
        <f t="shared" si="262"/>
        <v>568119.64613369969</v>
      </c>
      <c r="AZ182" s="236">
        <f t="shared" si="263"/>
        <v>530829.80613369972</v>
      </c>
      <c r="BA182" s="232">
        <f t="shared" si="264"/>
        <v>1.1522276867543953E-3</v>
      </c>
      <c r="BB182" s="232">
        <f t="shared" si="265"/>
        <v>4.0491828810822854E-3</v>
      </c>
      <c r="BC182" s="228">
        <f t="shared" si="217"/>
        <v>305013.42768410832</v>
      </c>
    </row>
    <row r="183" spans="1:55" outlineLevel="2" collapsed="1" x14ac:dyDescent="0.25">
      <c r="A183" s="222">
        <v>4</v>
      </c>
      <c r="B183" s="259">
        <v>2507</v>
      </c>
      <c r="C183" s="260" t="s">
        <v>364</v>
      </c>
      <c r="D183" s="238"/>
      <c r="E183" s="238"/>
      <c r="F183" s="238"/>
      <c r="G183" s="238"/>
      <c r="H183" s="238"/>
      <c r="I183" s="238"/>
      <c r="J183" s="238"/>
      <c r="K183" s="238"/>
      <c r="L183" s="238"/>
      <c r="M183" s="238"/>
      <c r="N183" s="238"/>
      <c r="O183" s="238"/>
      <c r="P183" s="238"/>
      <c r="Q183" s="238"/>
      <c r="R183" s="238"/>
      <c r="S183" s="238"/>
      <c r="T183" s="238"/>
      <c r="U183" s="238"/>
      <c r="V183" s="235">
        <f>EEFFun!AH406</f>
        <v>0</v>
      </c>
      <c r="W183" s="261">
        <f>EEFFun!AI406</f>
        <v>-95158.78</v>
      </c>
      <c r="X183" s="261">
        <f>EEFFun!AJ406</f>
        <v>27867.15</v>
      </c>
      <c r="Y183" s="261">
        <f>EEFFun!AK406</f>
        <v>0</v>
      </c>
      <c r="Z183" s="261">
        <f>EEFFun!AL406</f>
        <v>0</v>
      </c>
      <c r="AA183" s="262">
        <v>672</v>
      </c>
      <c r="AB183" s="262">
        <v>672</v>
      </c>
      <c r="AC183" s="262">
        <v>0</v>
      </c>
      <c r="AD183" s="262">
        <v>0</v>
      </c>
      <c r="AE183" s="262">
        <v>0</v>
      </c>
      <c r="AF183" s="262">
        <v>0</v>
      </c>
      <c r="AG183" s="262">
        <v>0</v>
      </c>
      <c r="AH183" s="262">
        <v>0</v>
      </c>
      <c r="AI183" s="262">
        <v>0</v>
      </c>
      <c r="AJ183" s="262">
        <v>0</v>
      </c>
      <c r="AK183" s="262">
        <v>0</v>
      </c>
      <c r="AL183" s="262">
        <v>0</v>
      </c>
      <c r="AM183" s="237">
        <v>0</v>
      </c>
      <c r="AN183" s="237">
        <v>0</v>
      </c>
      <c r="AO183" s="237">
        <v>0</v>
      </c>
      <c r="AP183" s="237">
        <v>0</v>
      </c>
      <c r="AQ183" s="237">
        <v>0</v>
      </c>
      <c r="AR183" s="237">
        <v>0</v>
      </c>
      <c r="AS183" s="237">
        <v>0</v>
      </c>
      <c r="AT183" s="237">
        <v>0</v>
      </c>
      <c r="AU183" s="237">
        <v>0</v>
      </c>
      <c r="AV183" s="237">
        <v>0</v>
      </c>
      <c r="AW183" s="237">
        <v>0</v>
      </c>
      <c r="AX183" s="237">
        <v>0</v>
      </c>
      <c r="AY183" s="236">
        <f t="shared" si="262"/>
        <v>0</v>
      </c>
      <c r="AZ183" s="236">
        <f t="shared" si="263"/>
        <v>0</v>
      </c>
      <c r="BA183" s="232">
        <f t="shared" si="264"/>
        <v>0</v>
      </c>
      <c r="BB183" s="232">
        <f t="shared" si="265"/>
        <v>0</v>
      </c>
      <c r="BC183" s="228">
        <f t="shared" si="217"/>
        <v>95158.78</v>
      </c>
    </row>
    <row r="184" spans="1:55" outlineLevel="2" collapsed="1" x14ac:dyDescent="0.25">
      <c r="A184" s="222">
        <v>4</v>
      </c>
      <c r="B184" s="233">
        <f>EEFFun!B407</f>
        <v>2511</v>
      </c>
      <c r="C184" s="234" t="str">
        <f>EEFFun!C407</f>
        <v>Provisiones para operaciones contingentes</v>
      </c>
      <c r="D184" s="235">
        <f>EEFFun!P407</f>
        <v>0</v>
      </c>
      <c r="E184" s="235">
        <f>EEFFun!Q407</f>
        <v>0</v>
      </c>
      <c r="F184" s="235">
        <f>EEFFun!R407</f>
        <v>0</v>
      </c>
      <c r="G184" s="235">
        <f>EEFFun!S407</f>
        <v>0</v>
      </c>
      <c r="H184" s="235">
        <f>EEFFun!T407</f>
        <v>0</v>
      </c>
      <c r="I184" s="235">
        <f>EEFFun!U407</f>
        <v>0</v>
      </c>
      <c r="J184" s="235">
        <f>EEFFun!V407</f>
        <v>0</v>
      </c>
      <c r="K184" s="235">
        <f>EEFFun!W407</f>
        <v>0</v>
      </c>
      <c r="L184" s="235">
        <f>EEFFun!X407</f>
        <v>551.86</v>
      </c>
      <c r="M184" s="235">
        <f>EEFFun!Y407</f>
        <v>551.86</v>
      </c>
      <c r="N184" s="235">
        <f>EEFFun!Z407</f>
        <v>551.86</v>
      </c>
      <c r="O184" s="235">
        <f>EEFFun!AA407</f>
        <v>551.86</v>
      </c>
      <c r="P184" s="235">
        <f>EEFFun!AB407</f>
        <v>551.86</v>
      </c>
      <c r="Q184" s="235">
        <f>EEFFun!AC407</f>
        <v>551.86</v>
      </c>
      <c r="R184" s="235">
        <f>EEFFun!AD407</f>
        <v>801.86</v>
      </c>
      <c r="S184" s="235">
        <f>EEFFun!AE407</f>
        <v>551.86</v>
      </c>
      <c r="T184" s="235">
        <f>EEFFun!AF407</f>
        <v>551.86</v>
      </c>
      <c r="U184" s="235">
        <f>EEFFun!AG407</f>
        <v>551.86</v>
      </c>
      <c r="V184" s="235">
        <f>EEFFun!AH407</f>
        <v>551.86</v>
      </c>
      <c r="W184" s="235">
        <f>EEFFun!AI407</f>
        <v>551.86</v>
      </c>
      <c r="X184" s="235">
        <f>EEFFun!AJ407</f>
        <v>551.86</v>
      </c>
      <c r="Y184" s="235">
        <f>EEFFun!AK407</f>
        <v>551.86</v>
      </c>
      <c r="Z184" s="235">
        <f>EEFFun!AL407</f>
        <v>551.86</v>
      </c>
      <c r="AA184" s="235">
        <f>EEFFun!AM407</f>
        <v>551.86</v>
      </c>
      <c r="AB184" s="235">
        <f>EEFFun!AN407</f>
        <v>551.86</v>
      </c>
      <c r="AC184" s="235">
        <f>EEFFun!AO407</f>
        <v>551.86</v>
      </c>
      <c r="AD184" s="235">
        <f>EEFFun!AP407</f>
        <v>551.86</v>
      </c>
      <c r="AE184" s="235">
        <f>EEFFun!AQ407</f>
        <v>551.86</v>
      </c>
      <c r="AF184" s="235">
        <f>EEFFun!AR407</f>
        <v>551.86</v>
      </c>
      <c r="AG184" s="235">
        <f>EEFFun!AS407</f>
        <v>551.86</v>
      </c>
      <c r="AH184" s="235">
        <f>EEFFun!AT407</f>
        <v>551.86</v>
      </c>
      <c r="AI184" s="235">
        <f>EEFFun!AU407</f>
        <v>551.86</v>
      </c>
      <c r="AJ184" s="235">
        <f>EEFFun!AV407</f>
        <v>551.86</v>
      </c>
      <c r="AK184" s="235">
        <f>EEFFun!AW407</f>
        <v>551.86</v>
      </c>
      <c r="AL184" s="235">
        <f>EEFFun!AX407</f>
        <v>551.86</v>
      </c>
      <c r="AM184" s="236">
        <f t="shared" ref="AM184:AS184" si="311">AM185</f>
        <v>551.86</v>
      </c>
      <c r="AN184" s="236">
        <f t="shared" si="311"/>
        <v>551.86</v>
      </c>
      <c r="AO184" s="236">
        <f t="shared" si="311"/>
        <v>551.86</v>
      </c>
      <c r="AP184" s="236">
        <f t="shared" si="311"/>
        <v>551.86</v>
      </c>
      <c r="AQ184" s="236">
        <f t="shared" si="311"/>
        <v>551.86</v>
      </c>
      <c r="AR184" s="236">
        <f t="shared" si="311"/>
        <v>551.86</v>
      </c>
      <c r="AS184" s="236">
        <f t="shared" si="311"/>
        <v>551.86</v>
      </c>
      <c r="AT184" s="236">
        <f t="shared" ref="AT184:AX184" si="312">AT185</f>
        <v>551.86</v>
      </c>
      <c r="AU184" s="236">
        <f t="shared" si="312"/>
        <v>551.86</v>
      </c>
      <c r="AV184" s="236">
        <f t="shared" si="312"/>
        <v>551.86</v>
      </c>
      <c r="AW184" s="236">
        <f t="shared" si="312"/>
        <v>551.86</v>
      </c>
      <c r="AX184" s="236">
        <f t="shared" si="312"/>
        <v>551.86</v>
      </c>
      <c r="AY184" s="236">
        <f t="shared" si="262"/>
        <v>0</v>
      </c>
      <c r="AZ184" s="236">
        <f t="shared" si="263"/>
        <v>0</v>
      </c>
      <c r="BA184" s="232">
        <f t="shared" si="264"/>
        <v>1.7052054157708393E-5</v>
      </c>
      <c r="BB184" s="232">
        <f t="shared" si="265"/>
        <v>3.9332948261187046E-6</v>
      </c>
      <c r="BC184" s="228">
        <f t="shared" si="217"/>
        <v>0</v>
      </c>
    </row>
    <row r="185" spans="1:55" outlineLevel="2" collapsed="1" x14ac:dyDescent="0.25">
      <c r="A185" s="222">
        <v>6</v>
      </c>
      <c r="B185" s="233">
        <f>EEFFun!B408</f>
        <v>251105</v>
      </c>
      <c r="C185" s="234" t="str">
        <f>EEFFun!C408</f>
        <v>AVALES</v>
      </c>
      <c r="D185" s="235">
        <f>EEFFun!P408</f>
        <v>0</v>
      </c>
      <c r="E185" s="235">
        <f>EEFFun!Q408</f>
        <v>0</v>
      </c>
      <c r="F185" s="235">
        <f>EEFFun!R408</f>
        <v>0</v>
      </c>
      <c r="G185" s="235">
        <f>EEFFun!S408</f>
        <v>0</v>
      </c>
      <c r="H185" s="235">
        <f>EEFFun!T408</f>
        <v>0</v>
      </c>
      <c r="I185" s="235">
        <f>EEFFun!U408</f>
        <v>0</v>
      </c>
      <c r="J185" s="235">
        <f>EEFFun!V408</f>
        <v>0</v>
      </c>
      <c r="K185" s="235">
        <f>EEFFun!W408</f>
        <v>0</v>
      </c>
      <c r="L185" s="235">
        <f>EEFFun!X408</f>
        <v>551.86</v>
      </c>
      <c r="M185" s="235">
        <f>EEFFun!Y408</f>
        <v>551.86</v>
      </c>
      <c r="N185" s="235">
        <f>EEFFun!Z408</f>
        <v>551.86</v>
      </c>
      <c r="O185" s="235">
        <f>EEFFun!AA408</f>
        <v>551.86</v>
      </c>
      <c r="P185" s="235">
        <f>EEFFun!AB408</f>
        <v>551.86</v>
      </c>
      <c r="Q185" s="235">
        <f>EEFFun!AC408</f>
        <v>551.86</v>
      </c>
      <c r="R185" s="235">
        <f>EEFFun!AD408</f>
        <v>801.86</v>
      </c>
      <c r="S185" s="235">
        <f>EEFFun!AE408</f>
        <v>551.86</v>
      </c>
      <c r="T185" s="235">
        <f>EEFFun!AF408</f>
        <v>551.86</v>
      </c>
      <c r="U185" s="235">
        <f>EEFFun!AG408</f>
        <v>551.86</v>
      </c>
      <c r="V185" s="235">
        <f>EEFFun!AH408</f>
        <v>551.86</v>
      </c>
      <c r="W185" s="235">
        <f>EEFFun!AI408</f>
        <v>551.86</v>
      </c>
      <c r="X185" s="235">
        <f>EEFFun!AJ408</f>
        <v>551.86</v>
      </c>
      <c r="Y185" s="235">
        <f>EEFFun!AK408</f>
        <v>551.86</v>
      </c>
      <c r="Z185" s="235">
        <f>EEFFun!AL408</f>
        <v>551.86</v>
      </c>
      <c r="AA185" s="235">
        <f>EEFFun!AM408</f>
        <v>551.86</v>
      </c>
      <c r="AB185" s="235">
        <f>EEFFun!AN408</f>
        <v>551.86</v>
      </c>
      <c r="AC185" s="235">
        <f>EEFFun!AO408</f>
        <v>551.86</v>
      </c>
      <c r="AD185" s="235">
        <f>EEFFun!AP408</f>
        <v>551.86</v>
      </c>
      <c r="AE185" s="235">
        <f>EEFFun!AQ408</f>
        <v>551.86</v>
      </c>
      <c r="AF185" s="235">
        <f>EEFFun!AR408</f>
        <v>551.86</v>
      </c>
      <c r="AG185" s="235">
        <f>EEFFun!AS408</f>
        <v>551.86</v>
      </c>
      <c r="AH185" s="235">
        <f>EEFFun!AT408</f>
        <v>551.86</v>
      </c>
      <c r="AI185" s="235">
        <f>EEFFun!AU408</f>
        <v>551.86</v>
      </c>
      <c r="AJ185" s="235">
        <f>EEFFun!AV408</f>
        <v>551.86</v>
      </c>
      <c r="AK185" s="235">
        <f>EEFFun!AW408</f>
        <v>551.86</v>
      </c>
      <c r="AL185" s="235">
        <f>EEFFun!AX408</f>
        <v>551.86</v>
      </c>
      <c r="AM185" s="236">
        <f>AC185</f>
        <v>551.86</v>
      </c>
      <c r="AN185" s="236">
        <f t="shared" ref="AN185:AX185" si="313">AD185</f>
        <v>551.86</v>
      </c>
      <c r="AO185" s="236">
        <f t="shared" si="313"/>
        <v>551.86</v>
      </c>
      <c r="AP185" s="236">
        <f t="shared" si="313"/>
        <v>551.86</v>
      </c>
      <c r="AQ185" s="236">
        <f t="shared" si="313"/>
        <v>551.86</v>
      </c>
      <c r="AR185" s="236">
        <f t="shared" si="313"/>
        <v>551.86</v>
      </c>
      <c r="AS185" s="236">
        <f t="shared" si="313"/>
        <v>551.86</v>
      </c>
      <c r="AT185" s="236">
        <f t="shared" si="313"/>
        <v>551.86</v>
      </c>
      <c r="AU185" s="236">
        <f t="shared" si="313"/>
        <v>551.86</v>
      </c>
      <c r="AV185" s="236">
        <f t="shared" si="313"/>
        <v>551.86</v>
      </c>
      <c r="AW185" s="236">
        <f t="shared" si="313"/>
        <v>551.86</v>
      </c>
      <c r="AX185" s="236">
        <f t="shared" si="313"/>
        <v>551.86</v>
      </c>
      <c r="AY185" s="236">
        <f t="shared" ref="AY185:AY216" si="314">AX185-V185</f>
        <v>0</v>
      </c>
      <c r="AZ185" s="236">
        <f t="shared" ref="AZ185:AZ217" si="315">AX185-P185</f>
        <v>0</v>
      </c>
      <c r="BA185" s="232">
        <f t="shared" ref="BA185:BA211" si="316">P185/$P$152</f>
        <v>1.7052054157708393E-5</v>
      </c>
      <c r="BB185" s="232">
        <f t="shared" si="265"/>
        <v>3.9332948261187046E-6</v>
      </c>
      <c r="BC185" s="228">
        <f t="shared" si="217"/>
        <v>0</v>
      </c>
    </row>
    <row r="186" spans="1:55" outlineLevel="2" collapsed="1" x14ac:dyDescent="0.25">
      <c r="A186" s="222">
        <v>4</v>
      </c>
      <c r="B186" s="233">
        <f>EEFFun!B409</f>
        <v>2590</v>
      </c>
      <c r="C186" s="234" t="str">
        <f>EEFFun!C409</f>
        <v>Cuentas por pagar varias</v>
      </c>
      <c r="D186" s="235">
        <f>EEFFun!P409</f>
        <v>515967.08</v>
      </c>
      <c r="E186" s="235">
        <f>EEFFun!Q409</f>
        <v>660800.46</v>
      </c>
      <c r="F186" s="235">
        <f>EEFFun!R409</f>
        <v>650345.51</v>
      </c>
      <c r="G186" s="235">
        <f>EEFFun!S409</f>
        <v>817016.28</v>
      </c>
      <c r="H186" s="235">
        <f>EEFFun!T409</f>
        <v>707635.54</v>
      </c>
      <c r="I186" s="235">
        <f>EEFFun!U409</f>
        <v>926577.62</v>
      </c>
      <c r="J186" s="235">
        <f>EEFFun!V409</f>
        <v>581208.74</v>
      </c>
      <c r="K186" s="235">
        <f>EEFFun!W409</f>
        <v>609203.96</v>
      </c>
      <c r="L186" s="235">
        <f>EEFFun!X409</f>
        <v>670179.53</v>
      </c>
      <c r="M186" s="235">
        <f>EEFFun!Y409</f>
        <v>996878.88</v>
      </c>
      <c r="N186" s="235">
        <f>EEFFun!Z409</f>
        <v>747851.43</v>
      </c>
      <c r="O186" s="235">
        <f>EEFFun!AA409</f>
        <v>740327.57</v>
      </c>
      <c r="P186" s="235">
        <f>EEFFun!AB409</f>
        <v>649676.07999999996</v>
      </c>
      <c r="Q186" s="235">
        <f>EEFFun!AC409</f>
        <v>542418.34</v>
      </c>
      <c r="R186" s="235">
        <f>EEFFun!AD409</f>
        <v>586731.31999999995</v>
      </c>
      <c r="S186" s="235">
        <f>EEFFun!AE409</f>
        <v>802373.12</v>
      </c>
      <c r="T186" s="235">
        <f>EEFFun!AF409</f>
        <v>712128.56</v>
      </c>
      <c r="U186" s="235">
        <f>EEFFun!AG409</f>
        <v>855828.56</v>
      </c>
      <c r="V186" s="235">
        <f>EEFFun!AH409</f>
        <v>839367.08</v>
      </c>
      <c r="W186" s="235">
        <f>EEFFun!AI409</f>
        <v>975346.6</v>
      </c>
      <c r="X186" s="235">
        <f>EEFFun!AJ409</f>
        <v>1091519.08</v>
      </c>
      <c r="Y186" s="235">
        <f>EEFFun!AK409</f>
        <v>1475841.24</v>
      </c>
      <c r="Z186" s="235">
        <f>EEFFun!AL409</f>
        <v>1787467.29</v>
      </c>
      <c r="AA186" s="235">
        <f>EEFFun!AM409</f>
        <v>2193270.7599999998</v>
      </c>
      <c r="AB186" s="235">
        <f>EEFFun!AN409</f>
        <v>1289775.1399999999</v>
      </c>
      <c r="AC186" s="235">
        <f>EEFFun!AO409</f>
        <v>1960385.11</v>
      </c>
      <c r="AD186" s="235">
        <f>EEFFun!AP409</f>
        <v>2041936.36</v>
      </c>
      <c r="AE186" s="235">
        <f>EEFFun!AQ409</f>
        <v>2149852.4700000002</v>
      </c>
      <c r="AF186" s="235">
        <f>EEFFun!AR409</f>
        <v>2718594.69</v>
      </c>
      <c r="AG186" s="235">
        <f>EEFFun!AS409</f>
        <v>2358217.46</v>
      </c>
      <c r="AH186" s="235">
        <f>EEFFun!AT409</f>
        <v>2498618.96</v>
      </c>
      <c r="AI186" s="235">
        <f>EEFFun!AU409</f>
        <v>2030919.3</v>
      </c>
      <c r="AJ186" s="235">
        <f>EEFFun!AV409</f>
        <v>2361760.73</v>
      </c>
      <c r="AK186" s="235">
        <f>EEFFun!AW409</f>
        <v>2043257.71</v>
      </c>
      <c r="AL186" s="235">
        <f>EEFFun!AX409</f>
        <v>2631148.92</v>
      </c>
      <c r="AM186" s="236">
        <f t="shared" ref="AM186:AS186" si="317">SUM(AM187:AM188)</f>
        <v>2631334.6599999997</v>
      </c>
      <c r="AN186" s="236">
        <f t="shared" si="317"/>
        <v>2631148.92</v>
      </c>
      <c r="AO186" s="236">
        <f t="shared" si="317"/>
        <v>2631148.92</v>
      </c>
      <c r="AP186" s="236">
        <f t="shared" si="317"/>
        <v>2631148.92</v>
      </c>
      <c r="AQ186" s="236">
        <f t="shared" si="317"/>
        <v>2631148.92</v>
      </c>
      <c r="AR186" s="236">
        <f t="shared" si="317"/>
        <v>2631148.92</v>
      </c>
      <c r="AS186" s="236">
        <f t="shared" si="317"/>
        <v>2631148.92</v>
      </c>
      <c r="AT186" s="236">
        <f t="shared" ref="AT186" si="318">SUM(AT187:AT188)</f>
        <v>2631148.92</v>
      </c>
      <c r="AU186" s="236">
        <f t="shared" ref="AU186" si="319">SUM(AU187:AU188)</f>
        <v>2631148.92</v>
      </c>
      <c r="AV186" s="236">
        <f t="shared" ref="AV186" si="320">SUM(AV187:AV188)</f>
        <v>2631148.92</v>
      </c>
      <c r="AW186" s="236">
        <f t="shared" ref="AW186" si="321">SUM(AW187:AW188)</f>
        <v>2631334.6599999997</v>
      </c>
      <c r="AX186" s="236">
        <f t="shared" ref="AX186" si="322">SUM(AX187:AX188)</f>
        <v>2631148.92</v>
      </c>
      <c r="AY186" s="236">
        <f t="shared" si="314"/>
        <v>1791781.8399999999</v>
      </c>
      <c r="AZ186" s="236">
        <f t="shared" si="315"/>
        <v>1981472.8399999999</v>
      </c>
      <c r="BA186" s="232">
        <f t="shared" si="316"/>
        <v>2.0074496613502864E-2</v>
      </c>
      <c r="BB186" s="232">
        <f t="shared" ref="BB186:BB211" si="323">AX186/$AX$152</f>
        <v>1.8753097585952627E-2</v>
      </c>
      <c r="BC186" s="228">
        <f t="shared" si="217"/>
        <v>1655802.3199999998</v>
      </c>
    </row>
    <row r="187" spans="1:55" outlineLevel="2" collapsed="1" x14ac:dyDescent="0.25">
      <c r="A187" s="222">
        <v>6</v>
      </c>
      <c r="B187" s="233">
        <f>EEFFun!B410</f>
        <v>259015</v>
      </c>
      <c r="C187" s="234" t="str">
        <f>EEFFun!C410</f>
        <v>Cheques girados no cobrados</v>
      </c>
      <c r="D187" s="235">
        <f>EEFFun!P410</f>
        <v>67390.41</v>
      </c>
      <c r="E187" s="235">
        <f>EEFFun!Q410</f>
        <v>67390.41</v>
      </c>
      <c r="F187" s="235">
        <f>EEFFun!R410</f>
        <v>67390.41</v>
      </c>
      <c r="G187" s="235">
        <f>EEFFun!S410</f>
        <v>67390.41</v>
      </c>
      <c r="H187" s="235">
        <f>EEFFun!T410</f>
        <v>67390.41</v>
      </c>
      <c r="I187" s="235">
        <f>EEFFun!U410</f>
        <v>67390.41</v>
      </c>
      <c r="J187" s="235">
        <f>EEFFun!V410</f>
        <v>67390.41</v>
      </c>
      <c r="K187" s="235">
        <f>EEFFun!W410</f>
        <v>67390.41</v>
      </c>
      <c r="L187" s="235">
        <f>EEFFun!X410</f>
        <v>67390.41</v>
      </c>
      <c r="M187" s="235">
        <f>EEFFun!Y410</f>
        <v>67390.41</v>
      </c>
      <c r="N187" s="235">
        <f>EEFFun!Z410</f>
        <v>67390.41</v>
      </c>
      <c r="O187" s="235">
        <f>EEFFun!AA410</f>
        <v>38715.85</v>
      </c>
      <c r="P187" s="235">
        <f>EEFFun!AB410</f>
        <v>25275.78</v>
      </c>
      <c r="Q187" s="235">
        <f>EEFFun!AC410</f>
        <v>25275.78</v>
      </c>
      <c r="R187" s="235">
        <f>EEFFun!AD410</f>
        <v>25275.78</v>
      </c>
      <c r="S187" s="235">
        <f>EEFFun!AE410</f>
        <v>25275.78</v>
      </c>
      <c r="T187" s="235">
        <f>EEFFun!AF410</f>
        <v>25275.78</v>
      </c>
      <c r="U187" s="235">
        <f>EEFFun!AG410</f>
        <v>25275.78</v>
      </c>
      <c r="V187" s="235">
        <f>EEFFun!AH410</f>
        <v>25275.78</v>
      </c>
      <c r="W187" s="235">
        <f>EEFFun!AI410</f>
        <v>25275.78</v>
      </c>
      <c r="X187" s="235">
        <f>EEFFun!AJ410</f>
        <v>25275.78</v>
      </c>
      <c r="Y187" s="235">
        <f>EEFFun!AK410</f>
        <v>25275.78</v>
      </c>
      <c r="Z187" s="235">
        <f>EEFFun!AL410</f>
        <v>25275.78</v>
      </c>
      <c r="AA187" s="235">
        <f>EEFFun!AM410</f>
        <v>25275.78</v>
      </c>
      <c r="AB187" s="235">
        <f>EEFFun!AN410</f>
        <v>25275.78</v>
      </c>
      <c r="AC187" s="235">
        <f>EEFFun!AO410</f>
        <v>25275.78</v>
      </c>
      <c r="AD187" s="235">
        <f>EEFFun!AP410</f>
        <v>25090.04</v>
      </c>
      <c r="AE187" s="235">
        <f>EEFFun!AQ410</f>
        <v>25090.04</v>
      </c>
      <c r="AF187" s="235">
        <f>EEFFun!AR410</f>
        <v>25090.04</v>
      </c>
      <c r="AG187" s="235">
        <f>EEFFun!AS410</f>
        <v>25090.04</v>
      </c>
      <c r="AH187" s="235">
        <f>EEFFun!AT410</f>
        <v>25090.04</v>
      </c>
      <c r="AI187" s="235">
        <f>EEFFun!AU410</f>
        <v>25090.04</v>
      </c>
      <c r="AJ187" s="235">
        <f>EEFFun!AV410</f>
        <v>25090.04</v>
      </c>
      <c r="AK187" s="235">
        <f>EEFFun!AW410</f>
        <v>25090.04</v>
      </c>
      <c r="AL187" s="235">
        <f>EEFFun!AX410</f>
        <v>25090.04</v>
      </c>
      <c r="AM187" s="236">
        <f>AC187</f>
        <v>25275.78</v>
      </c>
      <c r="AN187" s="236">
        <f t="shared" ref="AN187:AX187" si="324">AD187</f>
        <v>25090.04</v>
      </c>
      <c r="AO187" s="236">
        <f t="shared" si="324"/>
        <v>25090.04</v>
      </c>
      <c r="AP187" s="236">
        <f t="shared" si="324"/>
        <v>25090.04</v>
      </c>
      <c r="AQ187" s="236">
        <f t="shared" si="324"/>
        <v>25090.04</v>
      </c>
      <c r="AR187" s="236">
        <f t="shared" si="324"/>
        <v>25090.04</v>
      </c>
      <c r="AS187" s="236">
        <f t="shared" si="324"/>
        <v>25090.04</v>
      </c>
      <c r="AT187" s="236">
        <f t="shared" si="324"/>
        <v>25090.04</v>
      </c>
      <c r="AU187" s="236">
        <f t="shared" si="324"/>
        <v>25090.04</v>
      </c>
      <c r="AV187" s="236">
        <f t="shared" si="324"/>
        <v>25090.04</v>
      </c>
      <c r="AW187" s="236">
        <f t="shared" si="324"/>
        <v>25275.78</v>
      </c>
      <c r="AX187" s="236">
        <f t="shared" si="324"/>
        <v>25090.04</v>
      </c>
      <c r="AY187" s="236">
        <f t="shared" si="314"/>
        <v>-185.73999999999796</v>
      </c>
      <c r="AZ187" s="236">
        <f t="shared" si="315"/>
        <v>-185.73999999999796</v>
      </c>
      <c r="BA187" s="232">
        <f t="shared" si="316"/>
        <v>7.8100237277266445E-4</v>
      </c>
      <c r="BB187" s="232">
        <f t="shared" si="323"/>
        <v>1.7882528996323585E-4</v>
      </c>
      <c r="BC187" s="228">
        <f t="shared" si="217"/>
        <v>-185.73999999999796</v>
      </c>
    </row>
    <row r="188" spans="1:55" outlineLevel="2" collapsed="1" x14ac:dyDescent="0.25">
      <c r="A188" s="222">
        <v>6</v>
      </c>
      <c r="B188" s="233">
        <f>EEFFun!B411</f>
        <v>259090</v>
      </c>
      <c r="C188" s="234" t="str">
        <f>EEFFun!C411</f>
        <v>Otras cuentas por pagar</v>
      </c>
      <c r="D188" s="235">
        <f>EEFFun!P411</f>
        <v>448576.67</v>
      </c>
      <c r="E188" s="235">
        <f>EEFFun!Q411</f>
        <v>593410.05000000005</v>
      </c>
      <c r="F188" s="235">
        <f>EEFFun!R411</f>
        <v>582955.1</v>
      </c>
      <c r="G188" s="235">
        <f>EEFFun!S411</f>
        <v>749625.87</v>
      </c>
      <c r="H188" s="235">
        <f>EEFFun!T411</f>
        <v>640245.13</v>
      </c>
      <c r="I188" s="235">
        <f>EEFFun!U411</f>
        <v>859187.21</v>
      </c>
      <c r="J188" s="235">
        <f>EEFFun!V411</f>
        <v>513818.33</v>
      </c>
      <c r="K188" s="235">
        <f>EEFFun!W411</f>
        <v>541813.55000000005</v>
      </c>
      <c r="L188" s="235">
        <f>EEFFun!X411</f>
        <v>602789.12</v>
      </c>
      <c r="M188" s="235">
        <f>EEFFun!Y411</f>
        <v>929488.47</v>
      </c>
      <c r="N188" s="235">
        <f>EEFFun!Z411</f>
        <v>680461.02</v>
      </c>
      <c r="O188" s="235">
        <f>EEFFun!AA411</f>
        <v>701611.72</v>
      </c>
      <c r="P188" s="235">
        <f>EEFFun!AB411</f>
        <v>624400.30000000005</v>
      </c>
      <c r="Q188" s="235">
        <f>EEFFun!AC411</f>
        <v>517142.56</v>
      </c>
      <c r="R188" s="235">
        <f>EEFFun!AD411</f>
        <v>561455.54</v>
      </c>
      <c r="S188" s="235">
        <f>EEFFun!AE411</f>
        <v>777097.34</v>
      </c>
      <c r="T188" s="235">
        <f>EEFFun!AF411</f>
        <v>686852.78</v>
      </c>
      <c r="U188" s="235">
        <f>EEFFun!AG411</f>
        <v>830552.78</v>
      </c>
      <c r="V188" s="235">
        <f>EEFFun!AH411</f>
        <v>814091.3</v>
      </c>
      <c r="W188" s="235">
        <f>EEFFun!AI411</f>
        <v>950070.82</v>
      </c>
      <c r="X188" s="235">
        <f>EEFFun!AJ411</f>
        <v>1066243.3</v>
      </c>
      <c r="Y188" s="235">
        <f>EEFFun!AK411</f>
        <v>1450565.46</v>
      </c>
      <c r="Z188" s="235">
        <f>EEFFun!AL411</f>
        <v>1762191.51</v>
      </c>
      <c r="AA188" s="235">
        <f>EEFFun!AM411</f>
        <v>2167994.98</v>
      </c>
      <c r="AB188" s="235">
        <f>EEFFun!AN411</f>
        <v>1264499.3600000001</v>
      </c>
      <c r="AC188" s="235">
        <f>EEFFun!AO411</f>
        <v>1935109.33</v>
      </c>
      <c r="AD188" s="235">
        <f>EEFFun!AP411</f>
        <v>2016846.32</v>
      </c>
      <c r="AE188" s="235">
        <f>EEFFun!AQ411</f>
        <v>2124762.4300000002</v>
      </c>
      <c r="AF188" s="235">
        <f>EEFFun!AR411</f>
        <v>2693504.65</v>
      </c>
      <c r="AG188" s="235">
        <f>EEFFun!AS411</f>
        <v>2333127.42</v>
      </c>
      <c r="AH188" s="235">
        <f>EEFFun!AT411</f>
        <v>2473528.92</v>
      </c>
      <c r="AI188" s="235">
        <f>EEFFun!AU411</f>
        <v>2005829.26</v>
      </c>
      <c r="AJ188" s="235">
        <f>EEFFun!AV411</f>
        <v>2336670.69</v>
      </c>
      <c r="AK188" s="235">
        <f>EEFFun!AW411</f>
        <v>2018167.67</v>
      </c>
      <c r="AL188" s="235">
        <f>EEFFun!AX411</f>
        <v>2606058.88</v>
      </c>
      <c r="AM188" s="236">
        <f>+AL188</f>
        <v>2606058.88</v>
      </c>
      <c r="AN188" s="236">
        <f t="shared" ref="AN188:AX188" si="325">+AM188</f>
        <v>2606058.88</v>
      </c>
      <c r="AO188" s="236">
        <f t="shared" si="325"/>
        <v>2606058.88</v>
      </c>
      <c r="AP188" s="236">
        <f t="shared" si="325"/>
        <v>2606058.88</v>
      </c>
      <c r="AQ188" s="236">
        <f t="shared" si="325"/>
        <v>2606058.88</v>
      </c>
      <c r="AR188" s="236">
        <f t="shared" si="325"/>
        <v>2606058.88</v>
      </c>
      <c r="AS188" s="236">
        <f t="shared" si="325"/>
        <v>2606058.88</v>
      </c>
      <c r="AT188" s="236">
        <f t="shared" si="325"/>
        <v>2606058.88</v>
      </c>
      <c r="AU188" s="236">
        <f t="shared" si="325"/>
        <v>2606058.88</v>
      </c>
      <c r="AV188" s="236">
        <f t="shared" si="325"/>
        <v>2606058.88</v>
      </c>
      <c r="AW188" s="236">
        <f t="shared" si="325"/>
        <v>2606058.88</v>
      </c>
      <c r="AX188" s="236">
        <f t="shared" si="325"/>
        <v>2606058.88</v>
      </c>
      <c r="AY188" s="236">
        <f t="shared" si="314"/>
        <v>1791967.5799999998</v>
      </c>
      <c r="AZ188" s="236">
        <f t="shared" si="315"/>
        <v>1981658.5799999998</v>
      </c>
      <c r="BA188" s="232">
        <f t="shared" si="316"/>
        <v>1.9293494240730201E-2</v>
      </c>
      <c r="BB188" s="232">
        <f t="shared" si="323"/>
        <v>1.8574272295989389E-2</v>
      </c>
      <c r="BC188" s="228">
        <f t="shared" si="217"/>
        <v>1655988.06</v>
      </c>
    </row>
    <row r="189" spans="1:55" s="229" customFormat="1" outlineLevel="1" x14ac:dyDescent="0.25">
      <c r="A189" s="222">
        <v>2</v>
      </c>
      <c r="B189" s="230">
        <f>EEFFun!B431</f>
        <v>26</v>
      </c>
      <c r="C189" s="230" t="str">
        <f>EEFFun!C431</f>
        <v>OBLIGACIONES FINANCIERAS</v>
      </c>
      <c r="D189" s="225">
        <f>EEFFun!P431</f>
        <v>0</v>
      </c>
      <c r="E189" s="225">
        <f>EEFFun!Q431</f>
        <v>0</v>
      </c>
      <c r="F189" s="225">
        <f>EEFFun!R431</f>
        <v>0</v>
      </c>
      <c r="G189" s="225">
        <f>EEFFun!S431</f>
        <v>0</v>
      </c>
      <c r="H189" s="225">
        <f>EEFFun!T431</f>
        <v>1400000</v>
      </c>
      <c r="I189" s="225">
        <f>EEFFun!U431</f>
        <v>1400000</v>
      </c>
      <c r="J189" s="225">
        <f>EEFFun!V431</f>
        <v>1400000</v>
      </c>
      <c r="K189" s="225">
        <f>EEFFun!W431</f>
        <v>980000</v>
      </c>
      <c r="L189" s="225">
        <f>EEFFun!X431</f>
        <v>980000</v>
      </c>
      <c r="M189" s="225">
        <f>EEFFun!Y431</f>
        <v>980000</v>
      </c>
      <c r="N189" s="225">
        <f>EEFFun!Z431</f>
        <v>980000</v>
      </c>
      <c r="O189" s="225">
        <f>EEFFun!AA431</f>
        <v>0</v>
      </c>
      <c r="P189" s="225">
        <f>EEFFun!AB431</f>
        <v>0</v>
      </c>
      <c r="Q189" s="225">
        <f>EEFFun!AC431</f>
        <v>0</v>
      </c>
      <c r="R189" s="225">
        <f>EEFFun!AD431</f>
        <v>0</v>
      </c>
      <c r="S189" s="225">
        <f>EEFFun!AE431</f>
        <v>0</v>
      </c>
      <c r="T189" s="225">
        <f>EEFFun!AF431</f>
        <v>0</v>
      </c>
      <c r="U189" s="225">
        <f>EEFFun!AG431</f>
        <v>0</v>
      </c>
      <c r="V189" s="225">
        <f>EEFFun!AH431</f>
        <v>0</v>
      </c>
      <c r="W189" s="225">
        <f>EEFFun!AI431</f>
        <v>0</v>
      </c>
      <c r="X189" s="225">
        <f>EEFFun!AJ431</f>
        <v>0</v>
      </c>
      <c r="Y189" s="225">
        <f>EEFFun!AK431</f>
        <v>0</v>
      </c>
      <c r="Z189" s="225">
        <f>EEFFun!AL431</f>
        <v>0</v>
      </c>
      <c r="AA189" s="225">
        <f>EEFFun!AM431</f>
        <v>0</v>
      </c>
      <c r="AB189" s="225">
        <f>EEFFun!AN431</f>
        <v>0</v>
      </c>
      <c r="AC189" s="225">
        <f>EEFFun!AO431</f>
        <v>0</v>
      </c>
      <c r="AD189" s="225">
        <f>EEFFun!AP431</f>
        <v>0</v>
      </c>
      <c r="AE189" s="225">
        <f>EEFFun!AQ431</f>
        <v>0</v>
      </c>
      <c r="AF189" s="225">
        <f>EEFFun!AR431</f>
        <v>0</v>
      </c>
      <c r="AG189" s="225">
        <f>EEFFun!AS431</f>
        <v>0</v>
      </c>
      <c r="AH189" s="225">
        <f>EEFFun!AT431</f>
        <v>0</v>
      </c>
      <c r="AI189" s="225">
        <f>EEFFun!AU431</f>
        <v>0</v>
      </c>
      <c r="AJ189" s="225">
        <f>EEFFun!AV431</f>
        <v>0</v>
      </c>
      <c r="AK189" s="225">
        <f>EEFFun!AW431</f>
        <v>0</v>
      </c>
      <c r="AL189" s="225">
        <f>EEFFun!AX431</f>
        <v>0</v>
      </c>
      <c r="AM189" s="226">
        <f t="shared" ref="AM189:AS192" si="326">AM190</f>
        <v>0</v>
      </c>
      <c r="AN189" s="226">
        <f t="shared" si="326"/>
        <v>0</v>
      </c>
      <c r="AO189" s="226">
        <f t="shared" si="326"/>
        <v>0</v>
      </c>
      <c r="AP189" s="226">
        <f t="shared" si="326"/>
        <v>0</v>
      </c>
      <c r="AQ189" s="226">
        <f t="shared" si="326"/>
        <v>0</v>
      </c>
      <c r="AR189" s="226">
        <f t="shared" si="326"/>
        <v>0</v>
      </c>
      <c r="AS189" s="226">
        <f t="shared" si="326"/>
        <v>0</v>
      </c>
      <c r="AT189" s="226">
        <f t="shared" ref="AT189:AT192" si="327">AT190</f>
        <v>0</v>
      </c>
      <c r="AU189" s="226">
        <f t="shared" ref="AU189:AU192" si="328">AU190</f>
        <v>0</v>
      </c>
      <c r="AV189" s="226">
        <f t="shared" ref="AV189:AV192" si="329">AV190</f>
        <v>0</v>
      </c>
      <c r="AW189" s="226">
        <f t="shared" ref="AW189:AW192" si="330">AW190</f>
        <v>0</v>
      </c>
      <c r="AX189" s="226">
        <f t="shared" ref="AX189:AX192" si="331">AX190</f>
        <v>0</v>
      </c>
      <c r="AY189" s="226">
        <f t="shared" si="314"/>
        <v>0</v>
      </c>
      <c r="AZ189" s="226">
        <f t="shared" si="315"/>
        <v>0</v>
      </c>
      <c r="BA189" s="231">
        <f t="shared" si="316"/>
        <v>0</v>
      </c>
      <c r="BB189" s="231">
        <f t="shared" si="323"/>
        <v>0</v>
      </c>
      <c r="BC189" s="228">
        <f t="shared" si="217"/>
        <v>0</v>
      </c>
    </row>
    <row r="190" spans="1:55" outlineLevel="2" collapsed="1" x14ac:dyDescent="0.25">
      <c r="A190" s="222">
        <v>4</v>
      </c>
      <c r="B190" s="233">
        <f>EEFFun!B432</f>
        <v>2610</v>
      </c>
      <c r="C190" s="234" t="str">
        <f>EEFFun!C432</f>
        <v>OBLIGACIONES CON EL FDL DEL SISTEMA FINANCIERO ECU</v>
      </c>
      <c r="D190" s="235">
        <f>EEFFun!P432</f>
        <v>0</v>
      </c>
      <c r="E190" s="235">
        <f>EEFFun!Q432</f>
        <v>0</v>
      </c>
      <c r="F190" s="235">
        <f>EEFFun!R432</f>
        <v>0</v>
      </c>
      <c r="G190" s="235">
        <f>EEFFun!S432</f>
        <v>0</v>
      </c>
      <c r="H190" s="235">
        <f>EEFFun!T432</f>
        <v>1400000</v>
      </c>
      <c r="I190" s="235">
        <f>EEFFun!U432</f>
        <v>1400000</v>
      </c>
      <c r="J190" s="235">
        <f>EEFFun!V432</f>
        <v>1400000</v>
      </c>
      <c r="K190" s="235">
        <f>EEFFun!W432</f>
        <v>980000</v>
      </c>
      <c r="L190" s="235">
        <f>EEFFun!X432</f>
        <v>980000</v>
      </c>
      <c r="M190" s="235">
        <f>EEFFun!Y432</f>
        <v>980000</v>
      </c>
      <c r="N190" s="235">
        <f>EEFFun!Z432</f>
        <v>980000</v>
      </c>
      <c r="O190" s="235">
        <f>EEFFun!AA432</f>
        <v>0</v>
      </c>
      <c r="P190" s="235">
        <f>EEFFun!AB432</f>
        <v>0</v>
      </c>
      <c r="Q190" s="235">
        <f>EEFFun!AC432</f>
        <v>0</v>
      </c>
      <c r="R190" s="235">
        <f>EEFFun!AD432</f>
        <v>0</v>
      </c>
      <c r="S190" s="235">
        <f>EEFFun!AE432</f>
        <v>0</v>
      </c>
      <c r="T190" s="235">
        <f>EEFFun!AF432</f>
        <v>0</v>
      </c>
      <c r="U190" s="235">
        <f>EEFFun!AG432</f>
        <v>0</v>
      </c>
      <c r="V190" s="235">
        <f>EEFFun!AH432</f>
        <v>0</v>
      </c>
      <c r="W190" s="235">
        <f>EEFFun!AI432</f>
        <v>0</v>
      </c>
      <c r="X190" s="235">
        <f>EEFFun!AJ432</f>
        <v>0</v>
      </c>
      <c r="Y190" s="235">
        <f>EEFFun!AK432</f>
        <v>0</v>
      </c>
      <c r="Z190" s="235">
        <f>EEFFun!AL432</f>
        <v>0</v>
      </c>
      <c r="AA190" s="235">
        <f>EEFFun!AM432</f>
        <v>0</v>
      </c>
      <c r="AB190" s="235">
        <f>EEFFun!AN432</f>
        <v>0</v>
      </c>
      <c r="AC190" s="235">
        <f>EEFFun!AO432</f>
        <v>0</v>
      </c>
      <c r="AD190" s="235">
        <f>EEFFun!AP432</f>
        <v>0</v>
      </c>
      <c r="AE190" s="235">
        <f>EEFFun!AQ432</f>
        <v>0</v>
      </c>
      <c r="AF190" s="235">
        <f>EEFFun!AR432</f>
        <v>0</v>
      </c>
      <c r="AG190" s="235">
        <f>EEFFun!AS432</f>
        <v>0</v>
      </c>
      <c r="AH190" s="235">
        <f>EEFFun!AT432</f>
        <v>0</v>
      </c>
      <c r="AI190" s="235">
        <f>EEFFun!AU432</f>
        <v>0</v>
      </c>
      <c r="AJ190" s="235">
        <f>EEFFun!AV432</f>
        <v>0</v>
      </c>
      <c r="AK190" s="235">
        <f>EEFFun!AW432</f>
        <v>0</v>
      </c>
      <c r="AL190" s="235">
        <f>EEFFun!AX432</f>
        <v>0</v>
      </c>
      <c r="AM190" s="236">
        <f t="shared" si="326"/>
        <v>0</v>
      </c>
      <c r="AN190" s="236">
        <f t="shared" si="326"/>
        <v>0</v>
      </c>
      <c r="AO190" s="236">
        <f t="shared" si="326"/>
        <v>0</v>
      </c>
      <c r="AP190" s="236">
        <f t="shared" si="326"/>
        <v>0</v>
      </c>
      <c r="AQ190" s="236">
        <f t="shared" si="326"/>
        <v>0</v>
      </c>
      <c r="AR190" s="236">
        <f t="shared" si="326"/>
        <v>0</v>
      </c>
      <c r="AS190" s="236">
        <f t="shared" si="326"/>
        <v>0</v>
      </c>
      <c r="AT190" s="236">
        <f t="shared" si="327"/>
        <v>0</v>
      </c>
      <c r="AU190" s="236">
        <f t="shared" si="328"/>
        <v>0</v>
      </c>
      <c r="AV190" s="236">
        <f t="shared" si="329"/>
        <v>0</v>
      </c>
      <c r="AW190" s="236">
        <f t="shared" si="330"/>
        <v>0</v>
      </c>
      <c r="AX190" s="236">
        <f t="shared" si="331"/>
        <v>0</v>
      </c>
      <c r="AY190" s="236">
        <f t="shared" si="314"/>
        <v>0</v>
      </c>
      <c r="AZ190" s="236">
        <f t="shared" si="315"/>
        <v>0</v>
      </c>
      <c r="BA190" s="232">
        <f t="shared" si="316"/>
        <v>0</v>
      </c>
      <c r="BB190" s="232">
        <f t="shared" si="323"/>
        <v>0</v>
      </c>
      <c r="BC190" s="228">
        <f t="shared" si="217"/>
        <v>0</v>
      </c>
    </row>
    <row r="191" spans="1:55" outlineLevel="2" collapsed="1" x14ac:dyDescent="0.25">
      <c r="A191" s="222">
        <v>6</v>
      </c>
      <c r="B191" s="233">
        <f>EEFFun!B433</f>
        <v>261005</v>
      </c>
      <c r="C191" s="234" t="str">
        <f>EEFFun!C433</f>
        <v>POR CREDITOS ORDINARIOS</v>
      </c>
      <c r="D191" s="235">
        <f>EEFFun!P433</f>
        <v>0</v>
      </c>
      <c r="E191" s="235">
        <f>EEFFun!Q433</f>
        <v>0</v>
      </c>
      <c r="F191" s="235">
        <f>EEFFun!R433</f>
        <v>0</v>
      </c>
      <c r="G191" s="235">
        <f>EEFFun!S433</f>
        <v>0</v>
      </c>
      <c r="H191" s="235">
        <f>EEFFun!T433</f>
        <v>1400000</v>
      </c>
      <c r="I191" s="235">
        <f>EEFFun!U433</f>
        <v>1400000</v>
      </c>
      <c r="J191" s="235">
        <f>EEFFun!V433</f>
        <v>1400000</v>
      </c>
      <c r="K191" s="235">
        <f>EEFFun!W433</f>
        <v>980000</v>
      </c>
      <c r="L191" s="235">
        <f>EEFFun!X433</f>
        <v>980000</v>
      </c>
      <c r="M191" s="235">
        <f>EEFFun!Y433</f>
        <v>980000</v>
      </c>
      <c r="N191" s="235">
        <f>EEFFun!Z433</f>
        <v>980000</v>
      </c>
      <c r="O191" s="235">
        <f>EEFFun!AA433</f>
        <v>0</v>
      </c>
      <c r="P191" s="235">
        <f>EEFFun!AB433</f>
        <v>0</v>
      </c>
      <c r="Q191" s="235">
        <f>EEFFun!AC433</f>
        <v>0</v>
      </c>
      <c r="R191" s="235">
        <f>EEFFun!AD433</f>
        <v>0</v>
      </c>
      <c r="S191" s="235">
        <f>EEFFun!AE433</f>
        <v>0</v>
      </c>
      <c r="T191" s="235">
        <f>EEFFun!AF433</f>
        <v>0</v>
      </c>
      <c r="U191" s="235">
        <f>EEFFun!AG433</f>
        <v>0</v>
      </c>
      <c r="V191" s="235">
        <f>EEFFun!AH433</f>
        <v>0</v>
      </c>
      <c r="W191" s="235">
        <f>EEFFun!AI433</f>
        <v>0</v>
      </c>
      <c r="X191" s="235">
        <f>EEFFun!AJ433</f>
        <v>0</v>
      </c>
      <c r="Y191" s="235">
        <f>EEFFun!AK433</f>
        <v>0</v>
      </c>
      <c r="Z191" s="235">
        <f>EEFFun!AL433</f>
        <v>0</v>
      </c>
      <c r="AA191" s="235">
        <f>EEFFun!AM433</f>
        <v>0</v>
      </c>
      <c r="AB191" s="235">
        <f>EEFFun!AN433</f>
        <v>0</v>
      </c>
      <c r="AC191" s="235">
        <f>EEFFun!AO433</f>
        <v>0</v>
      </c>
      <c r="AD191" s="235">
        <f>EEFFun!AP433</f>
        <v>0</v>
      </c>
      <c r="AE191" s="235">
        <f>EEFFun!AQ433</f>
        <v>0</v>
      </c>
      <c r="AF191" s="235">
        <f>EEFFun!AR433</f>
        <v>0</v>
      </c>
      <c r="AG191" s="235">
        <f>EEFFun!AS433</f>
        <v>0</v>
      </c>
      <c r="AH191" s="235">
        <f>EEFFun!AT433</f>
        <v>0</v>
      </c>
      <c r="AI191" s="235">
        <f>EEFFun!AU433</f>
        <v>0</v>
      </c>
      <c r="AJ191" s="235">
        <f>EEFFun!AV433</f>
        <v>0</v>
      </c>
      <c r="AK191" s="235">
        <f>EEFFun!AW433</f>
        <v>0</v>
      </c>
      <c r="AL191" s="235">
        <f>EEFFun!AX433</f>
        <v>0</v>
      </c>
      <c r="AM191" s="235">
        <f>CaptObFin!B10</f>
        <v>0</v>
      </c>
      <c r="AN191" s="235">
        <f>CaptObFin!C10</f>
        <v>0</v>
      </c>
      <c r="AO191" s="235">
        <f>CaptObFin!D10</f>
        <v>0</v>
      </c>
      <c r="AP191" s="235">
        <f>CaptObFin!E10</f>
        <v>0</v>
      </c>
      <c r="AQ191" s="235">
        <f>CaptObFin!F10</f>
        <v>0</v>
      </c>
      <c r="AR191" s="235">
        <f>CaptObFin!G10</f>
        <v>0</v>
      </c>
      <c r="AS191" s="235">
        <f>CaptObFin!H10</f>
        <v>0</v>
      </c>
      <c r="AT191" s="235">
        <f>CaptObFin!I10</f>
        <v>0</v>
      </c>
      <c r="AU191" s="235">
        <f>CaptObFin!J10</f>
        <v>0</v>
      </c>
      <c r="AV191" s="235">
        <f>CaptObFin!K10</f>
        <v>0</v>
      </c>
      <c r="AW191" s="235">
        <f>CaptObFin!L10</f>
        <v>0</v>
      </c>
      <c r="AX191" s="235">
        <f>CaptObFin!M10</f>
        <v>0</v>
      </c>
      <c r="AY191" s="236">
        <f t="shared" si="314"/>
        <v>0</v>
      </c>
      <c r="AZ191" s="236">
        <f t="shared" si="315"/>
        <v>0</v>
      </c>
      <c r="BA191" s="232">
        <f t="shared" si="316"/>
        <v>0</v>
      </c>
      <c r="BB191" s="232">
        <f t="shared" si="323"/>
        <v>0</v>
      </c>
      <c r="BC191" s="228">
        <f t="shared" si="217"/>
        <v>0</v>
      </c>
    </row>
    <row r="192" spans="1:55" s="229" customFormat="1" outlineLevel="1" x14ac:dyDescent="0.25">
      <c r="A192" s="222">
        <v>2</v>
      </c>
      <c r="B192" s="230">
        <f>EEFFun!B434</f>
        <v>28</v>
      </c>
      <c r="C192" s="230" t="str">
        <f>EEFFun!C434</f>
        <v>OBLIGACIONES CONVERTIBLES EN ACCIONES Y APORTES PA</v>
      </c>
      <c r="D192" s="225">
        <f>EEFFun!P434</f>
        <v>0</v>
      </c>
      <c r="E192" s="225">
        <f>EEFFun!Q434</f>
        <v>0</v>
      </c>
      <c r="F192" s="225">
        <f>EEFFun!R434</f>
        <v>0</v>
      </c>
      <c r="G192" s="225">
        <f>EEFFun!S434</f>
        <v>0</v>
      </c>
      <c r="H192" s="225">
        <f>EEFFun!T434</f>
        <v>0</v>
      </c>
      <c r="I192" s="225">
        <f>EEFFun!U434</f>
        <v>0</v>
      </c>
      <c r="J192" s="225">
        <f>EEFFun!V434</f>
        <v>0</v>
      </c>
      <c r="K192" s="225">
        <f>EEFFun!W434</f>
        <v>0</v>
      </c>
      <c r="L192" s="225">
        <f>EEFFun!X434</f>
        <v>0</v>
      </c>
      <c r="M192" s="225">
        <f>EEFFun!Y434</f>
        <v>0</v>
      </c>
      <c r="N192" s="225">
        <f>EEFFun!Z434</f>
        <v>0</v>
      </c>
      <c r="O192" s="225">
        <f>EEFFun!AA434</f>
        <v>0</v>
      </c>
      <c r="P192" s="225">
        <f>EEFFun!AB434</f>
        <v>0</v>
      </c>
      <c r="Q192" s="225">
        <f>EEFFun!AC434</f>
        <v>0</v>
      </c>
      <c r="R192" s="225">
        <f>EEFFun!AD434</f>
        <v>0</v>
      </c>
      <c r="S192" s="225">
        <f>EEFFun!AE434</f>
        <v>0</v>
      </c>
      <c r="T192" s="225">
        <f>EEFFun!AF434</f>
        <v>0</v>
      </c>
      <c r="U192" s="225">
        <f>EEFFun!AG434</f>
        <v>0</v>
      </c>
      <c r="V192" s="225">
        <f>EEFFun!AH434</f>
        <v>5487083</v>
      </c>
      <c r="W192" s="225">
        <f>EEFFun!AI434</f>
        <v>6000000</v>
      </c>
      <c r="X192" s="225">
        <f>EEFFun!AJ434</f>
        <v>0</v>
      </c>
      <c r="Y192" s="225">
        <f>EEFFun!AK434</f>
        <v>0</v>
      </c>
      <c r="Z192" s="225">
        <f>EEFFun!AL434</f>
        <v>0</v>
      </c>
      <c r="AA192" s="225">
        <f>EEFFun!AM434</f>
        <v>0</v>
      </c>
      <c r="AB192" s="225">
        <f>EEFFun!AN434</f>
        <v>0</v>
      </c>
      <c r="AC192" s="225">
        <f>EEFFun!AO434</f>
        <v>0</v>
      </c>
      <c r="AD192" s="225">
        <f>EEFFun!AP434</f>
        <v>0</v>
      </c>
      <c r="AE192" s="225">
        <f>EEFFun!AQ434</f>
        <v>0</v>
      </c>
      <c r="AF192" s="225">
        <f>EEFFun!AR434</f>
        <v>0</v>
      </c>
      <c r="AG192" s="225">
        <f>EEFFun!AS434</f>
        <v>0</v>
      </c>
      <c r="AH192" s="225">
        <f>EEFFun!AT434</f>
        <v>0</v>
      </c>
      <c r="AI192" s="225">
        <f>EEFFun!AU434</f>
        <v>0</v>
      </c>
      <c r="AJ192" s="225">
        <f>EEFFun!AV434</f>
        <v>0</v>
      </c>
      <c r="AK192" s="225">
        <f>EEFFun!AW434</f>
        <v>0</v>
      </c>
      <c r="AL192" s="225">
        <f>EEFFun!AX434</f>
        <v>0</v>
      </c>
      <c r="AM192" s="226">
        <f t="shared" si="326"/>
        <v>0</v>
      </c>
      <c r="AN192" s="226">
        <f t="shared" si="326"/>
        <v>0</v>
      </c>
      <c r="AO192" s="226">
        <f t="shared" si="326"/>
        <v>0</v>
      </c>
      <c r="AP192" s="226">
        <f t="shared" si="326"/>
        <v>0</v>
      </c>
      <c r="AQ192" s="226">
        <f t="shared" si="326"/>
        <v>0</v>
      </c>
      <c r="AR192" s="226">
        <f t="shared" si="326"/>
        <v>0</v>
      </c>
      <c r="AS192" s="226">
        <f t="shared" si="326"/>
        <v>0</v>
      </c>
      <c r="AT192" s="226">
        <f t="shared" si="327"/>
        <v>0</v>
      </c>
      <c r="AU192" s="226">
        <f t="shared" si="328"/>
        <v>0</v>
      </c>
      <c r="AV192" s="226">
        <f t="shared" si="329"/>
        <v>0</v>
      </c>
      <c r="AW192" s="226">
        <f t="shared" si="330"/>
        <v>0</v>
      </c>
      <c r="AX192" s="226">
        <f t="shared" si="331"/>
        <v>0</v>
      </c>
      <c r="AY192" s="226">
        <f t="shared" si="314"/>
        <v>-5487083</v>
      </c>
      <c r="AZ192" s="226">
        <f t="shared" si="315"/>
        <v>0</v>
      </c>
      <c r="BA192" s="231">
        <f t="shared" si="316"/>
        <v>0</v>
      </c>
      <c r="BB192" s="231">
        <f t="shared" si="323"/>
        <v>0</v>
      </c>
      <c r="BC192" s="228">
        <f t="shared" si="217"/>
        <v>-6000000</v>
      </c>
    </row>
    <row r="193" spans="1:55" outlineLevel="2" collapsed="1" x14ac:dyDescent="0.25">
      <c r="A193" s="222">
        <v>4</v>
      </c>
      <c r="B193" s="233">
        <f>EEFFun!B435</f>
        <v>2802</v>
      </c>
      <c r="C193" s="234" t="str">
        <f>EEFFun!C435</f>
        <v>Aportes para futura capitalización</v>
      </c>
      <c r="D193" s="235">
        <f>EEFFun!P435</f>
        <v>0</v>
      </c>
      <c r="E193" s="235">
        <f>EEFFun!Q435</f>
        <v>0</v>
      </c>
      <c r="F193" s="235">
        <f>EEFFun!R435</f>
        <v>0</v>
      </c>
      <c r="G193" s="235">
        <f>EEFFun!S435</f>
        <v>0</v>
      </c>
      <c r="H193" s="235">
        <f>EEFFun!T435</f>
        <v>0</v>
      </c>
      <c r="I193" s="235">
        <f>EEFFun!U435</f>
        <v>0</v>
      </c>
      <c r="J193" s="235">
        <f>EEFFun!V435</f>
        <v>0</v>
      </c>
      <c r="K193" s="235">
        <f>EEFFun!W435</f>
        <v>0</v>
      </c>
      <c r="L193" s="235">
        <f>EEFFun!X435</f>
        <v>0</v>
      </c>
      <c r="M193" s="235">
        <f>EEFFun!Y435</f>
        <v>0</v>
      </c>
      <c r="N193" s="235">
        <f>EEFFun!Z435</f>
        <v>0</v>
      </c>
      <c r="O193" s="235">
        <f>EEFFun!AA435</f>
        <v>0</v>
      </c>
      <c r="P193" s="235">
        <f>EEFFun!AB435</f>
        <v>0</v>
      </c>
      <c r="Q193" s="235">
        <f>EEFFun!AC435</f>
        <v>0</v>
      </c>
      <c r="R193" s="235">
        <f>EEFFun!AD435</f>
        <v>0</v>
      </c>
      <c r="S193" s="235">
        <f>EEFFun!AE435</f>
        <v>0</v>
      </c>
      <c r="T193" s="235">
        <f>EEFFun!AF435</f>
        <v>0</v>
      </c>
      <c r="U193" s="235">
        <f>EEFFun!AG435</f>
        <v>0</v>
      </c>
      <c r="V193" s="235">
        <f>EEFFun!AH435</f>
        <v>5487083</v>
      </c>
      <c r="W193" s="235">
        <f>EEFFun!AI435</f>
        <v>6000000</v>
      </c>
      <c r="X193" s="235">
        <f>EEFFun!AJ435</f>
        <v>0</v>
      </c>
      <c r="Y193" s="235">
        <f>EEFFun!AK435</f>
        <v>0</v>
      </c>
      <c r="Z193" s="235">
        <f>EEFFun!AL435</f>
        <v>0</v>
      </c>
      <c r="AA193" s="235">
        <f>EEFFun!AM435</f>
        <v>0</v>
      </c>
      <c r="AB193" s="235">
        <f>EEFFun!AN435</f>
        <v>0</v>
      </c>
      <c r="AC193" s="235">
        <f>EEFFun!AO435</f>
        <v>0</v>
      </c>
      <c r="AD193" s="235">
        <f>EEFFun!AP435</f>
        <v>0</v>
      </c>
      <c r="AE193" s="235">
        <f>EEFFun!AQ435</f>
        <v>0</v>
      </c>
      <c r="AF193" s="235">
        <f>EEFFun!AR435</f>
        <v>0</v>
      </c>
      <c r="AG193" s="235">
        <f>EEFFun!AS435</f>
        <v>0</v>
      </c>
      <c r="AH193" s="235">
        <f>EEFFun!AT435</f>
        <v>0</v>
      </c>
      <c r="AI193" s="235">
        <f>EEFFun!AU435</f>
        <v>0</v>
      </c>
      <c r="AJ193" s="235">
        <f>EEFFun!AV435</f>
        <v>0</v>
      </c>
      <c r="AK193" s="235">
        <f>EEFFun!AW435</f>
        <v>0</v>
      </c>
      <c r="AL193" s="235">
        <f>EEFFun!AX435</f>
        <v>0</v>
      </c>
      <c r="AM193" s="236">
        <f t="shared" ref="AM193:AS193" si="332">AM195</f>
        <v>0</v>
      </c>
      <c r="AN193" s="236">
        <f t="shared" si="332"/>
        <v>0</v>
      </c>
      <c r="AO193" s="236">
        <f t="shared" si="332"/>
        <v>0</v>
      </c>
      <c r="AP193" s="236">
        <f t="shared" si="332"/>
        <v>0</v>
      </c>
      <c r="AQ193" s="236">
        <f t="shared" si="332"/>
        <v>0</v>
      </c>
      <c r="AR193" s="236">
        <f t="shared" si="332"/>
        <v>0</v>
      </c>
      <c r="AS193" s="236">
        <f t="shared" si="332"/>
        <v>0</v>
      </c>
      <c r="AT193" s="236">
        <f>AT195</f>
        <v>0</v>
      </c>
      <c r="AU193" s="236">
        <f>AU195</f>
        <v>0</v>
      </c>
      <c r="AV193" s="236">
        <f>AV195</f>
        <v>0</v>
      </c>
      <c r="AW193" s="236">
        <f>AW195</f>
        <v>0</v>
      </c>
      <c r="AX193" s="236">
        <f>AX195</f>
        <v>0</v>
      </c>
      <c r="AY193" s="236">
        <f t="shared" si="314"/>
        <v>-5487083</v>
      </c>
      <c r="AZ193" s="236">
        <f t="shared" si="315"/>
        <v>0</v>
      </c>
      <c r="BA193" s="232">
        <f t="shared" si="316"/>
        <v>0</v>
      </c>
      <c r="BB193" s="232">
        <f t="shared" si="323"/>
        <v>0</v>
      </c>
      <c r="BC193" s="228">
        <f t="shared" si="217"/>
        <v>-6000000</v>
      </c>
    </row>
    <row r="194" spans="1:55" outlineLevel="2" collapsed="1" x14ac:dyDescent="0.25">
      <c r="A194" s="222">
        <v>6</v>
      </c>
      <c r="B194" s="233">
        <f>EEFFun!B436</f>
        <v>280205</v>
      </c>
      <c r="C194" s="234" t="str">
        <f>EEFFun!C436</f>
        <v>APORTE ACCIONISTAS</v>
      </c>
      <c r="D194" s="235">
        <f>EEFFun!P436</f>
        <v>0</v>
      </c>
      <c r="E194" s="235">
        <f>EEFFun!Q436</f>
        <v>0</v>
      </c>
      <c r="F194" s="235">
        <f>EEFFun!R436</f>
        <v>0</v>
      </c>
      <c r="G194" s="235">
        <f>EEFFun!S436</f>
        <v>0</v>
      </c>
      <c r="H194" s="235">
        <f>EEFFun!T436</f>
        <v>0</v>
      </c>
      <c r="I194" s="235">
        <f>EEFFun!U436</f>
        <v>0</v>
      </c>
      <c r="J194" s="235">
        <f>EEFFun!V436</f>
        <v>0</v>
      </c>
      <c r="K194" s="235">
        <f>EEFFun!W436</f>
        <v>0</v>
      </c>
      <c r="L194" s="235">
        <f>EEFFun!X436</f>
        <v>0</v>
      </c>
      <c r="M194" s="235">
        <f>EEFFun!Y436</f>
        <v>0</v>
      </c>
      <c r="N194" s="235">
        <f>EEFFun!Z436</f>
        <v>0</v>
      </c>
      <c r="O194" s="235">
        <f>EEFFun!AA436</f>
        <v>0</v>
      </c>
      <c r="P194" s="235">
        <f>EEFFun!AB436</f>
        <v>0</v>
      </c>
      <c r="Q194" s="235">
        <f>EEFFun!AC436</f>
        <v>0</v>
      </c>
      <c r="R194" s="235">
        <f>EEFFun!AD436</f>
        <v>0</v>
      </c>
      <c r="S194" s="235">
        <f>EEFFun!AE436</f>
        <v>0</v>
      </c>
      <c r="T194" s="235">
        <f>EEFFun!AF436</f>
        <v>0</v>
      </c>
      <c r="U194" s="235">
        <f>EEFFun!AG436</f>
        <v>0</v>
      </c>
      <c r="V194" s="235">
        <f>EEFFun!AH436</f>
        <v>0</v>
      </c>
      <c r="W194" s="235">
        <f>EEFFun!AI436</f>
        <v>6000000</v>
      </c>
      <c r="X194" s="235">
        <f>EEFFun!AJ436</f>
        <v>0</v>
      </c>
      <c r="Y194" s="235">
        <f>EEFFun!AK436</f>
        <v>0</v>
      </c>
      <c r="Z194" s="235">
        <f>EEFFun!AL436</f>
        <v>0</v>
      </c>
      <c r="AA194" s="235">
        <f>EEFFun!AM436</f>
        <v>0</v>
      </c>
      <c r="AB194" s="235">
        <f>EEFFun!AN436</f>
        <v>0</v>
      </c>
      <c r="AC194" s="235">
        <f>EEFFun!AO436</f>
        <v>0</v>
      </c>
      <c r="AD194" s="235">
        <f>EEFFun!AP436</f>
        <v>0</v>
      </c>
      <c r="AE194" s="235">
        <f>EEFFun!AQ436</f>
        <v>0</v>
      </c>
      <c r="AF194" s="235">
        <f>EEFFun!AR436</f>
        <v>0</v>
      </c>
      <c r="AG194" s="235">
        <f>EEFFun!AS436</f>
        <v>0</v>
      </c>
      <c r="AH194" s="235">
        <f>EEFFun!AT436</f>
        <v>0</v>
      </c>
      <c r="AI194" s="235">
        <f>EEFFun!AU436</f>
        <v>0</v>
      </c>
      <c r="AJ194" s="235">
        <f>EEFFun!AV436</f>
        <v>0</v>
      </c>
      <c r="AK194" s="235">
        <f>EEFFun!AW436</f>
        <v>0</v>
      </c>
      <c r="AL194" s="235">
        <f>EEFFun!AX436</f>
        <v>0</v>
      </c>
      <c r="AM194" s="237">
        <v>0</v>
      </c>
      <c r="AN194" s="237">
        <v>0</v>
      </c>
      <c r="AO194" s="237">
        <v>0</v>
      </c>
      <c r="AP194" s="237">
        <v>0</v>
      </c>
      <c r="AQ194" s="237">
        <v>0</v>
      </c>
      <c r="AR194" s="237">
        <v>0</v>
      </c>
      <c r="AS194" s="237">
        <v>0</v>
      </c>
      <c r="AT194" s="237">
        <v>0</v>
      </c>
      <c r="AU194" s="237">
        <v>0</v>
      </c>
      <c r="AV194" s="237">
        <v>0</v>
      </c>
      <c r="AW194" s="237">
        <v>0</v>
      </c>
      <c r="AX194" s="237">
        <v>0</v>
      </c>
      <c r="AY194" s="236">
        <f t="shared" si="314"/>
        <v>0</v>
      </c>
      <c r="AZ194" s="236">
        <f t="shared" si="315"/>
        <v>0</v>
      </c>
      <c r="BA194" s="232">
        <f t="shared" si="316"/>
        <v>0</v>
      </c>
      <c r="BB194" s="232">
        <f t="shared" ref="BB194" si="333">AX194/$AX$152</f>
        <v>0</v>
      </c>
      <c r="BC194" s="228">
        <f t="shared" si="217"/>
        <v>-6000000</v>
      </c>
    </row>
    <row r="195" spans="1:55" outlineLevel="2" collapsed="1" x14ac:dyDescent="0.25">
      <c r="A195" s="222">
        <v>6</v>
      </c>
      <c r="B195" s="233">
        <f>EEFFun!B437</f>
        <v>280210</v>
      </c>
      <c r="C195" s="234" t="str">
        <f>EEFFun!C437</f>
        <v>APORTE SUSCRIPCION DE ACCIONES</v>
      </c>
      <c r="D195" s="235">
        <f>EEFFun!P437</f>
        <v>0</v>
      </c>
      <c r="E195" s="235">
        <f>EEFFun!Q437</f>
        <v>0</v>
      </c>
      <c r="F195" s="235">
        <f>EEFFun!R437</f>
        <v>0</v>
      </c>
      <c r="G195" s="235">
        <f>EEFFun!S437</f>
        <v>0</v>
      </c>
      <c r="H195" s="235">
        <f>EEFFun!T437</f>
        <v>0</v>
      </c>
      <c r="I195" s="235">
        <f>EEFFun!U437</f>
        <v>0</v>
      </c>
      <c r="J195" s="235">
        <f>EEFFun!V437</f>
        <v>0</v>
      </c>
      <c r="K195" s="235">
        <f>EEFFun!W437</f>
        <v>0</v>
      </c>
      <c r="L195" s="235">
        <f>EEFFun!X437</f>
        <v>0</v>
      </c>
      <c r="M195" s="235">
        <f>EEFFun!Y437</f>
        <v>0</v>
      </c>
      <c r="N195" s="235">
        <f>EEFFun!Z437</f>
        <v>0</v>
      </c>
      <c r="O195" s="235">
        <f>EEFFun!AA437</f>
        <v>0</v>
      </c>
      <c r="P195" s="235">
        <f>EEFFun!AB437</f>
        <v>0</v>
      </c>
      <c r="Q195" s="235">
        <f>EEFFun!AC437</f>
        <v>0</v>
      </c>
      <c r="R195" s="235">
        <f>EEFFun!AD437</f>
        <v>0</v>
      </c>
      <c r="S195" s="235">
        <f>EEFFun!AE437</f>
        <v>0</v>
      </c>
      <c r="T195" s="235">
        <f>EEFFun!AF437</f>
        <v>0</v>
      </c>
      <c r="U195" s="235">
        <f>EEFFun!AG437</f>
        <v>0</v>
      </c>
      <c r="V195" s="235">
        <f>EEFFun!AH437</f>
        <v>5487083</v>
      </c>
      <c r="W195" s="235">
        <f>EEFFun!AI437</f>
        <v>0</v>
      </c>
      <c r="X195" s="235">
        <f>EEFFun!AJ437</f>
        <v>0</v>
      </c>
      <c r="Y195" s="235">
        <f>EEFFun!AK437</f>
        <v>0</v>
      </c>
      <c r="Z195" s="235">
        <f>EEFFun!AL437</f>
        <v>0</v>
      </c>
      <c r="AA195" s="235">
        <f>EEFFun!AM437</f>
        <v>0</v>
      </c>
      <c r="AB195" s="235">
        <f>EEFFun!AN437</f>
        <v>0</v>
      </c>
      <c r="AC195" s="235">
        <f>EEFFun!AO437</f>
        <v>0</v>
      </c>
      <c r="AD195" s="235">
        <f>EEFFun!AP437</f>
        <v>0</v>
      </c>
      <c r="AE195" s="235">
        <f>EEFFun!AQ437</f>
        <v>0</v>
      </c>
      <c r="AF195" s="235">
        <f>EEFFun!AR437</f>
        <v>0</v>
      </c>
      <c r="AG195" s="235">
        <f>EEFFun!AS437</f>
        <v>0</v>
      </c>
      <c r="AH195" s="235">
        <f>EEFFun!AT437</f>
        <v>0</v>
      </c>
      <c r="AI195" s="235">
        <f>EEFFun!AU437</f>
        <v>0</v>
      </c>
      <c r="AJ195" s="235">
        <f>EEFFun!AV437</f>
        <v>0</v>
      </c>
      <c r="AK195" s="235">
        <f>EEFFun!AW437</f>
        <v>0</v>
      </c>
      <c r="AL195" s="235">
        <f>EEFFun!AX437</f>
        <v>0</v>
      </c>
      <c r="AM195" s="237">
        <v>0</v>
      </c>
      <c r="AN195" s="237">
        <v>0</v>
      </c>
      <c r="AO195" s="237">
        <v>0</v>
      </c>
      <c r="AP195" s="237">
        <v>0</v>
      </c>
      <c r="AQ195" s="237">
        <v>0</v>
      </c>
      <c r="AR195" s="237">
        <v>0</v>
      </c>
      <c r="AS195" s="237">
        <v>0</v>
      </c>
      <c r="AT195" s="237">
        <v>0</v>
      </c>
      <c r="AU195" s="237">
        <v>0</v>
      </c>
      <c r="AV195" s="237">
        <v>0</v>
      </c>
      <c r="AW195" s="237">
        <v>0</v>
      </c>
      <c r="AX195" s="237">
        <v>0</v>
      </c>
      <c r="AY195" s="236">
        <f t="shared" si="314"/>
        <v>-5487083</v>
      </c>
      <c r="AZ195" s="236">
        <f t="shared" si="315"/>
        <v>0</v>
      </c>
      <c r="BA195" s="232">
        <f t="shared" si="316"/>
        <v>0</v>
      </c>
      <c r="BB195" s="232">
        <f t="shared" si="323"/>
        <v>0</v>
      </c>
      <c r="BC195" s="228">
        <f t="shared" si="217"/>
        <v>0</v>
      </c>
    </row>
    <row r="196" spans="1:55" s="229" customFormat="1" outlineLevel="1" x14ac:dyDescent="0.25">
      <c r="A196" s="222">
        <v>2</v>
      </c>
      <c r="B196" s="230">
        <f>EEFFun!B438</f>
        <v>29</v>
      </c>
      <c r="C196" s="230" t="str">
        <f>EEFFun!C438</f>
        <v>OTROS PASIVOS</v>
      </c>
      <c r="D196" s="225">
        <f>EEFFun!P438</f>
        <v>801393.66</v>
      </c>
      <c r="E196" s="225">
        <f>EEFFun!Q438</f>
        <v>742806.48</v>
      </c>
      <c r="F196" s="225">
        <f>EEFFun!R438</f>
        <v>1212930.08</v>
      </c>
      <c r="G196" s="225">
        <f>EEFFun!S438</f>
        <v>1185794.23</v>
      </c>
      <c r="H196" s="225">
        <f>EEFFun!T438</f>
        <v>705786.3</v>
      </c>
      <c r="I196" s="225">
        <f>EEFFun!U438</f>
        <v>673248.43</v>
      </c>
      <c r="J196" s="225">
        <f>EEFFun!V438</f>
        <v>635154.99</v>
      </c>
      <c r="K196" s="225">
        <f>EEFFun!W438</f>
        <v>608093.42000000004</v>
      </c>
      <c r="L196" s="225">
        <f>EEFFun!X438</f>
        <v>627379.48</v>
      </c>
      <c r="M196" s="225">
        <f>EEFFun!Y438</f>
        <v>767287.91</v>
      </c>
      <c r="N196" s="225">
        <f>EEFFun!Z438</f>
        <v>723623.04</v>
      </c>
      <c r="O196" s="225">
        <f>EEFFun!AA438</f>
        <v>884730.04</v>
      </c>
      <c r="P196" s="225">
        <f>EEFFun!AB438</f>
        <v>656325.63</v>
      </c>
      <c r="Q196" s="225">
        <f>EEFFun!AC438</f>
        <v>895295.21</v>
      </c>
      <c r="R196" s="225">
        <f>EEFFun!AD438</f>
        <v>737873.42</v>
      </c>
      <c r="S196" s="225">
        <f>EEFFun!AE438</f>
        <v>681439.57</v>
      </c>
      <c r="T196" s="225">
        <f>EEFFun!AF438</f>
        <v>675841.76</v>
      </c>
      <c r="U196" s="225">
        <f>EEFFun!AG438</f>
        <v>619602.05000000005</v>
      </c>
      <c r="V196" s="225">
        <f>EEFFun!AH438</f>
        <v>584442.19999999995</v>
      </c>
      <c r="W196" s="225">
        <f>EEFFun!AI438</f>
        <v>635318.51</v>
      </c>
      <c r="X196" s="225">
        <f>EEFFun!AJ438</f>
        <v>603374.18999999994</v>
      </c>
      <c r="Y196" s="225">
        <f>EEFFun!AK438</f>
        <v>1224013.76</v>
      </c>
      <c r="Z196" s="225">
        <f>EEFFun!AL438</f>
        <v>1207141.47</v>
      </c>
      <c r="AA196" s="225">
        <f>EEFFun!AM438</f>
        <v>1330421.3899999999</v>
      </c>
      <c r="AB196" s="225">
        <f>EEFFun!AN438</f>
        <v>1322624.83</v>
      </c>
      <c r="AC196" s="225">
        <f>EEFFun!AO438</f>
        <v>1283988.6100000001</v>
      </c>
      <c r="AD196" s="225">
        <f>EEFFun!AP438</f>
        <v>1116851.1200000001</v>
      </c>
      <c r="AE196" s="225">
        <f>EEFFun!AQ438</f>
        <v>1106275.18</v>
      </c>
      <c r="AF196" s="225">
        <f>EEFFun!AR438</f>
        <v>1053732.78</v>
      </c>
      <c r="AG196" s="225">
        <f>EEFFun!AS438</f>
        <v>1112135.02</v>
      </c>
      <c r="AH196" s="225">
        <f>EEFFun!AT438</f>
        <v>728321.1</v>
      </c>
      <c r="AI196" s="225">
        <f>EEFFun!AU438</f>
        <v>825038.08</v>
      </c>
      <c r="AJ196" s="225">
        <f>EEFFun!AV438</f>
        <v>654001.05000000005</v>
      </c>
      <c r="AK196" s="225">
        <f>EEFFun!AW438</f>
        <v>504685.84</v>
      </c>
      <c r="AL196" s="225">
        <f>EEFFun!AX438</f>
        <v>539320.31000000006</v>
      </c>
      <c r="AM196" s="226">
        <f t="shared" ref="AM196:AS196" si="334">AM197+AM204</f>
        <v>362159.15949999995</v>
      </c>
      <c r="AN196" s="226">
        <f t="shared" si="334"/>
        <v>556606.41545900004</v>
      </c>
      <c r="AO196" s="226">
        <f t="shared" si="334"/>
        <v>606418.05217659008</v>
      </c>
      <c r="AP196" s="226">
        <f t="shared" si="334"/>
        <v>611983.58866035589</v>
      </c>
      <c r="AQ196" s="226">
        <f t="shared" si="334"/>
        <v>568781.09374395944</v>
      </c>
      <c r="AR196" s="226">
        <f t="shared" si="334"/>
        <v>673710.44560539909</v>
      </c>
      <c r="AS196" s="226">
        <f t="shared" si="334"/>
        <v>701985.22998545307</v>
      </c>
      <c r="AT196" s="226">
        <f t="shared" ref="AT196" si="335">AT197+AT204</f>
        <v>717220.53800630756</v>
      </c>
      <c r="AU196" s="226">
        <f t="shared" ref="AU196" si="336">AU197+AU204</f>
        <v>664900.9409903707</v>
      </c>
      <c r="AV196" s="226">
        <f t="shared" ref="AV196" si="337">AV197+AV204</f>
        <v>690531.99327927432</v>
      </c>
      <c r="AW196" s="226">
        <f t="shared" ref="AW196" si="338">AW197+AW204</f>
        <v>652769.67985306703</v>
      </c>
      <c r="AX196" s="226">
        <f t="shared" ref="AX196" si="339">AX197+AX204</f>
        <v>658240.99214959773</v>
      </c>
      <c r="AY196" s="226">
        <f t="shared" si="314"/>
        <v>73798.792149597779</v>
      </c>
      <c r="AZ196" s="226">
        <f t="shared" si="315"/>
        <v>1915.3621495977277</v>
      </c>
      <c r="BA196" s="231">
        <f t="shared" si="316"/>
        <v>2.0279962649679413E-2</v>
      </c>
      <c r="BB196" s="231">
        <f t="shared" si="323"/>
        <v>4.6915085144081025E-3</v>
      </c>
      <c r="BC196" s="228">
        <f t="shared" si="217"/>
        <v>81902.028006307548</v>
      </c>
    </row>
    <row r="197" spans="1:55" outlineLevel="2" collapsed="1" x14ac:dyDescent="0.25">
      <c r="A197" s="222">
        <v>4</v>
      </c>
      <c r="B197" s="234">
        <f>EEFFun!B439</f>
        <v>2901</v>
      </c>
      <c r="C197" s="234" t="str">
        <f>EEFFun!C439</f>
        <v>Ingresos recibidos por anticipado</v>
      </c>
      <c r="D197" s="235">
        <f>EEFFun!P439</f>
        <v>457076.38</v>
      </c>
      <c r="E197" s="235">
        <f>EEFFun!Q439</f>
        <v>476934.39</v>
      </c>
      <c r="F197" s="235">
        <f>EEFFun!R439</f>
        <v>479276.73</v>
      </c>
      <c r="G197" s="235">
        <f>EEFFun!S439</f>
        <v>461410.78</v>
      </c>
      <c r="H197" s="235">
        <f>EEFFun!T439</f>
        <v>400381.76</v>
      </c>
      <c r="I197" s="235">
        <f>EEFFun!U439</f>
        <v>424222.16</v>
      </c>
      <c r="J197" s="235">
        <f>EEFFun!V439</f>
        <v>390947.3</v>
      </c>
      <c r="K197" s="235">
        <f>EEFFun!W439</f>
        <v>393649.95</v>
      </c>
      <c r="L197" s="235">
        <f>EEFFun!X439</f>
        <v>411648.24</v>
      </c>
      <c r="M197" s="235">
        <f>EEFFun!Y439</f>
        <v>470008.47</v>
      </c>
      <c r="N197" s="235">
        <f>EEFFun!Z439</f>
        <v>424918.33</v>
      </c>
      <c r="O197" s="235">
        <f>EEFFun!AA439</f>
        <v>451017.17</v>
      </c>
      <c r="P197" s="235">
        <f>EEFFun!AB439</f>
        <v>438739.4</v>
      </c>
      <c r="Q197" s="235">
        <f>EEFFun!AC439</f>
        <v>461254.53</v>
      </c>
      <c r="R197" s="235">
        <f>EEFFun!AD439</f>
        <v>409693.07</v>
      </c>
      <c r="S197" s="235">
        <f>EEFFun!AE439</f>
        <v>402286.37</v>
      </c>
      <c r="T197" s="235">
        <f>EEFFun!AF439</f>
        <v>407297.64</v>
      </c>
      <c r="U197" s="235">
        <f>EEFFun!AG439</f>
        <v>390264.15</v>
      </c>
      <c r="V197" s="235">
        <f>EEFFun!AH439</f>
        <v>362533.14</v>
      </c>
      <c r="W197" s="235">
        <f>EEFFun!AI439</f>
        <v>401173.84</v>
      </c>
      <c r="X197" s="235">
        <f>EEFFun!AJ439</f>
        <v>395074.36</v>
      </c>
      <c r="Y197" s="235">
        <f>EEFFun!AK439</f>
        <v>934419.02</v>
      </c>
      <c r="Z197" s="235">
        <f>EEFFun!AL439</f>
        <v>931933.85</v>
      </c>
      <c r="AA197" s="235">
        <f>EEFFun!AM439</f>
        <v>970302.83</v>
      </c>
      <c r="AB197" s="235">
        <f>EEFFun!AN439</f>
        <v>973763.2</v>
      </c>
      <c r="AC197" s="235">
        <f>EEFFun!AO439</f>
        <v>1027588.66</v>
      </c>
      <c r="AD197" s="235">
        <f>EEFFun!AP439</f>
        <v>864824.54</v>
      </c>
      <c r="AE197" s="235">
        <f>EEFFun!AQ439</f>
        <v>794284.73</v>
      </c>
      <c r="AF197" s="235">
        <f>EEFFun!AR439</f>
        <v>730259.23</v>
      </c>
      <c r="AG197" s="235">
        <f>EEFFun!AS439</f>
        <v>842820.61</v>
      </c>
      <c r="AH197" s="235">
        <f>EEFFun!AT439</f>
        <v>366359.54</v>
      </c>
      <c r="AI197" s="235">
        <f>EEFFun!AU439</f>
        <v>451830.82</v>
      </c>
      <c r="AJ197" s="235">
        <f>EEFFun!AV439</f>
        <v>280391.76</v>
      </c>
      <c r="AK197" s="235">
        <f>EEFFun!AW439</f>
        <v>187194.59</v>
      </c>
      <c r="AL197" s="235">
        <f>EEFFun!AX439</f>
        <v>224376.75</v>
      </c>
      <c r="AM197" s="236">
        <f t="shared" ref="AM197:AS197" si="340">AM198</f>
        <v>105192.52010000001</v>
      </c>
      <c r="AN197" s="236">
        <f t="shared" si="340"/>
        <v>316445.08616499999</v>
      </c>
      <c r="AO197" s="236">
        <f t="shared" si="340"/>
        <v>324194.89288965001</v>
      </c>
      <c r="AP197" s="236">
        <f t="shared" si="340"/>
        <v>332965.59818054654</v>
      </c>
      <c r="AQ197" s="236">
        <f t="shared" si="340"/>
        <v>316204.77825935197</v>
      </c>
      <c r="AR197" s="236">
        <f t="shared" si="340"/>
        <v>314306.59716594551</v>
      </c>
      <c r="AS197" s="236">
        <f t="shared" si="340"/>
        <v>338361.65496160497</v>
      </c>
      <c r="AT197" s="236">
        <f t="shared" ref="AT197" si="341">AT198</f>
        <v>337870.09553222102</v>
      </c>
      <c r="AU197" s="236">
        <f t="shared" ref="AU197" si="342">AU198</f>
        <v>345108.46139154321</v>
      </c>
      <c r="AV197" s="236">
        <f t="shared" ref="AV197" si="343">AV198</f>
        <v>359936.44648445863</v>
      </c>
      <c r="AW197" s="236">
        <f t="shared" ref="AW197" si="344">AW198</f>
        <v>381094.53379030322</v>
      </c>
      <c r="AX197" s="236">
        <f t="shared" ref="AX197" si="345">AX198</f>
        <v>402113.07112620631</v>
      </c>
      <c r="AY197" s="236">
        <f t="shared" si="314"/>
        <v>39579.931126206298</v>
      </c>
      <c r="AZ197" s="236">
        <f t="shared" si="315"/>
        <v>-36626.328873793711</v>
      </c>
      <c r="BA197" s="232">
        <f t="shared" si="316"/>
        <v>1.3556713677237861E-2</v>
      </c>
      <c r="BB197" s="232">
        <f t="shared" si="323"/>
        <v>2.8659972858612868E-3</v>
      </c>
      <c r="BC197" s="228">
        <f t="shared" ref="BC197:BC231" si="346">AT197-W197</f>
        <v>-63303.744467779004</v>
      </c>
    </row>
    <row r="198" spans="1:55" outlineLevel="2" collapsed="1" x14ac:dyDescent="0.25">
      <c r="A198" s="222">
        <v>6</v>
      </c>
      <c r="B198" s="234">
        <f>EEFFun!B440</f>
        <v>290190</v>
      </c>
      <c r="C198" s="234" t="str">
        <f>EEFFun!C440</f>
        <v>Otros</v>
      </c>
      <c r="D198" s="235">
        <f>EEFFun!P440</f>
        <v>457076.38</v>
      </c>
      <c r="E198" s="235">
        <f>EEFFun!Q440</f>
        <v>476934.39</v>
      </c>
      <c r="F198" s="235">
        <f>EEFFun!R440</f>
        <v>479276.73</v>
      </c>
      <c r="G198" s="235">
        <f>EEFFun!S440</f>
        <v>461410.78</v>
      </c>
      <c r="H198" s="235">
        <f>EEFFun!T440</f>
        <v>400381.76</v>
      </c>
      <c r="I198" s="235">
        <f>EEFFun!U440</f>
        <v>424222.16</v>
      </c>
      <c r="J198" s="235">
        <f>EEFFun!V440</f>
        <v>390947.3</v>
      </c>
      <c r="K198" s="235">
        <f>EEFFun!W440</f>
        <v>393649.95</v>
      </c>
      <c r="L198" s="235">
        <f>EEFFun!X440</f>
        <v>411648.24</v>
      </c>
      <c r="M198" s="235">
        <f>EEFFun!Y440</f>
        <v>470008.47</v>
      </c>
      <c r="N198" s="235">
        <f>EEFFun!Z440</f>
        <v>424918.33</v>
      </c>
      <c r="O198" s="235">
        <f>EEFFun!AA440</f>
        <v>451017.17</v>
      </c>
      <c r="P198" s="235">
        <f>EEFFun!AB440</f>
        <v>438739.4</v>
      </c>
      <c r="Q198" s="235">
        <f>EEFFun!AC440</f>
        <v>461254.53</v>
      </c>
      <c r="R198" s="235">
        <f>EEFFun!AD440</f>
        <v>409693.07</v>
      </c>
      <c r="S198" s="235">
        <f>EEFFun!AE440</f>
        <v>402286.37</v>
      </c>
      <c r="T198" s="235">
        <f>EEFFun!AF440</f>
        <v>407297.64</v>
      </c>
      <c r="U198" s="235">
        <f>EEFFun!AG440</f>
        <v>390264.15</v>
      </c>
      <c r="V198" s="235">
        <f>EEFFun!AH440</f>
        <v>362533.14</v>
      </c>
      <c r="W198" s="235">
        <f>EEFFun!AI440</f>
        <v>401173.84</v>
      </c>
      <c r="X198" s="235">
        <f>EEFFun!AJ440</f>
        <v>395074.36</v>
      </c>
      <c r="Y198" s="235">
        <f>EEFFun!AK440</f>
        <v>402670.64</v>
      </c>
      <c r="Z198" s="235">
        <f>EEFFun!AL440</f>
        <v>400185.47</v>
      </c>
      <c r="AA198" s="235">
        <f>EEFFun!AM440</f>
        <v>438554.45</v>
      </c>
      <c r="AB198" s="235">
        <f>EEFFun!AN440</f>
        <v>442014.82</v>
      </c>
      <c r="AC198" s="235">
        <f>EEFFun!AO440</f>
        <v>501212.8</v>
      </c>
      <c r="AD198" s="235">
        <f>EEFFun!AP440</f>
        <v>338448.68</v>
      </c>
      <c r="AE198" s="235">
        <f>EEFFun!AQ440</f>
        <v>267908.87</v>
      </c>
      <c r="AF198" s="235">
        <f>EEFFun!AR440</f>
        <v>203883.37</v>
      </c>
      <c r="AG198" s="235">
        <f>EEFFun!AS440</f>
        <v>316444.75</v>
      </c>
      <c r="AH198" s="235">
        <f>EEFFun!AT440</f>
        <v>259983.68</v>
      </c>
      <c r="AI198" s="235">
        <f>EEFFun!AU440</f>
        <v>345454.96</v>
      </c>
      <c r="AJ198" s="235">
        <f>EEFFun!AV440</f>
        <v>174015.9</v>
      </c>
      <c r="AK198" s="235">
        <f>EEFFun!AW440</f>
        <v>80818.73</v>
      </c>
      <c r="AL198" s="235">
        <f>EEFFun!AX440</f>
        <v>104151.01</v>
      </c>
      <c r="AM198" s="236">
        <f t="shared" ref="AM198:AS198" si="347">SUM(AM199:AM203)</f>
        <v>105192.52010000001</v>
      </c>
      <c r="AN198" s="236">
        <f t="shared" si="347"/>
        <v>316445.08616499999</v>
      </c>
      <c r="AO198" s="236">
        <f t="shared" si="347"/>
        <v>324194.89288965001</v>
      </c>
      <c r="AP198" s="236">
        <f t="shared" si="347"/>
        <v>332965.59818054654</v>
      </c>
      <c r="AQ198" s="236">
        <f t="shared" si="347"/>
        <v>316204.77825935197</v>
      </c>
      <c r="AR198" s="236">
        <f t="shared" si="347"/>
        <v>314306.59716594551</v>
      </c>
      <c r="AS198" s="236">
        <f t="shared" si="347"/>
        <v>338361.65496160497</v>
      </c>
      <c r="AT198" s="236">
        <f t="shared" ref="AT198" si="348">SUM(AT199:AT203)</f>
        <v>337870.09553222102</v>
      </c>
      <c r="AU198" s="236">
        <f t="shared" ref="AU198" si="349">SUM(AU199:AU203)</f>
        <v>345108.46139154321</v>
      </c>
      <c r="AV198" s="236">
        <f t="shared" ref="AV198" si="350">SUM(AV199:AV203)</f>
        <v>359936.44648445863</v>
      </c>
      <c r="AW198" s="236">
        <f t="shared" ref="AW198" si="351">SUM(AW199:AW203)</f>
        <v>381094.53379030322</v>
      </c>
      <c r="AX198" s="236">
        <f t="shared" ref="AX198" si="352">SUM(AX199:AX203)</f>
        <v>402113.07112620631</v>
      </c>
      <c r="AY198" s="236">
        <f t="shared" si="314"/>
        <v>39579.931126206298</v>
      </c>
      <c r="AZ198" s="236">
        <f t="shared" si="315"/>
        <v>-36626.328873793711</v>
      </c>
      <c r="BA198" s="232">
        <f t="shared" si="316"/>
        <v>1.3556713677237861E-2</v>
      </c>
      <c r="BB198" s="232">
        <f t="shared" si="323"/>
        <v>2.8659972858612868E-3</v>
      </c>
      <c r="BC198" s="228">
        <f t="shared" si="346"/>
        <v>-63303.744467779004</v>
      </c>
    </row>
    <row r="199" spans="1:55" outlineLevel="2" collapsed="1" x14ac:dyDescent="0.25">
      <c r="A199" s="222">
        <v>8</v>
      </c>
      <c r="B199" s="234">
        <f>EEFFun!B441</f>
        <v>29019005</v>
      </c>
      <c r="C199" s="234" t="str">
        <f>EEFFun!C441</f>
        <v>SEGUROS VEHICULO</v>
      </c>
      <c r="D199" s="235">
        <f>EEFFun!P441</f>
        <v>224331.2</v>
      </c>
      <c r="E199" s="235">
        <f>EEFFun!Q441</f>
        <v>238785.9</v>
      </c>
      <c r="F199" s="235">
        <f>EEFFun!R441</f>
        <v>237544.68</v>
      </c>
      <c r="G199" s="235">
        <f>EEFFun!S441</f>
        <v>208024.64</v>
      </c>
      <c r="H199" s="235">
        <f>EEFFun!T441</f>
        <v>130346.63</v>
      </c>
      <c r="I199" s="235">
        <f>EEFFun!U441</f>
        <v>141429.89000000001</v>
      </c>
      <c r="J199" s="235">
        <f>EEFFun!V441</f>
        <v>118442.97</v>
      </c>
      <c r="K199" s="235">
        <f>EEFFun!W441</f>
        <v>137231.97</v>
      </c>
      <c r="L199" s="235">
        <f>EEFFun!X441</f>
        <v>156076.44</v>
      </c>
      <c r="M199" s="235">
        <f>EEFFun!Y441</f>
        <v>175040.17</v>
      </c>
      <c r="N199" s="235">
        <f>EEFFun!Z441</f>
        <v>145561.25</v>
      </c>
      <c r="O199" s="235">
        <f>EEFFun!AA441</f>
        <v>146236.54999999999</v>
      </c>
      <c r="P199" s="235">
        <f>EEFFun!AB441</f>
        <v>112430.62</v>
      </c>
      <c r="Q199" s="235">
        <f>EEFFun!AC441</f>
        <v>128674.88</v>
      </c>
      <c r="R199" s="235">
        <f>EEFFun!AD441</f>
        <v>127887.7</v>
      </c>
      <c r="S199" s="235">
        <f>EEFFun!AE441</f>
        <v>113122.99</v>
      </c>
      <c r="T199" s="235">
        <f>EEFFun!AF441</f>
        <v>109768.61</v>
      </c>
      <c r="U199" s="235">
        <f>EEFFun!AG441</f>
        <v>109651.39</v>
      </c>
      <c r="V199" s="235">
        <f>EEFFun!AH441</f>
        <v>84124.38</v>
      </c>
      <c r="W199" s="235">
        <f>EEFFun!AI441</f>
        <v>99276.05</v>
      </c>
      <c r="X199" s="235">
        <f>EEFFun!AJ441</f>
        <v>93994.4</v>
      </c>
      <c r="Y199" s="235">
        <f>EEFFun!AK441</f>
        <v>94758.43</v>
      </c>
      <c r="Z199" s="235">
        <f>EEFFun!AL441</f>
        <v>77929.88</v>
      </c>
      <c r="AA199" s="235">
        <f>EEFFun!AM441</f>
        <v>95691.43</v>
      </c>
      <c r="AB199" s="235">
        <f>EEFFun!AN441</f>
        <v>78685.95</v>
      </c>
      <c r="AC199" s="235">
        <f>EEFFun!AO441</f>
        <v>101678.49</v>
      </c>
      <c r="AD199" s="235">
        <f>EEFFun!AP441</f>
        <v>17654.02</v>
      </c>
      <c r="AE199" s="235">
        <f>EEFFun!AQ441</f>
        <v>17538.310000000001</v>
      </c>
      <c r="AF199" s="235">
        <f>EEFFun!AR441</f>
        <v>2200.59</v>
      </c>
      <c r="AG199" s="235">
        <f>EEFFun!AS441</f>
        <v>43626.27</v>
      </c>
      <c r="AH199" s="235">
        <f>EEFFun!AT441</f>
        <v>23303.200000000001</v>
      </c>
      <c r="AI199" s="235">
        <f>EEFFun!AU441</f>
        <v>45483.34</v>
      </c>
      <c r="AJ199" s="235">
        <f>EEFFun!AV441</f>
        <v>18886.14</v>
      </c>
      <c r="AK199" s="235">
        <f>EEFFun!AW441</f>
        <v>0</v>
      </c>
      <c r="AL199" s="235">
        <f>EEFFun!AX441</f>
        <v>31194.65</v>
      </c>
      <c r="AM199" s="236">
        <f>AL199*1.01</f>
        <v>31506.596500000003</v>
      </c>
      <c r="AN199" s="236">
        <f t="shared" ref="AN199:AX199" si="353">AM199*1.01</f>
        <v>31821.662465000005</v>
      </c>
      <c r="AO199" s="236">
        <f t="shared" si="353"/>
        <v>32139.879089650007</v>
      </c>
      <c r="AP199" s="236">
        <f t="shared" si="353"/>
        <v>32461.277880546506</v>
      </c>
      <c r="AQ199" s="236">
        <f t="shared" si="353"/>
        <v>32785.890659351971</v>
      </c>
      <c r="AR199" s="236">
        <f t="shared" si="353"/>
        <v>33113.749565945494</v>
      </c>
      <c r="AS199" s="236">
        <f t="shared" si="353"/>
        <v>33444.887061604946</v>
      </c>
      <c r="AT199" s="236">
        <f t="shared" si="353"/>
        <v>33779.335932220994</v>
      </c>
      <c r="AU199" s="236">
        <f t="shared" si="353"/>
        <v>34117.129291543206</v>
      </c>
      <c r="AV199" s="236">
        <f t="shared" si="353"/>
        <v>34458.300584458637</v>
      </c>
      <c r="AW199" s="236">
        <f t="shared" si="353"/>
        <v>34802.883590303223</v>
      </c>
      <c r="AX199" s="236">
        <f t="shared" si="353"/>
        <v>35150.912426206254</v>
      </c>
      <c r="AY199" s="236">
        <f t="shared" si="314"/>
        <v>-48973.46757379375</v>
      </c>
      <c r="AZ199" s="236">
        <f t="shared" si="315"/>
        <v>-77279.707573793741</v>
      </c>
      <c r="BA199" s="232">
        <f t="shared" si="316"/>
        <v>3.4740206233913173E-3</v>
      </c>
      <c r="BB199" s="232">
        <f t="shared" si="323"/>
        <v>2.5053256619314449E-4</v>
      </c>
      <c r="BC199" s="228">
        <f t="shared" si="346"/>
        <v>-65496.714067779008</v>
      </c>
    </row>
    <row r="200" spans="1:55" outlineLevel="2" collapsed="1" x14ac:dyDescent="0.25">
      <c r="A200" s="222">
        <v>8</v>
      </c>
      <c r="B200" s="234">
        <f>EEFFun!B442</f>
        <v>29019010</v>
      </c>
      <c r="C200" s="234" t="str">
        <f>EEFFun!C442</f>
        <v>SEGUROS - DISPOSITIVOS</v>
      </c>
      <c r="D200" s="235">
        <f>EEFFun!P442</f>
        <v>156781.63</v>
      </c>
      <c r="E200" s="235">
        <f>EEFFun!Q442</f>
        <v>168784.03</v>
      </c>
      <c r="F200" s="235">
        <f>EEFFun!R442</f>
        <v>162478.13</v>
      </c>
      <c r="G200" s="235">
        <f>EEFFun!S442</f>
        <v>163907.4</v>
      </c>
      <c r="H200" s="235">
        <f>EEFFun!T442</f>
        <v>169385.63</v>
      </c>
      <c r="I200" s="235">
        <f>EEFFun!U442</f>
        <v>171795.37</v>
      </c>
      <c r="J200" s="235">
        <f>EEFFun!V442</f>
        <v>161470.47</v>
      </c>
      <c r="K200" s="235">
        <f>EEFFun!W442</f>
        <v>171695.51</v>
      </c>
      <c r="L200" s="235">
        <f>EEFFun!X442</f>
        <v>160935.4</v>
      </c>
      <c r="M200" s="235">
        <f>EEFFun!Y442</f>
        <v>189666.68</v>
      </c>
      <c r="N200" s="235">
        <f>EEFFun!Z442</f>
        <v>162797.38</v>
      </c>
      <c r="O200" s="235">
        <f>EEFFun!AA442</f>
        <v>166970.21</v>
      </c>
      <c r="P200" s="235">
        <f>EEFFun!AB442</f>
        <v>188310.73</v>
      </c>
      <c r="Q200" s="235">
        <f>EEFFun!AC442</f>
        <v>215892.73</v>
      </c>
      <c r="R200" s="235">
        <f>EEFFun!AD442</f>
        <v>141883.01</v>
      </c>
      <c r="S200" s="235">
        <f>EEFFun!AE442</f>
        <v>148136.66</v>
      </c>
      <c r="T200" s="235">
        <f>EEFFun!AF442</f>
        <v>149352.48000000001</v>
      </c>
      <c r="U200" s="235">
        <f>EEFFun!AG442</f>
        <v>159401.94</v>
      </c>
      <c r="V200" s="235">
        <f>EEFFun!AH442</f>
        <v>161968.09</v>
      </c>
      <c r="W200" s="235">
        <f>EEFFun!AI442</f>
        <v>164651.81</v>
      </c>
      <c r="X200" s="235">
        <f>EEFFun!AJ442</f>
        <v>158942.62</v>
      </c>
      <c r="Y200" s="235">
        <f>EEFFun!AK442</f>
        <v>156844.43</v>
      </c>
      <c r="Z200" s="235">
        <f>EEFFun!AL442</f>
        <v>174951.21</v>
      </c>
      <c r="AA200" s="235">
        <f>EEFFun!AM442</f>
        <v>173249.26</v>
      </c>
      <c r="AB200" s="235">
        <f>EEFFun!AN442</f>
        <v>197020.72</v>
      </c>
      <c r="AC200" s="235">
        <f>EEFFun!AO442</f>
        <v>206949.66</v>
      </c>
      <c r="AD200" s="235">
        <f>EEFFun!AP442</f>
        <v>228343.09</v>
      </c>
      <c r="AE200" s="235">
        <f>EEFFun!AQ442</f>
        <v>206639.05</v>
      </c>
      <c r="AF200" s="235">
        <f>EEFFun!AR442</f>
        <v>146561.46</v>
      </c>
      <c r="AG200" s="235">
        <f>EEFFun!AS442</f>
        <v>161158.96</v>
      </c>
      <c r="AH200" s="235">
        <f>EEFFun!AT442</f>
        <v>127334.65999999999</v>
      </c>
      <c r="AI200" s="235">
        <f>EEFFun!AU442</f>
        <v>147366.75</v>
      </c>
      <c r="AJ200" s="235">
        <f>EEFFun!AV442</f>
        <v>56147.4</v>
      </c>
      <c r="AK200" s="235">
        <f>EEFFun!AW442</f>
        <v>40596.080000000002</v>
      </c>
      <c r="AL200" s="235">
        <f>EEFFun!AX442</f>
        <v>12797.68</v>
      </c>
      <c r="AM200" s="236">
        <f>AL200*1.01</f>
        <v>12925.656800000001</v>
      </c>
      <c r="AN200" s="236">
        <f t="shared" ref="AN200:AX203" si="354">R200*1.01</f>
        <v>143301.8401</v>
      </c>
      <c r="AO200" s="236">
        <f t="shared" si="354"/>
        <v>149618.02660000001</v>
      </c>
      <c r="AP200" s="236">
        <f t="shared" si="354"/>
        <v>150846.00480000002</v>
      </c>
      <c r="AQ200" s="236">
        <f t="shared" si="354"/>
        <v>160995.95939999999</v>
      </c>
      <c r="AR200" s="236">
        <f t="shared" si="354"/>
        <v>163587.7709</v>
      </c>
      <c r="AS200" s="236">
        <f t="shared" si="354"/>
        <v>166298.32810000001</v>
      </c>
      <c r="AT200" s="236">
        <f t="shared" si="354"/>
        <v>160532.04619999998</v>
      </c>
      <c r="AU200" s="236">
        <f t="shared" si="354"/>
        <v>158412.8743</v>
      </c>
      <c r="AV200" s="236">
        <f t="shared" si="354"/>
        <v>176700.72209999998</v>
      </c>
      <c r="AW200" s="236">
        <f t="shared" si="354"/>
        <v>174981.75260000001</v>
      </c>
      <c r="AX200" s="236">
        <f t="shared" si="354"/>
        <v>198990.92720000001</v>
      </c>
      <c r="AY200" s="236">
        <f t="shared" si="314"/>
        <v>37022.837200000009</v>
      </c>
      <c r="AZ200" s="236">
        <f t="shared" si="315"/>
        <v>10680.197199999995</v>
      </c>
      <c r="BA200" s="232">
        <f t="shared" si="316"/>
        <v>5.8186582945631187E-3</v>
      </c>
      <c r="BB200" s="232">
        <f t="shared" si="323"/>
        <v>1.418276346175341E-3</v>
      </c>
      <c r="BC200" s="228">
        <f t="shared" si="346"/>
        <v>-4119.7638000000152</v>
      </c>
    </row>
    <row r="201" spans="1:55" outlineLevel="2" collapsed="1" x14ac:dyDescent="0.25">
      <c r="A201" s="222">
        <v>8</v>
      </c>
      <c r="B201" s="234">
        <f>EEFFun!B443</f>
        <v>29019015</v>
      </c>
      <c r="C201" s="234" t="str">
        <f>EEFFun!C443</f>
        <v>SEGUROS - DESGRAVAMEN VEHICULOS</v>
      </c>
      <c r="D201" s="235">
        <f>EEFFun!P443</f>
        <v>44904.36</v>
      </c>
      <c r="E201" s="235">
        <f>EEFFun!Q443</f>
        <v>39008.269999999997</v>
      </c>
      <c r="F201" s="235">
        <f>EEFFun!R443</f>
        <v>46219.69</v>
      </c>
      <c r="G201" s="235">
        <f>EEFFun!S443</f>
        <v>53688.01</v>
      </c>
      <c r="H201" s="235">
        <f>EEFFun!T443</f>
        <v>61203.72</v>
      </c>
      <c r="I201" s="235">
        <f>EEFFun!U443</f>
        <v>67673.210000000006</v>
      </c>
      <c r="J201" s="235">
        <f>EEFFun!V443</f>
        <v>67678.960000000006</v>
      </c>
      <c r="K201" s="235">
        <f>EEFFun!W443</f>
        <v>42268.52</v>
      </c>
      <c r="L201" s="235">
        <f>EEFFun!X443</f>
        <v>47560.45</v>
      </c>
      <c r="M201" s="235">
        <f>EEFFun!Y443</f>
        <v>53629.04</v>
      </c>
      <c r="N201" s="235">
        <f>EEFFun!Z443</f>
        <v>59704.32</v>
      </c>
      <c r="O201" s="235">
        <f>EEFFun!AA443</f>
        <v>70760.429999999993</v>
      </c>
      <c r="P201" s="235">
        <f>EEFFun!AB443</f>
        <v>70760.429999999993</v>
      </c>
      <c r="Q201" s="235">
        <f>EEFFun!AC443</f>
        <v>46760.86</v>
      </c>
      <c r="R201" s="235">
        <f>EEFFun!AD443</f>
        <v>57039.05</v>
      </c>
      <c r="S201" s="235">
        <f>EEFFun!AE443</f>
        <v>51086.19</v>
      </c>
      <c r="T201" s="235">
        <f>EEFFun!AF443</f>
        <v>51121.88</v>
      </c>
      <c r="U201" s="235">
        <f>EEFFun!AG443</f>
        <v>22046.080000000002</v>
      </c>
      <c r="V201" s="235">
        <f>EEFFun!AH443</f>
        <v>17608.13</v>
      </c>
      <c r="W201" s="235">
        <f>EEFFun!AI443</f>
        <v>24536.81</v>
      </c>
      <c r="X201" s="235">
        <f>EEFFun!AJ443</f>
        <v>23984.07</v>
      </c>
      <c r="Y201" s="235">
        <f>EEFFun!AK443</f>
        <v>26980.959999999999</v>
      </c>
      <c r="Z201" s="235">
        <f>EEFFun!AL443</f>
        <v>23766.89</v>
      </c>
      <c r="AA201" s="235">
        <f>EEFFun!AM443</f>
        <v>34370.269999999997</v>
      </c>
      <c r="AB201" s="235">
        <f>EEFFun!AN443</f>
        <v>31480.87</v>
      </c>
      <c r="AC201" s="235">
        <f>EEFFun!AO443</f>
        <v>45973.440000000002</v>
      </c>
      <c r="AD201" s="235">
        <f>EEFFun!AP443</f>
        <v>45973.440000000002</v>
      </c>
      <c r="AE201" s="235">
        <f>EEFFun!AQ443</f>
        <v>43417.94</v>
      </c>
      <c r="AF201" s="235">
        <f>EEFFun!AR443</f>
        <v>40951.17</v>
      </c>
      <c r="AG201" s="235">
        <f>EEFFun!AS443</f>
        <v>88748.800000000003</v>
      </c>
      <c r="AH201" s="235">
        <f>EEFFun!AT443</f>
        <v>86525.16</v>
      </c>
      <c r="AI201" s="235">
        <f>EEFFun!AU443</f>
        <v>118997.24</v>
      </c>
      <c r="AJ201" s="235">
        <f>EEFFun!AV443</f>
        <v>65374.73</v>
      </c>
      <c r="AK201" s="235">
        <f>EEFFun!AW443</f>
        <v>26658.31</v>
      </c>
      <c r="AL201" s="235">
        <f>EEFFun!AX443</f>
        <v>7399.3</v>
      </c>
      <c r="AM201" s="236">
        <f>AL201*1.01</f>
        <v>7473.2930000000006</v>
      </c>
      <c r="AN201" s="236">
        <f t="shared" si="354"/>
        <v>57609.440500000004</v>
      </c>
      <c r="AO201" s="236">
        <f t="shared" si="354"/>
        <v>51597.051900000006</v>
      </c>
      <c r="AP201" s="236">
        <f t="shared" si="354"/>
        <v>51633.0988</v>
      </c>
      <c r="AQ201" s="236">
        <f t="shared" si="354"/>
        <v>22266.540800000002</v>
      </c>
      <c r="AR201" s="236">
        <f t="shared" si="354"/>
        <v>17784.211300000003</v>
      </c>
      <c r="AS201" s="236">
        <f t="shared" si="354"/>
        <v>24782.178100000001</v>
      </c>
      <c r="AT201" s="236">
        <f t="shared" si="354"/>
        <v>24223.9107</v>
      </c>
      <c r="AU201" s="236">
        <f t="shared" si="354"/>
        <v>27250.7696</v>
      </c>
      <c r="AV201" s="236">
        <f t="shared" si="354"/>
        <v>24004.5589</v>
      </c>
      <c r="AW201" s="236">
        <f t="shared" si="354"/>
        <v>34713.972699999998</v>
      </c>
      <c r="AX201" s="236">
        <f t="shared" si="354"/>
        <v>31795.6787</v>
      </c>
      <c r="AY201" s="236">
        <f t="shared" si="314"/>
        <v>14187.548699999999</v>
      </c>
      <c r="AZ201" s="236">
        <f t="shared" si="315"/>
        <v>-38964.751299999989</v>
      </c>
      <c r="BA201" s="232">
        <f t="shared" si="316"/>
        <v>2.1864434541056309E-3</v>
      </c>
      <c r="BB201" s="232">
        <f t="shared" si="323"/>
        <v>2.2661866872692837E-4</v>
      </c>
      <c r="BC201" s="228">
        <f t="shared" si="346"/>
        <v>-312.89930000000095</v>
      </c>
    </row>
    <row r="202" spans="1:55" outlineLevel="2" collapsed="1" x14ac:dyDescent="0.25">
      <c r="A202" s="222">
        <v>8</v>
      </c>
      <c r="B202" s="234">
        <f>EEFFun!B444</f>
        <v>29019020</v>
      </c>
      <c r="C202" s="234" t="str">
        <f>EEFFun!C444</f>
        <v>SEGUROS - INCENDIOS</v>
      </c>
      <c r="D202" s="235">
        <f>EEFFun!P444</f>
        <v>10262.77</v>
      </c>
      <c r="E202" s="235">
        <f>EEFFun!Q444</f>
        <v>10476.85</v>
      </c>
      <c r="F202" s="235">
        <f>EEFFun!R444</f>
        <v>10637.39</v>
      </c>
      <c r="G202" s="235">
        <f>EEFFun!S444</f>
        <v>10790.95</v>
      </c>
      <c r="H202" s="235">
        <f>EEFFun!T444</f>
        <v>11059.73</v>
      </c>
      <c r="I202" s="235">
        <f>EEFFun!U444</f>
        <v>11206.31</v>
      </c>
      <c r="J202" s="235">
        <f>EEFFun!V444</f>
        <v>11206.31</v>
      </c>
      <c r="K202" s="235">
        <f>EEFFun!W444</f>
        <v>11352.89</v>
      </c>
      <c r="L202" s="235">
        <f>EEFFun!X444</f>
        <v>11527.39</v>
      </c>
      <c r="M202" s="235">
        <f>EEFFun!Y444</f>
        <v>11701.89</v>
      </c>
      <c r="N202" s="235">
        <f>EEFFun!Z444</f>
        <v>11842.33</v>
      </c>
      <c r="O202" s="235">
        <f>EEFFun!AA444</f>
        <v>12094.54</v>
      </c>
      <c r="P202" s="235">
        <f>EEFFun!AB444</f>
        <v>12094.54</v>
      </c>
      <c r="Q202" s="235">
        <f>EEFFun!AC444</f>
        <v>12248.1</v>
      </c>
      <c r="R202" s="235">
        <f>EEFFun!AD444</f>
        <v>12635.85</v>
      </c>
      <c r="S202" s="235">
        <f>EEFFun!AE444</f>
        <v>12823.66</v>
      </c>
      <c r="T202" s="235">
        <f>EEFFun!AF444</f>
        <v>12947.74</v>
      </c>
      <c r="U202" s="235">
        <f>EEFFun!AG444</f>
        <v>13071.82</v>
      </c>
      <c r="V202" s="235">
        <f>EEFFun!AH444</f>
        <v>13071.82</v>
      </c>
      <c r="W202" s="235">
        <f>EEFFun!AI444</f>
        <v>13351.02</v>
      </c>
      <c r="X202" s="235">
        <f>EEFFun!AJ444</f>
        <v>13476.66</v>
      </c>
      <c r="Y202" s="235">
        <f>EEFFun!AK444</f>
        <v>13623.24</v>
      </c>
      <c r="Z202" s="235">
        <f>EEFFun!AL444</f>
        <v>13623.24</v>
      </c>
      <c r="AA202" s="235">
        <f>EEFFun!AM444</f>
        <v>13853.58</v>
      </c>
      <c r="AB202" s="235">
        <f>EEFFun!AN444</f>
        <v>13853.58</v>
      </c>
      <c r="AC202" s="235">
        <f>EEFFun!AO444</f>
        <v>14083.23</v>
      </c>
      <c r="AD202" s="235">
        <f>EEFFun!AP444</f>
        <v>14083.23</v>
      </c>
      <c r="AE202" s="235">
        <f>EEFFun!AQ444</f>
        <v>226.65</v>
      </c>
      <c r="AF202" s="235">
        <f>EEFFun!AR444</f>
        <v>14083.23</v>
      </c>
      <c r="AG202" s="235">
        <f>EEFFun!AS444</f>
        <v>1181.72</v>
      </c>
      <c r="AH202" s="235">
        <f>EEFFun!AT444</f>
        <v>1181.72</v>
      </c>
      <c r="AI202" s="235">
        <f>EEFFun!AU444</f>
        <v>1185.95</v>
      </c>
      <c r="AJ202" s="235">
        <f>EEFFun!AV444</f>
        <v>1185.95</v>
      </c>
      <c r="AK202" s="235">
        <f>EEFFun!AW444</f>
        <v>1185.95</v>
      </c>
      <c r="AL202" s="235">
        <f>EEFFun!AX444</f>
        <v>1185.95</v>
      </c>
      <c r="AM202" s="236">
        <f>AL202*1.01</f>
        <v>1197.8095000000001</v>
      </c>
      <c r="AN202" s="236">
        <f t="shared" si="354"/>
        <v>12762.208500000001</v>
      </c>
      <c r="AO202" s="236">
        <f t="shared" si="354"/>
        <v>12951.8966</v>
      </c>
      <c r="AP202" s="236">
        <f t="shared" si="354"/>
        <v>13077.2174</v>
      </c>
      <c r="AQ202" s="236">
        <f t="shared" si="354"/>
        <v>13202.538199999999</v>
      </c>
      <c r="AR202" s="236">
        <f t="shared" si="354"/>
        <v>13202.538199999999</v>
      </c>
      <c r="AS202" s="236">
        <f t="shared" si="354"/>
        <v>13484.530200000001</v>
      </c>
      <c r="AT202" s="236">
        <f t="shared" si="354"/>
        <v>13611.426600000001</v>
      </c>
      <c r="AU202" s="236">
        <f t="shared" si="354"/>
        <v>13759.472400000001</v>
      </c>
      <c r="AV202" s="236">
        <f t="shared" si="354"/>
        <v>13759.472400000001</v>
      </c>
      <c r="AW202" s="236">
        <f t="shared" si="354"/>
        <v>13992.1158</v>
      </c>
      <c r="AX202" s="236">
        <f t="shared" si="354"/>
        <v>13992.1158</v>
      </c>
      <c r="AY202" s="236">
        <f t="shared" si="314"/>
        <v>920.29579999999987</v>
      </c>
      <c r="AZ202" s="236">
        <f t="shared" si="315"/>
        <v>1897.5757999999987</v>
      </c>
      <c r="BA202" s="232">
        <f t="shared" si="316"/>
        <v>3.7371208475441323E-4</v>
      </c>
      <c r="BB202" s="232">
        <f t="shared" si="323"/>
        <v>9.9726591314090114E-5</v>
      </c>
      <c r="BC202" s="228">
        <f t="shared" si="346"/>
        <v>260.40660000000025</v>
      </c>
    </row>
    <row r="203" spans="1:55" outlineLevel="2" collapsed="1" x14ac:dyDescent="0.25">
      <c r="A203" s="222">
        <v>8</v>
      </c>
      <c r="B203" s="234">
        <f>EEFFun!B445</f>
        <v>29019025</v>
      </c>
      <c r="C203" s="234" t="str">
        <f>EEFFun!C445</f>
        <v>SEGUROS - DESGRAVAMEN CARTERA</v>
      </c>
      <c r="D203" s="235">
        <f>EEFFun!P445</f>
        <v>20796.419999999998</v>
      </c>
      <c r="E203" s="235">
        <f>EEFFun!Q445</f>
        <v>19879.34</v>
      </c>
      <c r="F203" s="235">
        <f>EEFFun!R445</f>
        <v>22396.84</v>
      </c>
      <c r="G203" s="235">
        <f>EEFFun!S445</f>
        <v>24999.78</v>
      </c>
      <c r="H203" s="235">
        <f>EEFFun!T445</f>
        <v>28386.05</v>
      </c>
      <c r="I203" s="235">
        <f>EEFFun!U445</f>
        <v>32117.38</v>
      </c>
      <c r="J203" s="235">
        <f>EEFFun!V445</f>
        <v>32148.59</v>
      </c>
      <c r="K203" s="235">
        <f>EEFFun!W445</f>
        <v>31101.06</v>
      </c>
      <c r="L203" s="235">
        <f>EEFFun!X445</f>
        <v>35548.559999999998</v>
      </c>
      <c r="M203" s="235">
        <f>EEFFun!Y445</f>
        <v>39970.69</v>
      </c>
      <c r="N203" s="235">
        <f>EEFFun!Z445</f>
        <v>45013.05</v>
      </c>
      <c r="O203" s="235">
        <f>EEFFun!AA445</f>
        <v>54955.44</v>
      </c>
      <c r="P203" s="235">
        <f>EEFFun!AB445</f>
        <v>55143.08</v>
      </c>
      <c r="Q203" s="235">
        <f>EEFFun!AC445</f>
        <v>57677.96</v>
      </c>
      <c r="R203" s="235">
        <f>EEFFun!AD445</f>
        <v>70247.460000000006</v>
      </c>
      <c r="S203" s="235">
        <f>EEFFun!AE445</f>
        <v>77116.87</v>
      </c>
      <c r="T203" s="235">
        <f>EEFFun!AF445</f>
        <v>84106.93</v>
      </c>
      <c r="U203" s="235">
        <f>EEFFun!AG445</f>
        <v>86092.92</v>
      </c>
      <c r="V203" s="235">
        <f>EEFFun!AH445</f>
        <v>85760.72</v>
      </c>
      <c r="W203" s="235">
        <f>EEFFun!AI445</f>
        <v>99358.15</v>
      </c>
      <c r="X203" s="235">
        <f>EEFFun!AJ445</f>
        <v>104676.61</v>
      </c>
      <c r="Y203" s="235">
        <f>EEFFun!AK445</f>
        <v>110463.58</v>
      </c>
      <c r="Z203" s="235">
        <f>EEFFun!AL445</f>
        <v>109914.25</v>
      </c>
      <c r="AA203" s="235">
        <f>EEFFun!AM445</f>
        <v>121389.91</v>
      </c>
      <c r="AB203" s="235">
        <f>EEFFun!AN445</f>
        <v>120973.7</v>
      </c>
      <c r="AC203" s="235">
        <f>EEFFun!AO445</f>
        <v>132527.98000000001</v>
      </c>
      <c r="AD203" s="235">
        <f>EEFFun!AP445</f>
        <v>32394.9</v>
      </c>
      <c r="AE203" s="235">
        <f>EEFFun!AQ445</f>
        <v>86.92</v>
      </c>
      <c r="AF203" s="235">
        <f>EEFFun!AR445</f>
        <v>86.92</v>
      </c>
      <c r="AG203" s="235">
        <f>EEFFun!AS445</f>
        <v>21729</v>
      </c>
      <c r="AH203" s="235">
        <f>EEFFun!AT445</f>
        <v>21638.94</v>
      </c>
      <c r="AI203" s="235">
        <f>EEFFun!AU445</f>
        <v>32421.68</v>
      </c>
      <c r="AJ203" s="235">
        <f>EEFFun!AV445</f>
        <v>32421.68</v>
      </c>
      <c r="AK203" s="235">
        <f>EEFFun!AW445</f>
        <v>12378.39</v>
      </c>
      <c r="AL203" s="235">
        <f>EEFFun!AX445</f>
        <v>51573.43</v>
      </c>
      <c r="AM203" s="236">
        <f>AL203*1.01</f>
        <v>52089.164300000004</v>
      </c>
      <c r="AN203" s="236">
        <f t="shared" si="354"/>
        <v>70949.934600000008</v>
      </c>
      <c r="AO203" s="236">
        <f t="shared" si="354"/>
        <v>77888.03869999999</v>
      </c>
      <c r="AP203" s="236">
        <f t="shared" si="354"/>
        <v>84947.999299999996</v>
      </c>
      <c r="AQ203" s="236">
        <f t="shared" si="354"/>
        <v>86953.849199999997</v>
      </c>
      <c r="AR203" s="236">
        <f t="shared" si="354"/>
        <v>86618.3272</v>
      </c>
      <c r="AS203" s="236">
        <f t="shared" si="354"/>
        <v>100351.73149999999</v>
      </c>
      <c r="AT203" s="236">
        <f t="shared" si="354"/>
        <v>105723.37610000001</v>
      </c>
      <c r="AU203" s="236">
        <f t="shared" si="354"/>
        <v>111568.21580000001</v>
      </c>
      <c r="AV203" s="236">
        <f t="shared" si="354"/>
        <v>111013.3925</v>
      </c>
      <c r="AW203" s="236">
        <f t="shared" si="354"/>
        <v>122603.8091</v>
      </c>
      <c r="AX203" s="236">
        <f t="shared" si="354"/>
        <v>122183.43700000001</v>
      </c>
      <c r="AY203" s="236">
        <f t="shared" si="314"/>
        <v>36422.717000000004</v>
      </c>
      <c r="AZ203" s="236">
        <f t="shared" si="315"/>
        <v>67040.357000000004</v>
      </c>
      <c r="BA203" s="232">
        <f t="shared" si="316"/>
        <v>1.70387922042338E-3</v>
      </c>
      <c r="BB203" s="232">
        <f t="shared" si="323"/>
        <v>8.7084311345178242E-4</v>
      </c>
      <c r="BC203" s="228">
        <f t="shared" si="346"/>
        <v>6365.2261000000144</v>
      </c>
    </row>
    <row r="204" spans="1:55" outlineLevel="2" collapsed="1" x14ac:dyDescent="0.25">
      <c r="A204" s="222">
        <v>4</v>
      </c>
      <c r="B204" s="234">
        <f>EEFFun!B446</f>
        <v>2990</v>
      </c>
      <c r="C204" s="234" t="str">
        <f>EEFFun!C446</f>
        <v>OTROS</v>
      </c>
      <c r="D204" s="235">
        <f>EEFFun!P446</f>
        <v>344317.28</v>
      </c>
      <c r="E204" s="235">
        <f>EEFFun!Q446</f>
        <v>265872.09000000003</v>
      </c>
      <c r="F204" s="235">
        <f>EEFFun!R446</f>
        <v>733653.35</v>
      </c>
      <c r="G204" s="235">
        <f>EEFFun!S446</f>
        <v>724383.45</v>
      </c>
      <c r="H204" s="235">
        <f>EEFFun!T446</f>
        <v>305404.53999999998</v>
      </c>
      <c r="I204" s="235">
        <f>EEFFun!U446</f>
        <v>249026.27</v>
      </c>
      <c r="J204" s="235">
        <f>EEFFun!V446</f>
        <v>244207.69</v>
      </c>
      <c r="K204" s="235">
        <f>EEFFun!W446</f>
        <v>214443.47</v>
      </c>
      <c r="L204" s="235">
        <f>EEFFun!X446</f>
        <v>215731.24</v>
      </c>
      <c r="M204" s="235">
        <f>EEFFun!Y446</f>
        <v>297279.44</v>
      </c>
      <c r="N204" s="235">
        <f>EEFFun!Z446</f>
        <v>298704.71000000002</v>
      </c>
      <c r="O204" s="235">
        <f>EEFFun!AA446</f>
        <v>433712.87</v>
      </c>
      <c r="P204" s="235">
        <f>EEFFun!AB446</f>
        <v>217586.23</v>
      </c>
      <c r="Q204" s="235">
        <f>EEFFun!AC446</f>
        <v>434040.68</v>
      </c>
      <c r="R204" s="235">
        <f>EEFFun!AD446</f>
        <v>328180.34999999998</v>
      </c>
      <c r="S204" s="235">
        <f>EEFFun!AE446</f>
        <v>279153.2</v>
      </c>
      <c r="T204" s="235">
        <f>EEFFun!AF446</f>
        <v>268544.12</v>
      </c>
      <c r="U204" s="235">
        <f>EEFFun!AG446</f>
        <v>229337.9</v>
      </c>
      <c r="V204" s="235">
        <f>EEFFun!AH446</f>
        <v>221909.06</v>
      </c>
      <c r="W204" s="235">
        <f>EEFFun!AI446</f>
        <v>234144.67</v>
      </c>
      <c r="X204" s="235">
        <f>EEFFun!AJ446</f>
        <v>208299.83</v>
      </c>
      <c r="Y204" s="235">
        <f>EEFFun!AK446</f>
        <v>289594.74</v>
      </c>
      <c r="Z204" s="235">
        <f>EEFFun!AL446</f>
        <v>275207.62</v>
      </c>
      <c r="AA204" s="235">
        <f>EEFFun!AM446</f>
        <v>360118.56</v>
      </c>
      <c r="AB204" s="235">
        <f>EEFFun!AN446</f>
        <v>348861.63</v>
      </c>
      <c r="AC204" s="235">
        <f>EEFFun!AO446</f>
        <v>256399.95</v>
      </c>
      <c r="AD204" s="235">
        <f>EEFFun!AP446</f>
        <v>252026.58</v>
      </c>
      <c r="AE204" s="235">
        <f>EEFFun!AQ446</f>
        <v>311990.45</v>
      </c>
      <c r="AF204" s="235">
        <f>EEFFun!AR446</f>
        <v>323473.55</v>
      </c>
      <c r="AG204" s="235">
        <f>EEFFun!AS446</f>
        <v>269314.40999999997</v>
      </c>
      <c r="AH204" s="235">
        <f>EEFFun!AT446</f>
        <v>361961.56</v>
      </c>
      <c r="AI204" s="235">
        <f>EEFFun!AU446</f>
        <v>373207.26</v>
      </c>
      <c r="AJ204" s="235">
        <f>EEFFun!AV446</f>
        <v>373609.29</v>
      </c>
      <c r="AK204" s="235">
        <f>EEFFun!AW446</f>
        <v>317491.25</v>
      </c>
      <c r="AL204" s="235">
        <f>EEFFun!AX446</f>
        <v>314943.56</v>
      </c>
      <c r="AM204" s="236">
        <f t="shared" ref="AM204:AS204" si="355">AM205+AM206</f>
        <v>256966.63939999996</v>
      </c>
      <c r="AN204" s="236">
        <f t="shared" si="355"/>
        <v>240161.329294</v>
      </c>
      <c r="AO204" s="236">
        <f t="shared" si="355"/>
        <v>282223.15928694</v>
      </c>
      <c r="AP204" s="236">
        <f t="shared" si="355"/>
        <v>279017.99047980941</v>
      </c>
      <c r="AQ204" s="236">
        <f t="shared" si="355"/>
        <v>252576.31548460745</v>
      </c>
      <c r="AR204" s="236">
        <f t="shared" si="355"/>
        <v>359403.84843945358</v>
      </c>
      <c r="AS204" s="236">
        <f t="shared" si="355"/>
        <v>363623.5750238481</v>
      </c>
      <c r="AT204" s="236">
        <f t="shared" ref="AT204" si="356">AT205+AT206</f>
        <v>379350.44247408659</v>
      </c>
      <c r="AU204" s="236">
        <f t="shared" ref="AU204" si="357">AU205+AU206</f>
        <v>319792.47959882743</v>
      </c>
      <c r="AV204" s="236">
        <f t="shared" ref="AV204" si="358">AV205+AV206</f>
        <v>330595.54679481569</v>
      </c>
      <c r="AW204" s="236">
        <f t="shared" ref="AW204" si="359">AW205+AW206</f>
        <v>271675.14606276387</v>
      </c>
      <c r="AX204" s="236">
        <f t="shared" ref="AX204" si="360">AX205+AX206</f>
        <v>256127.92102339148</v>
      </c>
      <c r="AY204" s="236">
        <f t="shared" si="314"/>
        <v>34218.861023391481</v>
      </c>
      <c r="AZ204" s="236">
        <f t="shared" si="315"/>
        <v>38541.691023391468</v>
      </c>
      <c r="BA204" s="232">
        <f t="shared" si="316"/>
        <v>6.723248972441552E-3</v>
      </c>
      <c r="BB204" s="232">
        <f t="shared" si="323"/>
        <v>1.8255112285468157E-3</v>
      </c>
      <c r="BC204" s="228">
        <f t="shared" si="346"/>
        <v>145205.77247408658</v>
      </c>
    </row>
    <row r="205" spans="1:55" outlineLevel="2" collapsed="1" x14ac:dyDescent="0.25">
      <c r="A205" s="222">
        <v>6</v>
      </c>
      <c r="B205" s="234">
        <f>EEFFun!B447</f>
        <v>299005</v>
      </c>
      <c r="C205" s="234" t="str">
        <f>EEFFun!C447</f>
        <v>Sobrantes de caja</v>
      </c>
      <c r="D205" s="235">
        <f>EEFFun!P447</f>
        <v>1751.34</v>
      </c>
      <c r="E205" s="235">
        <f>EEFFun!Q447</f>
        <v>1751.79</v>
      </c>
      <c r="F205" s="235">
        <f>EEFFun!R447</f>
        <v>1751.79</v>
      </c>
      <c r="G205" s="235">
        <f>EEFFun!S447</f>
        <v>1753.15</v>
      </c>
      <c r="H205" s="235">
        <f>EEFFun!T447</f>
        <v>1753.15</v>
      </c>
      <c r="I205" s="235">
        <f>EEFFun!U447</f>
        <v>1753.15</v>
      </c>
      <c r="J205" s="235">
        <f>EEFFun!V447</f>
        <v>1753.15</v>
      </c>
      <c r="K205" s="235">
        <f>EEFFun!W447</f>
        <v>1753.31</v>
      </c>
      <c r="L205" s="235">
        <f>EEFFun!X447</f>
        <v>1753.31</v>
      </c>
      <c r="M205" s="235">
        <f>EEFFun!Y447</f>
        <v>1753.31</v>
      </c>
      <c r="N205" s="235">
        <f>EEFFun!Z447</f>
        <v>1760.34</v>
      </c>
      <c r="O205" s="235">
        <f>EEFFun!AA447</f>
        <v>1760.34</v>
      </c>
      <c r="P205" s="235">
        <f>EEFFun!AB447</f>
        <v>817.84</v>
      </c>
      <c r="Q205" s="235">
        <f>EEFFun!AC447</f>
        <v>837.84</v>
      </c>
      <c r="R205" s="235">
        <f>EEFFun!AD447</f>
        <v>837.84</v>
      </c>
      <c r="S205" s="235">
        <f>EEFFun!AE447</f>
        <v>837.84</v>
      </c>
      <c r="T205" s="235">
        <f>EEFFun!AF447</f>
        <v>837.84</v>
      </c>
      <c r="U205" s="235">
        <f>EEFFun!AG447</f>
        <v>837.84</v>
      </c>
      <c r="V205" s="235">
        <f>EEFFun!AH447</f>
        <v>837.84</v>
      </c>
      <c r="W205" s="235">
        <f>EEFFun!AI447</f>
        <v>837.84</v>
      </c>
      <c r="X205" s="235">
        <f>EEFFun!AJ447</f>
        <v>837.84</v>
      </c>
      <c r="Y205" s="235">
        <f>EEFFun!AK447</f>
        <v>837.84</v>
      </c>
      <c r="Z205" s="235">
        <f>EEFFun!AL447</f>
        <v>914.09</v>
      </c>
      <c r="AA205" s="235">
        <f>EEFFun!AM447</f>
        <v>846.64</v>
      </c>
      <c r="AB205" s="235">
        <f>EEFFun!AN447</f>
        <v>846.64</v>
      </c>
      <c r="AC205" s="235">
        <f>EEFFun!AO447</f>
        <v>846.84</v>
      </c>
      <c r="AD205" s="235">
        <f>EEFFun!AP447</f>
        <v>102.16</v>
      </c>
      <c r="AE205" s="235">
        <f>EEFFun!AQ447</f>
        <v>103.16</v>
      </c>
      <c r="AF205" s="235">
        <f>EEFFun!AR447</f>
        <v>103.16</v>
      </c>
      <c r="AG205" s="235">
        <f>EEFFun!AS447</f>
        <v>103.16</v>
      </c>
      <c r="AH205" s="235">
        <f>EEFFun!AT447</f>
        <v>103.16</v>
      </c>
      <c r="AI205" s="235">
        <f>EEFFun!AU447</f>
        <v>103.16</v>
      </c>
      <c r="AJ205" s="235">
        <f>EEFFun!AV447</f>
        <v>103.66</v>
      </c>
      <c r="AK205" s="235">
        <f>EEFFun!AW447</f>
        <v>103.66</v>
      </c>
      <c r="AL205" s="235">
        <f>EEFFun!AX447</f>
        <v>103.96</v>
      </c>
      <c r="AM205" s="236">
        <f>+AL205</f>
        <v>103.96</v>
      </c>
      <c r="AN205" s="236">
        <f>+AM205</f>
        <v>103.96</v>
      </c>
      <c r="AO205" s="236">
        <f t="shared" ref="AO205:AX205" si="361">+AN205</f>
        <v>103.96</v>
      </c>
      <c r="AP205" s="236">
        <f t="shared" si="361"/>
        <v>103.96</v>
      </c>
      <c r="AQ205" s="236">
        <f t="shared" si="361"/>
        <v>103.96</v>
      </c>
      <c r="AR205" s="236">
        <f t="shared" si="361"/>
        <v>103.96</v>
      </c>
      <c r="AS205" s="236">
        <f t="shared" si="361"/>
        <v>103.96</v>
      </c>
      <c r="AT205" s="236">
        <f t="shared" si="361"/>
        <v>103.96</v>
      </c>
      <c r="AU205" s="236">
        <f t="shared" si="361"/>
        <v>103.96</v>
      </c>
      <c r="AV205" s="236">
        <f t="shared" si="361"/>
        <v>103.96</v>
      </c>
      <c r="AW205" s="236">
        <f t="shared" si="361"/>
        <v>103.96</v>
      </c>
      <c r="AX205" s="236">
        <f t="shared" si="361"/>
        <v>103.96</v>
      </c>
      <c r="AY205" s="236">
        <f t="shared" si="314"/>
        <v>-733.88</v>
      </c>
      <c r="AZ205" s="236">
        <f t="shared" si="315"/>
        <v>-713.88</v>
      </c>
      <c r="BA205" s="232">
        <f t="shared" si="316"/>
        <v>2.5270633806291871E-5</v>
      </c>
      <c r="BB205" s="232">
        <f t="shared" si="323"/>
        <v>7.4095844983021143E-7</v>
      </c>
      <c r="BC205" s="228">
        <f t="shared" si="346"/>
        <v>-733.88</v>
      </c>
    </row>
    <row r="206" spans="1:55" outlineLevel="2" collapsed="1" x14ac:dyDescent="0.25">
      <c r="A206" s="222">
        <v>6</v>
      </c>
      <c r="B206" s="234">
        <f>EEFFun!B448</f>
        <v>299090</v>
      </c>
      <c r="C206" s="234" t="str">
        <f>EEFFun!C448</f>
        <v>Varios</v>
      </c>
      <c r="D206" s="235">
        <f>EEFFun!P448</f>
        <v>342565.94</v>
      </c>
      <c r="E206" s="235">
        <f>EEFFun!Q448</f>
        <v>264120.3</v>
      </c>
      <c r="F206" s="235">
        <f>EEFFun!R448</f>
        <v>731901.56</v>
      </c>
      <c r="G206" s="235">
        <f>EEFFun!S448</f>
        <v>722630.3</v>
      </c>
      <c r="H206" s="235">
        <f>EEFFun!T448</f>
        <v>303651.39</v>
      </c>
      <c r="I206" s="235">
        <f>EEFFun!U448</f>
        <v>247273.12</v>
      </c>
      <c r="J206" s="235">
        <f>EEFFun!V448</f>
        <v>242454.54</v>
      </c>
      <c r="K206" s="235">
        <f>EEFFun!W448</f>
        <v>212690.16</v>
      </c>
      <c r="L206" s="235">
        <f>EEFFun!X448</f>
        <v>213977.93</v>
      </c>
      <c r="M206" s="235">
        <f>EEFFun!Y448</f>
        <v>295526.13</v>
      </c>
      <c r="N206" s="235">
        <f>EEFFun!Z448</f>
        <v>296944.37</v>
      </c>
      <c r="O206" s="235">
        <f>EEFFun!AA448</f>
        <v>431952.53</v>
      </c>
      <c r="P206" s="235">
        <f>EEFFun!AB448</f>
        <v>216768.39</v>
      </c>
      <c r="Q206" s="235">
        <f>EEFFun!AC448</f>
        <v>433202.84</v>
      </c>
      <c r="R206" s="235">
        <f>EEFFun!AD448</f>
        <v>327342.51</v>
      </c>
      <c r="S206" s="235">
        <f>EEFFun!AE448</f>
        <v>278315.36</v>
      </c>
      <c r="T206" s="235">
        <f>EEFFun!AF448</f>
        <v>267706.28000000003</v>
      </c>
      <c r="U206" s="235">
        <f>EEFFun!AG448</f>
        <v>228500.06</v>
      </c>
      <c r="V206" s="235">
        <f>EEFFun!AH448</f>
        <v>221071.22</v>
      </c>
      <c r="W206" s="235">
        <f>EEFFun!AI448</f>
        <v>233306.83</v>
      </c>
      <c r="X206" s="235">
        <f>EEFFun!AJ448</f>
        <v>207461.99</v>
      </c>
      <c r="Y206" s="235">
        <f>EEFFun!AK448</f>
        <v>288756.90000000002</v>
      </c>
      <c r="Z206" s="235">
        <f>EEFFun!AL448</f>
        <v>274293.53000000003</v>
      </c>
      <c r="AA206" s="235">
        <f>EEFFun!AM448</f>
        <v>359271.92</v>
      </c>
      <c r="AB206" s="235">
        <f>EEFFun!AN448</f>
        <v>348014.99</v>
      </c>
      <c r="AC206" s="235">
        <f>EEFFun!AO448</f>
        <v>255553.11</v>
      </c>
      <c r="AD206" s="235">
        <f>EEFFun!AP448</f>
        <v>251924.42</v>
      </c>
      <c r="AE206" s="235">
        <f>EEFFun!AQ448</f>
        <v>311887.28999999998</v>
      </c>
      <c r="AF206" s="235">
        <f>EEFFun!AR448</f>
        <v>323370.39</v>
      </c>
      <c r="AG206" s="235">
        <f>EEFFun!AS448</f>
        <v>269211.25</v>
      </c>
      <c r="AH206" s="235">
        <f>EEFFun!AT448</f>
        <v>361858.4</v>
      </c>
      <c r="AI206" s="235">
        <f>EEFFun!AU448</f>
        <v>373104.1</v>
      </c>
      <c r="AJ206" s="235">
        <f>EEFFun!AV448</f>
        <v>373505.63</v>
      </c>
      <c r="AK206" s="235">
        <f>EEFFun!AW448</f>
        <v>317387.59000000003</v>
      </c>
      <c r="AL206" s="235">
        <f>EEFFun!AX448</f>
        <v>314839.59999999998</v>
      </c>
      <c r="AM206" s="236">
        <f t="shared" ref="AM206:AS206" si="362">SUM(AM207:AM211)</f>
        <v>256862.67939999996</v>
      </c>
      <c r="AN206" s="236">
        <f t="shared" si="362"/>
        <v>240057.369294</v>
      </c>
      <c r="AO206" s="236">
        <f t="shared" si="362"/>
        <v>282119.19928693998</v>
      </c>
      <c r="AP206" s="236">
        <f t="shared" si="362"/>
        <v>278914.03047980939</v>
      </c>
      <c r="AQ206" s="236">
        <f t="shared" si="362"/>
        <v>252472.35548460745</v>
      </c>
      <c r="AR206" s="236">
        <f t="shared" si="362"/>
        <v>359299.88843945356</v>
      </c>
      <c r="AS206" s="236">
        <f t="shared" si="362"/>
        <v>363519.61502384808</v>
      </c>
      <c r="AT206" s="236">
        <f t="shared" ref="AT206" si="363">SUM(AT207:AT211)</f>
        <v>379246.48247408657</v>
      </c>
      <c r="AU206" s="236">
        <f t="shared" ref="AU206" si="364">SUM(AU207:AU211)</f>
        <v>319688.51959882741</v>
      </c>
      <c r="AV206" s="236">
        <f t="shared" ref="AV206" si="365">SUM(AV207:AV211)</f>
        <v>330491.58679481567</v>
      </c>
      <c r="AW206" s="236">
        <f t="shared" ref="AW206" si="366">SUM(AW207:AW211)</f>
        <v>271571.18606276385</v>
      </c>
      <c r="AX206" s="236">
        <f t="shared" ref="AX206" si="367">SUM(AX207:AX211)</f>
        <v>256023.96102339149</v>
      </c>
      <c r="AY206" s="236">
        <f t="shared" si="314"/>
        <v>34952.741023391485</v>
      </c>
      <c r="AZ206" s="236">
        <f t="shared" si="315"/>
        <v>39255.571023391472</v>
      </c>
      <c r="BA206" s="232">
        <f t="shared" si="316"/>
        <v>6.6979783386352599E-3</v>
      </c>
      <c r="BB206" s="232">
        <f t="shared" si="323"/>
        <v>1.8247702700969857E-3</v>
      </c>
      <c r="BC206" s="228">
        <f t="shared" si="346"/>
        <v>145939.65247408659</v>
      </c>
    </row>
    <row r="207" spans="1:55" outlineLevel="2" collapsed="1" x14ac:dyDescent="0.25">
      <c r="A207" s="222">
        <v>8</v>
      </c>
      <c r="B207" s="234">
        <f>EEFFun!B449</f>
        <v>29909005</v>
      </c>
      <c r="C207" s="234" t="str">
        <f>EEFFun!C449</f>
        <v>CLIENTES DE CRÉDITO</v>
      </c>
      <c r="D207" s="235">
        <f>EEFFun!P449</f>
        <v>155227.04999999999</v>
      </c>
      <c r="E207" s="235">
        <f>EEFFun!Q449</f>
        <v>147744.54999999999</v>
      </c>
      <c r="F207" s="235">
        <f>EEFFun!R449</f>
        <v>484584.15</v>
      </c>
      <c r="G207" s="235">
        <f>EEFFun!S449</f>
        <v>521538.32</v>
      </c>
      <c r="H207" s="235">
        <f>EEFFun!T449</f>
        <v>162612.09</v>
      </c>
      <c r="I207" s="235">
        <f>EEFFun!U449</f>
        <v>165696.82999999999</v>
      </c>
      <c r="J207" s="235">
        <f>EEFFun!V449</f>
        <v>168093.39</v>
      </c>
      <c r="K207" s="235">
        <f>EEFFun!W449</f>
        <v>149856.43</v>
      </c>
      <c r="L207" s="235">
        <f>EEFFun!X449</f>
        <v>146178.65</v>
      </c>
      <c r="M207" s="235">
        <f>EEFFun!Y449</f>
        <v>197821.61</v>
      </c>
      <c r="N207" s="235">
        <f>EEFFun!Z449</f>
        <v>153901.29999999999</v>
      </c>
      <c r="O207" s="235">
        <f>EEFFun!AA449</f>
        <v>143717.51999999999</v>
      </c>
      <c r="P207" s="235">
        <f>EEFFun!AB449</f>
        <v>139167.72</v>
      </c>
      <c r="Q207" s="235">
        <f>EEFFun!AC449</f>
        <v>151359.39000000001</v>
      </c>
      <c r="R207" s="235">
        <f>EEFFun!AD449</f>
        <v>149603.94</v>
      </c>
      <c r="S207" s="235">
        <f>EEFFun!AE449</f>
        <v>182633.05</v>
      </c>
      <c r="T207" s="235">
        <f>EEFFun!AF449</f>
        <v>152045.79</v>
      </c>
      <c r="U207" s="235">
        <f>EEFFun!AG449</f>
        <v>161603.03</v>
      </c>
      <c r="V207" s="235">
        <f>EEFFun!AH449</f>
        <v>152949.96</v>
      </c>
      <c r="W207" s="235">
        <f>EEFFun!AI449</f>
        <v>147258.76999999999</v>
      </c>
      <c r="X207" s="235">
        <f>EEFFun!AJ449</f>
        <v>144627.28</v>
      </c>
      <c r="Y207" s="235">
        <f>EEFFun!AK449</f>
        <v>155353.56</v>
      </c>
      <c r="Z207" s="235">
        <f>EEFFun!AL449</f>
        <v>179200.5</v>
      </c>
      <c r="AA207" s="235">
        <f>EEFFun!AM449</f>
        <v>177693.42</v>
      </c>
      <c r="AB207" s="235">
        <f>EEFFun!AN449</f>
        <v>174434.96</v>
      </c>
      <c r="AC207" s="235">
        <f>EEFFun!AO449</f>
        <v>150891.42000000001</v>
      </c>
      <c r="AD207" s="235">
        <f>EEFFun!AP449</f>
        <v>164479.04999999999</v>
      </c>
      <c r="AE207" s="235">
        <f>EEFFun!AQ449</f>
        <v>183906.21</v>
      </c>
      <c r="AF207" s="235">
        <f>EEFFun!AR449</f>
        <v>200135.86</v>
      </c>
      <c r="AG207" s="235">
        <f>EEFFun!AS449</f>
        <v>173975.19</v>
      </c>
      <c r="AH207" s="235">
        <f>EEFFun!AT449</f>
        <v>161367.17000000001</v>
      </c>
      <c r="AI207" s="235">
        <f>EEFFun!AU449</f>
        <v>169981.23</v>
      </c>
      <c r="AJ207" s="235">
        <f>EEFFun!AV449</f>
        <v>156259.85999999999</v>
      </c>
      <c r="AK207" s="235">
        <f>EEFFun!AW449</f>
        <v>161319.79</v>
      </c>
      <c r="AL207" s="235">
        <f>EEFFun!AX449</f>
        <v>149604.94</v>
      </c>
      <c r="AM207" s="236">
        <f>AL207*1.01</f>
        <v>151100.98939999999</v>
      </c>
      <c r="AN207" s="236">
        <f t="shared" ref="AN207:AX207" si="368">AM207*1.01</f>
        <v>152611.99929399998</v>
      </c>
      <c r="AO207" s="236">
        <f t="shared" si="368"/>
        <v>154138.11928693997</v>
      </c>
      <c r="AP207" s="236">
        <f t="shared" si="368"/>
        <v>155679.50047980936</v>
      </c>
      <c r="AQ207" s="236">
        <f t="shared" si="368"/>
        <v>157236.29548460746</v>
      </c>
      <c r="AR207" s="236">
        <f t="shared" si="368"/>
        <v>158808.65843945355</v>
      </c>
      <c r="AS207" s="236">
        <f t="shared" si="368"/>
        <v>160396.74502384808</v>
      </c>
      <c r="AT207" s="236">
        <f t="shared" si="368"/>
        <v>162000.71247408655</v>
      </c>
      <c r="AU207" s="236">
        <f t="shared" si="368"/>
        <v>163620.71959882742</v>
      </c>
      <c r="AV207" s="236">
        <f t="shared" si="368"/>
        <v>165256.92679481569</v>
      </c>
      <c r="AW207" s="236">
        <f t="shared" si="368"/>
        <v>166909.49606276385</v>
      </c>
      <c r="AX207" s="236">
        <f t="shared" si="368"/>
        <v>168578.59102339149</v>
      </c>
      <c r="AY207" s="236">
        <f t="shared" si="314"/>
        <v>15628.631023391499</v>
      </c>
      <c r="AZ207" s="236">
        <f t="shared" si="315"/>
        <v>29410.87102339149</v>
      </c>
      <c r="BA207" s="232">
        <f t="shared" si="316"/>
        <v>4.3001766724256102E-3</v>
      </c>
      <c r="BB207" s="232">
        <f t="shared" si="323"/>
        <v>1.2015172323898938E-3</v>
      </c>
      <c r="BC207" s="228">
        <f t="shared" si="346"/>
        <v>14741.942474086565</v>
      </c>
    </row>
    <row r="208" spans="1:55" outlineLevel="2" collapsed="1" x14ac:dyDescent="0.25">
      <c r="A208" s="222">
        <v>8</v>
      </c>
      <c r="B208" s="234">
        <f>EEFFun!B450</f>
        <v>29909010</v>
      </c>
      <c r="C208" s="234" t="str">
        <f>EEFFun!C450</f>
        <v>RETENCION SEGUROS</v>
      </c>
      <c r="D208" s="235">
        <f>EEFFun!P450</f>
        <v>9501.64</v>
      </c>
      <c r="E208" s="235">
        <f>EEFFun!Q450</f>
        <v>9501.64</v>
      </c>
      <c r="F208" s="235">
        <f>EEFFun!R450</f>
        <v>9501.64</v>
      </c>
      <c r="G208" s="235">
        <f>EEFFun!S450</f>
        <v>9501.64</v>
      </c>
      <c r="H208" s="235">
        <f>EEFFun!T450</f>
        <v>9501.64</v>
      </c>
      <c r="I208" s="235">
        <f>EEFFun!U450</f>
        <v>9501.64</v>
      </c>
      <c r="J208" s="235">
        <f>EEFFun!V450</f>
        <v>9501.64</v>
      </c>
      <c r="K208" s="235">
        <f>EEFFun!W450</f>
        <v>9501.64</v>
      </c>
      <c r="L208" s="235">
        <f>EEFFun!X450</f>
        <v>9501.64</v>
      </c>
      <c r="M208" s="235">
        <f>EEFFun!Y450</f>
        <v>9501.64</v>
      </c>
      <c r="N208" s="235">
        <f>EEFFun!Z450</f>
        <v>9501.64</v>
      </c>
      <c r="O208" s="235">
        <f>EEFFun!AA450</f>
        <v>9501.64</v>
      </c>
      <c r="P208" s="235">
        <f>EEFFun!AB450</f>
        <v>9501.64</v>
      </c>
      <c r="Q208" s="235">
        <f>EEFFun!AC450</f>
        <v>9501.64</v>
      </c>
      <c r="R208" s="235">
        <f>EEFFun!AD450</f>
        <v>9501.64</v>
      </c>
      <c r="S208" s="235">
        <f>EEFFun!AE450</f>
        <v>9501.64</v>
      </c>
      <c r="T208" s="235">
        <f>EEFFun!AF450</f>
        <v>9501.64</v>
      </c>
      <c r="U208" s="235">
        <f>EEFFun!AG450</f>
        <v>9501.64</v>
      </c>
      <c r="V208" s="235">
        <f>EEFFun!AH450</f>
        <v>9501.64</v>
      </c>
      <c r="W208" s="235">
        <f>EEFFun!AI450</f>
        <v>9501.64</v>
      </c>
      <c r="X208" s="235">
        <f>EEFFun!AJ450</f>
        <v>9501.64</v>
      </c>
      <c r="Y208" s="235">
        <f>EEFFun!AK450</f>
        <v>9501.64</v>
      </c>
      <c r="Z208" s="235">
        <f>EEFFun!AL450</f>
        <v>9501.64</v>
      </c>
      <c r="AA208" s="235">
        <f>EEFFun!AM450</f>
        <v>9501.64</v>
      </c>
      <c r="AB208" s="235">
        <f>EEFFun!AN450</f>
        <v>9501.64</v>
      </c>
      <c r="AC208" s="235">
        <f>EEFFun!AO450</f>
        <v>9501.64</v>
      </c>
      <c r="AD208" s="235">
        <f>EEFFun!AP450</f>
        <v>9501.64</v>
      </c>
      <c r="AE208" s="235">
        <f>EEFFun!AQ450</f>
        <v>9501.64</v>
      </c>
      <c r="AF208" s="235">
        <f>EEFFun!AR450</f>
        <v>9501.64</v>
      </c>
      <c r="AG208" s="235">
        <f>EEFFun!AS450</f>
        <v>9501.64</v>
      </c>
      <c r="AH208" s="235">
        <f>EEFFun!AT450</f>
        <v>9501.64</v>
      </c>
      <c r="AI208" s="235">
        <f>EEFFun!AU450</f>
        <v>9501.64</v>
      </c>
      <c r="AJ208" s="235">
        <f>EEFFun!AV450</f>
        <v>9501.64</v>
      </c>
      <c r="AK208" s="235">
        <f>EEFFun!AW450</f>
        <v>9501.64</v>
      </c>
      <c r="AL208" s="235">
        <f>EEFFun!AX450</f>
        <v>9501.64</v>
      </c>
      <c r="AM208" s="236">
        <f t="shared" ref="AM208:AX209" si="369">Q208</f>
        <v>9501.64</v>
      </c>
      <c r="AN208" s="236">
        <f t="shared" si="369"/>
        <v>9501.64</v>
      </c>
      <c r="AO208" s="236">
        <f t="shared" si="369"/>
        <v>9501.64</v>
      </c>
      <c r="AP208" s="236">
        <f t="shared" si="369"/>
        <v>9501.64</v>
      </c>
      <c r="AQ208" s="236">
        <f t="shared" si="369"/>
        <v>9501.64</v>
      </c>
      <c r="AR208" s="236">
        <f t="shared" si="369"/>
        <v>9501.64</v>
      </c>
      <c r="AS208" s="236">
        <f t="shared" si="369"/>
        <v>9501.64</v>
      </c>
      <c r="AT208" s="236">
        <f t="shared" si="369"/>
        <v>9501.64</v>
      </c>
      <c r="AU208" s="236">
        <f t="shared" si="369"/>
        <v>9501.64</v>
      </c>
      <c r="AV208" s="236">
        <f t="shared" si="369"/>
        <v>9501.64</v>
      </c>
      <c r="AW208" s="236">
        <f t="shared" si="369"/>
        <v>9501.64</v>
      </c>
      <c r="AX208" s="236">
        <f t="shared" si="369"/>
        <v>9501.64</v>
      </c>
      <c r="AY208" s="236">
        <f t="shared" si="314"/>
        <v>0</v>
      </c>
      <c r="AZ208" s="236">
        <f t="shared" si="315"/>
        <v>0</v>
      </c>
      <c r="BA208" s="232">
        <f t="shared" si="316"/>
        <v>2.9359344737260964E-4</v>
      </c>
      <c r="BB208" s="232">
        <f t="shared" si="323"/>
        <v>6.7721435602584938E-5</v>
      </c>
      <c r="BC208" s="228">
        <f t="shared" si="346"/>
        <v>0</v>
      </c>
    </row>
    <row r="209" spans="1:55" outlineLevel="2" collapsed="1" x14ac:dyDescent="0.25">
      <c r="A209" s="222">
        <v>8</v>
      </c>
      <c r="B209" s="234">
        <f>EEFFun!B451</f>
        <v>29909015</v>
      </c>
      <c r="C209" s="234" t="str">
        <f>EEFFun!C451</f>
        <v>FONDOS EN GARANTIA</v>
      </c>
      <c r="D209" s="235">
        <f>EEFFun!P451</f>
        <v>11100</v>
      </c>
      <c r="E209" s="235">
        <f>EEFFun!Q451</f>
        <v>11100</v>
      </c>
      <c r="F209" s="235">
        <f>EEFFun!R451</f>
        <v>11100</v>
      </c>
      <c r="G209" s="235">
        <f>EEFFun!S451</f>
        <v>11100</v>
      </c>
      <c r="H209" s="235">
        <f>EEFFun!T451</f>
        <v>11100</v>
      </c>
      <c r="I209" s="235">
        <f>EEFFun!U451</f>
        <v>11100</v>
      </c>
      <c r="J209" s="235">
        <f>EEFFun!V451</f>
        <v>11100</v>
      </c>
      <c r="K209" s="235">
        <f>EEFFun!W451</f>
        <v>11100</v>
      </c>
      <c r="L209" s="235">
        <f>EEFFun!X451</f>
        <v>11100</v>
      </c>
      <c r="M209" s="235">
        <f>EEFFun!Y451</f>
        <v>11100</v>
      </c>
      <c r="N209" s="235">
        <f>EEFFun!Z451</f>
        <v>11100</v>
      </c>
      <c r="O209" s="235">
        <f>EEFFun!AA451</f>
        <v>11100</v>
      </c>
      <c r="P209" s="235">
        <f>EEFFun!AB451</f>
        <v>11100</v>
      </c>
      <c r="Q209" s="235">
        <f>EEFFun!AC451</f>
        <v>11100</v>
      </c>
      <c r="R209" s="235">
        <f>EEFFun!AD451</f>
        <v>10000</v>
      </c>
      <c r="S209" s="235">
        <f>EEFFun!AE451</f>
        <v>10000</v>
      </c>
      <c r="T209" s="235">
        <f>EEFFun!AF451</f>
        <v>10000</v>
      </c>
      <c r="U209" s="235">
        <f>EEFFun!AG451</f>
        <v>10000</v>
      </c>
      <c r="V209" s="235">
        <f>EEFFun!AH451</f>
        <v>10000</v>
      </c>
      <c r="W209" s="235">
        <f>EEFFun!AI451</f>
        <v>10000</v>
      </c>
      <c r="X209" s="235">
        <f>EEFFun!AJ451</f>
        <v>10000</v>
      </c>
      <c r="Y209" s="235">
        <f>EEFFun!AK451</f>
        <v>10000</v>
      </c>
      <c r="Z209" s="235">
        <f>EEFFun!AL451</f>
        <v>10000</v>
      </c>
      <c r="AA209" s="235">
        <f>EEFFun!AM451</f>
        <v>10000</v>
      </c>
      <c r="AB209" s="235">
        <f>EEFFun!AN451</f>
        <v>10000</v>
      </c>
      <c r="AC209" s="235">
        <f>EEFFun!AO451</f>
        <v>10000</v>
      </c>
      <c r="AD209" s="235">
        <f>EEFFun!AP451</f>
        <v>10000</v>
      </c>
      <c r="AE209" s="235">
        <f>EEFFun!AQ451</f>
        <v>10000</v>
      </c>
      <c r="AF209" s="235">
        <f>EEFFun!AR451</f>
        <v>10000</v>
      </c>
      <c r="AG209" s="235">
        <f>EEFFun!AS451</f>
        <v>10000</v>
      </c>
      <c r="AH209" s="235">
        <f>EEFFun!AT451</f>
        <v>10000</v>
      </c>
      <c r="AI209" s="235">
        <f>EEFFun!AU451</f>
        <v>10000</v>
      </c>
      <c r="AJ209" s="235">
        <f>EEFFun!AV451</f>
        <v>10000</v>
      </c>
      <c r="AK209" s="235">
        <f>EEFFun!AW451</f>
        <v>10000</v>
      </c>
      <c r="AL209" s="235">
        <f>EEFFun!AX451</f>
        <v>10000</v>
      </c>
      <c r="AM209" s="236">
        <f t="shared" si="369"/>
        <v>11100</v>
      </c>
      <c r="AN209" s="236">
        <f t="shared" si="369"/>
        <v>10000</v>
      </c>
      <c r="AO209" s="236">
        <f t="shared" si="369"/>
        <v>10000</v>
      </c>
      <c r="AP209" s="236">
        <f t="shared" si="369"/>
        <v>10000</v>
      </c>
      <c r="AQ209" s="236">
        <f t="shared" si="369"/>
        <v>10000</v>
      </c>
      <c r="AR209" s="236">
        <f t="shared" si="369"/>
        <v>10000</v>
      </c>
      <c r="AS209" s="236">
        <f t="shared" si="369"/>
        <v>10000</v>
      </c>
      <c r="AT209" s="236">
        <f t="shared" si="369"/>
        <v>10000</v>
      </c>
      <c r="AU209" s="236">
        <f t="shared" si="369"/>
        <v>10000</v>
      </c>
      <c r="AV209" s="236">
        <f t="shared" si="369"/>
        <v>10000</v>
      </c>
      <c r="AW209" s="236">
        <f t="shared" si="369"/>
        <v>10000</v>
      </c>
      <c r="AX209" s="236">
        <f t="shared" si="369"/>
        <v>10000</v>
      </c>
      <c r="AY209" s="236">
        <f t="shared" si="314"/>
        <v>0</v>
      </c>
      <c r="AZ209" s="236">
        <f t="shared" si="315"/>
        <v>-1100</v>
      </c>
      <c r="BA209" s="232">
        <f t="shared" si="316"/>
        <v>3.4298155537738402E-4</v>
      </c>
      <c r="BB209" s="232">
        <f t="shared" si="323"/>
        <v>7.1273417644306597E-5</v>
      </c>
      <c r="BC209" s="228">
        <f t="shared" si="346"/>
        <v>0</v>
      </c>
    </row>
    <row r="210" spans="1:55" outlineLevel="2" collapsed="1" x14ac:dyDescent="0.25">
      <c r="A210" s="222">
        <v>8</v>
      </c>
      <c r="B210" s="234">
        <f>EEFFun!B452</f>
        <v>29909030</v>
      </c>
      <c r="C210" s="234" t="str">
        <f>EEFFun!C452</f>
        <v>TRANSACCIONES CASH</v>
      </c>
      <c r="D210" s="235">
        <f>EEFFun!P452</f>
        <v>32667.81</v>
      </c>
      <c r="E210" s="235">
        <f>EEFFun!Q452</f>
        <v>27882.93</v>
      </c>
      <c r="F210" s="235">
        <f>EEFFun!R452</f>
        <v>27353.3</v>
      </c>
      <c r="G210" s="235">
        <f>EEFFun!S452</f>
        <v>33561.040000000001</v>
      </c>
      <c r="H210" s="235">
        <f>EEFFun!T452</f>
        <v>26804.87</v>
      </c>
      <c r="I210" s="235">
        <f>EEFFun!U452</f>
        <v>26080.55</v>
      </c>
      <c r="J210" s="235">
        <f>EEFFun!V452</f>
        <v>19790.169999999998</v>
      </c>
      <c r="K210" s="235">
        <f>EEFFun!W452</f>
        <v>21533.46</v>
      </c>
      <c r="L210" s="235">
        <f>EEFFun!X452</f>
        <v>17980.23</v>
      </c>
      <c r="M210" s="235">
        <f>EEFFun!Y452</f>
        <v>22289.55</v>
      </c>
      <c r="N210" s="235">
        <f>EEFFun!Z452</f>
        <v>40512.58</v>
      </c>
      <c r="O210" s="235">
        <f>EEFFun!AA452</f>
        <v>96617.600000000006</v>
      </c>
      <c r="P210" s="235">
        <f>EEFFun!AB452</f>
        <v>50632.14</v>
      </c>
      <c r="Q210" s="235">
        <f>EEFFun!AC452</f>
        <v>91779.86</v>
      </c>
      <c r="R210" s="235">
        <f>EEFFun!AD452</f>
        <v>90524.71</v>
      </c>
      <c r="S210" s="235">
        <f>EEFFun!AE452</f>
        <v>40164.65</v>
      </c>
      <c r="T210" s="235">
        <f>EEFFun!AF452</f>
        <v>89215.85</v>
      </c>
      <c r="U210" s="235">
        <f>EEFFun!AG452</f>
        <v>41135.589999999997</v>
      </c>
      <c r="V210" s="235">
        <f>EEFFun!AH452</f>
        <v>39805.980000000003</v>
      </c>
      <c r="W210" s="235">
        <f>EEFFun!AI452</f>
        <v>41604.35</v>
      </c>
      <c r="X210" s="235">
        <f>EEFFun!AJ452</f>
        <v>41233.480000000003</v>
      </c>
      <c r="Y210" s="235">
        <f>EEFFun!AK452</f>
        <v>42901.8</v>
      </c>
      <c r="Z210" s="235">
        <f>EEFFun!AL452</f>
        <v>67992.2</v>
      </c>
      <c r="AA210" s="235">
        <f>EEFFun!AM452</f>
        <v>93946.66</v>
      </c>
      <c r="AB210" s="235">
        <f>EEFFun!AN452</f>
        <v>110760.78</v>
      </c>
      <c r="AC210" s="235">
        <f>EEFFun!AO452</f>
        <v>58250.25</v>
      </c>
      <c r="AD210" s="235">
        <f>EEFFun!AP452</f>
        <v>61872.5</v>
      </c>
      <c r="AE210" s="235">
        <f>EEFFun!AQ452</f>
        <v>68200.2</v>
      </c>
      <c r="AF210" s="235">
        <f>EEFFun!AR452</f>
        <v>77629.63</v>
      </c>
      <c r="AG210" s="235">
        <f>EEFFun!AS452</f>
        <v>67804.990000000005</v>
      </c>
      <c r="AH210" s="235">
        <f>EEFFun!AT452</f>
        <v>62058.68</v>
      </c>
      <c r="AI210" s="235">
        <f>EEFFun!AU452</f>
        <v>75860.990000000005</v>
      </c>
      <c r="AJ210" s="235">
        <f>EEFFun!AV452</f>
        <v>98406.28</v>
      </c>
      <c r="AK210" s="235">
        <f>EEFFun!AW452</f>
        <v>121341.68</v>
      </c>
      <c r="AL210" s="235">
        <f>EEFFun!AX452</f>
        <v>143208.57999999999</v>
      </c>
      <c r="AM210" s="236">
        <f>AC210</f>
        <v>58250.25</v>
      </c>
      <c r="AN210" s="236">
        <f t="shared" ref="AN210:AX211" si="370">AD210</f>
        <v>61872.5</v>
      </c>
      <c r="AO210" s="236">
        <f t="shared" si="370"/>
        <v>68200.2</v>
      </c>
      <c r="AP210" s="236">
        <f t="shared" si="370"/>
        <v>77629.63</v>
      </c>
      <c r="AQ210" s="236">
        <f t="shared" si="370"/>
        <v>67804.990000000005</v>
      </c>
      <c r="AR210" s="236">
        <f t="shared" si="370"/>
        <v>62058.68</v>
      </c>
      <c r="AS210" s="236">
        <f t="shared" si="370"/>
        <v>75860.990000000005</v>
      </c>
      <c r="AT210" s="236">
        <f t="shared" si="370"/>
        <v>98406.28</v>
      </c>
      <c r="AU210" s="236">
        <f t="shared" si="370"/>
        <v>121341.68</v>
      </c>
      <c r="AV210" s="236">
        <f t="shared" si="370"/>
        <v>143208.57999999999</v>
      </c>
      <c r="AW210" s="236">
        <f t="shared" si="370"/>
        <v>58250.25</v>
      </c>
      <c r="AX210" s="236">
        <f t="shared" si="370"/>
        <v>61872.5</v>
      </c>
      <c r="AY210" s="236">
        <f t="shared" si="314"/>
        <v>22066.519999999997</v>
      </c>
      <c r="AZ210" s="236">
        <f t="shared" si="315"/>
        <v>11240.36</v>
      </c>
      <c r="BA210" s="232">
        <f t="shared" si="316"/>
        <v>1.5644946062419334E-3</v>
      </c>
      <c r="BB210" s="232">
        <f t="shared" si="323"/>
        <v>4.4098645331973601E-4</v>
      </c>
      <c r="BC210" s="228">
        <f t="shared" si="346"/>
        <v>56801.93</v>
      </c>
    </row>
    <row r="211" spans="1:55" outlineLevel="2" collapsed="1" x14ac:dyDescent="0.25">
      <c r="A211" s="222">
        <v>8</v>
      </c>
      <c r="B211" s="234">
        <f>EEFFun!B457</f>
        <v>29909035</v>
      </c>
      <c r="C211" s="234" t="str">
        <f>EEFFun!C457</f>
        <v>TRANSACCIONES SPI-SPL OFICINA</v>
      </c>
      <c r="D211" s="235">
        <f>EEFFun!P457</f>
        <v>134069.44</v>
      </c>
      <c r="E211" s="235">
        <f>EEFFun!Q457</f>
        <v>67891.179999999993</v>
      </c>
      <c r="F211" s="235">
        <f>EEFFun!R457</f>
        <v>199362.47</v>
      </c>
      <c r="G211" s="235">
        <f>EEFFun!S457</f>
        <v>146929.29999999999</v>
      </c>
      <c r="H211" s="235">
        <f>EEFFun!T457</f>
        <v>93632.79</v>
      </c>
      <c r="I211" s="235">
        <f>EEFFun!U457</f>
        <v>34894.1</v>
      </c>
      <c r="J211" s="235">
        <f>EEFFun!V457</f>
        <v>33969.339999999997</v>
      </c>
      <c r="K211" s="235">
        <f>EEFFun!W457</f>
        <v>20698.63</v>
      </c>
      <c r="L211" s="235">
        <f>EEFFun!X457</f>
        <v>29217.41</v>
      </c>
      <c r="M211" s="235">
        <f>EEFFun!Y457</f>
        <v>54813.33</v>
      </c>
      <c r="N211" s="235">
        <f>EEFFun!Z457</f>
        <v>81928.850000000006</v>
      </c>
      <c r="O211" s="235">
        <f>EEFFun!AA457</f>
        <v>171015.77</v>
      </c>
      <c r="P211" s="235">
        <f>EEFFun!AB457</f>
        <v>6366.89</v>
      </c>
      <c r="Q211" s="235">
        <f>EEFFun!AC457</f>
        <v>169461.95</v>
      </c>
      <c r="R211" s="235">
        <f>EEFFun!AD457</f>
        <v>67712.22</v>
      </c>
      <c r="S211" s="235">
        <f>EEFFun!AE457</f>
        <v>36016.019999999997</v>
      </c>
      <c r="T211" s="235">
        <f>EEFFun!AF457</f>
        <v>6943</v>
      </c>
      <c r="U211" s="235">
        <f>EEFFun!AG457</f>
        <v>6259.8</v>
      </c>
      <c r="V211" s="235">
        <f>EEFFun!AH457</f>
        <v>8813.64</v>
      </c>
      <c r="W211" s="235">
        <f>EEFFun!AI457</f>
        <v>24942.07</v>
      </c>
      <c r="X211" s="235">
        <f>EEFFun!AJ457</f>
        <v>2099.59</v>
      </c>
      <c r="Y211" s="235">
        <f>EEFFun!AK457</f>
        <v>70999.899999999994</v>
      </c>
      <c r="Z211" s="235">
        <f>EEFFun!AL457</f>
        <v>7599.19</v>
      </c>
      <c r="AA211" s="235">
        <f>EEFFun!AM457</f>
        <v>68130.2</v>
      </c>
      <c r="AB211" s="235">
        <f>EEFFun!AN457</f>
        <v>43317.61</v>
      </c>
      <c r="AC211" s="235">
        <f>EEFFun!AO457</f>
        <v>26909.8</v>
      </c>
      <c r="AD211" s="235">
        <f>EEFFun!AP457</f>
        <v>6071.23</v>
      </c>
      <c r="AE211" s="235">
        <f>EEFFun!AQ457</f>
        <v>40279.24</v>
      </c>
      <c r="AF211" s="235">
        <f>EEFFun!AR457</f>
        <v>26103.26</v>
      </c>
      <c r="AG211" s="235">
        <f>EEFFun!AS457</f>
        <v>7929.43</v>
      </c>
      <c r="AH211" s="235">
        <f>EEFFun!AT457</f>
        <v>118930.91</v>
      </c>
      <c r="AI211" s="235">
        <f>EEFFun!AU457</f>
        <v>107760.24</v>
      </c>
      <c r="AJ211" s="235">
        <f>EEFFun!AV457</f>
        <v>99337.85</v>
      </c>
      <c r="AK211" s="235">
        <f>EEFFun!AW457</f>
        <v>15224.48</v>
      </c>
      <c r="AL211" s="235">
        <f>EEFFun!AX457</f>
        <v>2524.44</v>
      </c>
      <c r="AM211" s="236">
        <f>AC211</f>
        <v>26909.8</v>
      </c>
      <c r="AN211" s="236">
        <f t="shared" si="370"/>
        <v>6071.23</v>
      </c>
      <c r="AO211" s="236">
        <f t="shared" si="370"/>
        <v>40279.24</v>
      </c>
      <c r="AP211" s="236">
        <f t="shared" si="370"/>
        <v>26103.26</v>
      </c>
      <c r="AQ211" s="236">
        <f t="shared" si="370"/>
        <v>7929.43</v>
      </c>
      <c r="AR211" s="236">
        <f t="shared" si="370"/>
        <v>118930.91</v>
      </c>
      <c r="AS211" s="236">
        <f t="shared" si="370"/>
        <v>107760.24</v>
      </c>
      <c r="AT211" s="236">
        <f t="shared" si="370"/>
        <v>99337.85</v>
      </c>
      <c r="AU211" s="236">
        <f t="shared" si="370"/>
        <v>15224.48</v>
      </c>
      <c r="AV211" s="236">
        <f t="shared" si="370"/>
        <v>2524.44</v>
      </c>
      <c r="AW211" s="236">
        <f t="shared" si="370"/>
        <v>26909.8</v>
      </c>
      <c r="AX211" s="236">
        <f t="shared" si="370"/>
        <v>6071.23</v>
      </c>
      <c r="AY211" s="236">
        <f t="shared" si="314"/>
        <v>-2742.41</v>
      </c>
      <c r="AZ211" s="236">
        <f t="shared" si="315"/>
        <v>-295.66000000000076</v>
      </c>
      <c r="BA211" s="232">
        <f t="shared" si="316"/>
        <v>1.9673205721772188E-4</v>
      </c>
      <c r="BB211" s="232">
        <f t="shared" si="323"/>
        <v>4.3271731140464354E-5</v>
      </c>
      <c r="BC211" s="228">
        <f t="shared" si="346"/>
        <v>74395.78</v>
      </c>
    </row>
    <row r="212" spans="1:55" x14ac:dyDescent="0.25">
      <c r="A212" s="222">
        <v>1</v>
      </c>
      <c r="B212" s="230">
        <f>EEFFun!B459</f>
        <v>3</v>
      </c>
      <c r="C212" s="230" t="str">
        <f>EEFFun!C459</f>
        <v>PATRIMONIO</v>
      </c>
      <c r="D212" s="225">
        <f>EEFFun!P459</f>
        <v>5812621.3200000003</v>
      </c>
      <c r="E212" s="225">
        <f>EEFFun!Q459</f>
        <v>5794656.3099999996</v>
      </c>
      <c r="F212" s="225">
        <f>EEFFun!R459</f>
        <v>5797023.4400000004</v>
      </c>
      <c r="G212" s="225">
        <f>EEFFun!S459</f>
        <v>5787976.4000000004</v>
      </c>
      <c r="H212" s="225">
        <f>EEFFun!T459</f>
        <v>5785447.0899999999</v>
      </c>
      <c r="I212" s="225">
        <f>EEFFun!U459</f>
        <v>5788591.4400000004</v>
      </c>
      <c r="J212" s="225">
        <f>EEFFun!V459</f>
        <v>5784759.8499999996</v>
      </c>
      <c r="K212" s="225">
        <f>EEFFun!W459</f>
        <v>5774417.4000000004</v>
      </c>
      <c r="L212" s="225">
        <f>EEFFun!X459</f>
        <v>5775257.7400000002</v>
      </c>
      <c r="M212" s="225">
        <f>EEFFun!Y459</f>
        <v>5776594.5800000001</v>
      </c>
      <c r="N212" s="225">
        <f>EEFFun!Z459</f>
        <v>5770557.2699999996</v>
      </c>
      <c r="O212" s="225">
        <f>EEFFun!AA459</f>
        <v>5771507.9800000004</v>
      </c>
      <c r="P212" s="225">
        <f>EEFFun!AB459</f>
        <v>5800361.5999999996</v>
      </c>
      <c r="Q212" s="225">
        <f>EEFFun!AC459</f>
        <v>5803058.6500000004</v>
      </c>
      <c r="R212" s="225">
        <f>EEFFun!AD459</f>
        <v>5824898.5800000001</v>
      </c>
      <c r="S212" s="225">
        <f>EEFFun!AE459</f>
        <v>5831375.7800000003</v>
      </c>
      <c r="T212" s="225">
        <f>EEFFun!AF459</f>
        <v>5811344.6100000003</v>
      </c>
      <c r="U212" s="225">
        <f>EEFFun!AG459</f>
        <v>5836176.29</v>
      </c>
      <c r="V212" s="225">
        <f>EEFFun!AH459</f>
        <v>5839193.5300000003</v>
      </c>
      <c r="W212" s="225">
        <f>EEFFun!AI459</f>
        <v>5811237.5599999996</v>
      </c>
      <c r="X212" s="225">
        <f>EEFFun!AJ459</f>
        <v>11832896.08</v>
      </c>
      <c r="Y212" s="225">
        <f>EEFFun!AK459</f>
        <v>11714227.9</v>
      </c>
      <c r="Z212" s="225">
        <f>EEFFun!AL459</f>
        <v>11694835.800000001</v>
      </c>
      <c r="AA212" s="225">
        <f>EEFFun!AM459</f>
        <v>11720691.369999999</v>
      </c>
      <c r="AB212" s="225">
        <f>EEFFun!AN459</f>
        <v>10687889.460000001</v>
      </c>
      <c r="AC212" s="225">
        <f>EEFFun!AO459</f>
        <v>10658440.65</v>
      </c>
      <c r="AD212" s="225">
        <f>EEFFun!AP459</f>
        <v>10682576.98</v>
      </c>
      <c r="AE212" s="225">
        <f>EEFFun!AQ459</f>
        <v>10683844.77</v>
      </c>
      <c r="AF212" s="225">
        <f>EEFFun!AR459</f>
        <v>10657248.609999999</v>
      </c>
      <c r="AG212" s="225">
        <f>EEFFun!AS459</f>
        <v>10676110.529999999</v>
      </c>
      <c r="AH212" s="225">
        <f>EEFFun!AT459</f>
        <v>10674115.49</v>
      </c>
      <c r="AI212" s="225">
        <f>EEFFun!AU459</f>
        <v>10655107.02</v>
      </c>
      <c r="AJ212" s="225">
        <f>EEFFun!AV459</f>
        <v>10654992.029999999</v>
      </c>
      <c r="AK212" s="225">
        <f>EEFFun!AW459</f>
        <v>10662054.939999999</v>
      </c>
      <c r="AL212" s="225">
        <f>EEFFun!AX459</f>
        <v>10639461.890000001</v>
      </c>
      <c r="AM212" s="226">
        <f t="shared" ref="AM212:AS212" si="371">AM213+AM218+AM220+AM223</f>
        <v>10674828.364253728</v>
      </c>
      <c r="AN212" s="226">
        <f t="shared" si="371"/>
        <v>10717461.904143009</v>
      </c>
      <c r="AO212" s="226">
        <f t="shared" si="371"/>
        <v>10822265.277759641</v>
      </c>
      <c r="AP212" s="226">
        <f>AP213+AP218+AP220+AP223</f>
        <v>10941384.795338009</v>
      </c>
      <c r="AQ212" s="226">
        <f t="shared" si="371"/>
        <v>11072674.231045995</v>
      </c>
      <c r="AR212" s="226">
        <f t="shared" si="371"/>
        <v>11213620.496047327</v>
      </c>
      <c r="AS212" s="226">
        <f t="shared" si="371"/>
        <v>11366830.895941192</v>
      </c>
      <c r="AT212" s="226">
        <f>AT213+AT218+AT220+AT223</f>
        <v>11554502.173052326</v>
      </c>
      <c r="AU212" s="226">
        <f t="shared" ref="AU212:AW212" si="372">AU213+AU218+AU220+AU223</f>
        <v>11723438.779495442</v>
      </c>
      <c r="AV212" s="226">
        <f t="shared" si="372"/>
        <v>11931189.556225572</v>
      </c>
      <c r="AW212" s="226">
        <f t="shared" si="372"/>
        <v>12147511.668274986</v>
      </c>
      <c r="AX212" s="226">
        <f>AX213+AX218+AX220+AX223</f>
        <v>14048179.766802197</v>
      </c>
      <c r="AY212" s="226">
        <f t="shared" si="314"/>
        <v>8208986.2368021971</v>
      </c>
      <c r="AZ212" s="226">
        <f t="shared" si="315"/>
        <v>8247818.1668021977</v>
      </c>
      <c r="BA212" s="231">
        <f>BA213+BA220+BA223</f>
        <v>1.0000000000000002</v>
      </c>
      <c r="BB212" s="231">
        <f>BB213+BB220+BB223</f>
        <v>1</v>
      </c>
      <c r="BC212" s="228">
        <f t="shared" si="346"/>
        <v>5743264.6130523263</v>
      </c>
    </row>
    <row r="213" spans="1:55" s="229" customFormat="1" outlineLevel="1" x14ac:dyDescent="0.25">
      <c r="A213" s="222">
        <v>2</v>
      </c>
      <c r="B213" s="230">
        <f>EEFFun!B460</f>
        <v>31</v>
      </c>
      <c r="C213" s="230" t="str">
        <f>EEFFun!C460</f>
        <v>CAPITAL SOCIAL</v>
      </c>
      <c r="D213" s="225">
        <f>EEFFun!P460</f>
        <v>11000000</v>
      </c>
      <c r="E213" s="225">
        <f>EEFFun!Q460</f>
        <v>11000000</v>
      </c>
      <c r="F213" s="225">
        <f>EEFFun!R460</f>
        <v>11000000</v>
      </c>
      <c r="G213" s="225">
        <f>EEFFun!S460</f>
        <v>11000000</v>
      </c>
      <c r="H213" s="225">
        <f>EEFFun!T460</f>
        <v>11000000</v>
      </c>
      <c r="I213" s="225">
        <f>EEFFun!U460</f>
        <v>11000000</v>
      </c>
      <c r="J213" s="225">
        <f>EEFFun!V460</f>
        <v>11000000</v>
      </c>
      <c r="K213" s="225">
        <f>EEFFun!W460</f>
        <v>11000000</v>
      </c>
      <c r="L213" s="225">
        <f>EEFFun!X460</f>
        <v>11000000</v>
      </c>
      <c r="M213" s="225">
        <f>EEFFun!Y460</f>
        <v>11000000</v>
      </c>
      <c r="N213" s="225">
        <f>EEFFun!Z460</f>
        <v>11000000</v>
      </c>
      <c r="O213" s="225">
        <f>EEFFun!AA460</f>
        <v>11000000</v>
      </c>
      <c r="P213" s="225">
        <f>EEFFun!AB460</f>
        <v>11000000</v>
      </c>
      <c r="Q213" s="225">
        <f>EEFFun!AC460</f>
        <v>11000000</v>
      </c>
      <c r="R213" s="225">
        <f>EEFFun!AD460</f>
        <v>11000000</v>
      </c>
      <c r="S213" s="225">
        <f>EEFFun!AE460</f>
        <v>11000000</v>
      </c>
      <c r="T213" s="225">
        <f>EEFFun!AF460</f>
        <v>11000000</v>
      </c>
      <c r="U213" s="225">
        <f>EEFFun!AG460</f>
        <v>11000000</v>
      </c>
      <c r="V213" s="225">
        <f>EEFFun!AH460</f>
        <v>11000000</v>
      </c>
      <c r="W213" s="225">
        <f>EEFFun!AI460</f>
        <v>11000000</v>
      </c>
      <c r="X213" s="225">
        <f>EEFFun!AJ460</f>
        <v>17000000</v>
      </c>
      <c r="Y213" s="225">
        <f>EEFFun!AK460</f>
        <v>17000000</v>
      </c>
      <c r="Z213" s="225">
        <f>EEFFun!AL460</f>
        <v>17000000</v>
      </c>
      <c r="AA213" s="225">
        <f>EEFFun!AM460</f>
        <v>17000000</v>
      </c>
      <c r="AB213" s="225">
        <f>EEFFun!AN460</f>
        <v>17000000</v>
      </c>
      <c r="AC213" s="225">
        <f>EEFFun!AO460</f>
        <v>17000000</v>
      </c>
      <c r="AD213" s="225">
        <f>EEFFun!AP460</f>
        <v>17000000</v>
      </c>
      <c r="AE213" s="225">
        <f>EEFFun!AQ460</f>
        <v>17000000</v>
      </c>
      <c r="AF213" s="225">
        <f>EEFFun!AR460</f>
        <v>16050000</v>
      </c>
      <c r="AG213" s="225">
        <f>EEFFun!AS460</f>
        <v>16050000</v>
      </c>
      <c r="AH213" s="225">
        <f>EEFFun!AT460</f>
        <v>16050000</v>
      </c>
      <c r="AI213" s="225">
        <f>EEFFun!AU460</f>
        <v>16050000</v>
      </c>
      <c r="AJ213" s="225">
        <f>EEFFun!AV460</f>
        <v>16050000</v>
      </c>
      <c r="AK213" s="225">
        <f>EEFFun!AW460</f>
        <v>16050000</v>
      </c>
      <c r="AL213" s="225">
        <f>EEFFun!AX460</f>
        <v>16050000</v>
      </c>
      <c r="AM213" s="226">
        <f t="shared" ref="AM213:AS213" si="373">AM214</f>
        <v>16050000</v>
      </c>
      <c r="AN213" s="226">
        <f t="shared" si="373"/>
        <v>16050000</v>
      </c>
      <c r="AO213" s="226">
        <f t="shared" si="373"/>
        <v>16050000</v>
      </c>
      <c r="AP213" s="226">
        <f t="shared" si="373"/>
        <v>16050000</v>
      </c>
      <c r="AQ213" s="226">
        <f t="shared" si="373"/>
        <v>16050000</v>
      </c>
      <c r="AR213" s="226">
        <f t="shared" si="373"/>
        <v>16050000</v>
      </c>
      <c r="AS213" s="226">
        <f t="shared" si="373"/>
        <v>16050000</v>
      </c>
      <c r="AT213" s="226">
        <f t="shared" ref="AT213" si="374">AT214</f>
        <v>16050000</v>
      </c>
      <c r="AU213" s="226">
        <f t="shared" ref="AU213" si="375">AU214</f>
        <v>16050000</v>
      </c>
      <c r="AV213" s="226">
        <f t="shared" ref="AV213" si="376">AV214</f>
        <v>16050000</v>
      </c>
      <c r="AW213" s="226">
        <f t="shared" ref="AW213" si="377">AW214</f>
        <v>16050000</v>
      </c>
      <c r="AX213" s="226">
        <f t="shared" ref="AX213" si="378">AX214</f>
        <v>16050000</v>
      </c>
      <c r="AY213" s="226">
        <f t="shared" si="314"/>
        <v>5050000</v>
      </c>
      <c r="AZ213" s="226">
        <f t="shared" si="315"/>
        <v>5050000</v>
      </c>
      <c r="BA213" s="231">
        <f>P213/$P$212</f>
        <v>1.8964334913188863</v>
      </c>
      <c r="BB213" s="231">
        <f>AX213/$AX$212</f>
        <v>1.1424967694340289</v>
      </c>
      <c r="BC213" s="228">
        <f t="shared" si="346"/>
        <v>5050000</v>
      </c>
    </row>
    <row r="214" spans="1:55" outlineLevel="2" collapsed="1" x14ac:dyDescent="0.25">
      <c r="A214" s="222">
        <v>4</v>
      </c>
      <c r="B214" s="234">
        <f>EEFFun!B461</f>
        <v>3101</v>
      </c>
      <c r="C214" s="234" t="str">
        <f>EEFFun!C461</f>
        <v>Capital pagado</v>
      </c>
      <c r="D214" s="235">
        <f>EEFFun!P461</f>
        <v>11000000</v>
      </c>
      <c r="E214" s="235">
        <f>EEFFun!Q461</f>
        <v>11000000</v>
      </c>
      <c r="F214" s="235">
        <f>EEFFun!R461</f>
        <v>11000000</v>
      </c>
      <c r="G214" s="235">
        <f>EEFFun!S461</f>
        <v>11000000</v>
      </c>
      <c r="H214" s="235">
        <f>EEFFun!T461</f>
        <v>11000000</v>
      </c>
      <c r="I214" s="235">
        <f>EEFFun!U461</f>
        <v>11000000</v>
      </c>
      <c r="J214" s="235">
        <f>EEFFun!V461</f>
        <v>11000000</v>
      </c>
      <c r="K214" s="235">
        <f>EEFFun!W461</f>
        <v>11000000</v>
      </c>
      <c r="L214" s="235">
        <f>EEFFun!X461</f>
        <v>11000000</v>
      </c>
      <c r="M214" s="235">
        <f>EEFFun!Y461</f>
        <v>11000000</v>
      </c>
      <c r="N214" s="235">
        <f>EEFFun!Z461</f>
        <v>11000000</v>
      </c>
      <c r="O214" s="235">
        <f>EEFFun!AA461</f>
        <v>11000000</v>
      </c>
      <c r="P214" s="235">
        <f>EEFFun!AB461</f>
        <v>11000000</v>
      </c>
      <c r="Q214" s="235">
        <f>EEFFun!AC461</f>
        <v>11000000</v>
      </c>
      <c r="R214" s="235">
        <f>EEFFun!AD461</f>
        <v>11000000</v>
      </c>
      <c r="S214" s="235">
        <f>EEFFun!AE461</f>
        <v>11000000</v>
      </c>
      <c r="T214" s="235">
        <f>EEFFun!AF461</f>
        <v>11000000</v>
      </c>
      <c r="U214" s="235">
        <f>EEFFun!AG461</f>
        <v>11000000</v>
      </c>
      <c r="V214" s="235">
        <f>EEFFun!AH461</f>
        <v>11000000</v>
      </c>
      <c r="W214" s="235">
        <f>EEFFun!AI461</f>
        <v>11000000</v>
      </c>
      <c r="X214" s="235">
        <f>EEFFun!AJ461</f>
        <v>17000000</v>
      </c>
      <c r="Y214" s="235">
        <f>EEFFun!AK461</f>
        <v>17000000</v>
      </c>
      <c r="Z214" s="235">
        <f>EEFFun!AL461</f>
        <v>17000000</v>
      </c>
      <c r="AA214" s="235">
        <f>EEFFun!AM461</f>
        <v>17000000</v>
      </c>
      <c r="AB214" s="235">
        <f>EEFFun!AN461</f>
        <v>17000000</v>
      </c>
      <c r="AC214" s="235">
        <f>EEFFun!AO461</f>
        <v>17000000</v>
      </c>
      <c r="AD214" s="235">
        <f>EEFFun!AP461</f>
        <v>17000000</v>
      </c>
      <c r="AE214" s="235">
        <f>EEFFun!AQ461</f>
        <v>17000000</v>
      </c>
      <c r="AF214" s="235">
        <f>EEFFun!AR461</f>
        <v>16050000</v>
      </c>
      <c r="AG214" s="235">
        <f>EEFFun!AS461</f>
        <v>16050000</v>
      </c>
      <c r="AH214" s="235">
        <f>EEFFun!AT461</f>
        <v>16050000</v>
      </c>
      <c r="AI214" s="235">
        <f>EEFFun!AU461</f>
        <v>16050000</v>
      </c>
      <c r="AJ214" s="235">
        <f>EEFFun!AV461</f>
        <v>16050000</v>
      </c>
      <c r="AK214" s="235">
        <f>EEFFun!AW461</f>
        <v>16050000</v>
      </c>
      <c r="AL214" s="235">
        <f>EEFFun!AX461</f>
        <v>16050000</v>
      </c>
      <c r="AM214" s="236">
        <f t="shared" ref="AM214:AS214" si="379">SUM(AM215:AM217)</f>
        <v>16050000</v>
      </c>
      <c r="AN214" s="236">
        <f t="shared" si="379"/>
        <v>16050000</v>
      </c>
      <c r="AO214" s="236">
        <f t="shared" si="379"/>
        <v>16050000</v>
      </c>
      <c r="AP214" s="236">
        <f t="shared" si="379"/>
        <v>16050000</v>
      </c>
      <c r="AQ214" s="236">
        <f t="shared" si="379"/>
        <v>16050000</v>
      </c>
      <c r="AR214" s="236">
        <f t="shared" si="379"/>
        <v>16050000</v>
      </c>
      <c r="AS214" s="236">
        <f t="shared" si="379"/>
        <v>16050000</v>
      </c>
      <c r="AT214" s="236">
        <f t="shared" ref="AT214" si="380">SUM(AT215:AT217)</f>
        <v>16050000</v>
      </c>
      <c r="AU214" s="236">
        <f t="shared" ref="AU214" si="381">SUM(AU215:AU217)</f>
        <v>16050000</v>
      </c>
      <c r="AV214" s="236">
        <f t="shared" ref="AV214" si="382">SUM(AV215:AV217)</f>
        <v>16050000</v>
      </c>
      <c r="AW214" s="236">
        <f t="shared" ref="AW214" si="383">SUM(AW215:AW217)</f>
        <v>16050000</v>
      </c>
      <c r="AX214" s="236">
        <f t="shared" ref="AX214" si="384">SUM(AX215:AX217)</f>
        <v>16050000</v>
      </c>
      <c r="AY214" s="236">
        <f t="shared" si="314"/>
        <v>5050000</v>
      </c>
      <c r="AZ214" s="236">
        <f t="shared" si="315"/>
        <v>5050000</v>
      </c>
      <c r="BA214" s="232">
        <f>P214/$P$212</f>
        <v>1.8964334913188863</v>
      </c>
      <c r="BB214" s="232">
        <f>AX214/$AX$212</f>
        <v>1.1424967694340289</v>
      </c>
      <c r="BC214" s="228">
        <f t="shared" si="346"/>
        <v>5050000</v>
      </c>
    </row>
    <row r="215" spans="1:55" outlineLevel="2" collapsed="1" x14ac:dyDescent="0.25">
      <c r="A215" s="222">
        <v>6</v>
      </c>
      <c r="B215" s="234">
        <f>EEFFun!B462</f>
        <v>310105</v>
      </c>
      <c r="C215" s="234" t="str">
        <f>EEFFun!C462</f>
        <v>APORTES DE ACCIONISTAS</v>
      </c>
      <c r="D215" s="235">
        <f>EEFFun!P462</f>
        <v>2441316.42</v>
      </c>
      <c r="E215" s="235">
        <f>EEFFun!Q462</f>
        <v>2441316.42</v>
      </c>
      <c r="F215" s="235">
        <f>EEFFun!R462</f>
        <v>2441316.42</v>
      </c>
      <c r="G215" s="235">
        <f>EEFFun!S462</f>
        <v>2441316.42</v>
      </c>
      <c r="H215" s="235">
        <f>EEFFun!T462</f>
        <v>2441316.42</v>
      </c>
      <c r="I215" s="235">
        <f>EEFFun!U462</f>
        <v>2441316.42</v>
      </c>
      <c r="J215" s="235">
        <f>EEFFun!V462</f>
        <v>2441316.42</v>
      </c>
      <c r="K215" s="235">
        <f>EEFFun!W462</f>
        <v>2441316.42</v>
      </c>
      <c r="L215" s="235">
        <f>EEFFun!X462</f>
        <v>2441316.42</v>
      </c>
      <c r="M215" s="235">
        <f>EEFFun!Y462</f>
        <v>2441316.42</v>
      </c>
      <c r="N215" s="235">
        <f>EEFFun!Z462</f>
        <v>2441316.42</v>
      </c>
      <c r="O215" s="235">
        <f>EEFFun!AA462</f>
        <v>2441316.42</v>
      </c>
      <c r="P215" s="235">
        <f>EEFFun!AB462</f>
        <v>2441316.42</v>
      </c>
      <c r="Q215" s="235">
        <f>EEFFun!AC462</f>
        <v>2441316.42</v>
      </c>
      <c r="R215" s="235">
        <f>EEFFun!AD462</f>
        <v>2441316.42</v>
      </c>
      <c r="S215" s="235">
        <f>EEFFun!AE462</f>
        <v>2441316.42</v>
      </c>
      <c r="T215" s="235">
        <f>EEFFun!AF462</f>
        <v>2441316.42</v>
      </c>
      <c r="U215" s="235">
        <f>EEFFun!AG462</f>
        <v>2441316.42</v>
      </c>
      <c r="V215" s="235">
        <f>EEFFun!AH462</f>
        <v>2441316.42</v>
      </c>
      <c r="W215" s="235">
        <f>EEFFun!AI462</f>
        <v>2441316.42</v>
      </c>
      <c r="X215" s="235">
        <f>EEFFun!AJ462</f>
        <v>8441316.4199999999</v>
      </c>
      <c r="Y215" s="235">
        <f>EEFFun!AK462</f>
        <v>8441316.4199999999</v>
      </c>
      <c r="Z215" s="235">
        <f>EEFFun!AL462</f>
        <v>8441316.4199999999</v>
      </c>
      <c r="AA215" s="235">
        <f>EEFFun!AM462</f>
        <v>8441316.4199999999</v>
      </c>
      <c r="AB215" s="235">
        <f>EEFFun!AN462</f>
        <v>8441316.4199999999</v>
      </c>
      <c r="AC215" s="235">
        <f>EEFFun!AO462</f>
        <v>8441316.4199999999</v>
      </c>
      <c r="AD215" s="235">
        <f>EEFFun!AP462</f>
        <v>8441316.4199999999</v>
      </c>
      <c r="AE215" s="235">
        <f>EEFFun!AQ462</f>
        <v>8441316.4199999999</v>
      </c>
      <c r="AF215" s="235">
        <f>EEFFun!AR462</f>
        <v>7491316.4199999999</v>
      </c>
      <c r="AG215" s="235">
        <f>EEFFun!AS462</f>
        <v>7491316.4199999999</v>
      </c>
      <c r="AH215" s="235">
        <f>EEFFun!AT462</f>
        <v>7491316.4199999999</v>
      </c>
      <c r="AI215" s="235">
        <f>EEFFun!AU462</f>
        <v>7491316.4199999999</v>
      </c>
      <c r="AJ215" s="235">
        <f>EEFFun!AV462</f>
        <v>7491316.4199999999</v>
      </c>
      <c r="AK215" s="235">
        <f>EEFFun!AW462</f>
        <v>7491316.4199999999</v>
      </c>
      <c r="AL215" s="235">
        <f>EEFFun!AX462</f>
        <v>7491316.4199999999</v>
      </c>
      <c r="AM215" s="236">
        <f>+AL215</f>
        <v>7491316.4199999999</v>
      </c>
      <c r="AN215" s="236">
        <f t="shared" ref="AN215" si="385">AM215</f>
        <v>7491316.4199999999</v>
      </c>
      <c r="AO215" s="236">
        <f t="shared" ref="AO215" si="386">AN215</f>
        <v>7491316.4199999999</v>
      </c>
      <c r="AP215" s="236">
        <f t="shared" ref="AP215" si="387">AO215</f>
        <v>7491316.4199999999</v>
      </c>
      <c r="AQ215" s="236">
        <f t="shared" ref="AQ215" si="388">AP215</f>
        <v>7491316.4199999999</v>
      </c>
      <c r="AR215" s="236">
        <f t="shared" ref="AR215" si="389">AQ215</f>
        <v>7491316.4199999999</v>
      </c>
      <c r="AS215" s="236">
        <f t="shared" ref="AS215" si="390">AR215</f>
        <v>7491316.4199999999</v>
      </c>
      <c r="AT215" s="236">
        <f t="shared" ref="AT215" si="391">AS215</f>
        <v>7491316.4199999999</v>
      </c>
      <c r="AU215" s="236">
        <f t="shared" ref="AU215:AW215" si="392">AT215</f>
        <v>7491316.4199999999</v>
      </c>
      <c r="AV215" s="236">
        <f t="shared" si="392"/>
        <v>7491316.4199999999</v>
      </c>
      <c r="AW215" s="236">
        <f t="shared" si="392"/>
        <v>7491316.4199999999</v>
      </c>
      <c r="AX215" s="235">
        <f>AW215+Premisas!D133</f>
        <v>7491316.4199999999</v>
      </c>
      <c r="AY215" s="236">
        <f t="shared" si="314"/>
        <v>5050000</v>
      </c>
      <c r="AZ215" s="236">
        <f t="shared" si="315"/>
        <v>5050000</v>
      </c>
      <c r="BA215" s="232">
        <f>P215/$P$212</f>
        <v>0.42089038379952037</v>
      </c>
      <c r="BB215" s="232">
        <f>AX215/$AX$212</f>
        <v>0.53325886658305888</v>
      </c>
      <c r="BC215" s="228">
        <f t="shared" si="346"/>
        <v>5050000</v>
      </c>
    </row>
    <row r="216" spans="1:55" outlineLevel="2" collapsed="1" x14ac:dyDescent="0.25">
      <c r="A216" s="222">
        <v>6</v>
      </c>
      <c r="B216" s="234">
        <f>EEFFun!B463</f>
        <v>310110</v>
      </c>
      <c r="C216" s="234" t="str">
        <f>EEFFun!C463</f>
        <v>REINVERSION</v>
      </c>
      <c r="D216" s="235">
        <f>EEFFun!P463</f>
        <v>8518642.0199999996</v>
      </c>
      <c r="E216" s="235">
        <f>EEFFun!Q463</f>
        <v>8518642.0199999996</v>
      </c>
      <c r="F216" s="235">
        <f>EEFFun!R463</f>
        <v>8518642.0199999996</v>
      </c>
      <c r="G216" s="235">
        <f>EEFFun!S463</f>
        <v>8518642.0199999996</v>
      </c>
      <c r="H216" s="235">
        <f>EEFFun!T463</f>
        <v>8518642.0199999996</v>
      </c>
      <c r="I216" s="235">
        <f>EEFFun!U463</f>
        <v>8518642.0199999996</v>
      </c>
      <c r="J216" s="235">
        <f>EEFFun!V463</f>
        <v>8518642.0199999996</v>
      </c>
      <c r="K216" s="235">
        <f>EEFFun!W463</f>
        <v>8518642.0199999996</v>
      </c>
      <c r="L216" s="235">
        <f>EEFFun!X463</f>
        <v>8518642.0199999996</v>
      </c>
      <c r="M216" s="235">
        <f>EEFFun!Y463</f>
        <v>8518642.0199999996</v>
      </c>
      <c r="N216" s="235">
        <f>EEFFun!Z463</f>
        <v>8518642.0199999996</v>
      </c>
      <c r="O216" s="235">
        <f>EEFFun!AA463</f>
        <v>8518642.0199999996</v>
      </c>
      <c r="P216" s="235">
        <f>EEFFun!AB463</f>
        <v>8518642.0199999996</v>
      </c>
      <c r="Q216" s="235">
        <f>EEFFun!AC463</f>
        <v>8518642.0199999996</v>
      </c>
      <c r="R216" s="235">
        <f>EEFFun!AD463</f>
        <v>8518642.0199999996</v>
      </c>
      <c r="S216" s="235">
        <f>EEFFun!AE463</f>
        <v>8518642.0199999996</v>
      </c>
      <c r="T216" s="235">
        <f>EEFFun!AF463</f>
        <v>8518642.0199999996</v>
      </c>
      <c r="U216" s="235">
        <f>EEFFun!AG463</f>
        <v>8518642.0199999996</v>
      </c>
      <c r="V216" s="235">
        <f>EEFFun!AH463</f>
        <v>8518642.0199999996</v>
      </c>
      <c r="W216" s="235">
        <f>EEFFun!AI463</f>
        <v>8518642.0199999996</v>
      </c>
      <c r="X216" s="235">
        <f>EEFFun!AJ463</f>
        <v>8518642.0199999996</v>
      </c>
      <c r="Y216" s="235">
        <f>EEFFun!AK463</f>
        <v>8518642.0199999996</v>
      </c>
      <c r="Z216" s="235">
        <f>EEFFun!AL463</f>
        <v>8518642.0199999996</v>
      </c>
      <c r="AA216" s="235">
        <f>EEFFun!AM463</f>
        <v>8518642.0199999996</v>
      </c>
      <c r="AB216" s="235">
        <f>EEFFun!AN463</f>
        <v>8518642.0199999996</v>
      </c>
      <c r="AC216" s="235">
        <f>EEFFun!AO463</f>
        <v>8518642.0199999996</v>
      </c>
      <c r="AD216" s="235">
        <f>EEFFun!AP463</f>
        <v>8518642.0199999996</v>
      </c>
      <c r="AE216" s="235">
        <f>EEFFun!AQ463</f>
        <v>8518642.0199999996</v>
      </c>
      <c r="AF216" s="235">
        <f>EEFFun!AR463</f>
        <v>8518642.0199999996</v>
      </c>
      <c r="AG216" s="235">
        <f>EEFFun!AS463</f>
        <v>8518642.0199999996</v>
      </c>
      <c r="AH216" s="235">
        <f>EEFFun!AT463</f>
        <v>8518642.0199999996</v>
      </c>
      <c r="AI216" s="235">
        <f>EEFFun!AU463</f>
        <v>8518642.0199999996</v>
      </c>
      <c r="AJ216" s="235">
        <f>EEFFun!AV463</f>
        <v>8518642.0199999996</v>
      </c>
      <c r="AK216" s="235">
        <f>EEFFun!AW463</f>
        <v>8518642.0199999996</v>
      </c>
      <c r="AL216" s="235">
        <f>EEFFun!AX463</f>
        <v>8518642.0199999996</v>
      </c>
      <c r="AM216" s="236">
        <f t="shared" ref="AM216:AX217" si="393">Q216</f>
        <v>8518642.0199999996</v>
      </c>
      <c r="AN216" s="236">
        <f t="shared" si="393"/>
        <v>8518642.0199999996</v>
      </c>
      <c r="AO216" s="236">
        <f t="shared" si="393"/>
        <v>8518642.0199999996</v>
      </c>
      <c r="AP216" s="236">
        <f t="shared" si="393"/>
        <v>8518642.0199999996</v>
      </c>
      <c r="AQ216" s="236">
        <f t="shared" si="393"/>
        <v>8518642.0199999996</v>
      </c>
      <c r="AR216" s="236">
        <f t="shared" si="393"/>
        <v>8518642.0199999996</v>
      </c>
      <c r="AS216" s="236">
        <f t="shared" si="393"/>
        <v>8518642.0199999996</v>
      </c>
      <c r="AT216" s="236">
        <f t="shared" si="393"/>
        <v>8518642.0199999996</v>
      </c>
      <c r="AU216" s="236">
        <f t="shared" si="393"/>
        <v>8518642.0199999996</v>
      </c>
      <c r="AV216" s="236">
        <f t="shared" si="393"/>
        <v>8518642.0199999996</v>
      </c>
      <c r="AW216" s="236">
        <f t="shared" si="393"/>
        <v>8518642.0199999996</v>
      </c>
      <c r="AX216" s="236">
        <f t="shared" si="393"/>
        <v>8518642.0199999996</v>
      </c>
      <c r="AY216" s="236">
        <f t="shared" si="314"/>
        <v>0</v>
      </c>
      <c r="AZ216" s="236">
        <f t="shared" si="315"/>
        <v>0</v>
      </c>
      <c r="BA216" s="232">
        <f>P216/$P$212</f>
        <v>1.4686398206622153</v>
      </c>
      <c r="BB216" s="232">
        <f>AX216/$AX$212</f>
        <v>0.60638760048691398</v>
      </c>
      <c r="BC216" s="228">
        <f t="shared" si="346"/>
        <v>0</v>
      </c>
    </row>
    <row r="217" spans="1:55" outlineLevel="2" collapsed="1" x14ac:dyDescent="0.25">
      <c r="A217" s="222">
        <v>6</v>
      </c>
      <c r="B217" s="234">
        <f>EEFFun!B464</f>
        <v>310115</v>
      </c>
      <c r="C217" s="234" t="str">
        <f>EEFFun!C464</f>
        <v>REV.PATRIMONIO SIN RESTRICCION</v>
      </c>
      <c r="D217" s="235">
        <f>EEFFun!P464</f>
        <v>40041.56</v>
      </c>
      <c r="E217" s="235">
        <f>EEFFun!Q464</f>
        <v>40041.56</v>
      </c>
      <c r="F217" s="235">
        <f>EEFFun!R464</f>
        <v>40041.56</v>
      </c>
      <c r="G217" s="235">
        <f>EEFFun!S464</f>
        <v>40041.56</v>
      </c>
      <c r="H217" s="235">
        <f>EEFFun!T464</f>
        <v>40041.56</v>
      </c>
      <c r="I217" s="235">
        <f>EEFFun!U464</f>
        <v>40041.56</v>
      </c>
      <c r="J217" s="235">
        <f>EEFFun!V464</f>
        <v>40041.56</v>
      </c>
      <c r="K217" s="235">
        <f>EEFFun!W464</f>
        <v>40041.56</v>
      </c>
      <c r="L217" s="235">
        <f>EEFFun!X464</f>
        <v>40041.56</v>
      </c>
      <c r="M217" s="235">
        <f>EEFFun!Y464</f>
        <v>40041.56</v>
      </c>
      <c r="N217" s="235">
        <f>EEFFun!Z464</f>
        <v>40041.56</v>
      </c>
      <c r="O217" s="235">
        <f>EEFFun!AA464</f>
        <v>40041.56</v>
      </c>
      <c r="P217" s="235">
        <f>EEFFun!AB464</f>
        <v>40041.56</v>
      </c>
      <c r="Q217" s="235">
        <f>EEFFun!AC464</f>
        <v>40041.56</v>
      </c>
      <c r="R217" s="235">
        <f>EEFFun!AD464</f>
        <v>40041.56</v>
      </c>
      <c r="S217" s="235">
        <f>EEFFun!AE464</f>
        <v>40041.56</v>
      </c>
      <c r="T217" s="235">
        <f>EEFFun!AF464</f>
        <v>40041.56</v>
      </c>
      <c r="U217" s="235">
        <f>EEFFun!AG464</f>
        <v>40041.56</v>
      </c>
      <c r="V217" s="235">
        <f>EEFFun!AH464</f>
        <v>40041.56</v>
      </c>
      <c r="W217" s="235">
        <f>EEFFun!AI464</f>
        <v>40041.56</v>
      </c>
      <c r="X217" s="235">
        <f>EEFFun!AJ464</f>
        <v>40041.56</v>
      </c>
      <c r="Y217" s="235">
        <f>EEFFun!AK464</f>
        <v>40041.56</v>
      </c>
      <c r="Z217" s="235">
        <f>EEFFun!AL464</f>
        <v>40041.56</v>
      </c>
      <c r="AA217" s="235">
        <f>EEFFun!AM464</f>
        <v>40041.56</v>
      </c>
      <c r="AB217" s="235">
        <f>EEFFun!AN464</f>
        <v>40041.56</v>
      </c>
      <c r="AC217" s="235">
        <f>EEFFun!AO464</f>
        <v>40041.56</v>
      </c>
      <c r="AD217" s="235">
        <f>EEFFun!AP464</f>
        <v>40041.56</v>
      </c>
      <c r="AE217" s="235">
        <f>EEFFun!AQ464</f>
        <v>40041.56</v>
      </c>
      <c r="AF217" s="235">
        <f>EEFFun!AR464</f>
        <v>40041.56</v>
      </c>
      <c r="AG217" s="235">
        <f>EEFFun!AS464</f>
        <v>40041.56</v>
      </c>
      <c r="AH217" s="235">
        <f>EEFFun!AT464</f>
        <v>40041.56</v>
      </c>
      <c r="AI217" s="235">
        <f>EEFFun!AU464</f>
        <v>40041.56</v>
      </c>
      <c r="AJ217" s="235">
        <f>EEFFun!AV464</f>
        <v>40041.56</v>
      </c>
      <c r="AK217" s="235">
        <f>EEFFun!AW464</f>
        <v>40041.56</v>
      </c>
      <c r="AL217" s="235">
        <f>EEFFun!AX464</f>
        <v>40041.56</v>
      </c>
      <c r="AM217" s="236">
        <f t="shared" si="393"/>
        <v>40041.56</v>
      </c>
      <c r="AN217" s="236">
        <f t="shared" si="393"/>
        <v>40041.56</v>
      </c>
      <c r="AO217" s="236">
        <f t="shared" si="393"/>
        <v>40041.56</v>
      </c>
      <c r="AP217" s="236">
        <f t="shared" si="393"/>
        <v>40041.56</v>
      </c>
      <c r="AQ217" s="236">
        <f t="shared" si="393"/>
        <v>40041.56</v>
      </c>
      <c r="AR217" s="236">
        <f t="shared" si="393"/>
        <v>40041.56</v>
      </c>
      <c r="AS217" s="236">
        <f t="shared" si="393"/>
        <v>40041.56</v>
      </c>
      <c r="AT217" s="236">
        <f t="shared" si="393"/>
        <v>40041.56</v>
      </c>
      <c r="AU217" s="236">
        <f t="shared" si="393"/>
        <v>40041.56</v>
      </c>
      <c r="AV217" s="236">
        <f t="shared" si="393"/>
        <v>40041.56</v>
      </c>
      <c r="AW217" s="236">
        <f t="shared" si="393"/>
        <v>40041.56</v>
      </c>
      <c r="AX217" s="236">
        <f t="shared" si="393"/>
        <v>40041.56</v>
      </c>
      <c r="AY217" s="236">
        <f t="shared" ref="AY217:AY230" si="394">AX217-V217</f>
        <v>0</v>
      </c>
      <c r="AZ217" s="236">
        <f t="shared" si="315"/>
        <v>0</v>
      </c>
      <c r="BA217" s="232">
        <f>P217/$P$212</f>
        <v>6.9032868571504234E-3</v>
      </c>
      <c r="BB217" s="232">
        <f>AX217/$AX$212</f>
        <v>2.8503023640560018E-3</v>
      </c>
      <c r="BC217" s="228">
        <f t="shared" si="346"/>
        <v>0</v>
      </c>
    </row>
    <row r="218" spans="1:55" s="229" customFormat="1" outlineLevel="1" x14ac:dyDescent="0.25">
      <c r="A218" s="222">
        <v>2</v>
      </c>
      <c r="B218" s="230">
        <f>EEFFun!B465</f>
        <v>33</v>
      </c>
      <c r="C218" s="230" t="str">
        <f>EEFFun!C465</f>
        <v>RESERVAS</v>
      </c>
      <c r="D218" s="263"/>
      <c r="E218" s="263"/>
      <c r="F218" s="263"/>
      <c r="G218" s="263"/>
      <c r="H218" s="263"/>
      <c r="I218" s="263"/>
      <c r="J218" s="263"/>
      <c r="K218" s="263"/>
      <c r="L218" s="263"/>
      <c r="M218" s="263"/>
      <c r="N218" s="263"/>
      <c r="O218" s="263"/>
      <c r="P218" s="226">
        <f t="shared" ref="P218:U218" si="395">P219</f>
        <v>0</v>
      </c>
      <c r="Q218" s="226">
        <f t="shared" si="395"/>
        <v>1579.61</v>
      </c>
      <c r="R218" s="226">
        <f t="shared" si="395"/>
        <v>1579.61</v>
      </c>
      <c r="S218" s="226">
        <f t="shared" si="395"/>
        <v>1579.61</v>
      </c>
      <c r="T218" s="226">
        <f t="shared" si="395"/>
        <v>1949.66</v>
      </c>
      <c r="U218" s="226">
        <f t="shared" si="395"/>
        <v>1949.66</v>
      </c>
      <c r="V218" s="226">
        <f>V219</f>
        <v>1949.66</v>
      </c>
      <c r="W218" s="226">
        <f>W219</f>
        <v>1949.66</v>
      </c>
      <c r="X218" s="226">
        <f t="shared" ref="X218:AS218" si="396">X219</f>
        <v>1949.66</v>
      </c>
      <c r="Y218" s="226">
        <f t="shared" si="396"/>
        <v>1949.66</v>
      </c>
      <c r="Z218" s="226">
        <f t="shared" si="396"/>
        <v>1949.66</v>
      </c>
      <c r="AA218" s="226">
        <f t="shared" si="396"/>
        <v>1949.66</v>
      </c>
      <c r="AB218" s="226">
        <f t="shared" si="396"/>
        <v>1949.66</v>
      </c>
      <c r="AC218" s="226">
        <f t="shared" si="396"/>
        <v>1949.66</v>
      </c>
      <c r="AD218" s="226">
        <f t="shared" si="396"/>
        <v>1949.66</v>
      </c>
      <c r="AE218" s="226">
        <f t="shared" si="396"/>
        <v>0</v>
      </c>
      <c r="AF218" s="226">
        <f t="shared" si="396"/>
        <v>0</v>
      </c>
      <c r="AG218" s="226">
        <f t="shared" si="396"/>
        <v>0</v>
      </c>
      <c r="AH218" s="226">
        <f t="shared" si="396"/>
        <v>0</v>
      </c>
      <c r="AI218" s="226">
        <f t="shared" si="396"/>
        <v>0</v>
      </c>
      <c r="AJ218" s="226">
        <f t="shared" si="396"/>
        <v>0</v>
      </c>
      <c r="AK218" s="226">
        <f t="shared" si="396"/>
        <v>0</v>
      </c>
      <c r="AL218" s="226">
        <f t="shared" si="396"/>
        <v>0</v>
      </c>
      <c r="AM218" s="226">
        <f t="shared" si="396"/>
        <v>0</v>
      </c>
      <c r="AN218" s="226">
        <f t="shared" si="396"/>
        <v>0</v>
      </c>
      <c r="AO218" s="226">
        <f t="shared" si="396"/>
        <v>0</v>
      </c>
      <c r="AP218" s="226">
        <f t="shared" si="396"/>
        <v>0</v>
      </c>
      <c r="AQ218" s="226">
        <f t="shared" si="396"/>
        <v>0</v>
      </c>
      <c r="AR218" s="226">
        <f t="shared" si="396"/>
        <v>0</v>
      </c>
      <c r="AS218" s="226">
        <f t="shared" si="396"/>
        <v>0</v>
      </c>
      <c r="AT218" s="226">
        <f t="shared" ref="AT218:AX218" si="397">AT219</f>
        <v>0</v>
      </c>
      <c r="AU218" s="226">
        <f t="shared" si="397"/>
        <v>0</v>
      </c>
      <c r="AV218" s="226">
        <f t="shared" si="397"/>
        <v>0</v>
      </c>
      <c r="AW218" s="226">
        <f t="shared" si="397"/>
        <v>0</v>
      </c>
      <c r="AX218" s="226">
        <f t="shared" si="397"/>
        <v>0</v>
      </c>
      <c r="AY218" s="226">
        <f t="shared" si="394"/>
        <v>-1949.66</v>
      </c>
      <c r="AZ218" s="263"/>
      <c r="BA218" s="264"/>
      <c r="BB218" s="264"/>
      <c r="BC218" s="228">
        <f t="shared" si="346"/>
        <v>-1949.66</v>
      </c>
    </row>
    <row r="219" spans="1:55" outlineLevel="2" collapsed="1" x14ac:dyDescent="0.25">
      <c r="A219" s="222">
        <v>4</v>
      </c>
      <c r="B219" s="234">
        <f>EEFFun!B466</f>
        <v>3301</v>
      </c>
      <c r="C219" s="234" t="str">
        <f>EEFFun!C466</f>
        <v>Legales</v>
      </c>
      <c r="D219" s="238"/>
      <c r="E219" s="238"/>
      <c r="F219" s="238"/>
      <c r="G219" s="238"/>
      <c r="H219" s="238"/>
      <c r="I219" s="238"/>
      <c r="J219" s="238"/>
      <c r="K219" s="238"/>
      <c r="L219" s="238"/>
      <c r="M219" s="238"/>
      <c r="N219" s="238"/>
      <c r="O219" s="238"/>
      <c r="P219" s="235">
        <f>EEFFun!AB466</f>
        <v>0</v>
      </c>
      <c r="Q219" s="235">
        <f>EEFFun!AC466</f>
        <v>1579.61</v>
      </c>
      <c r="R219" s="235">
        <f>EEFFun!AD466</f>
        <v>1579.61</v>
      </c>
      <c r="S219" s="235">
        <f>EEFFun!AE466</f>
        <v>1579.61</v>
      </c>
      <c r="T219" s="235">
        <f>EEFFun!AF466</f>
        <v>1949.66</v>
      </c>
      <c r="U219" s="235">
        <f>EEFFun!AG466</f>
        <v>1949.66</v>
      </c>
      <c r="V219" s="235">
        <f>EEFFun!AH466</f>
        <v>1949.66</v>
      </c>
      <c r="W219" s="235">
        <f>EEFFun!AI466</f>
        <v>1949.66</v>
      </c>
      <c r="X219" s="235">
        <f>EEFFun!AJ466</f>
        <v>1949.66</v>
      </c>
      <c r="Y219" s="235">
        <f>EEFFun!AK466</f>
        <v>1949.66</v>
      </c>
      <c r="Z219" s="235">
        <f>EEFFun!AL466</f>
        <v>1949.66</v>
      </c>
      <c r="AA219" s="235">
        <f>EEFFun!AM466</f>
        <v>1949.66</v>
      </c>
      <c r="AB219" s="235">
        <f>EEFFun!AN466</f>
        <v>1949.66</v>
      </c>
      <c r="AC219" s="235">
        <f>EEFFun!AO466</f>
        <v>1949.66</v>
      </c>
      <c r="AD219" s="235">
        <f>EEFFun!AP466</f>
        <v>1949.66</v>
      </c>
      <c r="AE219" s="235">
        <f>EEFFun!AQ466</f>
        <v>0</v>
      </c>
      <c r="AF219" s="235">
        <f>EEFFun!AR466</f>
        <v>0</v>
      </c>
      <c r="AG219" s="235">
        <f>EEFFun!AS466</f>
        <v>0</v>
      </c>
      <c r="AH219" s="235">
        <f>EEFFun!AT466</f>
        <v>0</v>
      </c>
      <c r="AI219" s="235">
        <f>EEFFun!AU466</f>
        <v>0</v>
      </c>
      <c r="AJ219" s="235">
        <f>EEFFun!AV466</f>
        <v>0</v>
      </c>
      <c r="AK219" s="235">
        <f>EEFFun!AW466</f>
        <v>0</v>
      </c>
      <c r="AL219" s="235">
        <f>EEFFun!AX466</f>
        <v>0</v>
      </c>
      <c r="AM219" s="237">
        <v>0</v>
      </c>
      <c r="AN219" s="236">
        <f>+AM219</f>
        <v>0</v>
      </c>
      <c r="AO219" s="236">
        <f t="shared" ref="AO219:AX219" si="398">+AN219</f>
        <v>0</v>
      </c>
      <c r="AP219" s="236">
        <f t="shared" si="398"/>
        <v>0</v>
      </c>
      <c r="AQ219" s="236">
        <f t="shared" si="398"/>
        <v>0</v>
      </c>
      <c r="AR219" s="236">
        <f t="shared" si="398"/>
        <v>0</v>
      </c>
      <c r="AS219" s="236">
        <f t="shared" si="398"/>
        <v>0</v>
      </c>
      <c r="AT219" s="236">
        <f t="shared" si="398"/>
        <v>0</v>
      </c>
      <c r="AU219" s="236">
        <f t="shared" si="398"/>
        <v>0</v>
      </c>
      <c r="AV219" s="236">
        <f t="shared" si="398"/>
        <v>0</v>
      </c>
      <c r="AW219" s="236">
        <f t="shared" si="398"/>
        <v>0</v>
      </c>
      <c r="AX219" s="236">
        <f t="shared" si="398"/>
        <v>0</v>
      </c>
      <c r="AY219" s="236">
        <f t="shared" si="394"/>
        <v>-1949.66</v>
      </c>
      <c r="AZ219" s="238"/>
      <c r="BA219" s="245"/>
      <c r="BB219" s="245"/>
      <c r="BC219" s="228">
        <f t="shared" si="346"/>
        <v>-1949.66</v>
      </c>
    </row>
    <row r="220" spans="1:55" s="229" customFormat="1" outlineLevel="1" x14ac:dyDescent="0.25">
      <c r="A220" s="222">
        <v>2</v>
      </c>
      <c r="B220" s="230">
        <f>EEFFun!B467</f>
        <v>35</v>
      </c>
      <c r="C220" s="230" t="str">
        <f>EEFFun!C467</f>
        <v>SUPERAVIT POR VALUACIONES</v>
      </c>
      <c r="D220" s="225">
        <f>EEFFun!P467</f>
        <v>54854.239999999998</v>
      </c>
      <c r="E220" s="225">
        <f>EEFFun!Q467</f>
        <v>60009.5</v>
      </c>
      <c r="F220" s="225">
        <f>EEFFun!R467</f>
        <v>62376.63</v>
      </c>
      <c r="G220" s="225">
        <f>EEFFun!S467</f>
        <v>53329.59</v>
      </c>
      <c r="H220" s="225">
        <f>EEFFun!T467</f>
        <v>50800.28</v>
      </c>
      <c r="I220" s="225">
        <f>EEFFun!U467</f>
        <v>53944.63</v>
      </c>
      <c r="J220" s="225">
        <f>EEFFun!V467</f>
        <v>50113.04</v>
      </c>
      <c r="K220" s="225">
        <f>EEFFun!W467</f>
        <v>39770.589999999997</v>
      </c>
      <c r="L220" s="225">
        <f>EEFFun!X467</f>
        <v>40610.93</v>
      </c>
      <c r="M220" s="225">
        <f>EEFFun!Y467</f>
        <v>41947.77</v>
      </c>
      <c r="N220" s="225">
        <f>EEFFun!Z467</f>
        <v>35910.46</v>
      </c>
      <c r="O220" s="225">
        <f>EEFFun!AA467</f>
        <v>36861.17</v>
      </c>
      <c r="P220" s="225">
        <f>EEFFun!AB467</f>
        <v>49918.65</v>
      </c>
      <c r="Q220" s="225">
        <f>EEFFun!AC467</f>
        <v>52615.7</v>
      </c>
      <c r="R220" s="225">
        <f>EEFFun!AD467</f>
        <v>74455.63</v>
      </c>
      <c r="S220" s="225">
        <f>EEFFun!AE467</f>
        <v>80932.83</v>
      </c>
      <c r="T220" s="225">
        <f>EEFFun!AF467</f>
        <v>57201.13</v>
      </c>
      <c r="U220" s="225">
        <f>EEFFun!AG467</f>
        <v>82032.81</v>
      </c>
      <c r="V220" s="225">
        <f>EEFFun!AH467</f>
        <v>85050.05</v>
      </c>
      <c r="W220" s="225">
        <f>EEFFun!AI467</f>
        <v>57094.080000000002</v>
      </c>
      <c r="X220" s="225">
        <f>EEFFun!AJ467</f>
        <v>78752.600000000006</v>
      </c>
      <c r="Y220" s="225">
        <f>EEFFun!AK467</f>
        <v>80428.83</v>
      </c>
      <c r="Z220" s="225">
        <f>EEFFun!AL467</f>
        <v>61036.73</v>
      </c>
      <c r="AA220" s="225">
        <f>EEFFun!AM467</f>
        <v>86892.3</v>
      </c>
      <c r="AB220" s="225">
        <f>EEFFun!AN467</f>
        <v>89871.74</v>
      </c>
      <c r="AC220" s="225">
        <f>EEFFun!AO467</f>
        <v>60422.93</v>
      </c>
      <c r="AD220" s="225">
        <f>EEFFun!AP467</f>
        <v>84559.26</v>
      </c>
      <c r="AE220" s="225">
        <f>EEFFun!AQ467</f>
        <v>52975.09</v>
      </c>
      <c r="AF220" s="225">
        <f>EEFFun!AR467</f>
        <v>28727.56</v>
      </c>
      <c r="AG220" s="225">
        <f>EEFFun!AS467</f>
        <v>47589.48</v>
      </c>
      <c r="AH220" s="225">
        <f>EEFFun!AT467</f>
        <v>45594.44</v>
      </c>
      <c r="AI220" s="225">
        <f>EEFFun!AU467</f>
        <v>26585.97</v>
      </c>
      <c r="AJ220" s="225">
        <f>EEFFun!AV467</f>
        <v>26470.98</v>
      </c>
      <c r="AK220" s="225">
        <f>EEFFun!AW467</f>
        <v>33533.89</v>
      </c>
      <c r="AL220" s="225">
        <f>EEFFun!AX467</f>
        <v>10940.84</v>
      </c>
      <c r="AM220" s="226">
        <f t="shared" ref="AM220:AS220" si="399">SUM(AM221:AM222)</f>
        <v>10940.84</v>
      </c>
      <c r="AN220" s="226">
        <f t="shared" si="399"/>
        <v>10940.84</v>
      </c>
      <c r="AO220" s="226">
        <f t="shared" si="399"/>
        <v>10940.84</v>
      </c>
      <c r="AP220" s="226">
        <f t="shared" si="399"/>
        <v>10940.84</v>
      </c>
      <c r="AQ220" s="226">
        <f t="shared" si="399"/>
        <v>10940.84</v>
      </c>
      <c r="AR220" s="226">
        <f t="shared" si="399"/>
        <v>10940.84</v>
      </c>
      <c r="AS220" s="226">
        <f t="shared" si="399"/>
        <v>10940.84</v>
      </c>
      <c r="AT220" s="226">
        <f t="shared" ref="AT220" si="400">SUM(AT221:AT222)</f>
        <v>10940.84</v>
      </c>
      <c r="AU220" s="226">
        <f t="shared" ref="AU220" si="401">SUM(AU221:AU222)</f>
        <v>10940.84</v>
      </c>
      <c r="AV220" s="226">
        <f t="shared" ref="AV220" si="402">SUM(AV221:AV222)</f>
        <v>10940.84</v>
      </c>
      <c r="AW220" s="226">
        <f t="shared" ref="AW220" si="403">SUM(AW221:AW222)</f>
        <v>10940.84</v>
      </c>
      <c r="AX220" s="226">
        <f t="shared" ref="AX220" si="404">SUM(AX221:AX222)</f>
        <v>10940.84</v>
      </c>
      <c r="AY220" s="226">
        <f t="shared" si="394"/>
        <v>-74109.210000000006</v>
      </c>
      <c r="AZ220" s="226">
        <f t="shared" ref="AZ220:AZ230" si="405">AX220-P220</f>
        <v>-38977.81</v>
      </c>
      <c r="BA220" s="231">
        <f t="shared" ref="BA220:BA227" si="406">P220/$P$212</f>
        <v>8.606127245584138E-3</v>
      </c>
      <c r="BB220" s="231">
        <f t="shared" ref="BB220:BB227" si="407">AX220/$AX$212</f>
        <v>7.7880837102147047E-4</v>
      </c>
      <c r="BC220" s="228">
        <f t="shared" si="346"/>
        <v>-46153.240000000005</v>
      </c>
    </row>
    <row r="221" spans="1:55" outlineLevel="2" collapsed="1" x14ac:dyDescent="0.25">
      <c r="A221" s="222">
        <v>4</v>
      </c>
      <c r="B221" s="234">
        <f>EEFFun!B468</f>
        <v>3501</v>
      </c>
      <c r="C221" s="234" t="str">
        <f>EEFFun!C468</f>
        <v>Superávit por valuación de propiedades, equipo y o</v>
      </c>
      <c r="D221" s="235">
        <f>EEFFun!P468</f>
        <v>32851.9</v>
      </c>
      <c r="E221" s="235">
        <f>EEFFun!Q468</f>
        <v>32851.96</v>
      </c>
      <c r="F221" s="235">
        <f>EEFFun!R468</f>
        <v>32851.96</v>
      </c>
      <c r="G221" s="235">
        <f>EEFFun!S468</f>
        <v>32851.96</v>
      </c>
      <c r="H221" s="235">
        <f>EEFFun!T468</f>
        <v>32851.96</v>
      </c>
      <c r="I221" s="235">
        <f>EEFFun!U468</f>
        <v>32851.96</v>
      </c>
      <c r="J221" s="235">
        <f>EEFFun!V468</f>
        <v>32851.96</v>
      </c>
      <c r="K221" s="235">
        <f>EEFFun!W468</f>
        <v>32851.96</v>
      </c>
      <c r="L221" s="235">
        <f>EEFFun!X468</f>
        <v>32851.96</v>
      </c>
      <c r="M221" s="235">
        <f>EEFFun!Y468</f>
        <v>32851.96</v>
      </c>
      <c r="N221" s="235">
        <f>EEFFun!Z468</f>
        <v>32851.96</v>
      </c>
      <c r="O221" s="235">
        <f>EEFFun!AA468</f>
        <v>32851.96</v>
      </c>
      <c r="P221" s="235">
        <f>EEFFun!AB468</f>
        <v>32851.96</v>
      </c>
      <c r="Q221" s="235">
        <f>EEFFun!AC468</f>
        <v>32851.96</v>
      </c>
      <c r="R221" s="235">
        <f>EEFFun!AD468</f>
        <v>32851.96</v>
      </c>
      <c r="S221" s="235">
        <f>EEFFun!AE468</f>
        <v>32851.96</v>
      </c>
      <c r="T221" s="235">
        <f>EEFFun!AF468</f>
        <v>32851.96</v>
      </c>
      <c r="U221" s="235">
        <f>EEFFun!AG468</f>
        <v>32851.96</v>
      </c>
      <c r="V221" s="235">
        <f>EEFFun!AH468</f>
        <v>32851.96</v>
      </c>
      <c r="W221" s="235">
        <f>EEFFun!AI468</f>
        <v>32851.96</v>
      </c>
      <c r="X221" s="235">
        <f>EEFFun!AJ468</f>
        <v>32851.96</v>
      </c>
      <c r="Y221" s="235">
        <f>EEFFun!AK468</f>
        <v>32851.96</v>
      </c>
      <c r="Z221" s="235">
        <f>EEFFun!AL468</f>
        <v>32851.96</v>
      </c>
      <c r="AA221" s="235">
        <f>EEFFun!AM468</f>
        <v>32851.96</v>
      </c>
      <c r="AB221" s="235">
        <f>EEFFun!AN468</f>
        <v>32851.96</v>
      </c>
      <c r="AC221" s="235">
        <f>EEFFun!AO468</f>
        <v>32851.96</v>
      </c>
      <c r="AD221" s="235">
        <f>EEFFun!AP468</f>
        <v>32851.96</v>
      </c>
      <c r="AE221" s="235">
        <f>EEFFun!AQ468</f>
        <v>0</v>
      </c>
      <c r="AF221" s="235">
        <f>EEFFun!AR468</f>
        <v>2348.63</v>
      </c>
      <c r="AG221" s="235">
        <f>EEFFun!AS468</f>
        <v>2348.63</v>
      </c>
      <c r="AH221" s="235">
        <f>EEFFun!AT468</f>
        <v>2348.63</v>
      </c>
      <c r="AI221" s="235">
        <f>EEFFun!AU468</f>
        <v>2348.63</v>
      </c>
      <c r="AJ221" s="235">
        <f>EEFFun!AV468</f>
        <v>2348.63</v>
      </c>
      <c r="AK221" s="235">
        <f>EEFFun!AW468</f>
        <v>2348.63</v>
      </c>
      <c r="AL221" s="235">
        <f>EEFFun!AX468</f>
        <v>2348.63</v>
      </c>
      <c r="AM221" s="236">
        <f>+AL221</f>
        <v>2348.63</v>
      </c>
      <c r="AN221" s="236">
        <f t="shared" ref="AN221:AX222" si="408">+AM221</f>
        <v>2348.63</v>
      </c>
      <c r="AO221" s="236">
        <f t="shared" si="408"/>
        <v>2348.63</v>
      </c>
      <c r="AP221" s="236">
        <f t="shared" si="408"/>
        <v>2348.63</v>
      </c>
      <c r="AQ221" s="236">
        <f t="shared" si="408"/>
        <v>2348.63</v>
      </c>
      <c r="AR221" s="236">
        <f t="shared" si="408"/>
        <v>2348.63</v>
      </c>
      <c r="AS221" s="236">
        <f t="shared" si="408"/>
        <v>2348.63</v>
      </c>
      <c r="AT221" s="236">
        <f t="shared" si="408"/>
        <v>2348.63</v>
      </c>
      <c r="AU221" s="236">
        <f t="shared" si="408"/>
        <v>2348.63</v>
      </c>
      <c r="AV221" s="236">
        <f t="shared" si="408"/>
        <v>2348.63</v>
      </c>
      <c r="AW221" s="236">
        <f t="shared" si="408"/>
        <v>2348.63</v>
      </c>
      <c r="AX221" s="236">
        <f t="shared" si="408"/>
        <v>2348.63</v>
      </c>
      <c r="AY221" s="236">
        <f t="shared" si="394"/>
        <v>-30503.329999999998</v>
      </c>
      <c r="AZ221" s="236">
        <f t="shared" si="405"/>
        <v>-30503.329999999998</v>
      </c>
      <c r="BA221" s="232">
        <f t="shared" si="406"/>
        <v>5.6637779272243997E-3</v>
      </c>
      <c r="BB221" s="232">
        <f t="shared" si="407"/>
        <v>1.6718393692185941E-4</v>
      </c>
      <c r="BC221" s="228">
        <f t="shared" si="346"/>
        <v>-30503.329999999998</v>
      </c>
    </row>
    <row r="222" spans="1:55" outlineLevel="2" collapsed="1" x14ac:dyDescent="0.25">
      <c r="A222" s="222">
        <v>4</v>
      </c>
      <c r="B222" s="234">
        <f>EEFFun!B469</f>
        <v>3504</v>
      </c>
      <c r="C222" s="234" t="str">
        <f>EEFFun!C469</f>
        <v>Valuación Inversión Neta en Instrumentos Financier</v>
      </c>
      <c r="D222" s="235">
        <f>EEFFun!P469</f>
        <v>22002.34</v>
      </c>
      <c r="E222" s="235">
        <f>EEFFun!Q469</f>
        <v>27157.54</v>
      </c>
      <c r="F222" s="235">
        <f>EEFFun!R469</f>
        <v>29524.67</v>
      </c>
      <c r="G222" s="235">
        <f>EEFFun!S469</f>
        <v>20477.63</v>
      </c>
      <c r="H222" s="235">
        <f>EEFFun!T469</f>
        <v>17948.32</v>
      </c>
      <c r="I222" s="235">
        <f>EEFFun!U469</f>
        <v>21092.67</v>
      </c>
      <c r="J222" s="235">
        <f>EEFFun!V469</f>
        <v>17261.080000000002</v>
      </c>
      <c r="K222" s="235">
        <f>EEFFun!W469</f>
        <v>6918.63</v>
      </c>
      <c r="L222" s="235">
        <f>EEFFun!X469</f>
        <v>7758.97</v>
      </c>
      <c r="M222" s="235">
        <f>EEFFun!Y469</f>
        <v>9095.81</v>
      </c>
      <c r="N222" s="235">
        <f>EEFFun!Z469</f>
        <v>3058.5</v>
      </c>
      <c r="O222" s="235">
        <f>EEFFun!AA469</f>
        <v>4009.21</v>
      </c>
      <c r="P222" s="235">
        <f>EEFFun!AB469</f>
        <v>17066.689999999999</v>
      </c>
      <c r="Q222" s="235">
        <f>EEFFun!AC469</f>
        <v>19763.740000000002</v>
      </c>
      <c r="R222" s="235">
        <f>EEFFun!AD469</f>
        <v>41603.67</v>
      </c>
      <c r="S222" s="235">
        <f>EEFFun!AE469</f>
        <v>48080.87</v>
      </c>
      <c r="T222" s="235">
        <f>EEFFun!AF469</f>
        <v>24349.17</v>
      </c>
      <c r="U222" s="235">
        <f>EEFFun!AG469</f>
        <v>49180.85</v>
      </c>
      <c r="V222" s="235">
        <f>EEFFun!AH469</f>
        <v>52198.09</v>
      </c>
      <c r="W222" s="235">
        <f>EEFFun!AI469</f>
        <v>24242.12</v>
      </c>
      <c r="X222" s="235">
        <f>EEFFun!AJ469</f>
        <v>45900.639999999999</v>
      </c>
      <c r="Y222" s="235">
        <f>EEFFun!AK469</f>
        <v>47576.87</v>
      </c>
      <c r="Z222" s="235">
        <f>EEFFun!AL469</f>
        <v>28184.77</v>
      </c>
      <c r="AA222" s="235">
        <f>EEFFun!AM469</f>
        <v>54040.34</v>
      </c>
      <c r="AB222" s="235">
        <f>EEFFun!AN469</f>
        <v>57019.78</v>
      </c>
      <c r="AC222" s="235">
        <f>EEFFun!AO469</f>
        <v>27570.97</v>
      </c>
      <c r="AD222" s="235">
        <f>EEFFun!AP469</f>
        <v>51707.3</v>
      </c>
      <c r="AE222" s="235">
        <f>EEFFun!AQ469</f>
        <v>52975.09</v>
      </c>
      <c r="AF222" s="235">
        <f>EEFFun!AR469</f>
        <v>26378.93</v>
      </c>
      <c r="AG222" s="235">
        <f>EEFFun!AS469</f>
        <v>45240.85</v>
      </c>
      <c r="AH222" s="235">
        <f>EEFFun!AT469</f>
        <v>43245.81</v>
      </c>
      <c r="AI222" s="235">
        <f>EEFFun!AU469</f>
        <v>24237.34</v>
      </c>
      <c r="AJ222" s="235">
        <f>EEFFun!AV469</f>
        <v>24122.35</v>
      </c>
      <c r="AK222" s="235">
        <f>EEFFun!AW469</f>
        <v>31185.26</v>
      </c>
      <c r="AL222" s="235">
        <f>EEFFun!AX469</f>
        <v>8592.2099999999991</v>
      </c>
      <c r="AM222" s="236">
        <f>+AL222</f>
        <v>8592.2099999999991</v>
      </c>
      <c r="AN222" s="236">
        <f t="shared" si="408"/>
        <v>8592.2099999999991</v>
      </c>
      <c r="AO222" s="236">
        <f t="shared" si="408"/>
        <v>8592.2099999999991</v>
      </c>
      <c r="AP222" s="236">
        <f t="shared" si="408"/>
        <v>8592.2099999999991</v>
      </c>
      <c r="AQ222" s="236">
        <f t="shared" si="408"/>
        <v>8592.2099999999991</v>
      </c>
      <c r="AR222" s="236">
        <f t="shared" si="408"/>
        <v>8592.2099999999991</v>
      </c>
      <c r="AS222" s="236">
        <f t="shared" si="408"/>
        <v>8592.2099999999991</v>
      </c>
      <c r="AT222" s="236">
        <f t="shared" si="408"/>
        <v>8592.2099999999991</v>
      </c>
      <c r="AU222" s="236">
        <f t="shared" si="408"/>
        <v>8592.2099999999991</v>
      </c>
      <c r="AV222" s="236">
        <f t="shared" si="408"/>
        <v>8592.2099999999991</v>
      </c>
      <c r="AW222" s="236">
        <f t="shared" si="408"/>
        <v>8592.2099999999991</v>
      </c>
      <c r="AX222" s="236">
        <f t="shared" si="408"/>
        <v>8592.2099999999991</v>
      </c>
      <c r="AY222" s="236">
        <f t="shared" si="394"/>
        <v>-43605.88</v>
      </c>
      <c r="AZ222" s="236">
        <f t="shared" si="405"/>
        <v>-8474.48</v>
      </c>
      <c r="BA222" s="232">
        <f t="shared" si="406"/>
        <v>2.9423493183597382E-3</v>
      </c>
      <c r="BB222" s="232">
        <f t="shared" si="407"/>
        <v>6.1162443409961103E-4</v>
      </c>
      <c r="BC222" s="228">
        <f t="shared" si="346"/>
        <v>-15649.91</v>
      </c>
    </row>
    <row r="223" spans="1:55" s="229" customFormat="1" outlineLevel="1" x14ac:dyDescent="0.25">
      <c r="A223" s="222">
        <v>2</v>
      </c>
      <c r="B223" s="230">
        <f>EEFFun!B470</f>
        <v>36</v>
      </c>
      <c r="C223" s="230" t="str">
        <f>EEFFun!C470</f>
        <v>RESULTADOS</v>
      </c>
      <c r="D223" s="225">
        <f>EEFFun!P470</f>
        <v>-5242232.92</v>
      </c>
      <c r="E223" s="225">
        <f>EEFFun!Q470</f>
        <v>-5265353.1900000004</v>
      </c>
      <c r="F223" s="225">
        <f>EEFFun!R470</f>
        <v>-5265353.1900000004</v>
      </c>
      <c r="G223" s="225">
        <f>EEFFun!S470</f>
        <v>-5265353.1900000004</v>
      </c>
      <c r="H223" s="225">
        <f>EEFFun!T470</f>
        <v>-5265353.1900000004</v>
      </c>
      <c r="I223" s="225">
        <f>EEFFun!U470</f>
        <v>-5265353.1900000004</v>
      </c>
      <c r="J223" s="225">
        <f>EEFFun!V470</f>
        <v>-5265353.1900000004</v>
      </c>
      <c r="K223" s="225">
        <f>EEFFun!W470</f>
        <v>-5265353.1900000004</v>
      </c>
      <c r="L223" s="225">
        <f>EEFFun!X470</f>
        <v>-5265353.1900000004</v>
      </c>
      <c r="M223" s="225">
        <f>EEFFun!Y470</f>
        <v>-5265353.1900000004</v>
      </c>
      <c r="N223" s="225">
        <f>EEFFun!Z470</f>
        <v>-5265353.1900000004</v>
      </c>
      <c r="O223" s="225">
        <f>EEFFun!AA470</f>
        <v>-5265353.1900000004</v>
      </c>
      <c r="P223" s="225">
        <f>EEFFun!AB470</f>
        <v>-5249557.05</v>
      </c>
      <c r="Q223" s="225">
        <f>EEFFun!AC470</f>
        <v>-5251136.66</v>
      </c>
      <c r="R223" s="225">
        <f>EEFFun!AD470</f>
        <v>-5251136.66</v>
      </c>
      <c r="S223" s="225">
        <f>EEFFun!AE470</f>
        <v>-5251136.66</v>
      </c>
      <c r="T223" s="225">
        <f>EEFFun!AF470</f>
        <v>-5247806.18</v>
      </c>
      <c r="U223" s="225">
        <f>EEFFun!AG470</f>
        <v>-5247806.18</v>
      </c>
      <c r="V223" s="225">
        <f>EEFFun!AH470</f>
        <v>-5247806.18</v>
      </c>
      <c r="W223" s="225">
        <f>EEFFun!AI470</f>
        <v>-5247806.18</v>
      </c>
      <c r="X223" s="225">
        <f>EEFFun!AJ470</f>
        <v>-5247806.18</v>
      </c>
      <c r="Y223" s="225">
        <f>EEFFun!AK470</f>
        <v>-5368150.59</v>
      </c>
      <c r="Z223" s="225">
        <f>EEFFun!AL470</f>
        <v>-5368150.59</v>
      </c>
      <c r="AA223" s="225">
        <f>EEFFun!AM470</f>
        <v>-5368150.59</v>
      </c>
      <c r="AB223" s="225">
        <f>EEFFun!AN470</f>
        <v>-6403931.9400000004</v>
      </c>
      <c r="AC223" s="225">
        <f>EEFFun!AO470</f>
        <v>-6403931.9400000004</v>
      </c>
      <c r="AD223" s="225">
        <f>EEFFun!AP470</f>
        <v>-6403931.9400000004</v>
      </c>
      <c r="AE223" s="225">
        <f>EEFFun!AQ470</f>
        <v>-6369130.3200000003</v>
      </c>
      <c r="AF223" s="225">
        <f>EEFFun!AR470</f>
        <v>-5421478.9500000002</v>
      </c>
      <c r="AG223" s="225">
        <f>EEFFun!AS470</f>
        <v>-5421478.9500000002</v>
      </c>
      <c r="AH223" s="225">
        <f>EEFFun!AT470</f>
        <v>-5421478.9500000002</v>
      </c>
      <c r="AI223" s="225">
        <f>EEFFun!AU470</f>
        <v>-5421478.9500000002</v>
      </c>
      <c r="AJ223" s="225">
        <f>EEFFun!AV470</f>
        <v>-5421478.9500000002</v>
      </c>
      <c r="AK223" s="225">
        <f>EEFFun!AW470</f>
        <v>-5421478.9500000002</v>
      </c>
      <c r="AL223" s="225">
        <f>EEFFun!AX470</f>
        <v>-5421478.9500000002</v>
      </c>
      <c r="AM223" s="226">
        <f t="shared" ref="AM223:AS223" si="409">SUM(AM224:AM227)</f>
        <v>-5386112.4757462721</v>
      </c>
      <c r="AN223" s="226">
        <f t="shared" si="409"/>
        <v>-5343478.9358569896</v>
      </c>
      <c r="AO223" s="226">
        <f t="shared" si="409"/>
        <v>-5238675.5622403575</v>
      </c>
      <c r="AP223" s="226">
        <f t="shared" si="409"/>
        <v>-5119556.0446619913</v>
      </c>
      <c r="AQ223" s="226">
        <f t="shared" si="409"/>
        <v>-4988266.608954004</v>
      </c>
      <c r="AR223" s="226">
        <f t="shared" si="409"/>
        <v>-4847320.3439526726</v>
      </c>
      <c r="AS223" s="226">
        <f t="shared" si="409"/>
        <v>-4694109.9440588076</v>
      </c>
      <c r="AT223" s="226">
        <f t="shared" ref="AT223" si="410">SUM(AT224:AT227)</f>
        <v>-4506438.6669476749</v>
      </c>
      <c r="AU223" s="226">
        <f t="shared" ref="AU223" si="411">SUM(AU224:AU227)</f>
        <v>-4337502.0605045576</v>
      </c>
      <c r="AV223" s="226">
        <f t="shared" ref="AV223" si="412">SUM(AV224:AV227)</f>
        <v>-4129751.2837744271</v>
      </c>
      <c r="AW223" s="226">
        <f t="shared" ref="AW223" si="413">SUM(AW224:AW227)</f>
        <v>-3913429.1717250138</v>
      </c>
      <c r="AX223" s="226">
        <f t="shared" ref="AX223" si="414">SUM(AX224:AX227)</f>
        <v>-2012761.0731978018</v>
      </c>
      <c r="AY223" s="226">
        <f t="shared" si="394"/>
        <v>3235045.1068021981</v>
      </c>
      <c r="AZ223" s="226">
        <f t="shared" si="405"/>
        <v>3236795.9768021982</v>
      </c>
      <c r="BA223" s="265">
        <f t="shared" si="406"/>
        <v>-0.90503961856447024</v>
      </c>
      <c r="BB223" s="265">
        <f t="shared" si="407"/>
        <v>-0.14327557780505032</v>
      </c>
      <c r="BC223" s="228">
        <f t="shared" si="346"/>
        <v>741367.51305232476</v>
      </c>
    </row>
    <row r="224" spans="1:55" outlineLevel="2" collapsed="1" x14ac:dyDescent="0.25">
      <c r="A224" s="222">
        <v>4</v>
      </c>
      <c r="B224" s="260" t="s">
        <v>700</v>
      </c>
      <c r="C224" s="260" t="s">
        <v>701</v>
      </c>
      <c r="D224" s="238"/>
      <c r="E224" s="238"/>
      <c r="F224" s="238"/>
      <c r="G224" s="238"/>
      <c r="H224" s="238"/>
      <c r="I224" s="238"/>
      <c r="J224" s="238"/>
      <c r="K224" s="238"/>
      <c r="L224" s="238"/>
      <c r="M224" s="238"/>
      <c r="N224" s="238"/>
      <c r="O224" s="238"/>
      <c r="P224" s="238"/>
      <c r="Q224" s="235">
        <f>EEFFun!AC471</f>
        <v>14216.53</v>
      </c>
      <c r="R224" s="235">
        <f>EEFFun!AD471</f>
        <v>14216.53</v>
      </c>
      <c r="S224" s="235">
        <f>EEFFun!AE471</f>
        <v>14216.53</v>
      </c>
      <c r="T224" s="235">
        <f>EEFFun!AF471</f>
        <v>17547.009999999998</v>
      </c>
      <c r="U224" s="235">
        <f>EEFFun!AG471</f>
        <v>17547.009999999998</v>
      </c>
      <c r="V224" s="235">
        <f>EEFFun!AH471</f>
        <v>17547.009999999998</v>
      </c>
      <c r="W224" s="235">
        <f>EEFFun!AI471</f>
        <v>17547.009999999998</v>
      </c>
      <c r="X224" s="235">
        <f>EEFFun!AJ471</f>
        <v>17547.009999999998</v>
      </c>
      <c r="Y224" s="235">
        <f>EEFFun!AK471</f>
        <v>17547.009999999998</v>
      </c>
      <c r="Z224" s="235">
        <f>EEFFun!AL471</f>
        <v>17547.009999999998</v>
      </c>
      <c r="AA224" s="235">
        <f>EEFFun!AM471</f>
        <v>17547.009999999998</v>
      </c>
      <c r="AB224" s="235">
        <f>EEFFun!AN471</f>
        <v>17547.009999999998</v>
      </c>
      <c r="AC224" s="235">
        <f>EEFFun!AO471</f>
        <v>17547.009999999998</v>
      </c>
      <c r="AD224" s="235">
        <f>EEFFun!AP471</f>
        <v>17547.009999999998</v>
      </c>
      <c r="AE224" s="235">
        <f>EEFFun!AQ471</f>
        <v>0</v>
      </c>
      <c r="AF224" s="235">
        <f>EEFFun!AR471</f>
        <v>0</v>
      </c>
      <c r="AG224" s="235">
        <f>EEFFun!AS471</f>
        <v>0</v>
      </c>
      <c r="AH224" s="235">
        <f>EEFFun!AT471</f>
        <v>0</v>
      </c>
      <c r="AI224" s="235">
        <f>EEFFun!AU471</f>
        <v>0</v>
      </c>
      <c r="AJ224" s="235">
        <f>EEFFun!AV471</f>
        <v>0</v>
      </c>
      <c r="AK224" s="235">
        <f>EEFFun!AW471</f>
        <v>0</v>
      </c>
      <c r="AL224" s="235">
        <f>EEFFun!AX471</f>
        <v>0</v>
      </c>
      <c r="AM224" s="237">
        <v>0</v>
      </c>
      <c r="AN224" s="236">
        <f>+AM224</f>
        <v>0</v>
      </c>
      <c r="AO224" s="236">
        <f t="shared" ref="AO224:AX224" si="415">+AN224</f>
        <v>0</v>
      </c>
      <c r="AP224" s="236">
        <f t="shared" si="415"/>
        <v>0</v>
      </c>
      <c r="AQ224" s="236">
        <f t="shared" si="415"/>
        <v>0</v>
      </c>
      <c r="AR224" s="236">
        <f t="shared" si="415"/>
        <v>0</v>
      </c>
      <c r="AS224" s="236">
        <f t="shared" si="415"/>
        <v>0</v>
      </c>
      <c r="AT224" s="236">
        <f t="shared" si="415"/>
        <v>0</v>
      </c>
      <c r="AU224" s="236">
        <f t="shared" si="415"/>
        <v>0</v>
      </c>
      <c r="AV224" s="236">
        <f t="shared" si="415"/>
        <v>0</v>
      </c>
      <c r="AW224" s="236">
        <f t="shared" si="415"/>
        <v>0</v>
      </c>
      <c r="AX224" s="236">
        <f t="shared" si="415"/>
        <v>0</v>
      </c>
      <c r="AY224" s="236">
        <f t="shared" si="394"/>
        <v>-17547.009999999998</v>
      </c>
      <c r="AZ224" s="236">
        <f t="shared" si="405"/>
        <v>0</v>
      </c>
      <c r="BA224" s="232">
        <f t="shared" si="406"/>
        <v>0</v>
      </c>
      <c r="BB224" s="232">
        <f t="shared" si="407"/>
        <v>0</v>
      </c>
      <c r="BC224" s="228">
        <f t="shared" si="346"/>
        <v>-17547.009999999998</v>
      </c>
    </row>
    <row r="225" spans="1:55" outlineLevel="2" collapsed="1" x14ac:dyDescent="0.25">
      <c r="A225" s="222">
        <v>4</v>
      </c>
      <c r="B225" s="233">
        <f>EEFFun!B472</f>
        <v>3602</v>
      </c>
      <c r="C225" s="234" t="str">
        <f>EEFFun!C472</f>
        <v>(Pérdidas acumuladas)</v>
      </c>
      <c r="D225" s="235">
        <f>EEFFun!P472</f>
        <v>-4115502.1</v>
      </c>
      <c r="E225" s="235">
        <f>EEFFun!Q472</f>
        <v>-5265353.1900000004</v>
      </c>
      <c r="F225" s="235">
        <f>EEFFun!R472</f>
        <v>-5265353.1900000004</v>
      </c>
      <c r="G225" s="235">
        <f>EEFFun!S472</f>
        <v>-5265353.1900000004</v>
      </c>
      <c r="H225" s="235">
        <f>EEFFun!T472</f>
        <v>-5265353.1900000004</v>
      </c>
      <c r="I225" s="235">
        <f>EEFFun!U472</f>
        <v>-5265353.1900000004</v>
      </c>
      <c r="J225" s="235">
        <f>EEFFun!V472</f>
        <v>-5265353.1900000004</v>
      </c>
      <c r="K225" s="235">
        <f>EEFFun!W472</f>
        <v>-5265353.1900000004</v>
      </c>
      <c r="L225" s="235">
        <f>EEFFun!X472</f>
        <v>-5265353.1900000004</v>
      </c>
      <c r="M225" s="235">
        <f>EEFFun!Y472</f>
        <v>-5265353.1900000004</v>
      </c>
      <c r="N225" s="235">
        <f>EEFFun!Z472</f>
        <v>-5265353.1900000004</v>
      </c>
      <c r="O225" s="235">
        <f>EEFFun!AA472</f>
        <v>-5265353.1900000004</v>
      </c>
      <c r="P225" s="235">
        <f>EEFFun!AB472</f>
        <v>-5265353.1900000004</v>
      </c>
      <c r="Q225" s="235">
        <f>EEFFun!AC472</f>
        <v>-5265353.1900000004</v>
      </c>
      <c r="R225" s="235">
        <f>EEFFun!AD472</f>
        <v>-5265353.1900000004</v>
      </c>
      <c r="S225" s="235">
        <f>EEFFun!AE472</f>
        <v>-5265353.1900000004</v>
      </c>
      <c r="T225" s="235">
        <f>EEFFun!AF472</f>
        <v>-5265353.1900000004</v>
      </c>
      <c r="U225" s="235">
        <f>EEFFun!AG472</f>
        <v>-5265353.1900000004</v>
      </c>
      <c r="V225" s="235">
        <f>EEFFun!AH472</f>
        <v>-5265353.1900000004</v>
      </c>
      <c r="W225" s="235">
        <f>EEFFun!AI472</f>
        <v>-5265353.1900000004</v>
      </c>
      <c r="X225" s="235">
        <f>EEFFun!AJ472</f>
        <v>-5265353.1900000004</v>
      </c>
      <c r="Y225" s="235">
        <f>EEFFun!AK472</f>
        <v>-5385697.5999999996</v>
      </c>
      <c r="Z225" s="235">
        <f>EEFFun!AL472</f>
        <v>-5385697.5999999996</v>
      </c>
      <c r="AA225" s="235">
        <f>EEFFun!AM472</f>
        <v>-5385697.5999999996</v>
      </c>
      <c r="AB225" s="235">
        <f>EEFFun!AN472</f>
        <v>-5385697.5999999996</v>
      </c>
      <c r="AC225" s="235">
        <f>EEFFun!AO472</f>
        <v>-6421478.9500000002</v>
      </c>
      <c r="AD225" s="235">
        <f>EEFFun!AP472</f>
        <v>-6421478.9500000002</v>
      </c>
      <c r="AE225" s="235">
        <f>EEFFun!AQ472</f>
        <v>-6369130.3200000003</v>
      </c>
      <c r="AF225" s="235">
        <f>EEFFun!AR472</f>
        <v>-5421478.9500000002</v>
      </c>
      <c r="AG225" s="235">
        <f>EEFFun!AS472</f>
        <v>-5421478.9500000002</v>
      </c>
      <c r="AH225" s="235">
        <f>EEFFun!AT472</f>
        <v>-5421478.9500000002</v>
      </c>
      <c r="AI225" s="235">
        <f>EEFFun!AU472</f>
        <v>-5421478.9500000002</v>
      </c>
      <c r="AJ225" s="235">
        <f>EEFFun!AV472</f>
        <v>-5421478.9500000002</v>
      </c>
      <c r="AK225" s="235">
        <f>EEFFun!AW472</f>
        <v>-5421478.9500000002</v>
      </c>
      <c r="AL225" s="235">
        <f>EEFFun!AX472</f>
        <v>-5421478.9500000002</v>
      </c>
      <c r="AM225" s="236">
        <f>+$AL225+AM228</f>
        <v>-5386112.4757462721</v>
      </c>
      <c r="AN225" s="236">
        <f t="shared" ref="AN225:AX225" si="416">+$AL225+AN228</f>
        <v>-5343478.9358569896</v>
      </c>
      <c r="AO225" s="236">
        <f t="shared" si="416"/>
        <v>-5238675.5622403575</v>
      </c>
      <c r="AP225" s="236">
        <f t="shared" si="416"/>
        <v>-5119556.0446619913</v>
      </c>
      <c r="AQ225" s="236">
        <f t="shared" si="416"/>
        <v>-4988266.608954004</v>
      </c>
      <c r="AR225" s="236">
        <f t="shared" si="416"/>
        <v>-4847320.3439526726</v>
      </c>
      <c r="AS225" s="236">
        <f t="shared" si="416"/>
        <v>-4694109.9440588076</v>
      </c>
      <c r="AT225" s="236">
        <f t="shared" si="416"/>
        <v>-4506438.6669476749</v>
      </c>
      <c r="AU225" s="236">
        <f t="shared" si="416"/>
        <v>-4337502.0605045576</v>
      </c>
      <c r="AV225" s="236">
        <f t="shared" si="416"/>
        <v>-4129751.2837744271</v>
      </c>
      <c r="AW225" s="236">
        <f t="shared" si="416"/>
        <v>-3913429.1717250138</v>
      </c>
      <c r="AX225" s="236">
        <f t="shared" si="416"/>
        <v>-3717120.0115989009</v>
      </c>
      <c r="AY225" s="236">
        <f t="shared" si="394"/>
        <v>1548233.1784010995</v>
      </c>
      <c r="AZ225" s="236">
        <f t="shared" si="405"/>
        <v>1548233.1784010995</v>
      </c>
      <c r="BA225" s="232">
        <f t="shared" si="406"/>
        <v>-0.90776292119443047</v>
      </c>
      <c r="BB225" s="232">
        <f t="shared" si="407"/>
        <v>-0.2645979816106121</v>
      </c>
      <c r="BC225" s="228">
        <f t="shared" si="346"/>
        <v>758914.52305232547</v>
      </c>
    </row>
    <row r="226" spans="1:55" outlineLevel="2" collapsed="1" x14ac:dyDescent="0.25">
      <c r="A226" s="222">
        <v>4</v>
      </c>
      <c r="B226" s="234" t="str">
        <f>EEFFun!B473</f>
        <v>3603</v>
      </c>
      <c r="C226" s="234" t="str">
        <f>EEFFun!C473</f>
        <v>Utilidad o excedentes del ejercicio</v>
      </c>
      <c r="D226" s="238"/>
      <c r="E226" s="238"/>
      <c r="F226" s="238"/>
      <c r="G226" s="238"/>
      <c r="H226" s="238"/>
      <c r="I226" s="238"/>
      <c r="J226" s="238"/>
      <c r="K226" s="238"/>
      <c r="L226" s="238"/>
      <c r="M226" s="238"/>
      <c r="N226" s="238"/>
      <c r="O226" s="238"/>
      <c r="P226" s="235">
        <f>EEFFun!AB473</f>
        <v>15796.14</v>
      </c>
      <c r="Q226" s="235">
        <f>EEFFun!AC473</f>
        <v>0</v>
      </c>
      <c r="R226" s="235">
        <f>EEFFun!AD473</f>
        <v>0</v>
      </c>
      <c r="S226" s="235">
        <f>EEFFun!AE473</f>
        <v>0</v>
      </c>
      <c r="T226" s="235">
        <f>EEFFun!AF473</f>
        <v>0</v>
      </c>
      <c r="U226" s="235">
        <f>EEFFun!AG473</f>
        <v>0</v>
      </c>
      <c r="V226" s="235">
        <f>EEFFun!AH473</f>
        <v>0</v>
      </c>
      <c r="W226" s="235">
        <f>EEFFun!AI473</f>
        <v>0</v>
      </c>
      <c r="X226" s="235">
        <f>EEFFun!AJ473</f>
        <v>0</v>
      </c>
      <c r="Y226" s="235">
        <f>EEFFun!AK473</f>
        <v>0</v>
      </c>
      <c r="Z226" s="235">
        <f>EEFFun!AL473</f>
        <v>0</v>
      </c>
      <c r="AA226" s="235">
        <f>EEFFun!AM473</f>
        <v>0</v>
      </c>
      <c r="AB226" s="235">
        <f>EEFFun!AN473</f>
        <v>0</v>
      </c>
      <c r="AC226" s="235">
        <f>EEFFun!AO473</f>
        <v>0</v>
      </c>
      <c r="AD226" s="235">
        <f>EEFFun!AP473</f>
        <v>0</v>
      </c>
      <c r="AE226" s="235">
        <f>EEFFun!AQ473</f>
        <v>0</v>
      </c>
      <c r="AF226" s="235">
        <f>EEFFun!AR473</f>
        <v>0</v>
      </c>
      <c r="AG226" s="235">
        <f>EEFFun!AS473</f>
        <v>0</v>
      </c>
      <c r="AH226" s="235">
        <f>EEFFun!AT473</f>
        <v>0</v>
      </c>
      <c r="AI226" s="235">
        <f>EEFFun!AU473</f>
        <v>0</v>
      </c>
      <c r="AJ226" s="235">
        <f>EEFFun!AV473</f>
        <v>0</v>
      </c>
      <c r="AK226" s="235">
        <f>EEFFun!AW473</f>
        <v>0</v>
      </c>
      <c r="AL226" s="235">
        <f>EEFFun!AX473</f>
        <v>0</v>
      </c>
      <c r="AM226" s="238"/>
      <c r="AN226" s="238"/>
      <c r="AO226" s="238"/>
      <c r="AP226" s="238"/>
      <c r="AQ226" s="238"/>
      <c r="AR226" s="238"/>
      <c r="AS226" s="238"/>
      <c r="AT226" s="238"/>
      <c r="AU226" s="238"/>
      <c r="AV226" s="238"/>
      <c r="AW226" s="238"/>
      <c r="AX226" s="235">
        <f>IF(AX3=12,IF(BRhoriz!BV202&gt;0,BRhoriz!BV202,0))</f>
        <v>1704358.9384010991</v>
      </c>
      <c r="AY226" s="236">
        <f t="shared" si="394"/>
        <v>1704358.9384010991</v>
      </c>
      <c r="AZ226" s="236">
        <f t="shared" si="405"/>
        <v>1688562.7984010992</v>
      </c>
      <c r="BA226" s="232">
        <f t="shared" si="406"/>
        <v>2.7233026299601738E-3</v>
      </c>
      <c r="BB226" s="232">
        <f t="shared" si="407"/>
        <v>0.12132240380556179</v>
      </c>
      <c r="BC226" s="228">
        <f t="shared" si="346"/>
        <v>0</v>
      </c>
    </row>
    <row r="227" spans="1:55" outlineLevel="2" collapsed="1" x14ac:dyDescent="0.25">
      <c r="A227" s="222">
        <v>4</v>
      </c>
      <c r="B227" s="234">
        <f>EEFFun!B474</f>
        <v>3604</v>
      </c>
      <c r="C227" s="234" t="str">
        <f>EEFFun!C474</f>
        <v>(Pérdida del ejercicio)</v>
      </c>
      <c r="D227" s="235">
        <f>EEFFun!P474</f>
        <v>-1126730.82</v>
      </c>
      <c r="E227" s="235">
        <f>EEFFun!Q474</f>
        <v>0</v>
      </c>
      <c r="F227" s="235">
        <f>EEFFun!R474</f>
        <v>0</v>
      </c>
      <c r="G227" s="235">
        <f>EEFFun!S474</f>
        <v>0</v>
      </c>
      <c r="H227" s="235">
        <f>EEFFun!T474</f>
        <v>0</v>
      </c>
      <c r="I227" s="235">
        <f>EEFFun!U474</f>
        <v>0</v>
      </c>
      <c r="J227" s="235">
        <f>EEFFun!V474</f>
        <v>0</v>
      </c>
      <c r="K227" s="235">
        <f>EEFFun!W474</f>
        <v>0</v>
      </c>
      <c r="L227" s="235">
        <f>EEFFun!X474</f>
        <v>0</v>
      </c>
      <c r="M227" s="235">
        <f>EEFFun!Y474</f>
        <v>0</v>
      </c>
      <c r="N227" s="235">
        <f>EEFFun!Z474</f>
        <v>0</v>
      </c>
      <c r="O227" s="235">
        <f>EEFFun!AA474</f>
        <v>0</v>
      </c>
      <c r="P227" s="235">
        <f>EEFFun!AB474</f>
        <v>0</v>
      </c>
      <c r="Q227" s="235">
        <f>EEFFun!AC474</f>
        <v>0</v>
      </c>
      <c r="R227" s="235">
        <f>EEFFun!AD474</f>
        <v>0</v>
      </c>
      <c r="S227" s="235">
        <f>EEFFun!AE474</f>
        <v>0</v>
      </c>
      <c r="T227" s="235">
        <f>EEFFun!AF474</f>
        <v>0</v>
      </c>
      <c r="U227" s="235">
        <f>EEFFun!AG474</f>
        <v>0</v>
      </c>
      <c r="V227" s="235">
        <f>EEFFun!AH474</f>
        <v>0</v>
      </c>
      <c r="W227" s="235">
        <f>EEFFun!AI474</f>
        <v>0</v>
      </c>
      <c r="X227" s="235">
        <f>EEFFun!AJ474</f>
        <v>0</v>
      </c>
      <c r="Y227" s="235">
        <f>EEFFun!AK474</f>
        <v>0</v>
      </c>
      <c r="Z227" s="235">
        <f>EEFFun!AL474</f>
        <v>0</v>
      </c>
      <c r="AA227" s="235">
        <f>EEFFun!AM474</f>
        <v>0</v>
      </c>
      <c r="AB227" s="235">
        <f>EEFFun!AN474</f>
        <v>0</v>
      </c>
      <c r="AC227" s="235">
        <f>EEFFun!AO474</f>
        <v>0</v>
      </c>
      <c r="AD227" s="235">
        <f>EEFFun!AP474</f>
        <v>0</v>
      </c>
      <c r="AE227" s="235">
        <f>EEFFun!AQ474</f>
        <v>0</v>
      </c>
      <c r="AF227" s="235">
        <f>EEFFun!AR474</f>
        <v>0</v>
      </c>
      <c r="AG227" s="235">
        <f>EEFFun!AS474</f>
        <v>0</v>
      </c>
      <c r="AH227" s="235">
        <f>EEFFun!AT474</f>
        <v>0</v>
      </c>
      <c r="AI227" s="235">
        <f>EEFFun!AU474</f>
        <v>0</v>
      </c>
      <c r="AJ227" s="235">
        <f>EEFFun!AV474</f>
        <v>0</v>
      </c>
      <c r="AK227" s="235">
        <f>EEFFun!AW474</f>
        <v>0</v>
      </c>
      <c r="AL227" s="235">
        <f>EEFFun!AX474</f>
        <v>0</v>
      </c>
      <c r="AM227" s="238"/>
      <c r="AN227" s="238"/>
      <c r="AO227" s="238"/>
      <c r="AP227" s="238"/>
      <c r="AQ227" s="238"/>
      <c r="AR227" s="238"/>
      <c r="AS227" s="238"/>
      <c r="AT227" s="238"/>
      <c r="AU227" s="238"/>
      <c r="AV227" s="238"/>
      <c r="AW227" s="238"/>
      <c r="AX227" s="235">
        <f>IF(AX3=12,IF(BRhoriz!BV202&lt;0,BRhoriz!BV202,0))</f>
        <v>0</v>
      </c>
      <c r="AY227" s="236">
        <f t="shared" si="394"/>
        <v>0</v>
      </c>
      <c r="AZ227" s="236">
        <f t="shared" si="405"/>
        <v>0</v>
      </c>
      <c r="BA227" s="232">
        <f t="shared" si="406"/>
        <v>0</v>
      </c>
      <c r="BB227" s="232">
        <f t="shared" si="407"/>
        <v>0</v>
      </c>
      <c r="BC227" s="228">
        <f t="shared" si="346"/>
        <v>0</v>
      </c>
    </row>
    <row r="228" spans="1:55" outlineLevel="2" collapsed="1" x14ac:dyDescent="0.25">
      <c r="B228" s="266"/>
      <c r="C228" s="267" t="s">
        <v>702</v>
      </c>
      <c r="D228" s="235">
        <f>EEFFun!P789</f>
        <v>-1126730.8200000003</v>
      </c>
      <c r="E228" s="235">
        <f>EEFFun!Q789</f>
        <v>-76637.840000000026</v>
      </c>
      <c r="F228" s="235">
        <f>EEFFun!R789</f>
        <v>-72078.399999999907</v>
      </c>
      <c r="G228" s="235">
        <f>EEFFun!S789</f>
        <v>-115827.08999999985</v>
      </c>
      <c r="H228" s="235">
        <f>EEFFun!T789</f>
        <v>114479.92999999993</v>
      </c>
      <c r="I228" s="235">
        <f>EEFFun!U789</f>
        <v>29795.5</v>
      </c>
      <c r="J228" s="235">
        <f>EEFFun!V789</f>
        <v>-47085.760000000242</v>
      </c>
      <c r="K228" s="235">
        <f>EEFFun!W789</f>
        <v>-108764.04999999981</v>
      </c>
      <c r="L228" s="235">
        <f>EEFFun!X789</f>
        <v>-113716.33999999985</v>
      </c>
      <c r="M228" s="235">
        <f>EEFFun!Y789</f>
        <v>-186326.85000000009</v>
      </c>
      <c r="N228" s="235">
        <f>EEFFun!Z789</f>
        <v>-508137.55000000075</v>
      </c>
      <c r="O228" s="235">
        <f>EEFFun!AA789</f>
        <v>-225210.27999999933</v>
      </c>
      <c r="P228" s="235">
        <f>EEFFun!AB789</f>
        <v>15796.139999999665</v>
      </c>
      <c r="Q228" s="235">
        <f>EEFFun!AC789</f>
        <v>3658.9899999999907</v>
      </c>
      <c r="R228" s="235">
        <f>EEFFun!AD789</f>
        <v>-153348.75</v>
      </c>
      <c r="S228" s="235">
        <f>EEFFun!AE789</f>
        <v>-136154.87000000011</v>
      </c>
      <c r="T228" s="235">
        <f>EEFFun!AF789</f>
        <v>-157343.83000000007</v>
      </c>
      <c r="U228" s="235">
        <f>EEFFun!AG789</f>
        <v>-241941.87999999989</v>
      </c>
      <c r="V228" s="235">
        <f>EEFFun!AH789</f>
        <v>-471220.68999999994</v>
      </c>
      <c r="W228" s="235">
        <f>EEFFun!AI789</f>
        <v>-375633.39000000013</v>
      </c>
      <c r="X228" s="235">
        <f>EEFFun!AJ789</f>
        <v>-721939.41000000015</v>
      </c>
      <c r="Y228" s="235">
        <f>EEFFun!AK789</f>
        <v>-1057328.46</v>
      </c>
      <c r="Z228" s="235">
        <f>EEFFun!AL789</f>
        <v>-1498058.75</v>
      </c>
      <c r="AA228" s="235">
        <f>EEFFun!AM789</f>
        <v>-1487335.2999999998</v>
      </c>
      <c r="AB228" s="235">
        <f>EEFFun!AN789</f>
        <v>-1035781.3500000006</v>
      </c>
      <c r="AC228" s="235">
        <f>EEFFun!AO789</f>
        <v>105601.37</v>
      </c>
      <c r="AD228" s="235">
        <f>EEFFun!AP789</f>
        <v>238874.12000000011</v>
      </c>
      <c r="AE228" s="235">
        <f>EEFFun!AQ789</f>
        <v>300779.98</v>
      </c>
      <c r="AF228" s="235">
        <f>EEFFun!AR789</f>
        <v>307585.77</v>
      </c>
      <c r="AG228" s="235">
        <f>EEFFun!AS789</f>
        <v>321653.62000000011</v>
      </c>
      <c r="AH228" s="235">
        <f>EEFFun!AT789</f>
        <v>207280.31999999937</v>
      </c>
      <c r="AI228" s="235">
        <f>EEFFun!AU789</f>
        <v>238529.98000000045</v>
      </c>
      <c r="AJ228" s="235">
        <f>EEFFun!AV789</f>
        <v>244182.8200000003</v>
      </c>
      <c r="AK228" s="235">
        <f>EEFFun!AW789</f>
        <v>246678.62999999989</v>
      </c>
      <c r="AL228" s="235">
        <f>EEFFun!AX789</f>
        <v>247911.58999999985</v>
      </c>
      <c r="AM228" s="235">
        <f>BRhoriz!BK202</f>
        <v>35366.474253728455</v>
      </c>
      <c r="AN228" s="235">
        <f>BRhoriz!BL202</f>
        <v>78000.014143010907</v>
      </c>
      <c r="AO228" s="235">
        <f>BRhoriz!BM202</f>
        <v>182803.38775964253</v>
      </c>
      <c r="AP228" s="235">
        <f>BRhoriz!BN202</f>
        <v>301922.905338009</v>
      </c>
      <c r="AQ228" s="235">
        <f>BRhoriz!BO202</f>
        <v>433212.34104599652</v>
      </c>
      <c r="AR228" s="235">
        <f>BRhoriz!BP202</f>
        <v>574158.60604732728</v>
      </c>
      <c r="AS228" s="235">
        <f>BRhoriz!BQ202</f>
        <v>727369.00594119215</v>
      </c>
      <c r="AT228" s="235">
        <f>BRhoriz!BR202</f>
        <v>915040.28305232502</v>
      </c>
      <c r="AU228" s="235">
        <f>BRhoriz!BS202</f>
        <v>1083976.8894954431</v>
      </c>
      <c r="AV228" s="235">
        <f>BRhoriz!BT202</f>
        <v>1291727.666225573</v>
      </c>
      <c r="AW228" s="235">
        <f>BRhoriz!BU202</f>
        <v>1508049.7782749864</v>
      </c>
      <c r="AX228" s="235">
        <f>BRhoriz!BV202</f>
        <v>1704358.9384010991</v>
      </c>
      <c r="AY228" s="236">
        <f t="shared" si="394"/>
        <v>2175579.6284010988</v>
      </c>
      <c r="AZ228" s="236">
        <f t="shared" si="405"/>
        <v>1688562.7984010994</v>
      </c>
      <c r="BA228" s="245"/>
      <c r="BB228" s="245"/>
      <c r="BC228" s="228">
        <f t="shared" si="346"/>
        <v>1290673.6730523251</v>
      </c>
    </row>
    <row r="229" spans="1:55" x14ac:dyDescent="0.25">
      <c r="B229" s="268"/>
      <c r="C229" s="269" t="s">
        <v>703</v>
      </c>
      <c r="D229" s="226">
        <f t="shared" ref="D229:AX229" si="417">D152+D212</f>
        <v>41871994.719999999</v>
      </c>
      <c r="E229" s="226">
        <f t="shared" si="417"/>
        <v>41505122.950000003</v>
      </c>
      <c r="F229" s="226">
        <f t="shared" si="417"/>
        <v>41414650.789999992</v>
      </c>
      <c r="G229" s="226">
        <f t="shared" si="417"/>
        <v>41724663.869999997</v>
      </c>
      <c r="H229" s="226">
        <f t="shared" si="417"/>
        <v>41288447.450000003</v>
      </c>
      <c r="I229" s="226">
        <f t="shared" si="417"/>
        <v>40785001.809999995</v>
      </c>
      <c r="J229" s="226">
        <f t="shared" si="417"/>
        <v>39965833.049999997</v>
      </c>
      <c r="K229" s="226">
        <f t="shared" si="417"/>
        <v>38968447.68</v>
      </c>
      <c r="L229" s="226">
        <f t="shared" si="417"/>
        <v>38668366.310000002</v>
      </c>
      <c r="M229" s="226">
        <f t="shared" si="417"/>
        <v>38632491.18</v>
      </c>
      <c r="N229" s="226">
        <f t="shared" si="417"/>
        <v>39595667.420000002</v>
      </c>
      <c r="O229" s="226">
        <f t="shared" si="417"/>
        <v>38812212.829999998</v>
      </c>
      <c r="P229" s="226">
        <f t="shared" si="417"/>
        <v>38163617.949999996</v>
      </c>
      <c r="Q229" s="226">
        <f t="shared" si="417"/>
        <v>38281182.670000002</v>
      </c>
      <c r="R229" s="226">
        <f t="shared" si="417"/>
        <v>37972920.039999999</v>
      </c>
      <c r="S229" s="226">
        <f t="shared" si="417"/>
        <v>38449477.299999997</v>
      </c>
      <c r="T229" s="226">
        <f t="shared" si="417"/>
        <v>38724383.740000002</v>
      </c>
      <c r="U229" s="226">
        <f t="shared" si="417"/>
        <v>42059066.189999998</v>
      </c>
      <c r="V229" s="226">
        <f t="shared" si="417"/>
        <v>47533760.850000001</v>
      </c>
      <c r="W229" s="226">
        <f t="shared" si="417"/>
        <v>47488974.18</v>
      </c>
      <c r="X229" s="226">
        <f t="shared" ref="X229:AS229" si="418">X152+X212</f>
        <v>48433004.509999998</v>
      </c>
      <c r="Y229" s="226">
        <f t="shared" si="418"/>
        <v>49201664.549999997</v>
      </c>
      <c r="Z229" s="226">
        <f t="shared" si="418"/>
        <v>50809592.969999999</v>
      </c>
      <c r="AA229" s="226">
        <f t="shared" si="418"/>
        <v>52109101.600000001</v>
      </c>
      <c r="AB229" s="226">
        <f t="shared" ref="AB229:AL229" si="419">AB152+AB212</f>
        <v>51800193.119999997</v>
      </c>
      <c r="AC229" s="226">
        <f t="shared" si="419"/>
        <v>54142597.980000004</v>
      </c>
      <c r="AD229" s="226">
        <f t="shared" si="419"/>
        <v>56130377.129999995</v>
      </c>
      <c r="AE229" s="226">
        <f t="shared" si="419"/>
        <v>61624413.339999989</v>
      </c>
      <c r="AF229" s="226">
        <f t="shared" si="419"/>
        <v>59087782.840000004</v>
      </c>
      <c r="AG229" s="226">
        <f t="shared" si="419"/>
        <v>61379397.030000009</v>
      </c>
      <c r="AH229" s="226">
        <f t="shared" si="419"/>
        <v>63173773.029999994</v>
      </c>
      <c r="AI229" s="226">
        <f t="shared" si="419"/>
        <v>66287418.450000003</v>
      </c>
      <c r="AJ229" s="226">
        <f t="shared" si="419"/>
        <v>68369801.339999989</v>
      </c>
      <c r="AK229" s="226">
        <f t="shared" si="419"/>
        <v>69454951.570000008</v>
      </c>
      <c r="AL229" s="226">
        <f t="shared" si="419"/>
        <v>71995662.680000007</v>
      </c>
      <c r="AM229" s="226">
        <f t="shared" si="418"/>
        <v>78319793.015545189</v>
      </c>
      <c r="AN229" s="226">
        <f t="shared" si="418"/>
        <v>85074407.655901983</v>
      </c>
      <c r="AO229" s="226">
        <f t="shared" si="418"/>
        <v>91796946.326451361</v>
      </c>
      <c r="AP229" s="226">
        <f t="shared" si="418"/>
        <v>98502811.594575673</v>
      </c>
      <c r="AQ229" s="226">
        <f t="shared" si="418"/>
        <v>105176379.99077074</v>
      </c>
      <c r="AR229" s="226">
        <f t="shared" si="418"/>
        <v>112015746.26217684</v>
      </c>
      <c r="AS229" s="226">
        <f t="shared" si="418"/>
        <v>118797702.09333964</v>
      </c>
      <c r="AT229" s="226">
        <f t="shared" si="417"/>
        <v>125618870.23677863</v>
      </c>
      <c r="AU229" s="226">
        <f t="shared" si="417"/>
        <v>132136886.56842323</v>
      </c>
      <c r="AV229" s="226">
        <f t="shared" si="417"/>
        <v>139001818.04670164</v>
      </c>
      <c r="AW229" s="226">
        <f t="shared" si="417"/>
        <v>145846189.35584119</v>
      </c>
      <c r="AX229" s="226">
        <f t="shared" si="417"/>
        <v>154352943.17671019</v>
      </c>
      <c r="AY229" s="226">
        <f t="shared" si="394"/>
        <v>106819182.32671019</v>
      </c>
      <c r="AZ229" s="226">
        <f t="shared" si="405"/>
        <v>116189325.2267102</v>
      </c>
      <c r="BA229" s="270"/>
      <c r="BB229" s="270"/>
      <c r="BC229" s="228">
        <f t="shared" si="346"/>
        <v>78129896.05677864</v>
      </c>
    </row>
    <row r="230" spans="1:55" x14ac:dyDescent="0.25">
      <c r="B230" s="271"/>
      <c r="C230" s="272" t="s">
        <v>704</v>
      </c>
      <c r="D230" s="226">
        <f t="shared" ref="D230:AX230" si="420">IF(D3=12,D152+D212,D152+D212+D228)</f>
        <v>41871994.719999999</v>
      </c>
      <c r="E230" s="226">
        <f t="shared" si="420"/>
        <v>41428485.109999999</v>
      </c>
      <c r="F230" s="226">
        <f t="shared" si="420"/>
        <v>41342572.389999993</v>
      </c>
      <c r="G230" s="226">
        <f t="shared" si="420"/>
        <v>41608836.780000001</v>
      </c>
      <c r="H230" s="226">
        <f t="shared" si="420"/>
        <v>41402927.380000003</v>
      </c>
      <c r="I230" s="226">
        <f t="shared" si="420"/>
        <v>40814797.309999995</v>
      </c>
      <c r="J230" s="226">
        <f t="shared" si="420"/>
        <v>39918747.289999999</v>
      </c>
      <c r="K230" s="226">
        <f t="shared" si="420"/>
        <v>38859683.630000003</v>
      </c>
      <c r="L230" s="226">
        <f t="shared" si="420"/>
        <v>38554649.969999999</v>
      </c>
      <c r="M230" s="226">
        <f t="shared" si="420"/>
        <v>38446164.329999998</v>
      </c>
      <c r="N230" s="226">
        <f t="shared" si="420"/>
        <v>39087529.870000005</v>
      </c>
      <c r="O230" s="226">
        <f t="shared" si="420"/>
        <v>38587002.549999997</v>
      </c>
      <c r="P230" s="226">
        <f t="shared" si="420"/>
        <v>38163617.949999996</v>
      </c>
      <c r="Q230" s="226">
        <f t="shared" si="420"/>
        <v>38284841.660000004</v>
      </c>
      <c r="R230" s="226">
        <f t="shared" si="420"/>
        <v>37819571.289999999</v>
      </c>
      <c r="S230" s="226">
        <f t="shared" si="420"/>
        <v>38313322.43</v>
      </c>
      <c r="T230" s="226">
        <f t="shared" si="420"/>
        <v>38567039.910000004</v>
      </c>
      <c r="U230" s="226">
        <f t="shared" si="420"/>
        <v>41817124.309999995</v>
      </c>
      <c r="V230" s="226">
        <f t="shared" si="420"/>
        <v>47062540.160000004</v>
      </c>
      <c r="W230" s="226">
        <f t="shared" si="420"/>
        <v>47113340.789999999</v>
      </c>
      <c r="X230" s="226">
        <f t="shared" ref="X230:AS230" si="421">IF(X3=12,X152+X212,X152+X212+X228)</f>
        <v>47711065.099999994</v>
      </c>
      <c r="Y230" s="226">
        <f t="shared" si="421"/>
        <v>48144336.089999996</v>
      </c>
      <c r="Z230" s="226">
        <f t="shared" si="421"/>
        <v>49311534.219999999</v>
      </c>
      <c r="AA230" s="226">
        <f t="shared" si="421"/>
        <v>50621766.300000004</v>
      </c>
      <c r="AB230" s="226">
        <f t="shared" ref="AB230:AL230" si="422">IF(AB3=12,AB152+AB212,AB152+AB212+AB228)</f>
        <v>51800193.119999997</v>
      </c>
      <c r="AC230" s="226">
        <f t="shared" si="422"/>
        <v>54248199.350000001</v>
      </c>
      <c r="AD230" s="226">
        <f t="shared" si="422"/>
        <v>56369251.249999993</v>
      </c>
      <c r="AE230" s="226">
        <f t="shared" si="422"/>
        <v>61925193.319999985</v>
      </c>
      <c r="AF230" s="226">
        <f t="shared" si="422"/>
        <v>59395368.610000007</v>
      </c>
      <c r="AG230" s="226">
        <f t="shared" si="422"/>
        <v>61701050.650000006</v>
      </c>
      <c r="AH230" s="226">
        <f t="shared" si="422"/>
        <v>63381053.349999994</v>
      </c>
      <c r="AI230" s="226">
        <f t="shared" si="422"/>
        <v>66525948.430000007</v>
      </c>
      <c r="AJ230" s="226">
        <f t="shared" si="422"/>
        <v>68613984.159999996</v>
      </c>
      <c r="AK230" s="226">
        <f t="shared" si="422"/>
        <v>69701630.200000003</v>
      </c>
      <c r="AL230" s="226">
        <f t="shared" si="422"/>
        <v>72243574.270000011</v>
      </c>
      <c r="AM230" s="226">
        <f t="shared" si="421"/>
        <v>78355159.489798918</v>
      </c>
      <c r="AN230" s="226">
        <f t="shared" si="421"/>
        <v>85152407.670044988</v>
      </c>
      <c r="AO230" s="226">
        <f t="shared" si="421"/>
        <v>91979749.714211002</v>
      </c>
      <c r="AP230" s="226">
        <f t="shared" si="421"/>
        <v>98804734.499913678</v>
      </c>
      <c r="AQ230" s="226">
        <f t="shared" si="421"/>
        <v>105609592.33181673</v>
      </c>
      <c r="AR230" s="226">
        <f t="shared" si="421"/>
        <v>112589904.86822417</v>
      </c>
      <c r="AS230" s="226">
        <f t="shared" si="421"/>
        <v>119525071.09928083</v>
      </c>
      <c r="AT230" s="226">
        <f t="shared" si="420"/>
        <v>126533910.51983096</v>
      </c>
      <c r="AU230" s="226">
        <f t="shared" si="420"/>
        <v>133220863.45791867</v>
      </c>
      <c r="AV230" s="226">
        <f t="shared" si="420"/>
        <v>140293545.71292722</v>
      </c>
      <c r="AW230" s="226">
        <f t="shared" si="420"/>
        <v>147354239.13411617</v>
      </c>
      <c r="AX230" s="226">
        <f t="shared" si="420"/>
        <v>154352943.17671019</v>
      </c>
      <c r="AY230" s="226">
        <f t="shared" si="394"/>
        <v>107290403.01671019</v>
      </c>
      <c r="AZ230" s="226">
        <f t="shared" si="405"/>
        <v>116189325.2267102</v>
      </c>
      <c r="BA230" s="270"/>
      <c r="BB230" s="270"/>
      <c r="BC230" s="228">
        <f t="shared" si="346"/>
        <v>79420569.72983095</v>
      </c>
    </row>
    <row r="231" spans="1:55" x14ac:dyDescent="0.25">
      <c r="B231" s="273"/>
      <c r="C231" s="274" t="s">
        <v>679</v>
      </c>
      <c r="D231" s="228">
        <f t="shared" ref="D231:AX231" si="423">IF(D3=12,D5-D152-D212,D5-D152-D212-D228)</f>
        <v>0</v>
      </c>
      <c r="E231" s="228">
        <f t="shared" si="423"/>
        <v>-7.5669959187507629E-10</v>
      </c>
      <c r="F231" s="228">
        <f t="shared" si="423"/>
        <v>6.0535967350006104E-9</v>
      </c>
      <c r="G231" s="228">
        <f t="shared" si="423"/>
        <v>1.862645149230957E-9</v>
      </c>
      <c r="H231" s="228">
        <f t="shared" si="423"/>
        <v>3.4924596548080444E-9</v>
      </c>
      <c r="I231" s="228">
        <f t="shared" si="423"/>
        <v>4.6566128730773926E-9</v>
      </c>
      <c r="J231" s="228">
        <f t="shared" si="423"/>
        <v>4.1909515857696533E-9</v>
      </c>
      <c r="K231" s="228">
        <f t="shared" si="423"/>
        <v>9.3132257461547852E-10</v>
      </c>
      <c r="L231" s="228">
        <f t="shared" si="423"/>
        <v>-1.862645149230957E-9</v>
      </c>
      <c r="M231" s="228">
        <f t="shared" si="423"/>
        <v>-3.2596290111541748E-9</v>
      </c>
      <c r="N231" s="228">
        <f t="shared" si="423"/>
        <v>-7.4505805969238281E-9</v>
      </c>
      <c r="O231" s="228">
        <f t="shared" si="423"/>
        <v>-1.862645149230957E-9</v>
      </c>
      <c r="P231" s="228">
        <f t="shared" si="423"/>
        <v>5.5879354476928711E-9</v>
      </c>
      <c r="Q231" s="228">
        <f t="shared" si="423"/>
        <v>-7.2177499532699585E-9</v>
      </c>
      <c r="R231" s="228">
        <f t="shared" si="423"/>
        <v>-1.862645149230957E-9</v>
      </c>
      <c r="S231" s="228">
        <f t="shared" si="423"/>
        <v>0</v>
      </c>
      <c r="T231" s="228">
        <f t="shared" si="423"/>
        <v>-6.5192580223083496E-9</v>
      </c>
      <c r="U231" s="228">
        <f t="shared" si="423"/>
        <v>3.7252902984619141E-9</v>
      </c>
      <c r="V231" s="228">
        <f t="shared" si="423"/>
        <v>-4.1909515857696533E-9</v>
      </c>
      <c r="W231" s="228">
        <f t="shared" si="423"/>
        <v>2.3283064365386963E-9</v>
      </c>
      <c r="X231" s="228">
        <f t="shared" ref="X231:AS231" si="424">IF(X3=12,X5-X152-X212,X5-X152-X212-X228)</f>
        <v>1.862645149230957E-9</v>
      </c>
      <c r="Y231" s="228">
        <f t="shared" si="424"/>
        <v>4.6566128730773926E-9</v>
      </c>
      <c r="Z231" s="228">
        <f t="shared" si="424"/>
        <v>-3.7252902984619141E-9</v>
      </c>
      <c r="AA231" s="228">
        <f t="shared" si="424"/>
        <v>-6.5192580223083496E-9</v>
      </c>
      <c r="AB231" s="228">
        <f t="shared" ref="AB231:AL231" si="425">IF(AB3=12,AB5-AB152-AB212,AB5-AB152-AB212-AB228)</f>
        <v>0</v>
      </c>
      <c r="AC231" s="228">
        <f t="shared" si="425"/>
        <v>-4.5401975512504578E-9</v>
      </c>
      <c r="AD231" s="228">
        <f t="shared" si="425"/>
        <v>8.3819031715393066E-9</v>
      </c>
      <c r="AE231" s="228">
        <f t="shared" si="425"/>
        <v>7.9162418842315674E-9</v>
      </c>
      <c r="AF231" s="228">
        <f t="shared" si="425"/>
        <v>-4.1909515857696533E-9</v>
      </c>
      <c r="AG231" s="228">
        <f t="shared" si="425"/>
        <v>-8.3819031715393066E-9</v>
      </c>
      <c r="AH231" s="228">
        <f t="shared" si="425"/>
        <v>1.0244548320770264E-8</v>
      </c>
      <c r="AI231" s="228">
        <f t="shared" si="425"/>
        <v>0</v>
      </c>
      <c r="AJ231" s="228">
        <f t="shared" si="425"/>
        <v>1.862645149230957E-9</v>
      </c>
      <c r="AK231" s="228">
        <f t="shared" si="425"/>
        <v>9.3132257461547852E-10</v>
      </c>
      <c r="AL231" s="228">
        <f t="shared" si="425"/>
        <v>-3.7252902984619141E-9</v>
      </c>
      <c r="AM231" s="275">
        <f>IF(AM3=12,AM5-AM152-AM212,AM5-AM152-AM212-AM228)</f>
        <v>-1367118.6974288947</v>
      </c>
      <c r="AN231" s="275">
        <f t="shared" si="424"/>
        <v>-3064486.6881394782</v>
      </c>
      <c r="AO231" s="275">
        <f t="shared" si="424"/>
        <v>-4671926.0573763568</v>
      </c>
      <c r="AP231" s="275">
        <f t="shared" si="424"/>
        <v>-6546139.6688377792</v>
      </c>
      <c r="AQ231" s="275">
        <f t="shared" si="424"/>
        <v>-8480109.7283219341</v>
      </c>
      <c r="AR231" s="275">
        <f t="shared" si="424"/>
        <v>-10335409.3928282</v>
      </c>
      <c r="AS231" s="275">
        <f t="shared" si="424"/>
        <v>-11143946.040340487</v>
      </c>
      <c r="AT231" s="275">
        <f t="shared" si="423"/>
        <v>-13074389.425197676</v>
      </c>
      <c r="AU231" s="275">
        <f t="shared" si="423"/>
        <v>-14989323.352843126</v>
      </c>
      <c r="AV231" s="275">
        <f t="shared" si="423"/>
        <v>-16980404.663924702</v>
      </c>
      <c r="AW231" s="275">
        <f t="shared" si="423"/>
        <v>-18394948.093876217</v>
      </c>
      <c r="AX231" s="275">
        <f t="shared" si="423"/>
        <v>-20610564.496461265</v>
      </c>
      <c r="AY231" s="200"/>
      <c r="AZ231" s="200"/>
      <c r="BC231" s="228">
        <f t="shared" si="346"/>
        <v>-13074389.425197678</v>
      </c>
    </row>
    <row r="233" spans="1:55" s="214" customFormat="1" ht="15.75" customHeight="1" x14ac:dyDescent="0.25">
      <c r="B233" s="216" t="s">
        <v>686</v>
      </c>
      <c r="C233" s="217"/>
      <c r="D233" s="276">
        <f t="shared" ref="D233:AY233" si="426">D4</f>
        <v>44926</v>
      </c>
      <c r="E233" s="276">
        <f t="shared" si="426"/>
        <v>44957</v>
      </c>
      <c r="F233" s="276">
        <f t="shared" si="426"/>
        <v>44985</v>
      </c>
      <c r="G233" s="276">
        <f t="shared" si="426"/>
        <v>45016</v>
      </c>
      <c r="H233" s="276">
        <f t="shared" si="426"/>
        <v>45046</v>
      </c>
      <c r="I233" s="276">
        <f t="shared" si="426"/>
        <v>45077</v>
      </c>
      <c r="J233" s="276">
        <f t="shared" si="426"/>
        <v>45107</v>
      </c>
      <c r="K233" s="276">
        <f t="shared" si="426"/>
        <v>45138</v>
      </c>
      <c r="L233" s="276">
        <f t="shared" si="426"/>
        <v>45169</v>
      </c>
      <c r="M233" s="276">
        <f t="shared" si="426"/>
        <v>45199</v>
      </c>
      <c r="N233" s="276">
        <f t="shared" si="426"/>
        <v>45230</v>
      </c>
      <c r="O233" s="276">
        <f t="shared" si="426"/>
        <v>45260</v>
      </c>
      <c r="P233" s="276">
        <f t="shared" si="426"/>
        <v>45291</v>
      </c>
      <c r="Q233" s="276">
        <f t="shared" si="426"/>
        <v>45322</v>
      </c>
      <c r="R233" s="276">
        <f t="shared" si="426"/>
        <v>45351</v>
      </c>
      <c r="S233" s="276">
        <f t="shared" si="426"/>
        <v>45382</v>
      </c>
      <c r="T233" s="276">
        <f t="shared" si="426"/>
        <v>45412</v>
      </c>
      <c r="U233" s="276">
        <f t="shared" si="426"/>
        <v>45443</v>
      </c>
      <c r="V233" s="276">
        <f t="shared" si="426"/>
        <v>45473</v>
      </c>
      <c r="W233" s="276">
        <f t="shared" si="426"/>
        <v>45504</v>
      </c>
      <c r="X233" s="276">
        <f t="shared" ref="X233:AS233" si="427">X4</f>
        <v>45535</v>
      </c>
      <c r="Y233" s="276">
        <f t="shared" si="427"/>
        <v>45565</v>
      </c>
      <c r="Z233" s="276">
        <f t="shared" si="427"/>
        <v>45596</v>
      </c>
      <c r="AA233" s="276">
        <f t="shared" si="427"/>
        <v>45626</v>
      </c>
      <c r="AB233" s="276">
        <f t="shared" si="427"/>
        <v>45657</v>
      </c>
      <c r="AC233" s="207" t="s">
        <v>705</v>
      </c>
      <c r="AD233" s="207" t="s">
        <v>706</v>
      </c>
      <c r="AE233" s="207" t="s">
        <v>707</v>
      </c>
      <c r="AF233" s="207" t="s">
        <v>708</v>
      </c>
      <c r="AG233" s="207" t="s">
        <v>709</v>
      </c>
      <c r="AH233" s="207" t="s">
        <v>710</v>
      </c>
      <c r="AI233" s="207" t="s">
        <v>711</v>
      </c>
      <c r="AJ233" s="207" t="s">
        <v>712</v>
      </c>
      <c r="AK233" s="207" t="s">
        <v>713</v>
      </c>
      <c r="AL233" s="207" t="s">
        <v>696</v>
      </c>
      <c r="AM233" s="276">
        <f t="shared" si="427"/>
        <v>45688</v>
      </c>
      <c r="AN233" s="276">
        <f t="shared" si="427"/>
        <v>45716</v>
      </c>
      <c r="AO233" s="276">
        <f t="shared" si="427"/>
        <v>45747</v>
      </c>
      <c r="AP233" s="276">
        <f t="shared" si="427"/>
        <v>45777</v>
      </c>
      <c r="AQ233" s="276">
        <f t="shared" si="427"/>
        <v>45808</v>
      </c>
      <c r="AR233" s="276">
        <f t="shared" si="427"/>
        <v>45838</v>
      </c>
      <c r="AS233" s="276">
        <f t="shared" si="427"/>
        <v>45869</v>
      </c>
      <c r="AT233" s="276">
        <f t="shared" si="426"/>
        <v>45900</v>
      </c>
      <c r="AU233" s="276">
        <f t="shared" si="426"/>
        <v>45930</v>
      </c>
      <c r="AV233" s="276">
        <f t="shared" si="426"/>
        <v>45961</v>
      </c>
      <c r="AW233" s="276">
        <f t="shared" si="426"/>
        <v>45991</v>
      </c>
      <c r="AX233" s="276">
        <f t="shared" si="426"/>
        <v>46022</v>
      </c>
      <c r="AY233" s="276" t="str">
        <f t="shared" si="426"/>
        <v>Comportam</v>
      </c>
      <c r="AZ233" s="220" t="s">
        <v>697</v>
      </c>
      <c r="BA233" s="277">
        <f>BA3</f>
        <v>2023</v>
      </c>
      <c r="BB233" s="277">
        <f>BB3</f>
        <v>2024</v>
      </c>
    </row>
    <row r="234" spans="1:55" x14ac:dyDescent="0.25">
      <c r="B234" s="278">
        <f>EEFFun!B675</f>
        <v>6</v>
      </c>
      <c r="C234" s="279" t="str">
        <f>EEFFun!C675</f>
        <v>CUENTAS CONTINGENTES</v>
      </c>
      <c r="D234" s="280">
        <f>EEFFun!P675</f>
        <v>118622.57</v>
      </c>
      <c r="E234" s="280">
        <f>EEFFun!Q675</f>
        <v>118622.57</v>
      </c>
      <c r="F234" s="280">
        <f>EEFFun!R675</f>
        <v>118622.57</v>
      </c>
      <c r="G234" s="280">
        <f>EEFFun!S675</f>
        <v>118622.57</v>
      </c>
      <c r="H234" s="280">
        <f>EEFFun!T675</f>
        <v>118622.57</v>
      </c>
      <c r="I234" s="280">
        <f>EEFFun!U675</f>
        <v>118622.57</v>
      </c>
      <c r="J234" s="280">
        <f>EEFFun!V675</f>
        <v>118622.57</v>
      </c>
      <c r="K234" s="280">
        <f>EEFFun!W675</f>
        <v>118622.57</v>
      </c>
      <c r="L234" s="280">
        <f>EEFFun!X675</f>
        <v>118622.57</v>
      </c>
      <c r="M234" s="280">
        <f>EEFFun!Y675</f>
        <v>118622.57</v>
      </c>
      <c r="N234" s="280">
        <f>EEFFun!Z675</f>
        <v>118622.57</v>
      </c>
      <c r="O234" s="280">
        <f>EEFFun!AA675</f>
        <v>118622.57</v>
      </c>
      <c r="P234" s="281">
        <f>O234</f>
        <v>118622.57</v>
      </c>
      <c r="Q234" s="281">
        <f t="shared" ref="Q234:AX234" si="428">P234</f>
        <v>118622.57</v>
      </c>
      <c r="R234" s="281">
        <f t="shared" si="428"/>
        <v>118622.57</v>
      </c>
      <c r="S234" s="281">
        <f t="shared" si="428"/>
        <v>118622.57</v>
      </c>
      <c r="T234" s="281">
        <f t="shared" si="428"/>
        <v>118622.57</v>
      </c>
      <c r="U234" s="281">
        <f t="shared" si="428"/>
        <v>118622.57</v>
      </c>
      <c r="V234" s="280">
        <f>EEFFun!AH675</f>
        <v>139761.57</v>
      </c>
      <c r="W234" s="280">
        <f>EEFFun!AI675</f>
        <v>139761.57</v>
      </c>
      <c r="X234" s="280">
        <f>EEFFun!AJ675</f>
        <v>139761.57</v>
      </c>
      <c r="Y234" s="280">
        <f>EEFFun!AK675</f>
        <v>139761.57</v>
      </c>
      <c r="Z234" s="280">
        <f>EEFFun!AL675</f>
        <v>139761.57</v>
      </c>
      <c r="AA234" s="280">
        <f>EEFFun!AM675</f>
        <v>139761.57</v>
      </c>
      <c r="AB234" s="280">
        <f>EEFFun!AN675</f>
        <v>139761.57</v>
      </c>
      <c r="AC234" s="280">
        <f>EEFFun!AO675</f>
        <v>139761.57</v>
      </c>
      <c r="AD234" s="280">
        <f>EEFFun!AP675</f>
        <v>139761.57</v>
      </c>
      <c r="AE234" s="280">
        <f>EEFFun!AQ675</f>
        <v>114761.57</v>
      </c>
      <c r="AF234" s="280">
        <f>EEFFun!AR675</f>
        <v>114761.57</v>
      </c>
      <c r="AG234" s="280">
        <f>EEFFun!AS675</f>
        <v>114761.57</v>
      </c>
      <c r="AH234" s="280">
        <f>EEFFun!AT675</f>
        <v>114761.57</v>
      </c>
      <c r="AI234" s="280">
        <f>EEFFun!AU675</f>
        <v>114761.57</v>
      </c>
      <c r="AJ234" s="280">
        <f>EEFFun!AV675</f>
        <v>114761.57</v>
      </c>
      <c r="AK234" s="280">
        <f>EEFFun!AW675</f>
        <v>114761.57</v>
      </c>
      <c r="AL234" s="280">
        <f>EEFFun!AX675</f>
        <v>114761.57</v>
      </c>
      <c r="AM234" s="281">
        <f t="shared" ref="AM234:AT235" si="429">P234</f>
        <v>118622.57</v>
      </c>
      <c r="AN234" s="281">
        <f t="shared" si="429"/>
        <v>118622.57</v>
      </c>
      <c r="AO234" s="281">
        <f t="shared" si="429"/>
        <v>118622.57</v>
      </c>
      <c r="AP234" s="281">
        <f t="shared" si="429"/>
        <v>118622.57</v>
      </c>
      <c r="AQ234" s="281">
        <f t="shared" si="429"/>
        <v>118622.57</v>
      </c>
      <c r="AR234" s="281">
        <f t="shared" si="429"/>
        <v>118622.57</v>
      </c>
      <c r="AS234" s="281">
        <f t="shared" si="429"/>
        <v>139761.57</v>
      </c>
      <c r="AT234" s="281">
        <f t="shared" si="429"/>
        <v>139761.57</v>
      </c>
      <c r="AU234" s="281">
        <f t="shared" si="428"/>
        <v>139761.57</v>
      </c>
      <c r="AV234" s="281">
        <f t="shared" si="428"/>
        <v>139761.57</v>
      </c>
      <c r="AW234" s="281">
        <f t="shared" si="428"/>
        <v>139761.57</v>
      </c>
      <c r="AX234" s="281">
        <f t="shared" si="428"/>
        <v>139761.57</v>
      </c>
      <c r="AY234" s="281">
        <f>AX234-V234</f>
        <v>0</v>
      </c>
      <c r="AZ234" s="282"/>
    </row>
    <row r="235" spans="1:55" x14ac:dyDescent="0.25">
      <c r="B235" s="278">
        <f>EEFFun!B686</f>
        <v>6490</v>
      </c>
      <c r="C235" s="279" t="str">
        <f>EEFFun!C686</f>
        <v>Otras cuentas contingentes acreedoras</v>
      </c>
      <c r="D235" s="280">
        <f>EEFFun!P686</f>
        <v>55185.57</v>
      </c>
      <c r="E235" s="280">
        <f>EEFFun!Q686</f>
        <v>55185.57</v>
      </c>
      <c r="F235" s="280">
        <f>EEFFun!R686</f>
        <v>55185.57</v>
      </c>
      <c r="G235" s="280">
        <f>EEFFun!S686</f>
        <v>55185.57</v>
      </c>
      <c r="H235" s="280">
        <f>EEFFun!T686</f>
        <v>55185.57</v>
      </c>
      <c r="I235" s="280">
        <f>EEFFun!U686</f>
        <v>55185.57</v>
      </c>
      <c r="J235" s="280">
        <f>EEFFun!V686</f>
        <v>55185.57</v>
      </c>
      <c r="K235" s="280">
        <f>EEFFun!W686</f>
        <v>55185.57</v>
      </c>
      <c r="L235" s="280">
        <f>EEFFun!X686</f>
        <v>55185.57</v>
      </c>
      <c r="M235" s="280">
        <f>EEFFun!Y686</f>
        <v>55185.57</v>
      </c>
      <c r="N235" s="280">
        <f>EEFFun!Z686</f>
        <v>55185.57</v>
      </c>
      <c r="O235" s="280">
        <f>EEFFun!AA686</f>
        <v>55185.57</v>
      </c>
      <c r="P235" s="281">
        <f>O235</f>
        <v>55185.57</v>
      </c>
      <c r="Q235" s="281">
        <f t="shared" ref="Q235:AX235" si="430">P235</f>
        <v>55185.57</v>
      </c>
      <c r="R235" s="281">
        <f t="shared" si="430"/>
        <v>55185.57</v>
      </c>
      <c r="S235" s="281">
        <f t="shared" si="430"/>
        <v>55185.57</v>
      </c>
      <c r="T235" s="281">
        <f t="shared" si="430"/>
        <v>55185.57</v>
      </c>
      <c r="U235" s="281">
        <f t="shared" si="430"/>
        <v>55185.57</v>
      </c>
      <c r="V235" s="280">
        <f>EEFFun!AH686</f>
        <v>55185.57</v>
      </c>
      <c r="W235" s="280">
        <f>EEFFun!AI686</f>
        <v>55185.57</v>
      </c>
      <c r="X235" s="280">
        <f>EEFFun!AJ686</f>
        <v>55185.57</v>
      </c>
      <c r="Y235" s="280">
        <f>EEFFun!AK686</f>
        <v>55185.57</v>
      </c>
      <c r="Z235" s="280">
        <f>EEFFun!AL686</f>
        <v>55185.57</v>
      </c>
      <c r="AA235" s="280">
        <f>EEFFun!AM686</f>
        <v>55185.57</v>
      </c>
      <c r="AB235" s="280">
        <f>EEFFun!AN686</f>
        <v>55185.57</v>
      </c>
      <c r="AC235" s="280">
        <f>EEFFun!AO686</f>
        <v>55185.57</v>
      </c>
      <c r="AD235" s="280">
        <f>EEFFun!AP686</f>
        <v>55185.57</v>
      </c>
      <c r="AE235" s="280">
        <f>EEFFun!AQ686</f>
        <v>55185.57</v>
      </c>
      <c r="AF235" s="280">
        <f>EEFFun!AR686</f>
        <v>55185.57</v>
      </c>
      <c r="AG235" s="280">
        <f>EEFFun!AS686</f>
        <v>55185.57</v>
      </c>
      <c r="AH235" s="280">
        <f>EEFFun!AT686</f>
        <v>55185.57</v>
      </c>
      <c r="AI235" s="280">
        <f>EEFFun!AU686</f>
        <v>55185.57</v>
      </c>
      <c r="AJ235" s="280">
        <f>EEFFun!AV686</f>
        <v>55185.57</v>
      </c>
      <c r="AK235" s="280">
        <f>EEFFun!AW686</f>
        <v>55185.57</v>
      </c>
      <c r="AL235" s="280">
        <f>EEFFun!AX686</f>
        <v>55185.57</v>
      </c>
      <c r="AM235" s="281">
        <f t="shared" si="429"/>
        <v>55185.57</v>
      </c>
      <c r="AN235" s="281">
        <f t="shared" si="429"/>
        <v>55185.57</v>
      </c>
      <c r="AO235" s="281">
        <f t="shared" si="429"/>
        <v>55185.57</v>
      </c>
      <c r="AP235" s="281">
        <f t="shared" si="429"/>
        <v>55185.57</v>
      </c>
      <c r="AQ235" s="281">
        <f t="shared" si="429"/>
        <v>55185.57</v>
      </c>
      <c r="AR235" s="281">
        <f t="shared" si="429"/>
        <v>55185.57</v>
      </c>
      <c r="AS235" s="281">
        <f t="shared" si="429"/>
        <v>55185.57</v>
      </c>
      <c r="AT235" s="281">
        <f t="shared" si="429"/>
        <v>55185.57</v>
      </c>
      <c r="AU235" s="281">
        <f t="shared" si="430"/>
        <v>55185.57</v>
      </c>
      <c r="AV235" s="281">
        <f t="shared" si="430"/>
        <v>55185.57</v>
      </c>
      <c r="AW235" s="281">
        <f t="shared" si="430"/>
        <v>55185.57</v>
      </c>
      <c r="AX235" s="281">
        <f t="shared" si="430"/>
        <v>55185.57</v>
      </c>
      <c r="AY235" s="281">
        <f>AX235-V235</f>
        <v>0</v>
      </c>
      <c r="AZ235" s="282"/>
    </row>
    <row r="237" spans="1:55" x14ac:dyDescent="0.25">
      <c r="B237" s="283" t="s">
        <v>714</v>
      </c>
      <c r="C237" s="284" t="s">
        <v>715</v>
      </c>
      <c r="D237" s="281">
        <f t="shared" ref="D237:AX237" si="431">D5</f>
        <v>41871994.719999999</v>
      </c>
      <c r="E237" s="281">
        <f t="shared" si="431"/>
        <v>41428485.109999999</v>
      </c>
      <c r="F237" s="281">
        <f t="shared" si="431"/>
        <v>41342572.390000001</v>
      </c>
      <c r="G237" s="281">
        <f t="shared" si="431"/>
        <v>41608836.780000001</v>
      </c>
      <c r="H237" s="281">
        <f t="shared" si="431"/>
        <v>41402927.380000003</v>
      </c>
      <c r="I237" s="281">
        <f t="shared" si="431"/>
        <v>40814797.310000002</v>
      </c>
      <c r="J237" s="281">
        <f t="shared" si="431"/>
        <v>39918747.289999999</v>
      </c>
      <c r="K237" s="281">
        <f t="shared" si="431"/>
        <v>38859683.630000003</v>
      </c>
      <c r="L237" s="281">
        <f t="shared" si="431"/>
        <v>38554649.969999999</v>
      </c>
      <c r="M237" s="281">
        <f t="shared" si="431"/>
        <v>38446164.329999998</v>
      </c>
      <c r="N237" s="281">
        <f t="shared" si="431"/>
        <v>39087529.869999997</v>
      </c>
      <c r="O237" s="281">
        <f t="shared" si="431"/>
        <v>38587002.549999997</v>
      </c>
      <c r="P237" s="281">
        <f t="shared" si="431"/>
        <v>38163617.950000003</v>
      </c>
      <c r="Q237" s="281">
        <f t="shared" si="431"/>
        <v>38284841.659999996</v>
      </c>
      <c r="R237" s="281">
        <f t="shared" si="431"/>
        <v>37819571.289999999</v>
      </c>
      <c r="S237" s="281">
        <f t="shared" si="431"/>
        <v>38313322.43</v>
      </c>
      <c r="T237" s="281">
        <f t="shared" si="431"/>
        <v>38567039.909999996</v>
      </c>
      <c r="U237" s="281">
        <f t="shared" si="431"/>
        <v>41817124.310000002</v>
      </c>
      <c r="V237" s="281">
        <f t="shared" si="431"/>
        <v>47062540.159999996</v>
      </c>
      <c r="W237" s="281">
        <f t="shared" si="431"/>
        <v>47113340.789999999</v>
      </c>
      <c r="X237" s="281">
        <f t="shared" ref="X237:AS237" si="432">X5</f>
        <v>47711065.100000001</v>
      </c>
      <c r="Y237" s="281">
        <f t="shared" si="432"/>
        <v>48144336.090000004</v>
      </c>
      <c r="Z237" s="281">
        <f t="shared" si="432"/>
        <v>49311534.219999999</v>
      </c>
      <c r="AA237" s="281">
        <f t="shared" si="432"/>
        <v>50621766.299999997</v>
      </c>
      <c r="AB237" s="281">
        <f t="shared" si="432"/>
        <v>51800193.119999997</v>
      </c>
      <c r="AC237" s="281">
        <f t="shared" ref="AC237:AL237" si="433">AC5</f>
        <v>54248199.350000001</v>
      </c>
      <c r="AD237" s="281">
        <f t="shared" si="433"/>
        <v>56369251.25</v>
      </c>
      <c r="AE237" s="281">
        <f t="shared" si="433"/>
        <v>61925193.32</v>
      </c>
      <c r="AF237" s="281">
        <f t="shared" si="433"/>
        <v>59395368.609999999</v>
      </c>
      <c r="AG237" s="281">
        <f t="shared" si="433"/>
        <v>61701050.649999999</v>
      </c>
      <c r="AH237" s="281">
        <f t="shared" si="433"/>
        <v>63381053.350000001</v>
      </c>
      <c r="AI237" s="281">
        <f t="shared" si="433"/>
        <v>66525948.43</v>
      </c>
      <c r="AJ237" s="281">
        <f t="shared" si="433"/>
        <v>68613984.159999996</v>
      </c>
      <c r="AK237" s="281">
        <f t="shared" si="433"/>
        <v>69701630.200000003</v>
      </c>
      <c r="AL237" s="281">
        <f t="shared" si="433"/>
        <v>72243574.269999996</v>
      </c>
      <c r="AM237" s="281">
        <f t="shared" si="432"/>
        <v>76988040.792370021</v>
      </c>
      <c r="AN237" s="281">
        <f t="shared" si="432"/>
        <v>82087920.98190552</v>
      </c>
      <c r="AO237" s="281">
        <f t="shared" si="432"/>
        <v>87307823.656834647</v>
      </c>
      <c r="AP237" s="281">
        <f t="shared" si="432"/>
        <v>92258594.831075907</v>
      </c>
      <c r="AQ237" s="281">
        <f t="shared" si="432"/>
        <v>97129482.603494808</v>
      </c>
      <c r="AR237" s="281">
        <f t="shared" si="432"/>
        <v>102254495.47539596</v>
      </c>
      <c r="AS237" s="281">
        <f t="shared" si="432"/>
        <v>108381125.05894034</v>
      </c>
      <c r="AT237" s="281">
        <f t="shared" si="431"/>
        <v>113459521.09463328</v>
      </c>
      <c r="AU237" s="281">
        <f t="shared" si="431"/>
        <v>118231540.10507554</v>
      </c>
      <c r="AV237" s="281">
        <f t="shared" si="431"/>
        <v>123313141.04900251</v>
      </c>
      <c r="AW237" s="281">
        <f t="shared" si="431"/>
        <v>128959291.04023996</v>
      </c>
      <c r="AX237" s="281">
        <f t="shared" si="431"/>
        <v>133742378.68024893</v>
      </c>
      <c r="AY237" s="281">
        <f t="shared" ref="AY237:AY242" si="434">AX237-V237</f>
        <v>86679838.520248935</v>
      </c>
      <c r="AZ237" s="281">
        <f t="shared" ref="AZ237:AZ242" si="435">AX237-P237</f>
        <v>95578760.730248928</v>
      </c>
    </row>
    <row r="238" spans="1:55" x14ac:dyDescent="0.25">
      <c r="B238" s="283" t="s">
        <v>716</v>
      </c>
      <c r="C238" s="284" t="s">
        <v>717</v>
      </c>
      <c r="D238" s="281">
        <f t="shared" ref="D238:AX238" si="436">D152</f>
        <v>36059373.399999999</v>
      </c>
      <c r="E238" s="281">
        <f t="shared" si="436"/>
        <v>35710466.640000001</v>
      </c>
      <c r="F238" s="281">
        <f t="shared" si="436"/>
        <v>35617627.349999994</v>
      </c>
      <c r="G238" s="281">
        <f t="shared" si="436"/>
        <v>35936687.469999999</v>
      </c>
      <c r="H238" s="281">
        <f t="shared" si="436"/>
        <v>35503000.359999999</v>
      </c>
      <c r="I238" s="281">
        <f t="shared" si="436"/>
        <v>34996410.369999997</v>
      </c>
      <c r="J238" s="281">
        <f t="shared" si="436"/>
        <v>34181073.199999996</v>
      </c>
      <c r="K238" s="281">
        <f t="shared" si="436"/>
        <v>33194030.280000001</v>
      </c>
      <c r="L238" s="281">
        <f t="shared" si="436"/>
        <v>32893108.57</v>
      </c>
      <c r="M238" s="281">
        <f t="shared" si="436"/>
        <v>32855896.600000001</v>
      </c>
      <c r="N238" s="281">
        <f t="shared" si="436"/>
        <v>33825110.150000006</v>
      </c>
      <c r="O238" s="281">
        <f t="shared" si="436"/>
        <v>33040704.849999998</v>
      </c>
      <c r="P238" s="281">
        <f t="shared" si="436"/>
        <v>32363256.349999998</v>
      </c>
      <c r="Q238" s="281">
        <f t="shared" si="436"/>
        <v>32478124.020000003</v>
      </c>
      <c r="R238" s="281">
        <f t="shared" si="436"/>
        <v>32148021.460000001</v>
      </c>
      <c r="S238" s="281">
        <f t="shared" si="436"/>
        <v>32618101.52</v>
      </c>
      <c r="T238" s="281">
        <f t="shared" si="436"/>
        <v>32913039.130000003</v>
      </c>
      <c r="U238" s="281">
        <f t="shared" si="436"/>
        <v>36222889.899999999</v>
      </c>
      <c r="V238" s="281">
        <f t="shared" si="436"/>
        <v>41694567.32</v>
      </c>
      <c r="W238" s="281">
        <f t="shared" si="436"/>
        <v>41677736.619999997</v>
      </c>
      <c r="X238" s="281">
        <f t="shared" ref="X238:AS238" si="437">X152</f>
        <v>36600108.43</v>
      </c>
      <c r="Y238" s="281">
        <f t="shared" si="437"/>
        <v>37487436.649999999</v>
      </c>
      <c r="Z238" s="281">
        <f t="shared" si="437"/>
        <v>39114757.170000002</v>
      </c>
      <c r="AA238" s="281">
        <f t="shared" si="437"/>
        <v>40388410.230000004</v>
      </c>
      <c r="AB238" s="281">
        <f t="shared" si="437"/>
        <v>41112303.659999996</v>
      </c>
      <c r="AC238" s="281">
        <f t="shared" ref="AC238:AL238" si="438">AC152</f>
        <v>43484157.330000006</v>
      </c>
      <c r="AD238" s="281">
        <f t="shared" si="438"/>
        <v>45447800.149999991</v>
      </c>
      <c r="AE238" s="281">
        <f t="shared" si="438"/>
        <v>50940568.569999993</v>
      </c>
      <c r="AF238" s="281">
        <f t="shared" si="438"/>
        <v>48430534.230000004</v>
      </c>
      <c r="AG238" s="281">
        <f t="shared" si="438"/>
        <v>50703286.500000007</v>
      </c>
      <c r="AH238" s="281">
        <f t="shared" si="438"/>
        <v>52499657.539999992</v>
      </c>
      <c r="AI238" s="281">
        <f t="shared" si="438"/>
        <v>55632311.43</v>
      </c>
      <c r="AJ238" s="281">
        <f t="shared" si="438"/>
        <v>57714809.309999995</v>
      </c>
      <c r="AK238" s="281">
        <f t="shared" si="438"/>
        <v>58792896.630000003</v>
      </c>
      <c r="AL238" s="281">
        <f t="shared" si="438"/>
        <v>61356200.789999999</v>
      </c>
      <c r="AM238" s="281">
        <f t="shared" si="437"/>
        <v>67644964.65129146</v>
      </c>
      <c r="AN238" s="281">
        <f t="shared" si="437"/>
        <v>74356945.751758978</v>
      </c>
      <c r="AO238" s="281">
        <f t="shared" si="437"/>
        <v>80974681.04869172</v>
      </c>
      <c r="AP238" s="281">
        <f t="shared" si="437"/>
        <v>87561426.799237669</v>
      </c>
      <c r="AQ238" s="281">
        <f t="shared" si="437"/>
        <v>94103705.759724751</v>
      </c>
      <c r="AR238" s="281">
        <f t="shared" si="437"/>
        <v>100802125.76612951</v>
      </c>
      <c r="AS238" s="281">
        <f t="shared" si="437"/>
        <v>107430871.19739844</v>
      </c>
      <c r="AT238" s="281">
        <f t="shared" si="436"/>
        <v>114064368.06372631</v>
      </c>
      <c r="AU238" s="281">
        <f t="shared" si="436"/>
        <v>120413447.78892778</v>
      </c>
      <c r="AV238" s="281">
        <f t="shared" si="436"/>
        <v>127070628.49047607</v>
      </c>
      <c r="AW238" s="281">
        <f t="shared" si="436"/>
        <v>133698677.68756621</v>
      </c>
      <c r="AX238" s="281">
        <f t="shared" si="436"/>
        <v>140304763.409908</v>
      </c>
      <c r="AY238" s="281">
        <f t="shared" si="434"/>
        <v>98610196.089908004</v>
      </c>
      <c r="AZ238" s="281">
        <f t="shared" si="435"/>
        <v>107941507.059908</v>
      </c>
    </row>
    <row r="239" spans="1:55" x14ac:dyDescent="0.25">
      <c r="B239" s="283" t="s">
        <v>718</v>
      </c>
      <c r="C239" s="284" t="s">
        <v>412</v>
      </c>
      <c r="D239" s="281">
        <f t="shared" ref="D239" si="439">D212</f>
        <v>5812621.3200000003</v>
      </c>
      <c r="E239" s="281">
        <f t="shared" ref="E239:H239" si="440">E212</f>
        <v>5794656.3099999996</v>
      </c>
      <c r="F239" s="281">
        <f t="shared" si="440"/>
        <v>5797023.4400000004</v>
      </c>
      <c r="G239" s="281">
        <f t="shared" si="440"/>
        <v>5787976.4000000004</v>
      </c>
      <c r="H239" s="281">
        <f t="shared" si="440"/>
        <v>5785447.0899999999</v>
      </c>
      <c r="I239" s="281">
        <f t="shared" ref="I239:O239" si="441">I212</f>
        <v>5788591.4400000004</v>
      </c>
      <c r="J239" s="281">
        <f t="shared" si="441"/>
        <v>5784759.8499999996</v>
      </c>
      <c r="K239" s="281">
        <f t="shared" si="441"/>
        <v>5774417.4000000004</v>
      </c>
      <c r="L239" s="281">
        <f t="shared" si="441"/>
        <v>5775257.7400000002</v>
      </c>
      <c r="M239" s="281">
        <f t="shared" si="441"/>
        <v>5776594.5800000001</v>
      </c>
      <c r="N239" s="281">
        <f t="shared" si="441"/>
        <v>5770557.2699999996</v>
      </c>
      <c r="O239" s="281">
        <f t="shared" si="441"/>
        <v>5771507.9800000004</v>
      </c>
      <c r="P239" s="281">
        <f t="shared" ref="P239" si="442">P212</f>
        <v>5800361.5999999996</v>
      </c>
      <c r="Q239" s="281">
        <f t="shared" ref="Q239:AX239" si="443">Q212</f>
        <v>5803058.6500000004</v>
      </c>
      <c r="R239" s="281">
        <f t="shared" si="443"/>
        <v>5824898.5800000001</v>
      </c>
      <c r="S239" s="281">
        <f t="shared" si="443"/>
        <v>5831375.7800000003</v>
      </c>
      <c r="T239" s="281">
        <f t="shared" si="443"/>
        <v>5811344.6100000003</v>
      </c>
      <c r="U239" s="281">
        <f t="shared" si="443"/>
        <v>5836176.29</v>
      </c>
      <c r="V239" s="281">
        <f t="shared" si="443"/>
        <v>5839193.5300000003</v>
      </c>
      <c r="W239" s="281">
        <f t="shared" si="443"/>
        <v>5811237.5599999996</v>
      </c>
      <c r="X239" s="281">
        <f t="shared" ref="X239:AS239" si="444">X212</f>
        <v>11832896.08</v>
      </c>
      <c r="Y239" s="281">
        <f t="shared" si="444"/>
        <v>11714227.9</v>
      </c>
      <c r="Z239" s="281">
        <f t="shared" si="444"/>
        <v>11694835.800000001</v>
      </c>
      <c r="AA239" s="281">
        <f t="shared" si="444"/>
        <v>11720691.369999999</v>
      </c>
      <c r="AB239" s="281">
        <f>AB212-AB242</f>
        <v>11723670.810000002</v>
      </c>
      <c r="AC239" s="281">
        <f t="shared" ref="AC239:AL239" si="445">AC212-AC242</f>
        <v>10623074.175746271</v>
      </c>
      <c r="AD239" s="281">
        <f t="shared" si="445"/>
        <v>10604576.96585699</v>
      </c>
      <c r="AE239" s="281">
        <f t="shared" si="445"/>
        <v>10501041.382240357</v>
      </c>
      <c r="AF239" s="281">
        <f t="shared" si="445"/>
        <v>10355325.704661991</v>
      </c>
      <c r="AG239" s="281">
        <f t="shared" si="445"/>
        <v>10242898.188954003</v>
      </c>
      <c r="AH239" s="281">
        <f t="shared" si="445"/>
        <v>10099956.883952674</v>
      </c>
      <c r="AI239" s="281">
        <f t="shared" si="445"/>
        <v>9927738.0140588079</v>
      </c>
      <c r="AJ239" s="281">
        <f t="shared" si="445"/>
        <v>9739951.7469476741</v>
      </c>
      <c r="AK239" s="281">
        <f t="shared" si="445"/>
        <v>9578078.0505045559</v>
      </c>
      <c r="AL239" s="281">
        <f t="shared" si="445"/>
        <v>9347734.2237744275</v>
      </c>
      <c r="AM239" s="281">
        <f>AM212</f>
        <v>10674828.364253728</v>
      </c>
      <c r="AN239" s="281">
        <f t="shared" si="444"/>
        <v>10717461.904143009</v>
      </c>
      <c r="AO239" s="281">
        <f t="shared" si="444"/>
        <v>10822265.277759641</v>
      </c>
      <c r="AP239" s="281">
        <f t="shared" si="444"/>
        <v>10941384.795338009</v>
      </c>
      <c r="AQ239" s="281">
        <f t="shared" si="444"/>
        <v>11072674.231045995</v>
      </c>
      <c r="AR239" s="281">
        <f t="shared" si="444"/>
        <v>11213620.496047327</v>
      </c>
      <c r="AS239" s="281">
        <f t="shared" si="444"/>
        <v>11366830.895941192</v>
      </c>
      <c r="AT239" s="281">
        <f t="shared" si="443"/>
        <v>11554502.173052326</v>
      </c>
      <c r="AU239" s="281">
        <f t="shared" si="443"/>
        <v>11723438.779495442</v>
      </c>
      <c r="AV239" s="281">
        <f t="shared" si="443"/>
        <v>11931189.556225572</v>
      </c>
      <c r="AW239" s="281">
        <f t="shared" si="443"/>
        <v>12147511.668274986</v>
      </c>
      <c r="AX239" s="281">
        <f t="shared" si="443"/>
        <v>14048179.766802197</v>
      </c>
      <c r="AY239" s="281">
        <f t="shared" si="434"/>
        <v>8208986.2368021971</v>
      </c>
      <c r="AZ239" s="281">
        <f t="shared" si="435"/>
        <v>8247818.1668021977</v>
      </c>
    </row>
    <row r="240" spans="1:55" x14ac:dyDescent="0.25">
      <c r="B240" s="283" t="s">
        <v>719</v>
      </c>
      <c r="C240" s="284" t="s">
        <v>429</v>
      </c>
      <c r="D240" s="280">
        <f>BRhoriz!P6</f>
        <v>446467.81000000006</v>
      </c>
      <c r="E240" s="280">
        <f>BRhoriz!Q6</f>
        <v>410670.13</v>
      </c>
      <c r="F240" s="280">
        <f>BRhoriz!R6</f>
        <v>791533.7</v>
      </c>
      <c r="G240" s="280">
        <f>BRhoriz!S6</f>
        <v>1240235.69</v>
      </c>
      <c r="H240" s="280">
        <f>BRhoriz!T6</f>
        <v>1744694.71</v>
      </c>
      <c r="I240" s="280">
        <f>BRhoriz!U6</f>
        <v>2266966.59</v>
      </c>
      <c r="J240" s="280">
        <f>BRhoriz!V6</f>
        <v>2764077.62</v>
      </c>
      <c r="K240" s="280">
        <f>BRhoriz!W6</f>
        <v>3255250.01</v>
      </c>
      <c r="L240" s="280">
        <f>BRhoriz!X6</f>
        <v>3696718.53</v>
      </c>
      <c r="M240" s="280">
        <f>BRhoriz!Y6</f>
        <v>4181702.15</v>
      </c>
      <c r="N240" s="280">
        <f>BRhoriz!Z6</f>
        <v>4853934.1900000004</v>
      </c>
      <c r="O240" s="280">
        <f>BRhoriz!AA6</f>
        <v>5068683.5999999996</v>
      </c>
      <c r="P240" s="280">
        <f>BRhoriz!AB6</f>
        <v>5515151.4100000001</v>
      </c>
      <c r="Q240" s="280">
        <f>BRhoriz!AC6</f>
        <v>466001.58</v>
      </c>
      <c r="R240" s="280">
        <f>BRhoriz!AD6</f>
        <v>1012945.42</v>
      </c>
      <c r="S240" s="280">
        <f>BRhoriz!AE6</f>
        <v>1376564.85</v>
      </c>
      <c r="T240" s="280">
        <f>BRhoriz!AF6</f>
        <v>1832660.51</v>
      </c>
      <c r="U240" s="280">
        <f>BRhoriz!AG6</f>
        <v>2331711.65</v>
      </c>
      <c r="V240" s="280">
        <f>BRhoriz!AH6</f>
        <v>2995797.5</v>
      </c>
      <c r="W240" s="280">
        <f>BRhoriz!AI6</f>
        <v>3373998.37</v>
      </c>
      <c r="X240" s="280">
        <f>BRhoriz!AJ6</f>
        <v>4179449.04</v>
      </c>
      <c r="Y240" s="280">
        <f>BRhoriz!AK6</f>
        <v>4998310.97</v>
      </c>
      <c r="Z240" s="280">
        <f>BRhoriz!AL6</f>
        <v>5850316.5499999998</v>
      </c>
      <c r="AA240" s="280">
        <f>BRhoriz!AM6</f>
        <v>6381617.96</v>
      </c>
      <c r="AB240" s="280">
        <f>BRhoriz!AN6</f>
        <v>6882005.2000000002</v>
      </c>
      <c r="AC240" s="280">
        <f>BRhoriz!BK6</f>
        <v>1000295.0297607054</v>
      </c>
      <c r="AD240" s="280">
        <f>BRhoriz!BL6</f>
        <v>1981746.9588702924</v>
      </c>
      <c r="AE240" s="280">
        <f>BRhoriz!BM6</f>
        <v>3013510.2935855729</v>
      </c>
      <c r="AF240" s="280">
        <f>BRhoriz!BN6</f>
        <v>4059502.8108177353</v>
      </c>
      <c r="AG240" s="280">
        <f>BRhoriz!BO6</f>
        <v>5177565.2684123637</v>
      </c>
      <c r="AH240" s="280">
        <f>BRhoriz!BP6</f>
        <v>6321563.5950846132</v>
      </c>
      <c r="AI240" s="280">
        <f>BRhoriz!BQ6</f>
        <v>7534485.3080490232</v>
      </c>
      <c r="AJ240" s="280">
        <f>BRhoriz!BR6</f>
        <v>8788812.8777820468</v>
      </c>
      <c r="AK240" s="280">
        <f>BRhoriz!BS6</f>
        <v>10097406.652960464</v>
      </c>
      <c r="AL240" s="280">
        <f>BRhoriz!BT6</f>
        <v>11468681.817726219</v>
      </c>
      <c r="AM240" s="280">
        <f>BRhoriz!BK6</f>
        <v>1000295.0297607054</v>
      </c>
      <c r="AN240" s="280">
        <f>BRhoriz!BL6</f>
        <v>1981746.9588702924</v>
      </c>
      <c r="AO240" s="280">
        <f>BRhoriz!BM6</f>
        <v>3013510.2935855729</v>
      </c>
      <c r="AP240" s="280">
        <f>BRhoriz!BN6</f>
        <v>4059502.8108177353</v>
      </c>
      <c r="AQ240" s="280">
        <f>BRhoriz!BO6</f>
        <v>5177565.2684123637</v>
      </c>
      <c r="AR240" s="280">
        <f>BRhoriz!BP6</f>
        <v>6321563.5950846132</v>
      </c>
      <c r="AS240" s="280">
        <f>BRhoriz!BQ6</f>
        <v>7534485.3080490232</v>
      </c>
      <c r="AT240" s="280">
        <f>BRhoriz!BR6</f>
        <v>8788812.8777820468</v>
      </c>
      <c r="AU240" s="280">
        <f>BRhoriz!BS6</f>
        <v>10097406.652960464</v>
      </c>
      <c r="AV240" s="280">
        <f>BRhoriz!BT6</f>
        <v>11468681.817726219</v>
      </c>
      <c r="AW240" s="280">
        <f>BRhoriz!BU6</f>
        <v>12848011.510932676</v>
      </c>
      <c r="AX240" s="280">
        <f>BRhoriz!BV6</f>
        <v>14293603.025683699</v>
      </c>
      <c r="AY240" s="281">
        <f t="shared" si="434"/>
        <v>11297805.525683699</v>
      </c>
      <c r="AZ240" s="281">
        <f t="shared" si="435"/>
        <v>8778451.615683699</v>
      </c>
    </row>
    <row r="241" spans="1:52" x14ac:dyDescent="0.25">
      <c r="B241" s="283" t="s">
        <v>720</v>
      </c>
      <c r="C241" s="284" t="s">
        <v>555</v>
      </c>
      <c r="D241" s="280">
        <f>BRhoriz!P148</f>
        <v>687474.23</v>
      </c>
      <c r="E241" s="280">
        <f>BRhoriz!Q148</f>
        <v>334032.28999999998</v>
      </c>
      <c r="F241" s="280">
        <f>BRhoriz!R148</f>
        <v>719455.29999999993</v>
      </c>
      <c r="G241" s="280">
        <f>BRhoriz!S148</f>
        <v>1124408.6000000001</v>
      </c>
      <c r="H241" s="280">
        <f>BRhoriz!T148</f>
        <v>1859174.64</v>
      </c>
      <c r="I241" s="280">
        <f>BRhoriz!U148</f>
        <v>2296762.0900000003</v>
      </c>
      <c r="J241" s="280">
        <f>BRhoriz!V148</f>
        <v>2716991.86</v>
      </c>
      <c r="K241" s="280">
        <f>BRhoriz!W148</f>
        <v>3146485.9600000004</v>
      </c>
      <c r="L241" s="280">
        <f>BRhoriz!X148</f>
        <v>3583002.1900000004</v>
      </c>
      <c r="M241" s="280">
        <f>BRhoriz!Y148</f>
        <v>3995375.3000000003</v>
      </c>
      <c r="N241" s="280">
        <f>BRhoriz!Z148</f>
        <v>4345796.6399999997</v>
      </c>
      <c r="O241" s="280">
        <f>BRhoriz!AA148</f>
        <v>4843473.32</v>
      </c>
      <c r="P241" s="280">
        <f>BRhoriz!AB148</f>
        <v>5530947.5500000007</v>
      </c>
      <c r="Q241" s="280">
        <f>BRhoriz!AC148</f>
        <v>469660.57</v>
      </c>
      <c r="R241" s="280">
        <f>BRhoriz!AD148</f>
        <v>859596.66999999993</v>
      </c>
      <c r="S241" s="280">
        <f>BRhoriz!AE148</f>
        <v>1240409.98</v>
      </c>
      <c r="T241" s="280">
        <f>BRhoriz!AF148</f>
        <v>1675316.6800000002</v>
      </c>
      <c r="U241" s="280">
        <f>BRhoriz!AG148</f>
        <v>2089769.7700000003</v>
      </c>
      <c r="V241" s="280">
        <f>BRhoriz!AH148</f>
        <v>2524576.81</v>
      </c>
      <c r="W241" s="280">
        <f>BRhoriz!AI148</f>
        <v>2998364.98</v>
      </c>
      <c r="X241" s="280">
        <f>BRhoriz!AJ148</f>
        <v>3457509.63</v>
      </c>
      <c r="Y241" s="280">
        <f>BRhoriz!AK148</f>
        <v>3940982.5099999993</v>
      </c>
      <c r="Z241" s="280">
        <f>BRhoriz!AL148</f>
        <v>4352257.8</v>
      </c>
      <c r="AA241" s="280">
        <f>BRhoriz!AM148</f>
        <v>4894282.6600000011</v>
      </c>
      <c r="AB241" s="280">
        <f>BRhoriz!AN148</f>
        <v>5846223.8499999987</v>
      </c>
      <c r="AC241" s="280">
        <f>BRhoriz!BK148</f>
        <v>1035661.5040144338</v>
      </c>
      <c r="AD241" s="280">
        <f>BRhoriz!BL148</f>
        <v>2059746.9730133032</v>
      </c>
      <c r="AE241" s="280">
        <f>BRhoriz!BM148</f>
        <v>3196313.6813452155</v>
      </c>
      <c r="AF241" s="280">
        <f>BRhoriz!BN148</f>
        <v>4361425.7161557442</v>
      </c>
      <c r="AG241" s="280">
        <f>BRhoriz!BO148</f>
        <v>5610777.6094583599</v>
      </c>
      <c r="AH241" s="280">
        <f>BRhoriz!BP148</f>
        <v>6895722.2011319408</v>
      </c>
      <c r="AI241" s="280">
        <f>BRhoriz!BQ148</f>
        <v>8261854.3139902148</v>
      </c>
      <c r="AJ241" s="280">
        <f>BRhoriz!BR148</f>
        <v>9703853.160834372</v>
      </c>
      <c r="AK241" s="280">
        <f>BRhoriz!BS148</f>
        <v>11181383.542455908</v>
      </c>
      <c r="AL241" s="280">
        <f>BRhoriz!BT148</f>
        <v>12760409.483951792</v>
      </c>
      <c r="AM241" s="280">
        <f>BRhoriz!BK148</f>
        <v>1035661.5040144338</v>
      </c>
      <c r="AN241" s="280">
        <f>BRhoriz!BL148</f>
        <v>2059746.9730133032</v>
      </c>
      <c r="AO241" s="280">
        <f>BRhoriz!BM148</f>
        <v>3196313.6813452155</v>
      </c>
      <c r="AP241" s="280">
        <f>BRhoriz!BN148</f>
        <v>4361425.7161557442</v>
      </c>
      <c r="AQ241" s="280">
        <f>BRhoriz!BO148</f>
        <v>5610777.6094583599</v>
      </c>
      <c r="AR241" s="280">
        <f>BRhoriz!BP148</f>
        <v>6895722.2011319408</v>
      </c>
      <c r="AS241" s="280">
        <f>BRhoriz!BQ148</f>
        <v>8261854.3139902148</v>
      </c>
      <c r="AT241" s="280">
        <f>BRhoriz!BR148</f>
        <v>9703853.160834372</v>
      </c>
      <c r="AU241" s="280">
        <f>BRhoriz!BS148</f>
        <v>11181383.542455908</v>
      </c>
      <c r="AV241" s="280">
        <f>BRhoriz!BT148</f>
        <v>12760409.483951792</v>
      </c>
      <c r="AW241" s="280">
        <f>BRhoriz!BU148</f>
        <v>14356061.289207663</v>
      </c>
      <c r="AX241" s="280">
        <f>BRhoriz!BV148</f>
        <v>15997961.964084798</v>
      </c>
      <c r="AY241" s="281">
        <f t="shared" si="434"/>
        <v>13473385.154084798</v>
      </c>
      <c r="AZ241" s="281">
        <f t="shared" si="435"/>
        <v>10467014.414084798</v>
      </c>
    </row>
    <row r="242" spans="1:52" x14ac:dyDescent="0.25">
      <c r="B242" s="283" t="s">
        <v>677</v>
      </c>
      <c r="C242" s="284" t="s">
        <v>721</v>
      </c>
      <c r="D242" s="282"/>
      <c r="E242" s="281">
        <f t="shared" ref="E242:H242" si="446">E241-E240</f>
        <v>-76637.840000000026</v>
      </c>
      <c r="F242" s="281">
        <f t="shared" si="446"/>
        <v>-72078.400000000023</v>
      </c>
      <c r="G242" s="281">
        <f t="shared" si="446"/>
        <v>-115827.08999999985</v>
      </c>
      <c r="H242" s="281">
        <f t="shared" si="446"/>
        <v>114479.92999999993</v>
      </c>
      <c r="I242" s="281">
        <f t="shared" ref="I242:O242" si="447">I241-I240</f>
        <v>29795.500000000466</v>
      </c>
      <c r="J242" s="281">
        <f t="shared" si="447"/>
        <v>-47085.760000000242</v>
      </c>
      <c r="K242" s="281">
        <f t="shared" si="447"/>
        <v>-108764.04999999935</v>
      </c>
      <c r="L242" s="281">
        <f t="shared" si="447"/>
        <v>-113716.33999999939</v>
      </c>
      <c r="M242" s="281">
        <f t="shared" si="447"/>
        <v>-186326.84999999963</v>
      </c>
      <c r="N242" s="281">
        <f t="shared" si="447"/>
        <v>-508137.55000000075</v>
      </c>
      <c r="O242" s="281">
        <f t="shared" si="447"/>
        <v>-225210.27999999933</v>
      </c>
      <c r="P242" s="281">
        <f t="shared" ref="P242:Q242" si="448">P241-P240</f>
        <v>15796.140000000596</v>
      </c>
      <c r="Q242" s="281">
        <f t="shared" si="448"/>
        <v>3658.9899999999907</v>
      </c>
      <c r="R242" s="281">
        <f t="shared" ref="R242" si="449">R241-R240</f>
        <v>-153348.75000000012</v>
      </c>
      <c r="S242" s="281">
        <f t="shared" ref="S242" si="450">S241-S240</f>
        <v>-136154.87000000011</v>
      </c>
      <c r="T242" s="281">
        <f t="shared" ref="T242" si="451">T241-T240</f>
        <v>-157343.82999999984</v>
      </c>
      <c r="U242" s="281">
        <f t="shared" ref="U242" si="452">U241-U240</f>
        <v>-241941.87999999966</v>
      </c>
      <c r="V242" s="281">
        <f t="shared" ref="V242" si="453">V241-V240</f>
        <v>-471220.68999999994</v>
      </c>
      <c r="W242" s="281">
        <f t="shared" ref="W242:AS242" si="454">W241-W240</f>
        <v>-375633.39000000013</v>
      </c>
      <c r="X242" s="281">
        <f>X241-X240</f>
        <v>-721939.41000000015</v>
      </c>
      <c r="Y242" s="281">
        <f t="shared" si="454"/>
        <v>-1057328.4600000004</v>
      </c>
      <c r="Z242" s="281">
        <f t="shared" si="454"/>
        <v>-1498058.75</v>
      </c>
      <c r="AA242" s="281">
        <f t="shared" si="454"/>
        <v>-1487335.2999999989</v>
      </c>
      <c r="AB242" s="281">
        <f t="shared" si="454"/>
        <v>-1035781.3500000015</v>
      </c>
      <c r="AC242" s="281">
        <f t="shared" ref="AC242:AL242" si="455">AC241-AC240</f>
        <v>35366.474253728404</v>
      </c>
      <c r="AD242" s="281">
        <f t="shared" si="455"/>
        <v>78000.014143010834</v>
      </c>
      <c r="AE242" s="281">
        <f t="shared" si="455"/>
        <v>182803.38775964268</v>
      </c>
      <c r="AF242" s="281">
        <f t="shared" si="455"/>
        <v>301922.90533800889</v>
      </c>
      <c r="AG242" s="281">
        <f t="shared" si="455"/>
        <v>433212.34104599617</v>
      </c>
      <c r="AH242" s="281">
        <f t="shared" si="455"/>
        <v>574158.60604732763</v>
      </c>
      <c r="AI242" s="281">
        <f t="shared" si="455"/>
        <v>727369.00594119169</v>
      </c>
      <c r="AJ242" s="281">
        <f t="shared" si="455"/>
        <v>915040.28305232525</v>
      </c>
      <c r="AK242" s="281">
        <f t="shared" si="455"/>
        <v>1083976.8894954436</v>
      </c>
      <c r="AL242" s="281">
        <f t="shared" si="455"/>
        <v>1291727.666225573</v>
      </c>
      <c r="AM242" s="281">
        <f t="shared" si="454"/>
        <v>35366.474253728404</v>
      </c>
      <c r="AN242" s="281">
        <f t="shared" si="454"/>
        <v>78000.014143010834</v>
      </c>
      <c r="AO242" s="281">
        <f t="shared" si="454"/>
        <v>182803.38775964268</v>
      </c>
      <c r="AP242" s="281">
        <f t="shared" si="454"/>
        <v>301922.90533800889</v>
      </c>
      <c r="AQ242" s="281">
        <f t="shared" si="454"/>
        <v>433212.34104599617</v>
      </c>
      <c r="AR242" s="281">
        <f t="shared" si="454"/>
        <v>574158.60604732763</v>
      </c>
      <c r="AS242" s="281">
        <f t="shared" si="454"/>
        <v>727369.00594119169</v>
      </c>
      <c r="AT242" s="281">
        <f t="shared" ref="AT242" si="456">AT241-AT240</f>
        <v>915040.28305232525</v>
      </c>
      <c r="AU242" s="281">
        <f t="shared" ref="AU242" si="457">AU241-AU240</f>
        <v>1083976.8894954436</v>
      </c>
      <c r="AV242" s="281">
        <f t="shared" ref="AV242" si="458">AV241-AV240</f>
        <v>1291727.666225573</v>
      </c>
      <c r="AW242" s="281">
        <f t="shared" ref="AW242" si="459">AW241-AW240</f>
        <v>1508049.7782749869</v>
      </c>
      <c r="AX242" s="281">
        <f t="shared" ref="AX242" si="460">AX241-AX240</f>
        <v>1704358.9384010993</v>
      </c>
      <c r="AY242" s="281">
        <f t="shared" si="434"/>
        <v>2175579.6284010992</v>
      </c>
      <c r="AZ242" s="281">
        <f t="shared" si="435"/>
        <v>1688562.7984010987</v>
      </c>
    </row>
    <row r="243" spans="1:52" s="285" customFormat="1" x14ac:dyDescent="0.25">
      <c r="B243" s="286"/>
      <c r="C243" s="287" t="s">
        <v>679</v>
      </c>
      <c r="D243" s="288">
        <f t="shared" ref="D243:H243" si="461">D237-D238-D239-D242</f>
        <v>0</v>
      </c>
      <c r="E243" s="288">
        <f t="shared" si="461"/>
        <v>-7.5669959187507629E-10</v>
      </c>
      <c r="F243" s="288">
        <f t="shared" si="461"/>
        <v>6.1700120568275452E-9</v>
      </c>
      <c r="G243" s="288">
        <f t="shared" si="461"/>
        <v>1.862645149230957E-9</v>
      </c>
      <c r="H243" s="288">
        <f t="shared" si="461"/>
        <v>3.4924596548080444E-9</v>
      </c>
      <c r="I243" s="288">
        <f t="shared" ref="I243:O243" si="462">I237-I238-I239-I242</f>
        <v>4.1909515857696533E-9</v>
      </c>
      <c r="J243" s="288">
        <f t="shared" si="462"/>
        <v>4.1909515857696533E-9</v>
      </c>
      <c r="K243" s="288">
        <f t="shared" si="462"/>
        <v>4.6566128730773926E-10</v>
      </c>
      <c r="L243" s="288">
        <f t="shared" si="462"/>
        <v>-2.3283064365386963E-9</v>
      </c>
      <c r="M243" s="288">
        <f t="shared" si="462"/>
        <v>-3.7252902984619141E-9</v>
      </c>
      <c r="N243" s="288">
        <f t="shared" si="462"/>
        <v>-7.4505805969238281E-9</v>
      </c>
      <c r="O243" s="288">
        <f t="shared" si="462"/>
        <v>-1.862645149230957E-9</v>
      </c>
      <c r="P243" s="288">
        <f>P237-P238-P239</f>
        <v>0</v>
      </c>
      <c r="Q243" s="288">
        <f t="shared" ref="Q243" si="463">Q237-Q238-Q239-Q242</f>
        <v>-7.2177499532699585E-9</v>
      </c>
      <c r="R243" s="288">
        <f t="shared" ref="R243" si="464">R237-R238-R239-R242</f>
        <v>-1.7462298274040222E-9</v>
      </c>
      <c r="S243" s="288">
        <f t="shared" ref="S243" si="465">S237-S238-S239-S242</f>
        <v>0</v>
      </c>
      <c r="T243" s="288">
        <f t="shared" ref="T243" si="466">T237-T238-T239-T242</f>
        <v>-6.7520886659622192E-9</v>
      </c>
      <c r="U243" s="288">
        <f t="shared" ref="U243" si="467">U237-U238-U239-U242</f>
        <v>3.4924596548080444E-9</v>
      </c>
      <c r="V243" s="288">
        <f t="shared" ref="V243" si="468">V237-V238-V239-V242</f>
        <v>-4.1909515857696533E-9</v>
      </c>
      <c r="W243" s="288">
        <f t="shared" ref="W243:AS243" si="469">W237-W238-W239-W242</f>
        <v>2.3283064365386963E-9</v>
      </c>
      <c r="X243" s="288">
        <f>X237-X238-X239-X242</f>
        <v>1.862645149230957E-9</v>
      </c>
      <c r="Y243" s="288">
        <f t="shared" si="469"/>
        <v>5.1222741603851318E-9</v>
      </c>
      <c r="Z243" s="288">
        <f t="shared" si="469"/>
        <v>-3.7252902984619141E-9</v>
      </c>
      <c r="AA243" s="288">
        <f t="shared" si="469"/>
        <v>-7.4505805969238281E-9</v>
      </c>
      <c r="AB243" s="288">
        <f t="shared" si="469"/>
        <v>0</v>
      </c>
      <c r="AC243" s="288">
        <f t="shared" ref="AC243:AL243" si="470">AC237-AC238-AC239-AC242</f>
        <v>105601.36999999604</v>
      </c>
      <c r="AD243" s="288">
        <f t="shared" si="470"/>
        <v>238874.12000000826</v>
      </c>
      <c r="AE243" s="288">
        <f t="shared" si="470"/>
        <v>300779.9800000079</v>
      </c>
      <c r="AF243" s="288">
        <f t="shared" si="470"/>
        <v>307585.7699999949</v>
      </c>
      <c r="AG243" s="288">
        <f t="shared" si="470"/>
        <v>321653.61999999173</v>
      </c>
      <c r="AH243" s="288">
        <f t="shared" si="470"/>
        <v>207280.32000000868</v>
      </c>
      <c r="AI243" s="288">
        <f t="shared" si="470"/>
        <v>238529.98000000045</v>
      </c>
      <c r="AJ243" s="288">
        <f t="shared" si="470"/>
        <v>244182.82000000216</v>
      </c>
      <c r="AK243" s="288">
        <f t="shared" si="470"/>
        <v>246678.63000000082</v>
      </c>
      <c r="AL243" s="288">
        <f t="shared" si="470"/>
        <v>247911.58999999613</v>
      </c>
      <c r="AM243" s="288">
        <f t="shared" si="469"/>
        <v>-1367118.6974288947</v>
      </c>
      <c r="AN243" s="288">
        <f t="shared" si="469"/>
        <v>-3064486.6881394777</v>
      </c>
      <c r="AO243" s="288">
        <f t="shared" si="469"/>
        <v>-4671926.0573763568</v>
      </c>
      <c r="AP243" s="288">
        <f t="shared" si="469"/>
        <v>-6546139.6688377792</v>
      </c>
      <c r="AQ243" s="288">
        <f t="shared" si="469"/>
        <v>-8480109.7283219341</v>
      </c>
      <c r="AR243" s="288">
        <f t="shared" si="469"/>
        <v>-10335409.3928282</v>
      </c>
      <c r="AS243" s="288">
        <f t="shared" si="469"/>
        <v>-11143946.040340487</v>
      </c>
      <c r="AT243" s="288">
        <f t="shared" ref="AT243" si="471">AT237-AT238-AT239-AT242</f>
        <v>-13074389.425197676</v>
      </c>
      <c r="AU243" s="288">
        <f t="shared" ref="AU243" si="472">AU237-AU238-AU239-AU242</f>
        <v>-14989323.352843126</v>
      </c>
      <c r="AV243" s="288">
        <f t="shared" ref="AV243" si="473">AV237-AV238-AV239-AV242</f>
        <v>-16980404.663924702</v>
      </c>
      <c r="AW243" s="288">
        <f t="shared" ref="AW243" si="474">AW237-AW238-AW239-AW242</f>
        <v>-18394948.093876217</v>
      </c>
      <c r="AX243" s="288">
        <f>AX237-AX238-AX239</f>
        <v>-20610564.496461265</v>
      </c>
      <c r="AY243" s="289"/>
      <c r="AZ243" s="289"/>
    </row>
    <row r="244" spans="1:52" x14ac:dyDescent="0.25">
      <c r="B244" s="290"/>
      <c r="C244" s="291"/>
    </row>
    <row r="245" spans="1:52" s="229" customFormat="1" x14ac:dyDescent="0.25">
      <c r="A245" s="248"/>
      <c r="B245" s="283"/>
      <c r="C245" s="292" t="s">
        <v>722</v>
      </c>
      <c r="D245" s="293">
        <f t="shared" ref="D245:H245" si="475">SUM(D246:D254)</f>
        <v>24150369.069999997</v>
      </c>
      <c r="E245" s="293">
        <f>SUM(E246:E254)</f>
        <v>22833546.489999998</v>
      </c>
      <c r="F245" s="293">
        <f t="shared" si="475"/>
        <v>23612209.700000003</v>
      </c>
      <c r="G245" s="293">
        <f t="shared" si="475"/>
        <v>24251601.940000001</v>
      </c>
      <c r="H245" s="293">
        <f t="shared" si="475"/>
        <v>24141085.529999997</v>
      </c>
      <c r="I245" s="293">
        <f t="shared" ref="I245:O245" si="476">SUM(I246:I254)</f>
        <v>24208872.57</v>
      </c>
      <c r="J245" s="293">
        <f>SUM(J246:J254)</f>
        <v>23407312.000000004</v>
      </c>
      <c r="K245" s="293">
        <f t="shared" si="476"/>
        <v>22413044.110000003</v>
      </c>
      <c r="L245" s="293">
        <f t="shared" si="476"/>
        <v>22474106.560000002</v>
      </c>
      <c r="M245" s="293">
        <f t="shared" si="476"/>
        <v>22432999.189999994</v>
      </c>
      <c r="N245" s="293">
        <f t="shared" si="476"/>
        <v>19662511.109999999</v>
      </c>
      <c r="O245" s="293">
        <f t="shared" si="476"/>
        <v>21279535.18</v>
      </c>
      <c r="P245" s="293">
        <f t="shared" ref="P245:Q245" si="477">SUM(P246:P254)</f>
        <v>18221027.850000001</v>
      </c>
      <c r="Q245" s="293">
        <f t="shared" si="477"/>
        <v>17698397.980000004</v>
      </c>
      <c r="R245" s="293">
        <f t="shared" ref="R245" si="478">SUM(R246:R254)</f>
        <v>16888112.969999999</v>
      </c>
      <c r="S245" s="293">
        <f t="shared" ref="S245" si="479">SUM(S246:S254)</f>
        <v>16823528.470000003</v>
      </c>
      <c r="T245" s="293">
        <f t="shared" ref="T245" si="480">SUM(T246:T254)</f>
        <v>17710786.849999998</v>
      </c>
      <c r="U245" s="293">
        <f t="shared" ref="U245" si="481">SUM(U246:U254)</f>
        <v>16900408.760000005</v>
      </c>
      <c r="V245" s="293">
        <f t="shared" ref="V245" si="482">SUM(V246:V254)</f>
        <v>23283892.510000002</v>
      </c>
      <c r="W245" s="293">
        <f t="shared" ref="W245:AS245" si="483">SUM(W246:W254)</f>
        <v>23552235.529999997</v>
      </c>
      <c r="X245" s="293">
        <f t="shared" si="483"/>
        <v>23125170.030000001</v>
      </c>
      <c r="Y245" s="293">
        <f t="shared" si="483"/>
        <v>23661740.130000003</v>
      </c>
      <c r="Z245" s="293">
        <f t="shared" si="483"/>
        <v>24403664.800000001</v>
      </c>
      <c r="AA245" s="293">
        <f t="shared" si="483"/>
        <v>26034317.890000004</v>
      </c>
      <c r="AB245" s="293">
        <f t="shared" si="483"/>
        <v>27092679.559999999</v>
      </c>
      <c r="AC245" s="293">
        <f t="shared" ref="AC245:AL245" si="484">SUM(AC246:AC254)</f>
        <v>28009529.269999996</v>
      </c>
      <c r="AD245" s="293">
        <f t="shared" si="484"/>
        <v>29033638.75</v>
      </c>
      <c r="AE245" s="293">
        <f t="shared" si="484"/>
        <v>30023309.289999995</v>
      </c>
      <c r="AF245" s="293">
        <f t="shared" si="484"/>
        <v>32838143.309999999</v>
      </c>
      <c r="AG245" s="293">
        <f t="shared" si="484"/>
        <v>34981869.720000006</v>
      </c>
      <c r="AH245" s="293">
        <f t="shared" si="484"/>
        <v>37719188.880000003</v>
      </c>
      <c r="AI245" s="293">
        <f t="shared" si="484"/>
        <v>38783322.11999999</v>
      </c>
      <c r="AJ245" s="293">
        <f t="shared" si="484"/>
        <v>41391638.240000002</v>
      </c>
      <c r="AK245" s="293">
        <f t="shared" si="484"/>
        <v>43694347.679999992</v>
      </c>
      <c r="AL245" s="293">
        <f t="shared" si="484"/>
        <v>46080174.839999996</v>
      </c>
      <c r="AM245" s="293">
        <f t="shared" si="483"/>
        <v>50627997.666993998</v>
      </c>
      <c r="AN245" s="293">
        <f t="shared" si="483"/>
        <v>55487464.690108746</v>
      </c>
      <c r="AO245" s="293">
        <f t="shared" si="483"/>
        <v>60194667.753254645</v>
      </c>
      <c r="AP245" s="293">
        <f t="shared" si="483"/>
        <v>64544892.147013903</v>
      </c>
      <c r="AQ245" s="293">
        <f t="shared" si="483"/>
        <v>69070071.855283543</v>
      </c>
      <c r="AR245" s="293">
        <f t="shared" si="483"/>
        <v>73537230.460352167</v>
      </c>
      <c r="AS245" s="293">
        <f t="shared" si="483"/>
        <v>77913666.047396019</v>
      </c>
      <c r="AT245" s="293">
        <f t="shared" ref="AT245" si="485">SUM(AT246:AT254)</f>
        <v>82200608.791357115</v>
      </c>
      <c r="AU245" s="293">
        <f t="shared" ref="AU245" si="486">SUM(AU246:AU254)</f>
        <v>86381574.114530027</v>
      </c>
      <c r="AV245" s="293">
        <f t="shared" ref="AV245" si="487">SUM(AV246:AV254)</f>
        <v>90413501.564277828</v>
      </c>
      <c r="AW245" s="293">
        <f t="shared" ref="AW245" si="488">SUM(AW246:AW254)</f>
        <v>94412615.411913723</v>
      </c>
      <c r="AX245" s="293">
        <f t="shared" ref="AX245" si="489">SUM(AX246:AX254)</f>
        <v>98330123.332348511</v>
      </c>
      <c r="AY245" s="293">
        <f t="shared" ref="AY245:AY286" si="490">AX245-V245</f>
        <v>75046230.822348505</v>
      </c>
      <c r="AZ245" s="293">
        <f t="shared" ref="AZ245:AZ286" si="491">AX245-P245</f>
        <v>80109095.482348502</v>
      </c>
    </row>
    <row r="246" spans="1:52" x14ac:dyDescent="0.25">
      <c r="B246" s="294">
        <f t="shared" ref="B246:AX246" si="492">B54</f>
        <v>1401</v>
      </c>
      <c r="C246" s="295" t="str">
        <f t="shared" si="492"/>
        <v>CARTERA DE CRÉDITOS PRODUCTIVO POR VENCER</v>
      </c>
      <c r="D246" s="281">
        <f t="shared" si="492"/>
        <v>1734072.31</v>
      </c>
      <c r="E246" s="281">
        <f t="shared" si="492"/>
        <v>1080190.79</v>
      </c>
      <c r="F246" s="281">
        <f t="shared" si="492"/>
        <v>1436040.44</v>
      </c>
      <c r="G246" s="281">
        <f t="shared" si="492"/>
        <v>1322502.25</v>
      </c>
      <c r="H246" s="281">
        <f t="shared" si="492"/>
        <v>1174227.73</v>
      </c>
      <c r="I246" s="281">
        <f t="shared" si="492"/>
        <v>1276341.68</v>
      </c>
      <c r="J246" s="281">
        <f t="shared" si="492"/>
        <v>1178401.22</v>
      </c>
      <c r="K246" s="281">
        <f t="shared" si="492"/>
        <v>982762.02</v>
      </c>
      <c r="L246" s="281">
        <f t="shared" si="492"/>
        <v>1021419.27</v>
      </c>
      <c r="M246" s="281">
        <f t="shared" si="492"/>
        <v>835220.01</v>
      </c>
      <c r="N246" s="281">
        <f t="shared" si="492"/>
        <v>714034.35</v>
      </c>
      <c r="O246" s="281">
        <f t="shared" si="492"/>
        <v>661841.17000000004</v>
      </c>
      <c r="P246" s="281">
        <f t="shared" si="492"/>
        <v>639271.61</v>
      </c>
      <c r="Q246" s="281">
        <f t="shared" si="492"/>
        <v>627114.89</v>
      </c>
      <c r="R246" s="281">
        <f t="shared" si="492"/>
        <v>666746.27</v>
      </c>
      <c r="S246" s="281">
        <f t="shared" si="492"/>
        <v>795258.68</v>
      </c>
      <c r="T246" s="281">
        <f t="shared" si="492"/>
        <v>783862.58</v>
      </c>
      <c r="U246" s="281">
        <f t="shared" si="492"/>
        <v>807364.88</v>
      </c>
      <c r="V246" s="281">
        <f t="shared" si="492"/>
        <v>726963.57</v>
      </c>
      <c r="W246" s="281">
        <f t="shared" si="492"/>
        <v>677485.24</v>
      </c>
      <c r="X246" s="281">
        <f t="shared" ref="X246:AS246" si="493">X54</f>
        <v>720768.96</v>
      </c>
      <c r="Y246" s="281">
        <f t="shared" si="493"/>
        <v>737369.17</v>
      </c>
      <c r="Z246" s="281">
        <f t="shared" si="493"/>
        <v>723611.95</v>
      </c>
      <c r="AA246" s="281">
        <f t="shared" si="493"/>
        <v>735372.36</v>
      </c>
      <c r="AB246" s="281">
        <f t="shared" si="493"/>
        <v>768061.3</v>
      </c>
      <c r="AC246" s="281">
        <f t="shared" ref="AC246:AL246" si="494">AC54</f>
        <v>685119.83</v>
      </c>
      <c r="AD246" s="281">
        <f t="shared" si="494"/>
        <v>733823.72</v>
      </c>
      <c r="AE246" s="281">
        <f t="shared" si="494"/>
        <v>728836.98</v>
      </c>
      <c r="AF246" s="281">
        <f t="shared" si="494"/>
        <v>725339.93</v>
      </c>
      <c r="AG246" s="281">
        <f t="shared" si="494"/>
        <v>733989.78</v>
      </c>
      <c r="AH246" s="281">
        <f t="shared" si="494"/>
        <v>770989.99</v>
      </c>
      <c r="AI246" s="281">
        <f t="shared" si="494"/>
        <v>754548.06</v>
      </c>
      <c r="AJ246" s="281">
        <f t="shared" si="494"/>
        <v>775381.5</v>
      </c>
      <c r="AK246" s="281">
        <f t="shared" si="494"/>
        <v>758312.95</v>
      </c>
      <c r="AL246" s="281">
        <f t="shared" si="494"/>
        <v>643884.81999999995</v>
      </c>
      <c r="AM246" s="281">
        <f t="shared" si="493"/>
        <v>630330.20095208322</v>
      </c>
      <c r="AN246" s="281">
        <f t="shared" si="493"/>
        <v>630291.33445833332</v>
      </c>
      <c r="AO246" s="281">
        <f t="shared" si="493"/>
        <v>629485.49811874994</v>
      </c>
      <c r="AP246" s="281">
        <f t="shared" si="493"/>
        <v>628651.27873333322</v>
      </c>
      <c r="AQ246" s="281">
        <f t="shared" si="493"/>
        <v>628302.41190208332</v>
      </c>
      <c r="AR246" s="281">
        <f t="shared" si="493"/>
        <v>627855.93482499989</v>
      </c>
      <c r="AS246" s="281">
        <f t="shared" si="493"/>
        <v>628392.41510208324</v>
      </c>
      <c r="AT246" s="281">
        <f t="shared" si="492"/>
        <v>628817.52593333332</v>
      </c>
      <c r="AU246" s="281">
        <f t="shared" si="492"/>
        <v>628941.92151875002</v>
      </c>
      <c r="AV246" s="281">
        <f t="shared" si="492"/>
        <v>630060.9266583334</v>
      </c>
      <c r="AW246" s="281">
        <f t="shared" si="492"/>
        <v>631537.51195208344</v>
      </c>
      <c r="AX246" s="281">
        <f t="shared" si="492"/>
        <v>631076.70360000001</v>
      </c>
      <c r="AY246" s="281">
        <f t="shared" si="490"/>
        <v>-95886.866399999941</v>
      </c>
      <c r="AZ246" s="281">
        <f t="shared" si="491"/>
        <v>-8194.906399999978</v>
      </c>
    </row>
    <row r="247" spans="1:52" x14ac:dyDescent="0.25">
      <c r="B247" s="294">
        <f t="shared" ref="B247:AX247" si="495">B55</f>
        <v>1402</v>
      </c>
      <c r="C247" s="295" t="str">
        <f t="shared" si="495"/>
        <v>CARTERA DE CRÉDITOS CONSUMO POR VENCER</v>
      </c>
      <c r="D247" s="281">
        <f t="shared" si="495"/>
        <v>16240949.039999999</v>
      </c>
      <c r="E247" s="281">
        <f t="shared" si="495"/>
        <v>15544856.949999999</v>
      </c>
      <c r="F247" s="281">
        <f t="shared" si="495"/>
        <v>15671930.109999999</v>
      </c>
      <c r="G247" s="281">
        <f t="shared" si="495"/>
        <v>15875617.82</v>
      </c>
      <c r="H247" s="281">
        <f t="shared" si="495"/>
        <v>15704959.41</v>
      </c>
      <c r="I247" s="281">
        <f t="shared" si="495"/>
        <v>15600109.140000001</v>
      </c>
      <c r="J247" s="281">
        <f t="shared" si="495"/>
        <v>15083712.66</v>
      </c>
      <c r="K247" s="281">
        <f t="shared" si="495"/>
        <v>14607269.23</v>
      </c>
      <c r="L247" s="281">
        <f t="shared" si="495"/>
        <v>14550816.4</v>
      </c>
      <c r="M247" s="281">
        <f t="shared" si="495"/>
        <v>14746900.689999999</v>
      </c>
      <c r="N247" s="281">
        <f t="shared" si="495"/>
        <v>12338339.560000001</v>
      </c>
      <c r="O247" s="281">
        <f t="shared" si="495"/>
        <v>14282299.890000001</v>
      </c>
      <c r="P247" s="281">
        <f t="shared" si="495"/>
        <v>11356754.32</v>
      </c>
      <c r="Q247" s="281">
        <f t="shared" si="495"/>
        <v>10967269.65</v>
      </c>
      <c r="R247" s="281">
        <f t="shared" si="495"/>
        <v>10304698.41</v>
      </c>
      <c r="S247" s="281">
        <f t="shared" si="495"/>
        <v>10188543.58</v>
      </c>
      <c r="T247" s="281">
        <f t="shared" si="495"/>
        <v>10790436.890000001</v>
      </c>
      <c r="U247" s="281">
        <f t="shared" si="495"/>
        <v>10361066.66</v>
      </c>
      <c r="V247" s="281">
        <f t="shared" si="495"/>
        <v>16655882.720000001</v>
      </c>
      <c r="W247" s="281">
        <f t="shared" si="495"/>
        <v>17200840.010000002</v>
      </c>
      <c r="X247" s="281">
        <f t="shared" ref="X247:AS247" si="496">X55</f>
        <v>17064999.960000001</v>
      </c>
      <c r="Y247" s="281">
        <f t="shared" si="496"/>
        <v>17640924.449999999</v>
      </c>
      <c r="Z247" s="281">
        <f t="shared" si="496"/>
        <v>18466470.34</v>
      </c>
      <c r="AA247" s="281">
        <f t="shared" si="496"/>
        <v>20025987.620000001</v>
      </c>
      <c r="AB247" s="281">
        <f t="shared" si="496"/>
        <v>20757554.719999999</v>
      </c>
      <c r="AC247" s="281">
        <f t="shared" ref="AC247:AL247" si="497">AC55</f>
        <v>21091095.789999999</v>
      </c>
      <c r="AD247" s="281">
        <f t="shared" si="497"/>
        <v>20569154.609999999</v>
      </c>
      <c r="AE247" s="281">
        <f t="shared" si="497"/>
        <v>20077242.239999998</v>
      </c>
      <c r="AF247" s="281">
        <f t="shared" si="497"/>
        <v>20683092.379999999</v>
      </c>
      <c r="AG247" s="281">
        <f t="shared" si="497"/>
        <v>21564666.489999998</v>
      </c>
      <c r="AH247" s="281">
        <f t="shared" si="497"/>
        <v>23620654.760000002</v>
      </c>
      <c r="AI247" s="281">
        <f t="shared" si="497"/>
        <v>24421931.359999999</v>
      </c>
      <c r="AJ247" s="281">
        <f t="shared" si="497"/>
        <v>25935733.100000001</v>
      </c>
      <c r="AK247" s="281">
        <f t="shared" si="497"/>
        <v>27557040.75</v>
      </c>
      <c r="AL247" s="281">
        <f t="shared" si="497"/>
        <v>29255983.16</v>
      </c>
      <c r="AM247" s="281">
        <f t="shared" si="496"/>
        <v>32648562.935015414</v>
      </c>
      <c r="AN247" s="281">
        <f t="shared" si="496"/>
        <v>35988131.609091669</v>
      </c>
      <c r="AO247" s="281">
        <f t="shared" si="496"/>
        <v>39203292.584828749</v>
      </c>
      <c r="AP247" s="281">
        <f t="shared" si="496"/>
        <v>42079197.875026666</v>
      </c>
      <c r="AQ247" s="281">
        <f t="shared" si="496"/>
        <v>45151304.113285415</v>
      </c>
      <c r="AR247" s="281">
        <f t="shared" si="496"/>
        <v>48173826.535204992</v>
      </c>
      <c r="AS247" s="281">
        <f t="shared" si="496"/>
        <v>51126901.363985412</v>
      </c>
      <c r="AT247" s="281">
        <f t="shared" si="495"/>
        <v>54009759.623026662</v>
      </c>
      <c r="AU247" s="281">
        <f t="shared" si="495"/>
        <v>56823135.136328749</v>
      </c>
      <c r="AV247" s="281">
        <f t="shared" si="495"/>
        <v>59493160.531291664</v>
      </c>
      <c r="AW247" s="281">
        <f t="shared" si="495"/>
        <v>62148359.025115423</v>
      </c>
      <c r="AX247" s="281">
        <f t="shared" si="495"/>
        <v>64746056.664800003</v>
      </c>
      <c r="AY247" s="281">
        <f t="shared" si="490"/>
        <v>48090173.944800004</v>
      </c>
      <c r="AZ247" s="281">
        <f t="shared" si="491"/>
        <v>53389302.344800003</v>
      </c>
    </row>
    <row r="248" spans="1:52" x14ac:dyDescent="0.25">
      <c r="B248" s="294">
        <f t="shared" ref="B248:AX248" si="498">B56</f>
        <v>1404</v>
      </c>
      <c r="C248" s="295" t="str">
        <f t="shared" si="498"/>
        <v>CARTERA DE MICROCRÉDITO POR VENCER</v>
      </c>
      <c r="D248" s="281">
        <f t="shared" si="498"/>
        <v>5885580.8499999996</v>
      </c>
      <c r="E248" s="281">
        <f t="shared" si="498"/>
        <v>5973834</v>
      </c>
      <c r="F248" s="281">
        <f t="shared" si="498"/>
        <v>6248944.4299999997</v>
      </c>
      <c r="G248" s="281">
        <f t="shared" si="498"/>
        <v>6834974.1100000003</v>
      </c>
      <c r="H248" s="281">
        <f t="shared" si="498"/>
        <v>7019536.4800000004</v>
      </c>
      <c r="I248" s="281">
        <f t="shared" si="498"/>
        <v>7111801.1399999997</v>
      </c>
      <c r="J248" s="281">
        <f t="shared" si="498"/>
        <v>6876551.9699999997</v>
      </c>
      <c r="K248" s="281">
        <f t="shared" si="498"/>
        <v>6528684.8600000003</v>
      </c>
      <c r="L248" s="281">
        <f t="shared" si="498"/>
        <v>6490742.0499999998</v>
      </c>
      <c r="M248" s="281">
        <f t="shared" si="498"/>
        <v>6293953.3099999996</v>
      </c>
      <c r="N248" s="281">
        <f t="shared" si="498"/>
        <v>6011629.6399999997</v>
      </c>
      <c r="O248" s="281">
        <f t="shared" si="498"/>
        <v>5762684.8099999996</v>
      </c>
      <c r="P248" s="281">
        <f t="shared" si="498"/>
        <v>5652215.71</v>
      </c>
      <c r="Q248" s="281">
        <f t="shared" si="498"/>
        <v>5497492.5099999998</v>
      </c>
      <c r="R248" s="281">
        <f t="shared" si="498"/>
        <v>5326071.5599999996</v>
      </c>
      <c r="S248" s="281">
        <f t="shared" si="498"/>
        <v>5223183.9800000004</v>
      </c>
      <c r="T248" s="281">
        <f t="shared" si="498"/>
        <v>5483838.6399999997</v>
      </c>
      <c r="U248" s="281">
        <f t="shared" si="498"/>
        <v>5150380.93</v>
      </c>
      <c r="V248" s="281">
        <f t="shared" si="498"/>
        <v>5347185.8899999997</v>
      </c>
      <c r="W248" s="281">
        <f t="shared" si="498"/>
        <v>5198012.29</v>
      </c>
      <c r="X248" s="281">
        <f t="shared" ref="X248:AS248" si="499">X56</f>
        <v>4776159.16</v>
      </c>
      <c r="Y248" s="281">
        <f t="shared" si="499"/>
        <v>4790011.54</v>
      </c>
      <c r="Z248" s="281">
        <f t="shared" si="499"/>
        <v>4649697.91</v>
      </c>
      <c r="AA248" s="281">
        <f t="shared" si="499"/>
        <v>4650630.45</v>
      </c>
      <c r="AB248" s="281">
        <f t="shared" si="499"/>
        <v>4878238.1900000004</v>
      </c>
      <c r="AC248" s="281">
        <f t="shared" ref="AC248:AL248" si="500">AC56</f>
        <v>5525103.3700000001</v>
      </c>
      <c r="AD248" s="281">
        <f t="shared" si="500"/>
        <v>6978000.71</v>
      </c>
      <c r="AE248" s="281">
        <f t="shared" si="500"/>
        <v>8563406.2200000007</v>
      </c>
      <c r="AF248" s="281">
        <f t="shared" si="500"/>
        <v>10771892.67</v>
      </c>
      <c r="AG248" s="281">
        <f t="shared" si="500"/>
        <v>12036032.32</v>
      </c>
      <c r="AH248" s="281">
        <f t="shared" si="500"/>
        <v>12698023.029999999</v>
      </c>
      <c r="AI248" s="281">
        <f t="shared" si="500"/>
        <v>12963056.74</v>
      </c>
      <c r="AJ248" s="281">
        <f t="shared" si="500"/>
        <v>14075878.210000001</v>
      </c>
      <c r="AK248" s="281">
        <f t="shared" si="500"/>
        <v>14783239.68</v>
      </c>
      <c r="AL248" s="281">
        <f t="shared" si="500"/>
        <v>15623787.800000001</v>
      </c>
      <c r="AM248" s="281">
        <f t="shared" si="499"/>
        <v>17051313.908628613</v>
      </c>
      <c r="AN248" s="281">
        <f t="shared" si="499"/>
        <v>18569720.325527776</v>
      </c>
      <c r="AO248" s="281">
        <f t="shared" si="499"/>
        <v>20062226.8674975</v>
      </c>
      <c r="AP248" s="281">
        <f t="shared" si="499"/>
        <v>21536697.848337777</v>
      </c>
      <c r="AQ248" s="281">
        <f t="shared" si="499"/>
        <v>22989854.482048612</v>
      </c>
      <c r="AR248" s="281">
        <f t="shared" si="499"/>
        <v>24434652.368629999</v>
      </c>
      <c r="AS248" s="281">
        <f t="shared" si="499"/>
        <v>25857604.395281944</v>
      </c>
      <c r="AT248" s="281">
        <f t="shared" si="498"/>
        <v>27261527.826804444</v>
      </c>
      <c r="AU248" s="281">
        <f t="shared" si="498"/>
        <v>28629409.529997502</v>
      </c>
      <c r="AV248" s="281">
        <f t="shared" si="498"/>
        <v>29991016.14246111</v>
      </c>
      <c r="AW248" s="281">
        <f t="shared" si="498"/>
        <v>31334083.17979528</v>
      </c>
      <c r="AX248" s="281">
        <f t="shared" si="498"/>
        <v>32655382.678800002</v>
      </c>
      <c r="AY248" s="281">
        <f t="shared" si="490"/>
        <v>27308196.788800001</v>
      </c>
      <c r="AZ248" s="281">
        <f t="shared" si="491"/>
        <v>27003166.968800001</v>
      </c>
    </row>
    <row r="249" spans="1:52" x14ac:dyDescent="0.25">
      <c r="B249" s="294">
        <f t="shared" ref="B249:AX249" si="501">B57</f>
        <v>1410</v>
      </c>
      <c r="C249" s="295" t="str">
        <f t="shared" si="501"/>
        <v>CARTERA DE CRÉDITOS CONSUMO REFINANCIADA POR VENCER</v>
      </c>
      <c r="D249" s="281">
        <f t="shared" si="501"/>
        <v>12623.84</v>
      </c>
      <c r="E249" s="281">
        <f t="shared" si="501"/>
        <v>19365.96</v>
      </c>
      <c r="F249" s="281">
        <f t="shared" si="501"/>
        <v>19207.27</v>
      </c>
      <c r="G249" s="281">
        <f t="shared" si="501"/>
        <v>18889.82</v>
      </c>
      <c r="H249" s="281">
        <f t="shared" si="501"/>
        <v>12125.08</v>
      </c>
      <c r="I249" s="281">
        <f t="shared" si="501"/>
        <v>25764.240000000002</v>
      </c>
      <c r="J249" s="281">
        <f t="shared" si="501"/>
        <v>37272.76</v>
      </c>
      <c r="K249" s="281">
        <f t="shared" si="501"/>
        <v>50938.28</v>
      </c>
      <c r="L249" s="281">
        <f t="shared" si="501"/>
        <v>83341.37</v>
      </c>
      <c r="M249" s="281">
        <f t="shared" si="501"/>
        <v>117623.86</v>
      </c>
      <c r="N249" s="281">
        <f t="shared" si="501"/>
        <v>129152.68</v>
      </c>
      <c r="O249" s="281">
        <f t="shared" si="501"/>
        <v>148180.07999999999</v>
      </c>
      <c r="P249" s="281">
        <f t="shared" si="501"/>
        <v>127243.32</v>
      </c>
      <c r="Q249" s="281">
        <f t="shared" si="501"/>
        <v>154439.51</v>
      </c>
      <c r="R249" s="281">
        <f t="shared" si="501"/>
        <v>136535.48000000001</v>
      </c>
      <c r="S249" s="281">
        <f t="shared" si="501"/>
        <v>204425.51</v>
      </c>
      <c r="T249" s="281">
        <f t="shared" si="501"/>
        <v>194358.52</v>
      </c>
      <c r="U249" s="281">
        <f t="shared" si="501"/>
        <v>170610.21</v>
      </c>
      <c r="V249" s="281">
        <f t="shared" si="501"/>
        <v>129004.01</v>
      </c>
      <c r="W249" s="281">
        <f t="shared" si="501"/>
        <v>137748.32999999999</v>
      </c>
      <c r="X249" s="281">
        <f t="shared" ref="X249:AS249" si="502">X57</f>
        <v>163688.45000000001</v>
      </c>
      <c r="Y249" s="281">
        <f t="shared" si="502"/>
        <v>140698.19</v>
      </c>
      <c r="Z249" s="281">
        <f t="shared" si="502"/>
        <v>178471.48</v>
      </c>
      <c r="AA249" s="281">
        <f t="shared" si="502"/>
        <v>177358.14</v>
      </c>
      <c r="AB249" s="281">
        <f t="shared" si="502"/>
        <v>174780.34</v>
      </c>
      <c r="AC249" s="281">
        <f t="shared" ref="AC249:AL249" si="503">AC57</f>
        <v>157355.01999999999</v>
      </c>
      <c r="AD249" s="281">
        <f t="shared" si="503"/>
        <v>165955.71</v>
      </c>
      <c r="AE249" s="281">
        <f t="shared" si="503"/>
        <v>150147.76999999999</v>
      </c>
      <c r="AF249" s="281">
        <f t="shared" si="503"/>
        <v>175307.56</v>
      </c>
      <c r="AG249" s="281">
        <f t="shared" si="503"/>
        <v>201133.93</v>
      </c>
      <c r="AH249" s="281">
        <f t="shared" si="503"/>
        <v>174009.64</v>
      </c>
      <c r="AI249" s="281">
        <f t="shared" si="503"/>
        <v>228653.24</v>
      </c>
      <c r="AJ249" s="281">
        <f t="shared" si="503"/>
        <v>217587.7</v>
      </c>
      <c r="AK249" s="281">
        <f t="shared" si="503"/>
        <v>213355.03</v>
      </c>
      <c r="AL249" s="281">
        <f t="shared" si="503"/>
        <v>260130</v>
      </c>
      <c r="AM249" s="281">
        <f t="shared" si="502"/>
        <v>130436.76489358309</v>
      </c>
      <c r="AN249" s="281">
        <f t="shared" si="502"/>
        <v>130909.95545968195</v>
      </c>
      <c r="AO249" s="281">
        <f t="shared" si="502"/>
        <v>131005.11287943539</v>
      </c>
      <c r="AP249" s="281">
        <f t="shared" si="502"/>
        <v>131281.81186830706</v>
      </c>
      <c r="AQ249" s="281">
        <f t="shared" si="502"/>
        <v>131443.21674076555</v>
      </c>
      <c r="AR249" s="281">
        <f t="shared" si="502"/>
        <v>131582.06106850205</v>
      </c>
      <c r="AS249" s="281">
        <f t="shared" si="502"/>
        <v>131606.74399371594</v>
      </c>
      <c r="AT249" s="281">
        <f t="shared" si="501"/>
        <v>131606.09783033136</v>
      </c>
      <c r="AU249" s="281">
        <f t="shared" si="501"/>
        <v>131535.39021713642</v>
      </c>
      <c r="AV249" s="281">
        <f t="shared" si="501"/>
        <v>131352.29194521796</v>
      </c>
      <c r="AW249" s="281">
        <f t="shared" si="501"/>
        <v>131201.98433117557</v>
      </c>
      <c r="AX249" s="281">
        <f t="shared" si="501"/>
        <v>130941.30695490424</v>
      </c>
      <c r="AY249" s="281">
        <f t="shared" si="490"/>
        <v>1937.2969549042464</v>
      </c>
      <c r="AZ249" s="281">
        <f t="shared" si="491"/>
        <v>3697.9869549042342</v>
      </c>
    </row>
    <row r="250" spans="1:52" x14ac:dyDescent="0.25">
      <c r="B250" s="294">
        <f t="shared" ref="B250:AX250" si="504">B58</f>
        <v>1412</v>
      </c>
      <c r="C250" s="295" t="str">
        <f t="shared" si="504"/>
        <v>CARTERA DE MICROCRÉDITO REFINANCIADA POR VENCER</v>
      </c>
      <c r="D250" s="281">
        <f t="shared" si="504"/>
        <v>0</v>
      </c>
      <c r="E250" s="281">
        <f t="shared" si="504"/>
        <v>0</v>
      </c>
      <c r="F250" s="281">
        <f t="shared" si="504"/>
        <v>0</v>
      </c>
      <c r="G250" s="281">
        <f t="shared" si="504"/>
        <v>0</v>
      </c>
      <c r="H250" s="281">
        <f t="shared" si="504"/>
        <v>0</v>
      </c>
      <c r="I250" s="281">
        <f t="shared" si="504"/>
        <v>0</v>
      </c>
      <c r="J250" s="281">
        <f t="shared" si="504"/>
        <v>0</v>
      </c>
      <c r="K250" s="281">
        <f t="shared" si="504"/>
        <v>30942.94</v>
      </c>
      <c r="L250" s="281">
        <f t="shared" si="504"/>
        <v>56130.02</v>
      </c>
      <c r="M250" s="281">
        <f t="shared" si="504"/>
        <v>95559.15</v>
      </c>
      <c r="N250" s="281">
        <f t="shared" si="504"/>
        <v>117323.1</v>
      </c>
      <c r="O250" s="281">
        <f t="shared" si="504"/>
        <v>78308.7</v>
      </c>
      <c r="P250" s="281">
        <f t="shared" si="504"/>
        <v>66919.58</v>
      </c>
      <c r="Q250" s="281">
        <f t="shared" si="504"/>
        <v>59660.07</v>
      </c>
      <c r="R250" s="281">
        <f t="shared" si="504"/>
        <v>72663.12</v>
      </c>
      <c r="S250" s="281">
        <f t="shared" si="504"/>
        <v>75490.880000000005</v>
      </c>
      <c r="T250" s="281">
        <f t="shared" si="504"/>
        <v>77339.77</v>
      </c>
      <c r="U250" s="281">
        <f t="shared" si="504"/>
        <v>92582.58</v>
      </c>
      <c r="V250" s="281">
        <f t="shared" si="504"/>
        <v>79069.27</v>
      </c>
      <c r="W250" s="281">
        <f t="shared" si="504"/>
        <v>92524.83</v>
      </c>
      <c r="X250" s="281">
        <f t="shared" ref="X250:AS250" si="505">X58</f>
        <v>110455.11</v>
      </c>
      <c r="Y250" s="281">
        <f t="shared" si="505"/>
        <v>89751.13</v>
      </c>
      <c r="Z250" s="281">
        <f t="shared" si="505"/>
        <v>83678.12</v>
      </c>
      <c r="AA250" s="281">
        <f t="shared" si="505"/>
        <v>164462.17000000001</v>
      </c>
      <c r="AB250" s="281">
        <f t="shared" si="505"/>
        <v>100463.39</v>
      </c>
      <c r="AC250" s="281">
        <f t="shared" ref="AC250:AL250" si="506">AC58</f>
        <v>99773.41</v>
      </c>
      <c r="AD250" s="281">
        <f t="shared" si="506"/>
        <v>99366.86</v>
      </c>
      <c r="AE250" s="281">
        <f t="shared" si="506"/>
        <v>84676.29</v>
      </c>
      <c r="AF250" s="281">
        <f t="shared" si="506"/>
        <v>96007.14</v>
      </c>
      <c r="AG250" s="281">
        <f t="shared" si="506"/>
        <v>95129.66</v>
      </c>
      <c r="AH250" s="281">
        <f t="shared" si="506"/>
        <v>81766.929999999993</v>
      </c>
      <c r="AI250" s="281">
        <f t="shared" si="506"/>
        <v>80596.92</v>
      </c>
      <c r="AJ250" s="281">
        <f t="shared" si="506"/>
        <v>79582.5</v>
      </c>
      <c r="AK250" s="281">
        <f t="shared" si="506"/>
        <v>78771.929999999993</v>
      </c>
      <c r="AL250" s="281">
        <f t="shared" si="506"/>
        <v>77541.86</v>
      </c>
      <c r="AM250" s="281">
        <f t="shared" si="505"/>
        <v>87613.690108103285</v>
      </c>
      <c r="AN250" s="281">
        <f t="shared" si="505"/>
        <v>87931.529726818801</v>
      </c>
      <c r="AO250" s="281">
        <f t="shared" si="505"/>
        <v>87995.4464660339</v>
      </c>
      <c r="AP250" s="281">
        <f t="shared" si="505"/>
        <v>88181.303724024066</v>
      </c>
      <c r="AQ250" s="281">
        <f t="shared" si="505"/>
        <v>88289.718529382444</v>
      </c>
      <c r="AR250" s="281">
        <f t="shared" si="505"/>
        <v>88382.979535307415</v>
      </c>
      <c r="AS250" s="281">
        <f t="shared" si="505"/>
        <v>88399.558926573474</v>
      </c>
      <c r="AT250" s="281">
        <f t="shared" si="504"/>
        <v>88399.124902020805</v>
      </c>
      <c r="AU250" s="281">
        <f t="shared" si="504"/>
        <v>88351.63096949496</v>
      </c>
      <c r="AV250" s="281">
        <f t="shared" si="504"/>
        <v>88228.644821622627</v>
      </c>
      <c r="AW250" s="281">
        <f t="shared" si="504"/>
        <v>88127.683986475065</v>
      </c>
      <c r="AX250" s="281">
        <f t="shared" si="504"/>
        <v>87952.588361545539</v>
      </c>
      <c r="AY250" s="281">
        <f t="shared" si="490"/>
        <v>8883.3183615455346</v>
      </c>
      <c r="AZ250" s="281">
        <f t="shared" si="491"/>
        <v>21033.008361545537</v>
      </c>
    </row>
    <row r="251" spans="1:52" x14ac:dyDescent="0.25">
      <c r="B251" s="294">
        <f t="shared" ref="B251:AX251" si="507">B59</f>
        <v>1418</v>
      </c>
      <c r="C251" s="295" t="str">
        <f t="shared" si="507"/>
        <v>CARTERA DE CRÉDITOS CONSUMO REESTRUCTURADA POR VENCER</v>
      </c>
      <c r="D251" s="281">
        <f t="shared" si="507"/>
        <v>10049.69</v>
      </c>
      <c r="E251" s="281">
        <f t="shared" si="507"/>
        <v>9166.07</v>
      </c>
      <c r="F251" s="281">
        <f t="shared" si="507"/>
        <v>8247.42</v>
      </c>
      <c r="G251" s="281">
        <f t="shared" si="507"/>
        <v>7231.35</v>
      </c>
      <c r="H251" s="281">
        <f t="shared" si="507"/>
        <v>6856.37</v>
      </c>
      <c r="I251" s="281">
        <f t="shared" si="507"/>
        <v>6304.02</v>
      </c>
      <c r="J251" s="281">
        <f t="shared" si="507"/>
        <v>5744.16</v>
      </c>
      <c r="K251" s="281">
        <f t="shared" si="507"/>
        <v>20189.48</v>
      </c>
      <c r="L251" s="281">
        <f t="shared" si="507"/>
        <v>96839.78</v>
      </c>
      <c r="M251" s="281">
        <f t="shared" si="507"/>
        <v>126080.62</v>
      </c>
      <c r="N251" s="281">
        <f t="shared" si="507"/>
        <v>144531.66</v>
      </c>
      <c r="O251" s="281">
        <f t="shared" si="507"/>
        <v>142105.07999999999</v>
      </c>
      <c r="P251" s="281">
        <f t="shared" si="507"/>
        <v>132810.85999999999</v>
      </c>
      <c r="Q251" s="281">
        <f t="shared" si="507"/>
        <v>101408.8</v>
      </c>
      <c r="R251" s="281">
        <f t="shared" si="507"/>
        <v>81016.33</v>
      </c>
      <c r="S251" s="281">
        <f t="shared" si="507"/>
        <v>115232.46</v>
      </c>
      <c r="T251" s="281">
        <f t="shared" si="507"/>
        <v>128355.74</v>
      </c>
      <c r="U251" s="281">
        <f t="shared" si="507"/>
        <v>96505.46</v>
      </c>
      <c r="V251" s="281">
        <f t="shared" si="507"/>
        <v>95511.67</v>
      </c>
      <c r="W251" s="281">
        <f t="shared" si="507"/>
        <v>87312.87</v>
      </c>
      <c r="X251" s="281">
        <f t="shared" ref="X251:AS251" si="508">X59</f>
        <v>99309.759999999995</v>
      </c>
      <c r="Y251" s="281">
        <f t="shared" si="508"/>
        <v>83344.78</v>
      </c>
      <c r="Z251" s="281">
        <f t="shared" si="508"/>
        <v>118472.19</v>
      </c>
      <c r="AA251" s="281">
        <f t="shared" si="508"/>
        <v>103611.84</v>
      </c>
      <c r="AB251" s="281">
        <f t="shared" si="508"/>
        <v>92990.63</v>
      </c>
      <c r="AC251" s="281">
        <f t="shared" ref="AC251:AL251" si="509">AC59</f>
        <v>101710.24</v>
      </c>
      <c r="AD251" s="281">
        <f t="shared" si="509"/>
        <v>98503.35</v>
      </c>
      <c r="AE251" s="281">
        <f t="shared" si="509"/>
        <v>97754.1</v>
      </c>
      <c r="AF251" s="281">
        <f t="shared" si="509"/>
        <v>105139.16</v>
      </c>
      <c r="AG251" s="281">
        <f t="shared" si="509"/>
        <v>98287.52</v>
      </c>
      <c r="AH251" s="281">
        <f t="shared" si="509"/>
        <v>113920.12</v>
      </c>
      <c r="AI251" s="281">
        <f t="shared" si="509"/>
        <v>79105.119999999995</v>
      </c>
      <c r="AJ251" s="281">
        <f t="shared" si="509"/>
        <v>68014.559999999998</v>
      </c>
      <c r="AK251" s="281">
        <f t="shared" si="509"/>
        <v>66408.22</v>
      </c>
      <c r="AL251" s="281">
        <f t="shared" si="509"/>
        <v>56238.400000000001</v>
      </c>
      <c r="AM251" s="281">
        <f t="shared" si="508"/>
        <v>25280.764657595191</v>
      </c>
      <c r="AN251" s="281">
        <f t="shared" si="508"/>
        <v>25541.646780916974</v>
      </c>
      <c r="AO251" s="281">
        <f t="shared" si="508"/>
        <v>25606.705331683432</v>
      </c>
      <c r="AP251" s="281">
        <f t="shared" si="508"/>
        <v>25679.347168318887</v>
      </c>
      <c r="AQ251" s="281">
        <f t="shared" si="508"/>
        <v>25672.03060028682</v>
      </c>
      <c r="AR251" s="281">
        <f t="shared" si="508"/>
        <v>25686.844663000873</v>
      </c>
      <c r="AS251" s="281">
        <f t="shared" si="508"/>
        <v>25622.494653308266</v>
      </c>
      <c r="AT251" s="281">
        <f t="shared" si="507"/>
        <v>25523.76373596978</v>
      </c>
      <c r="AU251" s="281">
        <f t="shared" si="507"/>
        <v>25414.353068174249</v>
      </c>
      <c r="AV251" s="281">
        <f t="shared" si="507"/>
        <v>25226.57431165134</v>
      </c>
      <c r="AW251" s="281">
        <f t="shared" si="507"/>
        <v>25090.37593058946</v>
      </c>
      <c r="AX251" s="281">
        <f t="shared" si="507"/>
        <v>24877.147109721809</v>
      </c>
      <c r="AY251" s="281">
        <f t="shared" si="490"/>
        <v>-70634.522890278196</v>
      </c>
      <c r="AZ251" s="281">
        <f t="shared" si="491"/>
        <v>-107933.71289027817</v>
      </c>
    </row>
    <row r="252" spans="1:52" x14ac:dyDescent="0.25">
      <c r="B252" s="294">
        <f t="shared" ref="B252:AX252" si="510">B60</f>
        <v>1420</v>
      </c>
      <c r="C252" s="295" t="str">
        <f t="shared" si="510"/>
        <v>CARTERA DE MICROCRÉDITO REESTRUCTURADA POR VENCER</v>
      </c>
      <c r="D252" s="281">
        <f t="shared" si="510"/>
        <v>0</v>
      </c>
      <c r="E252" s="281">
        <f t="shared" si="510"/>
        <v>0</v>
      </c>
      <c r="F252" s="281">
        <f t="shared" si="510"/>
        <v>0</v>
      </c>
      <c r="G252" s="281">
        <f t="shared" si="510"/>
        <v>0</v>
      </c>
      <c r="H252" s="281">
        <f t="shared" si="510"/>
        <v>0</v>
      </c>
      <c r="I252" s="281">
        <f t="shared" si="510"/>
        <v>0</v>
      </c>
      <c r="J252" s="281">
        <f t="shared" si="510"/>
        <v>0</v>
      </c>
      <c r="K252" s="281">
        <f t="shared" si="510"/>
        <v>0</v>
      </c>
      <c r="L252" s="281">
        <f t="shared" si="510"/>
        <v>13747.92</v>
      </c>
      <c r="M252" s="281">
        <f t="shared" si="510"/>
        <v>33930.449999999997</v>
      </c>
      <c r="N252" s="281">
        <f t="shared" si="510"/>
        <v>33900.54</v>
      </c>
      <c r="O252" s="281">
        <f t="shared" si="510"/>
        <v>37038.19</v>
      </c>
      <c r="P252" s="281">
        <f t="shared" si="510"/>
        <v>94865.44</v>
      </c>
      <c r="Q252" s="281">
        <f t="shared" si="510"/>
        <v>129942.19</v>
      </c>
      <c r="R252" s="281">
        <f t="shared" si="510"/>
        <v>153677.07</v>
      </c>
      <c r="S252" s="281">
        <f t="shared" si="510"/>
        <v>100932.02</v>
      </c>
      <c r="T252" s="281">
        <f t="shared" si="510"/>
        <v>102908.48</v>
      </c>
      <c r="U252" s="281">
        <f t="shared" si="510"/>
        <v>114241.05</v>
      </c>
      <c r="V252" s="281">
        <f t="shared" si="510"/>
        <v>113714.14</v>
      </c>
      <c r="W252" s="281">
        <f t="shared" si="510"/>
        <v>56568.43</v>
      </c>
      <c r="X252" s="281">
        <f t="shared" ref="X252:AS252" si="511">X60</f>
        <v>97631.58</v>
      </c>
      <c r="Y252" s="281">
        <f t="shared" si="511"/>
        <v>73219.25</v>
      </c>
      <c r="Z252" s="281">
        <f t="shared" si="511"/>
        <v>119937.59</v>
      </c>
      <c r="AA252" s="281">
        <f t="shared" si="511"/>
        <v>92995.09</v>
      </c>
      <c r="AB252" s="281">
        <f t="shared" si="511"/>
        <v>76810.63</v>
      </c>
      <c r="AC252" s="281">
        <f t="shared" ref="AC252:AL252" si="512">AC60</f>
        <v>78018.2</v>
      </c>
      <c r="AD252" s="281">
        <f t="shared" si="512"/>
        <v>107902.06</v>
      </c>
      <c r="AE252" s="281">
        <f t="shared" si="512"/>
        <v>94486.22</v>
      </c>
      <c r="AF252" s="281">
        <f t="shared" si="512"/>
        <v>45461.35</v>
      </c>
      <c r="AG252" s="281">
        <f t="shared" si="512"/>
        <v>25926.7</v>
      </c>
      <c r="AH252" s="281">
        <f t="shared" si="512"/>
        <v>36182.68</v>
      </c>
      <c r="AI252" s="281">
        <f t="shared" si="512"/>
        <v>35653.360000000001</v>
      </c>
      <c r="AJ252" s="281">
        <f t="shared" si="512"/>
        <v>34776.33</v>
      </c>
      <c r="AK252" s="281">
        <f t="shared" si="512"/>
        <v>34573.33</v>
      </c>
      <c r="AL252" s="281">
        <f t="shared" si="512"/>
        <v>22485.73</v>
      </c>
      <c r="AM252" s="281">
        <f t="shared" si="511"/>
        <v>16378.950387035124</v>
      </c>
      <c r="AN252" s="281">
        <f t="shared" si="511"/>
        <v>16547.971198415849</v>
      </c>
      <c r="AO252" s="281">
        <f t="shared" si="511"/>
        <v>16590.121457305904</v>
      </c>
      <c r="AP252" s="281">
        <f t="shared" si="511"/>
        <v>16637.184790017156</v>
      </c>
      <c r="AQ252" s="281">
        <f t="shared" si="511"/>
        <v>16632.444517860687</v>
      </c>
      <c r="AR252" s="281">
        <f t="shared" si="511"/>
        <v>16642.042281279249</v>
      </c>
      <c r="AS252" s="281">
        <f t="shared" si="511"/>
        <v>16600.351073341684</v>
      </c>
      <c r="AT252" s="281">
        <f t="shared" si="510"/>
        <v>16536.385096890583</v>
      </c>
      <c r="AU252" s="281">
        <f t="shared" si="510"/>
        <v>16465.499903190677</v>
      </c>
      <c r="AV252" s="281">
        <f t="shared" si="510"/>
        <v>16343.841441570377</v>
      </c>
      <c r="AW252" s="281">
        <f t="shared" si="510"/>
        <v>16255.600972722978</v>
      </c>
      <c r="AX252" s="281">
        <f t="shared" si="510"/>
        <v>16117.453874508999</v>
      </c>
      <c r="AY252" s="281">
        <f t="shared" si="490"/>
        <v>-97596.686125491004</v>
      </c>
      <c r="AZ252" s="281">
        <f t="shared" si="491"/>
        <v>-78747.986125491007</v>
      </c>
    </row>
    <row r="253" spans="1:52" x14ac:dyDescent="0.25">
      <c r="B253" s="294">
        <f t="shared" ref="B253:AX253" si="513">B76</f>
        <v>1491</v>
      </c>
      <c r="C253" s="295" t="str">
        <f t="shared" si="513"/>
        <v>CARTERA REFINACIADA COVID 19 POR VENCER</v>
      </c>
      <c r="D253" s="281">
        <f t="shared" si="513"/>
        <v>33973.81</v>
      </c>
      <c r="E253" s="281">
        <f t="shared" si="513"/>
        <v>33183.339999999997</v>
      </c>
      <c r="F253" s="281">
        <f t="shared" si="513"/>
        <v>32381.94</v>
      </c>
      <c r="G253" s="281">
        <f t="shared" si="513"/>
        <v>31526.11</v>
      </c>
      <c r="H253" s="281">
        <f t="shared" si="513"/>
        <v>30982.560000000001</v>
      </c>
      <c r="I253" s="281">
        <f t="shared" si="513"/>
        <v>29852.37</v>
      </c>
      <c r="J253" s="281">
        <f t="shared" si="513"/>
        <v>29153.35</v>
      </c>
      <c r="K253" s="281">
        <f t="shared" si="513"/>
        <v>27991.67</v>
      </c>
      <c r="L253" s="281">
        <f t="shared" si="513"/>
        <v>27261.52</v>
      </c>
      <c r="M253" s="281">
        <f t="shared" si="513"/>
        <v>26597.58</v>
      </c>
      <c r="N253" s="281">
        <f t="shared" si="513"/>
        <v>25470.93</v>
      </c>
      <c r="O253" s="281">
        <f t="shared" si="513"/>
        <v>24871.48</v>
      </c>
      <c r="P253" s="281">
        <f t="shared" si="513"/>
        <v>17963.71</v>
      </c>
      <c r="Q253" s="281">
        <f t="shared" si="513"/>
        <v>17574.72</v>
      </c>
      <c r="R253" s="281">
        <f t="shared" si="513"/>
        <v>16729.14</v>
      </c>
      <c r="S253" s="281">
        <f t="shared" si="513"/>
        <v>15104.9</v>
      </c>
      <c r="T253" s="281">
        <f t="shared" si="513"/>
        <v>14620.71</v>
      </c>
      <c r="U253" s="281">
        <f t="shared" si="513"/>
        <v>14123.3</v>
      </c>
      <c r="V253" s="281">
        <f t="shared" si="513"/>
        <v>13625.54</v>
      </c>
      <c r="W253" s="281">
        <f t="shared" si="513"/>
        <v>13114.82</v>
      </c>
      <c r="X253" s="281">
        <f t="shared" ref="X253:AS253" si="514">X76</f>
        <v>12603.11</v>
      </c>
      <c r="Y253" s="281">
        <f t="shared" si="514"/>
        <v>12084.32</v>
      </c>
      <c r="Z253" s="281">
        <f t="shared" si="514"/>
        <v>11552.97</v>
      </c>
      <c r="AA253" s="281">
        <f t="shared" si="514"/>
        <v>13554.21</v>
      </c>
      <c r="AB253" s="281">
        <f t="shared" si="514"/>
        <v>131362.76999999999</v>
      </c>
      <c r="AC253" s="281">
        <f t="shared" ref="AC253:AL253" si="515">AC76</f>
        <v>157444</v>
      </c>
      <c r="AD253" s="281">
        <f t="shared" si="515"/>
        <v>156589.47</v>
      </c>
      <c r="AE253" s="281">
        <f t="shared" si="515"/>
        <v>123438.48</v>
      </c>
      <c r="AF253" s="281">
        <f t="shared" si="515"/>
        <v>126359.67999999999</v>
      </c>
      <c r="AG253" s="281">
        <f t="shared" si="515"/>
        <v>128834.32</v>
      </c>
      <c r="AH253" s="281">
        <f t="shared" si="515"/>
        <v>126176.2</v>
      </c>
      <c r="AI253" s="281">
        <f t="shared" si="515"/>
        <v>123914.41</v>
      </c>
      <c r="AJ253" s="281">
        <f t="shared" si="515"/>
        <v>115548.58</v>
      </c>
      <c r="AK253" s="281">
        <f t="shared" si="515"/>
        <v>111914.43</v>
      </c>
      <c r="AL253" s="281">
        <f t="shared" si="515"/>
        <v>98200.69</v>
      </c>
      <c r="AM253" s="281">
        <f t="shared" si="514"/>
        <v>12418.696422393374</v>
      </c>
      <c r="AN253" s="281">
        <f t="shared" si="514"/>
        <v>12463.748214310448</v>
      </c>
      <c r="AO253" s="281">
        <f t="shared" si="514"/>
        <v>12472.808015120598</v>
      </c>
      <c r="AP253" s="281">
        <f t="shared" si="514"/>
        <v>12499.15212711988</v>
      </c>
      <c r="AQ253" s="281">
        <f t="shared" si="514"/>
        <v>12514.519252437594</v>
      </c>
      <c r="AR253" s="281">
        <f t="shared" si="514"/>
        <v>12527.738420802723</v>
      </c>
      <c r="AS253" s="281">
        <f t="shared" si="514"/>
        <v>12530.08844654353</v>
      </c>
      <c r="AT253" s="281">
        <f t="shared" si="513"/>
        <v>12530.026926258826</v>
      </c>
      <c r="AU253" s="281">
        <f t="shared" si="513"/>
        <v>12523.294956298238</v>
      </c>
      <c r="AV253" s="281">
        <f t="shared" si="513"/>
        <v>12505.862433678752</v>
      </c>
      <c r="AW253" s="281">
        <f t="shared" si="513"/>
        <v>12491.551862343362</v>
      </c>
      <c r="AX253" s="281">
        <f t="shared" si="513"/>
        <v>12466.733144992157</v>
      </c>
      <c r="AY253" s="281">
        <f t="shared" si="490"/>
        <v>-1158.8068550078442</v>
      </c>
      <c r="AZ253" s="281">
        <f t="shared" si="491"/>
        <v>-5496.9768550078425</v>
      </c>
    </row>
    <row r="254" spans="1:52" x14ac:dyDescent="0.25">
      <c r="B254" s="294">
        <f t="shared" ref="B254:AX254" si="516">B82</f>
        <v>1494</v>
      </c>
      <c r="C254" s="295" t="str">
        <f t="shared" si="516"/>
        <v>CARTERA REESTRUCTURADA COVID 19 POR VENCER</v>
      </c>
      <c r="D254" s="281">
        <f t="shared" si="516"/>
        <v>233119.53</v>
      </c>
      <c r="E254" s="281">
        <f t="shared" si="516"/>
        <v>172949.38</v>
      </c>
      <c r="F254" s="281">
        <f t="shared" si="516"/>
        <v>195458.09</v>
      </c>
      <c r="G254" s="281">
        <f t="shared" si="516"/>
        <v>160860.48000000001</v>
      </c>
      <c r="H254" s="281">
        <f t="shared" si="516"/>
        <v>192397.9</v>
      </c>
      <c r="I254" s="281">
        <f t="shared" si="516"/>
        <v>158699.98000000001</v>
      </c>
      <c r="J254" s="281">
        <f t="shared" si="516"/>
        <v>196475.88</v>
      </c>
      <c r="K254" s="281">
        <f t="shared" si="516"/>
        <v>164265.63</v>
      </c>
      <c r="L254" s="281">
        <f t="shared" si="516"/>
        <v>133808.23000000001</v>
      </c>
      <c r="M254" s="281">
        <f t="shared" si="516"/>
        <v>157133.51999999999</v>
      </c>
      <c r="N254" s="281">
        <f t="shared" si="516"/>
        <v>148128.65</v>
      </c>
      <c r="O254" s="281">
        <f t="shared" si="516"/>
        <v>142205.78</v>
      </c>
      <c r="P254" s="281">
        <f t="shared" si="516"/>
        <v>132983.29999999999</v>
      </c>
      <c r="Q254" s="281">
        <f t="shared" si="516"/>
        <v>143495.64000000001</v>
      </c>
      <c r="R254" s="281">
        <f t="shared" si="516"/>
        <v>129975.59</v>
      </c>
      <c r="S254" s="281">
        <f t="shared" si="516"/>
        <v>105356.46</v>
      </c>
      <c r="T254" s="281">
        <f t="shared" si="516"/>
        <v>135065.51999999999</v>
      </c>
      <c r="U254" s="281">
        <f t="shared" si="516"/>
        <v>93533.69</v>
      </c>
      <c r="V254" s="281">
        <f t="shared" si="516"/>
        <v>122935.7</v>
      </c>
      <c r="W254" s="281">
        <f t="shared" si="516"/>
        <v>88628.71</v>
      </c>
      <c r="X254" s="281">
        <f t="shared" ref="X254:AS254" si="517">X82</f>
        <v>79553.94</v>
      </c>
      <c r="Y254" s="281">
        <f t="shared" si="517"/>
        <v>94337.3</v>
      </c>
      <c r="Z254" s="281">
        <f t="shared" si="517"/>
        <v>51772.25</v>
      </c>
      <c r="AA254" s="281">
        <f t="shared" si="517"/>
        <v>70346.009999999995</v>
      </c>
      <c r="AB254" s="281">
        <f t="shared" si="517"/>
        <v>112417.59</v>
      </c>
      <c r="AC254" s="281">
        <f t="shared" ref="AC254:AL254" si="518">AC82</f>
        <v>113909.41</v>
      </c>
      <c r="AD254" s="281">
        <f t="shared" si="518"/>
        <v>124342.26</v>
      </c>
      <c r="AE254" s="281">
        <f t="shared" si="518"/>
        <v>103320.99</v>
      </c>
      <c r="AF254" s="281">
        <f t="shared" si="518"/>
        <v>109543.44</v>
      </c>
      <c r="AG254" s="281">
        <f t="shared" si="518"/>
        <v>97869</v>
      </c>
      <c r="AH254" s="281">
        <f t="shared" si="518"/>
        <v>97465.53</v>
      </c>
      <c r="AI254" s="281">
        <f t="shared" si="518"/>
        <v>95862.91</v>
      </c>
      <c r="AJ254" s="281">
        <f t="shared" si="518"/>
        <v>89135.76</v>
      </c>
      <c r="AK254" s="281">
        <f t="shared" si="518"/>
        <v>90731.36</v>
      </c>
      <c r="AL254" s="281">
        <f t="shared" si="518"/>
        <v>41922.379999999997</v>
      </c>
      <c r="AM254" s="281">
        <f t="shared" si="517"/>
        <v>25661.755929180355</v>
      </c>
      <c r="AN254" s="281">
        <f t="shared" si="517"/>
        <v>25926.569650823803</v>
      </c>
      <c r="AO254" s="281">
        <f t="shared" si="517"/>
        <v>25992.608660066089</v>
      </c>
      <c r="AP254" s="281">
        <f t="shared" si="517"/>
        <v>26066.345238339502</v>
      </c>
      <c r="AQ254" s="281">
        <f t="shared" si="517"/>
        <v>26058.918406690176</v>
      </c>
      <c r="AR254" s="281">
        <f t="shared" si="517"/>
        <v>26073.955723275983</v>
      </c>
      <c r="AS254" s="281">
        <f t="shared" si="517"/>
        <v>26008.635933105954</v>
      </c>
      <c r="AT254" s="281">
        <f t="shared" si="516"/>
        <v>25908.417101210649</v>
      </c>
      <c r="AU254" s="281">
        <f t="shared" si="516"/>
        <v>25797.357570731849</v>
      </c>
      <c r="AV254" s="281">
        <f t="shared" si="516"/>
        <v>25606.748912970059</v>
      </c>
      <c r="AW254" s="281">
        <f t="shared" si="516"/>
        <v>25468.497967632877</v>
      </c>
      <c r="AX254" s="281">
        <f t="shared" si="516"/>
        <v>25252.055702840516</v>
      </c>
      <c r="AY254" s="281">
        <f t="shared" si="490"/>
        <v>-97683.644297159481</v>
      </c>
      <c r="AZ254" s="281">
        <f t="shared" si="491"/>
        <v>-107731.24429715947</v>
      </c>
    </row>
    <row r="255" spans="1:52" s="229" customFormat="1" x14ac:dyDescent="0.25">
      <c r="A255" s="248"/>
      <c r="B255" s="283"/>
      <c r="C255" s="292" t="s">
        <v>723</v>
      </c>
      <c r="D255" s="293">
        <f t="shared" ref="D255:H255" si="519">D256+D266</f>
        <v>1176176.93</v>
      </c>
      <c r="E255" s="293">
        <f t="shared" si="519"/>
        <v>1993588.53</v>
      </c>
      <c r="F255" s="293">
        <f t="shared" si="519"/>
        <v>2300744.38</v>
      </c>
      <c r="G255" s="293">
        <f t="shared" si="519"/>
        <v>2155713.2600000002</v>
      </c>
      <c r="H255" s="293">
        <f t="shared" si="519"/>
        <v>2225241.9499999997</v>
      </c>
      <c r="I255" s="293">
        <f t="shared" ref="I255:O255" si="520">I256+I266</f>
        <v>2440547.6900000004</v>
      </c>
      <c r="J255" s="293">
        <f t="shared" si="520"/>
        <v>2566496.36</v>
      </c>
      <c r="K255" s="293">
        <f t="shared" si="520"/>
        <v>2772906.9699999997</v>
      </c>
      <c r="L255" s="293">
        <f t="shared" si="520"/>
        <v>2494608.5299999998</v>
      </c>
      <c r="M255" s="293">
        <f t="shared" si="520"/>
        <v>2540360.9700000002</v>
      </c>
      <c r="N255" s="293">
        <f t="shared" si="520"/>
        <v>4669292.2200000007</v>
      </c>
      <c r="O255" s="293">
        <f t="shared" si="520"/>
        <v>2820958.8099999996</v>
      </c>
      <c r="P255" s="293">
        <f t="shared" ref="P255:Q255" si="521">P256+P266</f>
        <v>3028981.78</v>
      </c>
      <c r="Q255" s="293">
        <f t="shared" si="521"/>
        <v>3174782.21</v>
      </c>
      <c r="R255" s="293">
        <f t="shared" ref="R255" si="522">R256+R266</f>
        <v>3340520.9100000006</v>
      </c>
      <c r="S255" s="293">
        <f t="shared" ref="S255" si="523">S256+S266</f>
        <v>3692683.6199999996</v>
      </c>
      <c r="T255" s="293">
        <f t="shared" ref="T255" si="524">T256+T266</f>
        <v>2945430.3200000003</v>
      </c>
      <c r="U255" s="293">
        <f t="shared" ref="U255" si="525">U256+U266</f>
        <v>3414286.9099999997</v>
      </c>
      <c r="V255" s="293">
        <f t="shared" ref="V255" si="526">V256+V266</f>
        <v>3409324.6800000006</v>
      </c>
      <c r="W255" s="293">
        <f t="shared" ref="W255:AS255" si="527">W256+W266</f>
        <v>3441448.4999999995</v>
      </c>
      <c r="X255" s="293">
        <f t="shared" si="527"/>
        <v>4104017.37</v>
      </c>
      <c r="Y255" s="293">
        <f t="shared" si="527"/>
        <v>3994963.4499999997</v>
      </c>
      <c r="Z255" s="293">
        <f t="shared" si="527"/>
        <v>4147478.2700000005</v>
      </c>
      <c r="AA255" s="293">
        <f t="shared" si="527"/>
        <v>1356529.1899999997</v>
      </c>
      <c r="AB255" s="293">
        <f t="shared" si="527"/>
        <v>916809.92000000016</v>
      </c>
      <c r="AC255" s="293">
        <f t="shared" ref="AC255:AL255" si="528">AC256+AC266</f>
        <v>762053.45</v>
      </c>
      <c r="AD255" s="293">
        <f t="shared" si="528"/>
        <v>844968.48</v>
      </c>
      <c r="AE255" s="293">
        <f t="shared" si="528"/>
        <v>848135.67</v>
      </c>
      <c r="AF255" s="293">
        <f t="shared" si="528"/>
        <v>723786.02</v>
      </c>
      <c r="AG255" s="293">
        <f t="shared" si="528"/>
        <v>565423.17000000004</v>
      </c>
      <c r="AH255" s="293">
        <f t="shared" si="528"/>
        <v>655764.45000000007</v>
      </c>
      <c r="AI255" s="293">
        <f t="shared" si="528"/>
        <v>743991.02999999991</v>
      </c>
      <c r="AJ255" s="293">
        <f t="shared" si="528"/>
        <v>787875.30999999994</v>
      </c>
      <c r="AK255" s="293">
        <f t="shared" si="528"/>
        <v>719079.41</v>
      </c>
      <c r="AL255" s="293">
        <f t="shared" si="528"/>
        <v>835912.40000000014</v>
      </c>
      <c r="AM255" s="293">
        <f t="shared" si="527"/>
        <v>1346513.0527212759</v>
      </c>
      <c r="AN255" s="293">
        <f t="shared" si="527"/>
        <v>1447387.0855856985</v>
      </c>
      <c r="AO255" s="293">
        <f t="shared" si="527"/>
        <v>1543836.6146828549</v>
      </c>
      <c r="AP255" s="293">
        <f t="shared" si="527"/>
        <v>1633344.75943054</v>
      </c>
      <c r="AQ255" s="293">
        <f t="shared" si="527"/>
        <v>1725954.1859317434</v>
      </c>
      <c r="AR255" s="293">
        <f t="shared" si="527"/>
        <v>1817413.7918978317</v>
      </c>
      <c r="AS255" s="293">
        <f t="shared" si="527"/>
        <v>1906557.3121525778</v>
      </c>
      <c r="AT255" s="293">
        <f t="shared" ref="AT255" si="529">AT256+AT266</f>
        <v>1993715.2317539845</v>
      </c>
      <c r="AU255" s="293">
        <f t="shared" ref="AU255" si="530">AU256+AU266</f>
        <v>2078551.7484074738</v>
      </c>
      <c r="AV255" s="293">
        <f t="shared" ref="AV255" si="531">AV256+AV266</f>
        <v>2159887.8447499555</v>
      </c>
      <c r="AW255" s="293">
        <f t="shared" ref="AW255" si="532">AW256+AW266</f>
        <v>2240783.9994682278</v>
      </c>
      <c r="AX255" s="293">
        <f t="shared" ref="AX255" si="533">AX256+AX266</f>
        <v>2319563.9076514873</v>
      </c>
      <c r="AY255" s="293">
        <f t="shared" si="490"/>
        <v>-1089760.7723485134</v>
      </c>
      <c r="AZ255" s="293">
        <f t="shared" si="491"/>
        <v>-709417.87234851252</v>
      </c>
    </row>
    <row r="256" spans="1:52" x14ac:dyDescent="0.25">
      <c r="B256" s="283"/>
      <c r="C256" s="296" t="s">
        <v>724</v>
      </c>
      <c r="D256" s="281">
        <f t="shared" ref="D256" si="534">SUM(D258:D265)</f>
        <v>957293.61</v>
      </c>
      <c r="E256" s="281">
        <f t="shared" ref="E256:H256" si="535">SUM(E258:E265)</f>
        <v>1708288.7</v>
      </c>
      <c r="F256" s="281">
        <f t="shared" si="535"/>
        <v>1989400.7099999997</v>
      </c>
      <c r="G256" s="281">
        <f t="shared" si="535"/>
        <v>1812631.11</v>
      </c>
      <c r="H256" s="281">
        <f t="shared" si="535"/>
        <v>1860501.5299999998</v>
      </c>
      <c r="I256" s="281">
        <f t="shared" ref="I256:O256" si="536">SUM(I258:I265)</f>
        <v>2039169.5000000002</v>
      </c>
      <c r="J256" s="281">
        <f t="shared" si="536"/>
        <v>2124582.69</v>
      </c>
      <c r="K256" s="281">
        <f t="shared" si="536"/>
        <v>2284505.84</v>
      </c>
      <c r="L256" s="281">
        <f t="shared" si="536"/>
        <v>1990982.41</v>
      </c>
      <c r="M256" s="281">
        <f t="shared" si="536"/>
        <v>1988045.9800000002</v>
      </c>
      <c r="N256" s="281">
        <f t="shared" si="536"/>
        <v>3946971.6700000004</v>
      </c>
      <c r="O256" s="281">
        <f t="shared" si="536"/>
        <v>2234928.86</v>
      </c>
      <c r="P256" s="281">
        <f t="shared" ref="P256:U256" si="537">SUM(P257:P265)</f>
        <v>2391817.3899999997</v>
      </c>
      <c r="Q256" s="281">
        <f t="shared" si="537"/>
        <v>2491900.4</v>
      </c>
      <c r="R256" s="281">
        <f t="shared" si="537"/>
        <v>2623631.8200000008</v>
      </c>
      <c r="S256" s="281">
        <f t="shared" si="537"/>
        <v>2913605.0199999996</v>
      </c>
      <c r="T256" s="281">
        <f t="shared" si="537"/>
        <v>2135706.06</v>
      </c>
      <c r="U256" s="281">
        <f t="shared" si="537"/>
        <v>2536222.7199999997</v>
      </c>
      <c r="V256" s="281">
        <f>SUM(V257:V265)</f>
        <v>2480866.5400000005</v>
      </c>
      <c r="W256" s="281">
        <f t="shared" ref="W256:AX256" si="538">SUM(W257:W265)</f>
        <v>2471513.8799999994</v>
      </c>
      <c r="X256" s="281">
        <f t="shared" ref="X256:AS256" si="539">SUM(X257:X265)</f>
        <v>3076215.8200000003</v>
      </c>
      <c r="Y256" s="281">
        <f t="shared" si="539"/>
        <v>2932157.3</v>
      </c>
      <c r="Z256" s="281">
        <f t="shared" si="539"/>
        <v>3053451.2900000005</v>
      </c>
      <c r="AA256" s="281">
        <f t="shared" si="539"/>
        <v>1271722.5099999998</v>
      </c>
      <c r="AB256" s="281">
        <f t="shared" si="539"/>
        <v>841547.3600000001</v>
      </c>
      <c r="AC256" s="281">
        <f t="shared" ref="AC256:AL256" si="540">SUM(AC257:AC265)</f>
        <v>694791.69</v>
      </c>
      <c r="AD256" s="281">
        <f t="shared" si="540"/>
        <v>784556.51</v>
      </c>
      <c r="AE256" s="281">
        <f t="shared" si="540"/>
        <v>790274.34000000008</v>
      </c>
      <c r="AF256" s="281">
        <f t="shared" si="540"/>
        <v>669085.93000000005</v>
      </c>
      <c r="AG256" s="281">
        <f t="shared" si="540"/>
        <v>513513.16000000003</v>
      </c>
      <c r="AH256" s="281">
        <f t="shared" si="540"/>
        <v>603112.31000000006</v>
      </c>
      <c r="AI256" s="281">
        <f t="shared" si="540"/>
        <v>688046.03999999992</v>
      </c>
      <c r="AJ256" s="281">
        <f t="shared" si="540"/>
        <v>725921.6</v>
      </c>
      <c r="AK256" s="281">
        <f t="shared" si="540"/>
        <v>659782.81000000006</v>
      </c>
      <c r="AL256" s="281">
        <f t="shared" si="540"/>
        <v>777761.17000000016</v>
      </c>
      <c r="AM256" s="281">
        <f t="shared" si="539"/>
        <v>998941.73176485638</v>
      </c>
      <c r="AN256" s="281">
        <f t="shared" si="539"/>
        <v>1068551.8882741069</v>
      </c>
      <c r="AO256" s="281">
        <f t="shared" si="539"/>
        <v>1134943.7773949758</v>
      </c>
      <c r="AP256" s="281">
        <f t="shared" si="539"/>
        <v>1197045.7533460523</v>
      </c>
      <c r="AQ256" s="281">
        <f t="shared" si="539"/>
        <v>1260863.208042457</v>
      </c>
      <c r="AR256" s="281">
        <f t="shared" si="539"/>
        <v>1323934.2010897778</v>
      </c>
      <c r="AS256" s="281">
        <f t="shared" si="539"/>
        <v>1385344.5252386578</v>
      </c>
      <c r="AT256" s="281">
        <f t="shared" si="538"/>
        <v>1445399.5712068437</v>
      </c>
      <c r="AU256" s="281">
        <f t="shared" si="538"/>
        <v>1503812.728735192</v>
      </c>
      <c r="AV256" s="281">
        <f t="shared" si="538"/>
        <v>1559894.3640093508</v>
      </c>
      <c r="AW256" s="281">
        <f t="shared" si="538"/>
        <v>1615680.1897041544</v>
      </c>
      <c r="AX256" s="281">
        <f t="shared" si="538"/>
        <v>1669945.9767667707</v>
      </c>
      <c r="AY256" s="281">
        <f t="shared" si="490"/>
        <v>-810920.5632332298</v>
      </c>
      <c r="AZ256" s="281">
        <f t="shared" si="491"/>
        <v>-721871.41323322896</v>
      </c>
    </row>
    <row r="257" spans="2:52" x14ac:dyDescent="0.25">
      <c r="B257" s="294">
        <f t="shared" ref="B257:AX257" si="541">B61</f>
        <v>1425</v>
      </c>
      <c r="C257" s="297" t="str">
        <f t="shared" si="541"/>
        <v>CARTERA DE CRÉDITOS PRODUCTIVO QUE NO DEVENGA INTERESES</v>
      </c>
      <c r="D257" s="281">
        <f t="shared" si="541"/>
        <v>61207.519999999997</v>
      </c>
      <c r="E257" s="281">
        <f t="shared" si="541"/>
        <v>56762.77</v>
      </c>
      <c r="F257" s="281">
        <f t="shared" si="541"/>
        <v>56762.77</v>
      </c>
      <c r="G257" s="281">
        <f t="shared" si="541"/>
        <v>52229.42</v>
      </c>
      <c r="H257" s="281">
        <f t="shared" si="541"/>
        <v>49934.69</v>
      </c>
      <c r="I257" s="281">
        <f t="shared" si="541"/>
        <v>47634.83</v>
      </c>
      <c r="J257" s="281">
        <f t="shared" si="541"/>
        <v>45302.73</v>
      </c>
      <c r="K257" s="281">
        <f t="shared" si="541"/>
        <v>42963.94</v>
      </c>
      <c r="L257" s="281">
        <f t="shared" si="541"/>
        <v>40593.85</v>
      </c>
      <c r="M257" s="281">
        <f t="shared" si="541"/>
        <v>38215.49</v>
      </c>
      <c r="N257" s="281">
        <f t="shared" si="541"/>
        <v>60992.55</v>
      </c>
      <c r="O257" s="281">
        <f t="shared" si="541"/>
        <v>33388.92</v>
      </c>
      <c r="P257" s="281">
        <f t="shared" si="541"/>
        <v>55185.63</v>
      </c>
      <c r="Q257" s="281">
        <f t="shared" si="541"/>
        <v>52245.08</v>
      </c>
      <c r="R257" s="281">
        <f t="shared" si="541"/>
        <v>28482.21</v>
      </c>
      <c r="S257" s="281">
        <f t="shared" si="541"/>
        <v>46284.39</v>
      </c>
      <c r="T257" s="281">
        <f t="shared" si="541"/>
        <v>83840.649999999994</v>
      </c>
      <c r="U257" s="281">
        <f t="shared" si="541"/>
        <v>51341.599999999999</v>
      </c>
      <c r="V257" s="281">
        <f t="shared" si="541"/>
        <v>26695.99</v>
      </c>
      <c r="W257" s="281">
        <f t="shared" si="541"/>
        <v>44647.41</v>
      </c>
      <c r="X257" s="281">
        <f t="shared" ref="X257:AS257" si="542">X61</f>
        <v>51366.04</v>
      </c>
      <c r="Y257" s="281">
        <f t="shared" si="542"/>
        <v>28326.03</v>
      </c>
      <c r="Z257" s="281">
        <f t="shared" si="542"/>
        <v>24645.21</v>
      </c>
      <c r="AA257" s="281">
        <f t="shared" si="542"/>
        <v>0</v>
      </c>
      <c r="AB257" s="281">
        <f t="shared" si="542"/>
        <v>0</v>
      </c>
      <c r="AC257" s="281">
        <f t="shared" ref="AC257:AL257" si="543">AC61</f>
        <v>67647.22</v>
      </c>
      <c r="AD257" s="281">
        <f t="shared" si="543"/>
        <v>0</v>
      </c>
      <c r="AE257" s="281">
        <f t="shared" si="543"/>
        <v>9254.51</v>
      </c>
      <c r="AF257" s="281">
        <f t="shared" si="543"/>
        <v>0</v>
      </c>
      <c r="AG257" s="281">
        <f t="shared" si="543"/>
        <v>0</v>
      </c>
      <c r="AH257" s="281">
        <f t="shared" si="543"/>
        <v>0</v>
      </c>
      <c r="AI257" s="281">
        <f t="shared" si="543"/>
        <v>0</v>
      </c>
      <c r="AJ257" s="281">
        <f t="shared" si="543"/>
        <v>9272.61</v>
      </c>
      <c r="AK257" s="281">
        <f t="shared" si="543"/>
        <v>0</v>
      </c>
      <c r="AL257" s="281">
        <f t="shared" si="543"/>
        <v>0</v>
      </c>
      <c r="AM257" s="281">
        <f t="shared" si="542"/>
        <v>5386.5559671122764</v>
      </c>
      <c r="AN257" s="281">
        <f t="shared" si="542"/>
        <v>5386.2238292208767</v>
      </c>
      <c r="AO257" s="281">
        <f t="shared" si="542"/>
        <v>5379.337466268662</v>
      </c>
      <c r="AP257" s="281">
        <f t="shared" si="542"/>
        <v>5372.208552880712</v>
      </c>
      <c r="AQ257" s="281">
        <f t="shared" si="542"/>
        <v>5369.2272730550603</v>
      </c>
      <c r="AR257" s="281">
        <f t="shared" si="542"/>
        <v>5365.4118541522221</v>
      </c>
      <c r="AS257" s="281">
        <f t="shared" si="542"/>
        <v>5369.9964052865262</v>
      </c>
      <c r="AT257" s="281">
        <f t="shared" si="541"/>
        <v>5373.6292365887475</v>
      </c>
      <c r="AU257" s="281">
        <f t="shared" si="541"/>
        <v>5374.6922727274205</v>
      </c>
      <c r="AV257" s="281">
        <f t="shared" si="541"/>
        <v>5384.254854058202</v>
      </c>
      <c r="AW257" s="281">
        <f t="shared" si="541"/>
        <v>5396.8731758726826</v>
      </c>
      <c r="AX257" s="281">
        <f t="shared" si="541"/>
        <v>5392.9352874851975</v>
      </c>
      <c r="AY257" s="281">
        <f t="shared" si="490"/>
        <v>-21303.054712514804</v>
      </c>
      <c r="AZ257" s="281">
        <f t="shared" si="491"/>
        <v>-49792.6947125148</v>
      </c>
    </row>
    <row r="258" spans="2:52" x14ac:dyDescent="0.25">
      <c r="B258" s="294">
        <f t="shared" ref="B258:AX258" si="544">B62</f>
        <v>1426</v>
      </c>
      <c r="C258" s="297" t="str">
        <f t="shared" si="544"/>
        <v>CARTERA DE CRÉDITOS CONSUMO QUE NO DEVENGA INTERESES</v>
      </c>
      <c r="D258" s="281">
        <f t="shared" si="544"/>
        <v>720126.37</v>
      </c>
      <c r="E258" s="281">
        <f t="shared" si="544"/>
        <v>1263863.99</v>
      </c>
      <c r="F258" s="281">
        <f t="shared" si="544"/>
        <v>1417129.89</v>
      </c>
      <c r="G258" s="281">
        <f t="shared" si="544"/>
        <v>1317581.8400000001</v>
      </c>
      <c r="H258" s="281">
        <f t="shared" si="544"/>
        <v>1257748</v>
      </c>
      <c r="I258" s="281">
        <f t="shared" si="544"/>
        <v>1334641.0900000001</v>
      </c>
      <c r="J258" s="281">
        <f t="shared" si="544"/>
        <v>1325151.57</v>
      </c>
      <c r="K258" s="281">
        <f t="shared" si="544"/>
        <v>1337626.4099999999</v>
      </c>
      <c r="L258" s="281">
        <f t="shared" si="544"/>
        <v>1175593.82</v>
      </c>
      <c r="M258" s="281">
        <f t="shared" si="544"/>
        <v>1239264.6000000001</v>
      </c>
      <c r="N258" s="281">
        <f t="shared" si="544"/>
        <v>3107586.58</v>
      </c>
      <c r="O258" s="281">
        <f t="shared" si="544"/>
        <v>1292095.8899999999</v>
      </c>
      <c r="P258" s="281">
        <f t="shared" si="544"/>
        <v>1257856.43</v>
      </c>
      <c r="Q258" s="281">
        <f t="shared" si="544"/>
        <v>1267284.3799999999</v>
      </c>
      <c r="R258" s="281">
        <f t="shared" si="544"/>
        <v>1402547.24</v>
      </c>
      <c r="S258" s="281">
        <f t="shared" si="544"/>
        <v>1558335.35</v>
      </c>
      <c r="T258" s="281">
        <f t="shared" si="544"/>
        <v>1033212.31</v>
      </c>
      <c r="U258" s="281">
        <f t="shared" si="544"/>
        <v>1179102.3400000001</v>
      </c>
      <c r="V258" s="281">
        <f t="shared" si="544"/>
        <v>1244410.81</v>
      </c>
      <c r="W258" s="281">
        <f t="shared" si="544"/>
        <v>1105785.08</v>
      </c>
      <c r="X258" s="281">
        <f t="shared" ref="X258:AS258" si="545">X62</f>
        <v>1364010.26</v>
      </c>
      <c r="Y258" s="281">
        <f t="shared" si="545"/>
        <v>1266527</v>
      </c>
      <c r="Z258" s="281">
        <f t="shared" si="545"/>
        <v>1429252.6</v>
      </c>
      <c r="AA258" s="281">
        <f t="shared" si="545"/>
        <v>637091.72</v>
      </c>
      <c r="AB258" s="281">
        <f t="shared" si="545"/>
        <v>354003.72</v>
      </c>
      <c r="AC258" s="281">
        <f t="shared" ref="AC258:AL258" si="546">AC62</f>
        <v>253248.33</v>
      </c>
      <c r="AD258" s="281">
        <f t="shared" si="546"/>
        <v>374599.78</v>
      </c>
      <c r="AE258" s="281">
        <f t="shared" si="546"/>
        <v>346967.77</v>
      </c>
      <c r="AF258" s="281">
        <f t="shared" si="546"/>
        <v>406888.42</v>
      </c>
      <c r="AG258" s="281">
        <f t="shared" si="546"/>
        <v>301091.19</v>
      </c>
      <c r="AH258" s="281">
        <f t="shared" si="546"/>
        <v>301560.53000000003</v>
      </c>
      <c r="AI258" s="281">
        <f t="shared" si="546"/>
        <v>342591.59</v>
      </c>
      <c r="AJ258" s="281">
        <f t="shared" si="546"/>
        <v>309941.43</v>
      </c>
      <c r="AK258" s="281">
        <f t="shared" si="546"/>
        <v>326390.56</v>
      </c>
      <c r="AL258" s="281">
        <f t="shared" si="546"/>
        <v>525323.29</v>
      </c>
      <c r="AM258" s="281">
        <f t="shared" si="545"/>
        <v>414865.39999660611</v>
      </c>
      <c r="AN258" s="281">
        <f t="shared" si="545"/>
        <v>457301.31046973966</v>
      </c>
      <c r="AO258" s="281">
        <f t="shared" si="545"/>
        <v>498156.37189794378</v>
      </c>
      <c r="AP258" s="281">
        <f t="shared" si="545"/>
        <v>534700.51017885737</v>
      </c>
      <c r="AQ258" s="281">
        <f t="shared" si="545"/>
        <v>573737.77457251865</v>
      </c>
      <c r="AR258" s="281">
        <f t="shared" si="545"/>
        <v>612144.97724371287</v>
      </c>
      <c r="AS258" s="281">
        <f t="shared" si="545"/>
        <v>649669.70911324187</v>
      </c>
      <c r="AT258" s="281">
        <f t="shared" si="544"/>
        <v>686302.19879284012</v>
      </c>
      <c r="AU258" s="281">
        <f t="shared" si="544"/>
        <v>722051.77098656574</v>
      </c>
      <c r="AV258" s="281">
        <f t="shared" si="544"/>
        <v>755979.79274014756</v>
      </c>
      <c r="AW258" s="281">
        <f t="shared" si="544"/>
        <v>789719.40901064419</v>
      </c>
      <c r="AX258" s="281">
        <f t="shared" si="544"/>
        <v>822728.36173248547</v>
      </c>
      <c r="AY258" s="281">
        <f t="shared" si="490"/>
        <v>-421682.44826751458</v>
      </c>
      <c r="AZ258" s="281">
        <f t="shared" si="491"/>
        <v>-435128.06826751446</v>
      </c>
    </row>
    <row r="259" spans="2:52" x14ac:dyDescent="0.25">
      <c r="B259" s="294">
        <f t="shared" ref="B259:AX259" si="547">B63</f>
        <v>1428</v>
      </c>
      <c r="C259" s="297" t="str">
        <f t="shared" si="547"/>
        <v>CARTERA DE MICROCRÉDITO QUE NO DEVENGA INTERESES</v>
      </c>
      <c r="D259" s="281">
        <f t="shared" si="547"/>
        <v>129973.64</v>
      </c>
      <c r="E259" s="281">
        <f t="shared" si="547"/>
        <v>286430.26</v>
      </c>
      <c r="F259" s="281">
        <f t="shared" si="547"/>
        <v>441081.7</v>
      </c>
      <c r="G259" s="281">
        <f t="shared" si="547"/>
        <v>347559.75</v>
      </c>
      <c r="H259" s="281">
        <f t="shared" si="547"/>
        <v>491274.13</v>
      </c>
      <c r="I259" s="281">
        <f t="shared" si="547"/>
        <v>579062.61</v>
      </c>
      <c r="J259" s="281">
        <f t="shared" si="547"/>
        <v>716437.08</v>
      </c>
      <c r="K259" s="281">
        <f t="shared" si="547"/>
        <v>839452.84</v>
      </c>
      <c r="L259" s="281">
        <f t="shared" si="547"/>
        <v>683775.62</v>
      </c>
      <c r="M259" s="281">
        <f t="shared" si="547"/>
        <v>644747.39</v>
      </c>
      <c r="N259" s="281">
        <f t="shared" si="547"/>
        <v>749282.91</v>
      </c>
      <c r="O259" s="281">
        <f t="shared" si="547"/>
        <v>837335.04000000004</v>
      </c>
      <c r="P259" s="281">
        <f t="shared" si="547"/>
        <v>810672.57</v>
      </c>
      <c r="Q259" s="281">
        <f t="shared" si="547"/>
        <v>869923.52</v>
      </c>
      <c r="R259" s="281">
        <f t="shared" si="547"/>
        <v>906482.42</v>
      </c>
      <c r="S259" s="281">
        <f t="shared" si="547"/>
        <v>987704.9</v>
      </c>
      <c r="T259" s="281">
        <f t="shared" si="547"/>
        <v>734216.33</v>
      </c>
      <c r="U259" s="281">
        <f t="shared" si="547"/>
        <v>949010.07</v>
      </c>
      <c r="V259" s="281">
        <f t="shared" si="547"/>
        <v>828137.98</v>
      </c>
      <c r="W259" s="281">
        <f t="shared" si="547"/>
        <v>840483.32</v>
      </c>
      <c r="X259" s="281">
        <f t="shared" ref="X259:AS259" si="548">X63</f>
        <v>1211445.82</v>
      </c>
      <c r="Y259" s="281">
        <f t="shared" si="548"/>
        <v>1123003.99</v>
      </c>
      <c r="Z259" s="281">
        <f t="shared" si="548"/>
        <v>1142092.6200000001</v>
      </c>
      <c r="AA259" s="281">
        <f t="shared" si="548"/>
        <v>514018.41</v>
      </c>
      <c r="AB259" s="281">
        <f t="shared" si="548"/>
        <v>346511.06</v>
      </c>
      <c r="AC259" s="281">
        <f t="shared" ref="AC259:AL259" si="549">AC63</f>
        <v>245823.24</v>
      </c>
      <c r="AD259" s="281">
        <f t="shared" si="549"/>
        <v>337969.48</v>
      </c>
      <c r="AE259" s="281">
        <f t="shared" si="549"/>
        <v>296952.82</v>
      </c>
      <c r="AF259" s="281">
        <f t="shared" si="549"/>
        <v>183124.62</v>
      </c>
      <c r="AG259" s="281">
        <f t="shared" si="549"/>
        <v>126781.66</v>
      </c>
      <c r="AH259" s="281">
        <f t="shared" si="549"/>
        <v>204296.33</v>
      </c>
      <c r="AI259" s="281">
        <f t="shared" si="549"/>
        <v>253408.33</v>
      </c>
      <c r="AJ259" s="281">
        <f t="shared" si="549"/>
        <v>328743.7</v>
      </c>
      <c r="AK259" s="281">
        <f t="shared" si="549"/>
        <v>279754.7</v>
      </c>
      <c r="AL259" s="281">
        <f t="shared" si="549"/>
        <v>196086.78</v>
      </c>
      <c r="AM259" s="281">
        <f t="shared" si="548"/>
        <v>287879.08157837897</v>
      </c>
      <c r="AN259" s="281">
        <f t="shared" si="548"/>
        <v>313514.4928494395</v>
      </c>
      <c r="AO259" s="281">
        <f t="shared" si="548"/>
        <v>338712.63387565932</v>
      </c>
      <c r="AP259" s="281">
        <f t="shared" si="548"/>
        <v>363606.27867352281</v>
      </c>
      <c r="AQ259" s="281">
        <f t="shared" si="548"/>
        <v>388140.07116270519</v>
      </c>
      <c r="AR259" s="281">
        <f t="shared" si="548"/>
        <v>412532.74206679064</v>
      </c>
      <c r="AS259" s="281">
        <f t="shared" si="548"/>
        <v>436556.58707707829</v>
      </c>
      <c r="AT259" s="281">
        <f t="shared" si="547"/>
        <v>460259.17036413768</v>
      </c>
      <c r="AU259" s="281">
        <f t="shared" si="547"/>
        <v>483353.2574552102</v>
      </c>
      <c r="AV259" s="281">
        <f t="shared" si="547"/>
        <v>506341.40154589619</v>
      </c>
      <c r="AW259" s="281">
        <f t="shared" si="547"/>
        <v>529016.54008817009</v>
      </c>
      <c r="AX259" s="281">
        <f t="shared" si="547"/>
        <v>551324.17504825175</v>
      </c>
      <c r="AY259" s="281">
        <f t="shared" si="490"/>
        <v>-276813.80495174823</v>
      </c>
      <c r="AZ259" s="281">
        <f t="shared" si="491"/>
        <v>-259348.3949517482</v>
      </c>
    </row>
    <row r="260" spans="2:52" x14ac:dyDescent="0.25">
      <c r="B260" s="298">
        <f t="shared" ref="B260:C263" si="550">B64</f>
        <v>1434</v>
      </c>
      <c r="C260" s="297" t="str">
        <f t="shared" si="550"/>
        <v>CARTERA DE CRÉDITOS CONSUMO REFINANCIADA QUE NO DEVENGA INTERESES</v>
      </c>
      <c r="D260" s="282"/>
      <c r="E260" s="282"/>
      <c r="F260" s="282"/>
      <c r="G260" s="282"/>
      <c r="H260" s="282"/>
      <c r="I260" s="282"/>
      <c r="J260" s="282"/>
      <c r="K260" s="282"/>
      <c r="L260" s="282"/>
      <c r="M260" s="282"/>
      <c r="N260" s="282"/>
      <c r="O260" s="282"/>
      <c r="P260" s="281">
        <f t="shared" ref="P260:AX260" si="551">P64</f>
        <v>68138.960000000006</v>
      </c>
      <c r="Q260" s="281">
        <f t="shared" si="551"/>
        <v>56200.45</v>
      </c>
      <c r="R260" s="281">
        <f t="shared" si="551"/>
        <v>72084.639999999999</v>
      </c>
      <c r="S260" s="281">
        <f t="shared" si="551"/>
        <v>48936.25</v>
      </c>
      <c r="T260" s="281">
        <f t="shared" si="551"/>
        <v>48137.440000000002</v>
      </c>
      <c r="U260" s="281">
        <f t="shared" si="551"/>
        <v>89951.3</v>
      </c>
      <c r="V260" s="281">
        <f t="shared" si="551"/>
        <v>137358.14000000001</v>
      </c>
      <c r="W260" s="281">
        <f t="shared" si="551"/>
        <v>157247.29999999999</v>
      </c>
      <c r="X260" s="281">
        <f t="shared" ref="X260:AS260" si="552">X64</f>
        <v>93605.53</v>
      </c>
      <c r="Y260" s="281">
        <f t="shared" si="552"/>
        <v>127380.21</v>
      </c>
      <c r="Z260" s="281">
        <f t="shared" si="552"/>
        <v>124802.04</v>
      </c>
      <c r="AA260" s="281">
        <f t="shared" si="552"/>
        <v>9158</v>
      </c>
      <c r="AB260" s="281">
        <f t="shared" si="552"/>
        <v>4680.9799999999996</v>
      </c>
      <c r="AC260" s="281">
        <f t="shared" ref="AC260:AL260" si="553">AC64</f>
        <v>15614.36</v>
      </c>
      <c r="AD260" s="281">
        <f t="shared" si="553"/>
        <v>4388.49</v>
      </c>
      <c r="AE260" s="281">
        <f t="shared" si="553"/>
        <v>39614.959999999999</v>
      </c>
      <c r="AF260" s="281">
        <f t="shared" si="553"/>
        <v>12209.27</v>
      </c>
      <c r="AG260" s="281">
        <f t="shared" si="553"/>
        <v>11896.75</v>
      </c>
      <c r="AH260" s="281">
        <f t="shared" si="553"/>
        <v>34815.03</v>
      </c>
      <c r="AI260" s="281">
        <f t="shared" si="553"/>
        <v>0</v>
      </c>
      <c r="AJ260" s="281">
        <f t="shared" si="553"/>
        <v>7855.36</v>
      </c>
      <c r="AK260" s="281">
        <f t="shared" si="553"/>
        <v>0</v>
      </c>
      <c r="AL260" s="281">
        <f t="shared" si="553"/>
        <v>0</v>
      </c>
      <c r="AM260" s="281">
        <f t="shared" si="552"/>
        <v>148900.74602175382</v>
      </c>
      <c r="AN260" s="281">
        <f t="shared" si="552"/>
        <v>149440.91909611714</v>
      </c>
      <c r="AO260" s="281">
        <f t="shared" si="552"/>
        <v>149549.54652797926</v>
      </c>
      <c r="AP260" s="281">
        <f t="shared" si="552"/>
        <v>149865.41365255931</v>
      </c>
      <c r="AQ260" s="281">
        <f t="shared" si="552"/>
        <v>150049.6661977694</v>
      </c>
      <c r="AR260" s="281">
        <f t="shared" si="552"/>
        <v>150208.16463950646</v>
      </c>
      <c r="AS260" s="281">
        <f t="shared" si="552"/>
        <v>150236.34155712122</v>
      </c>
      <c r="AT260" s="281">
        <f t="shared" si="551"/>
        <v>150235.60392605461</v>
      </c>
      <c r="AU260" s="281">
        <f t="shared" si="551"/>
        <v>150154.88729403191</v>
      </c>
      <c r="AV260" s="281">
        <f t="shared" si="551"/>
        <v>149945.87053939074</v>
      </c>
      <c r="AW260" s="281">
        <f t="shared" si="551"/>
        <v>149774.28612542644</v>
      </c>
      <c r="AX260" s="281">
        <f t="shared" si="551"/>
        <v>149476.70855341706</v>
      </c>
      <c r="AY260" s="281">
        <f t="shared" si="490"/>
        <v>12118.568553417048</v>
      </c>
      <c r="AZ260" s="281">
        <f t="shared" si="491"/>
        <v>81337.748553417056</v>
      </c>
    </row>
    <row r="261" spans="2:52" x14ac:dyDescent="0.25">
      <c r="B261" s="298">
        <f t="shared" si="550"/>
        <v>1436</v>
      </c>
      <c r="C261" s="297" t="str">
        <f t="shared" si="550"/>
        <v>CARTERA DE MICROCRÉDITO REFINANCIADA QUE NO DEVENGA INTERESES</v>
      </c>
      <c r="D261" s="282"/>
      <c r="E261" s="282"/>
      <c r="F261" s="282"/>
      <c r="G261" s="282"/>
      <c r="H261" s="282"/>
      <c r="I261" s="282"/>
      <c r="J261" s="282"/>
      <c r="K261" s="282"/>
      <c r="L261" s="282"/>
      <c r="M261" s="282"/>
      <c r="N261" s="282"/>
      <c r="O261" s="282"/>
      <c r="P261" s="281">
        <f t="shared" ref="P261:AX261" si="554">P65</f>
        <v>50769.61</v>
      </c>
      <c r="Q261" s="281">
        <f t="shared" si="554"/>
        <v>72369.5</v>
      </c>
      <c r="R261" s="281">
        <f t="shared" si="554"/>
        <v>33103.74</v>
      </c>
      <c r="S261" s="281">
        <f t="shared" si="554"/>
        <v>45798.28</v>
      </c>
      <c r="T261" s="281">
        <f t="shared" si="554"/>
        <v>63407.31</v>
      </c>
      <c r="U261" s="281">
        <f t="shared" si="554"/>
        <v>47233.82</v>
      </c>
      <c r="V261" s="281">
        <f t="shared" si="554"/>
        <v>59447.839999999997</v>
      </c>
      <c r="W261" s="281">
        <f t="shared" si="554"/>
        <v>66801.759999999995</v>
      </c>
      <c r="X261" s="281">
        <f t="shared" ref="X261:AS261" si="555">X65</f>
        <v>73468</v>
      </c>
      <c r="Y261" s="281">
        <f t="shared" si="555"/>
        <v>92843.75</v>
      </c>
      <c r="Z261" s="281">
        <f t="shared" si="555"/>
        <v>69489.39</v>
      </c>
      <c r="AA261" s="281">
        <f t="shared" si="555"/>
        <v>12377.46</v>
      </c>
      <c r="AB261" s="281">
        <f t="shared" si="555"/>
        <v>3292.93</v>
      </c>
      <c r="AC261" s="281">
        <f t="shared" ref="AC261:AL261" si="556">AC65</f>
        <v>3254.18</v>
      </c>
      <c r="AD261" s="281">
        <f t="shared" si="556"/>
        <v>3216.33</v>
      </c>
      <c r="AE261" s="281">
        <f t="shared" si="556"/>
        <v>15421.73</v>
      </c>
      <c r="AF261" s="281">
        <f t="shared" si="556"/>
        <v>3134.98</v>
      </c>
      <c r="AG261" s="281">
        <f t="shared" si="556"/>
        <v>3095.53</v>
      </c>
      <c r="AH261" s="281">
        <f t="shared" si="556"/>
        <v>15286.29</v>
      </c>
      <c r="AI261" s="281">
        <f t="shared" si="556"/>
        <v>15103.6</v>
      </c>
      <c r="AJ261" s="281">
        <f t="shared" si="556"/>
        <v>14911.66</v>
      </c>
      <c r="AK261" s="281">
        <f t="shared" si="556"/>
        <v>14723.58</v>
      </c>
      <c r="AL261" s="281">
        <f t="shared" si="556"/>
        <v>11645.35</v>
      </c>
      <c r="AM261" s="281">
        <f t="shared" si="555"/>
        <v>63255.978955226281</v>
      </c>
      <c r="AN261" s="281">
        <f t="shared" si="555"/>
        <v>63485.4551501885</v>
      </c>
      <c r="AO261" s="281">
        <f t="shared" si="555"/>
        <v>63531.602229551187</v>
      </c>
      <c r="AP261" s="281">
        <f t="shared" si="555"/>
        <v>63665.788825111726</v>
      </c>
      <c r="AQ261" s="281">
        <f t="shared" si="555"/>
        <v>63744.062946858256</v>
      </c>
      <c r="AR261" s="281">
        <f t="shared" si="555"/>
        <v>63811.396216588757</v>
      </c>
      <c r="AS261" s="281">
        <f t="shared" si="555"/>
        <v>63823.366327923206</v>
      </c>
      <c r="AT261" s="281">
        <f t="shared" si="554"/>
        <v>63823.052967671676</v>
      </c>
      <c r="AU261" s="281">
        <f t="shared" si="554"/>
        <v>63788.762947554394</v>
      </c>
      <c r="AV261" s="281">
        <f t="shared" si="554"/>
        <v>63699.968500339608</v>
      </c>
      <c r="AW261" s="281">
        <f t="shared" si="554"/>
        <v>63627.076051048687</v>
      </c>
      <c r="AX261" s="281">
        <f t="shared" si="554"/>
        <v>63500.659218793036</v>
      </c>
      <c r="AY261" s="281">
        <f t="shared" si="490"/>
        <v>4052.8192187930399</v>
      </c>
      <c r="AZ261" s="281">
        <f t="shared" si="491"/>
        <v>12731.049218793036</v>
      </c>
    </row>
    <row r="262" spans="2:52" x14ac:dyDescent="0.25">
      <c r="B262" s="298">
        <f t="shared" si="550"/>
        <v>1442</v>
      </c>
      <c r="C262" s="297" t="str">
        <f t="shared" si="550"/>
        <v>CARTERA DE CRÉDITOS CONSUMO REESTRUCTURADA QUE NO DEVENGA INTERESES</v>
      </c>
      <c r="D262" s="282"/>
      <c r="E262" s="282"/>
      <c r="F262" s="282"/>
      <c r="G262" s="282"/>
      <c r="H262" s="282"/>
      <c r="I262" s="282"/>
      <c r="J262" s="282"/>
      <c r="K262" s="282"/>
      <c r="L262" s="282"/>
      <c r="M262" s="282"/>
      <c r="N262" s="282"/>
      <c r="O262" s="282"/>
      <c r="P262" s="281">
        <f t="shared" ref="P262:AX262" si="557">P66</f>
        <v>37138.93</v>
      </c>
      <c r="Q262" s="281">
        <f t="shared" si="557"/>
        <v>86692.61</v>
      </c>
      <c r="R262" s="281">
        <f t="shared" si="557"/>
        <v>98654.47</v>
      </c>
      <c r="S262" s="281">
        <f t="shared" si="557"/>
        <v>74016.259999999995</v>
      </c>
      <c r="T262" s="281">
        <f t="shared" si="557"/>
        <v>58650.64</v>
      </c>
      <c r="U262" s="281">
        <f t="shared" si="557"/>
        <v>86397.59</v>
      </c>
      <c r="V262" s="281">
        <f t="shared" si="557"/>
        <v>85186.559999999998</v>
      </c>
      <c r="W262" s="281">
        <f t="shared" si="557"/>
        <v>77444.13</v>
      </c>
      <c r="X262" s="281">
        <f t="shared" ref="X262:AS262" si="558">X66</f>
        <v>98618.39</v>
      </c>
      <c r="Y262" s="281">
        <f t="shared" si="558"/>
        <v>113339.85</v>
      </c>
      <c r="Z262" s="281">
        <f t="shared" si="558"/>
        <v>90467.29</v>
      </c>
      <c r="AA262" s="281">
        <f t="shared" si="558"/>
        <v>20893.810000000001</v>
      </c>
      <c r="AB262" s="281">
        <f t="shared" si="558"/>
        <v>22248.41</v>
      </c>
      <c r="AC262" s="281">
        <f t="shared" ref="AC262:AL262" si="559">AC66</f>
        <v>11838.7</v>
      </c>
      <c r="AD262" s="281">
        <f t="shared" si="559"/>
        <v>13096.41</v>
      </c>
      <c r="AE262" s="281">
        <f t="shared" si="559"/>
        <v>11433.64</v>
      </c>
      <c r="AF262" s="281">
        <f t="shared" si="559"/>
        <v>2783.64</v>
      </c>
      <c r="AG262" s="281">
        <f t="shared" si="559"/>
        <v>11660.02</v>
      </c>
      <c r="AH262" s="281">
        <f t="shared" si="559"/>
        <v>2550.38</v>
      </c>
      <c r="AI262" s="281">
        <f t="shared" si="559"/>
        <v>35438.120000000003</v>
      </c>
      <c r="AJ262" s="281">
        <f t="shared" si="559"/>
        <v>17125.400000000001</v>
      </c>
      <c r="AK262" s="281">
        <f t="shared" si="559"/>
        <v>16775.77</v>
      </c>
      <c r="AL262" s="281">
        <f t="shared" si="559"/>
        <v>12188.24</v>
      </c>
      <c r="AM262" s="281">
        <f t="shared" si="558"/>
        <v>22423.347493241345</v>
      </c>
      <c r="AN262" s="281">
        <f t="shared" si="558"/>
        <v>22654.742808424642</v>
      </c>
      <c r="AO262" s="281">
        <f t="shared" si="558"/>
        <v>22712.447965329564</v>
      </c>
      <c r="AP262" s="281">
        <f t="shared" si="558"/>
        <v>22776.879289598655</v>
      </c>
      <c r="AQ262" s="281">
        <f t="shared" si="558"/>
        <v>22770.389693668192</v>
      </c>
      <c r="AR262" s="281">
        <f t="shared" si="558"/>
        <v>22783.529362524056</v>
      </c>
      <c r="AS262" s="281">
        <f t="shared" si="558"/>
        <v>22726.452662191841</v>
      </c>
      <c r="AT262" s="281">
        <f t="shared" si="557"/>
        <v>22638.881036183204</v>
      </c>
      <c r="AU262" s="281">
        <f t="shared" si="557"/>
        <v>22541.836763326937</v>
      </c>
      <c r="AV262" s="281">
        <f t="shared" si="557"/>
        <v>22375.282137057078</v>
      </c>
      <c r="AW262" s="281">
        <f t="shared" si="557"/>
        <v>22254.477894466661</v>
      </c>
      <c r="AX262" s="281">
        <f t="shared" si="557"/>
        <v>22065.349756506919</v>
      </c>
      <c r="AY262" s="281">
        <f t="shared" si="490"/>
        <v>-63121.210243493078</v>
      </c>
      <c r="AZ262" s="281">
        <f t="shared" si="491"/>
        <v>-15073.580243493081</v>
      </c>
    </row>
    <row r="263" spans="2:52" x14ac:dyDescent="0.25">
      <c r="B263" s="294">
        <f t="shared" si="550"/>
        <v>1444</v>
      </c>
      <c r="C263" s="297" t="str">
        <f t="shared" si="550"/>
        <v>CARTERA DE MICROCRÉDITO REESTRUCTURADA QUE NO DEVENGA INTERESES</v>
      </c>
      <c r="D263" s="281">
        <f t="shared" ref="D263:O263" si="560">D67</f>
        <v>2844.66</v>
      </c>
      <c r="E263" s="281">
        <f t="shared" si="560"/>
        <v>2247.66</v>
      </c>
      <c r="F263" s="281">
        <f t="shared" si="560"/>
        <v>1942.48</v>
      </c>
      <c r="G263" s="281">
        <f t="shared" si="560"/>
        <v>1632.31</v>
      </c>
      <c r="H263" s="281">
        <f t="shared" si="560"/>
        <v>1314.48</v>
      </c>
      <c r="I263" s="281">
        <f t="shared" si="560"/>
        <v>994.04</v>
      </c>
      <c r="J263" s="281">
        <f t="shared" si="560"/>
        <v>667.83</v>
      </c>
      <c r="K263" s="281">
        <f t="shared" si="560"/>
        <v>336.81</v>
      </c>
      <c r="L263" s="281">
        <f t="shared" si="560"/>
        <v>0</v>
      </c>
      <c r="M263" s="281">
        <f t="shared" si="560"/>
        <v>0</v>
      </c>
      <c r="N263" s="281">
        <f t="shared" si="560"/>
        <v>0</v>
      </c>
      <c r="O263" s="281">
        <f t="shared" si="560"/>
        <v>13454.74</v>
      </c>
      <c r="P263" s="281">
        <f t="shared" ref="P263:AX263" si="561">P67</f>
        <v>13308.11</v>
      </c>
      <c r="Q263" s="281">
        <f t="shared" si="561"/>
        <v>13153.05</v>
      </c>
      <c r="R263" s="281">
        <f t="shared" si="561"/>
        <v>0</v>
      </c>
      <c r="S263" s="281">
        <f t="shared" si="561"/>
        <v>51865.24</v>
      </c>
      <c r="T263" s="281">
        <f t="shared" si="561"/>
        <v>48261.27</v>
      </c>
      <c r="U263" s="281">
        <f t="shared" si="561"/>
        <v>35049.550000000003</v>
      </c>
      <c r="V263" s="281">
        <f t="shared" si="561"/>
        <v>34492.519999999997</v>
      </c>
      <c r="W263" s="281">
        <f t="shared" si="561"/>
        <v>89840.34</v>
      </c>
      <c r="X263" s="281">
        <f t="shared" ref="X263:AS263" si="562">X67</f>
        <v>92439.35</v>
      </c>
      <c r="Y263" s="281">
        <f t="shared" si="562"/>
        <v>107562.28</v>
      </c>
      <c r="Z263" s="281">
        <f t="shared" si="562"/>
        <v>106594.18</v>
      </c>
      <c r="AA263" s="281">
        <f t="shared" si="562"/>
        <v>58626.18</v>
      </c>
      <c r="AB263" s="281">
        <f t="shared" si="562"/>
        <v>73434.91</v>
      </c>
      <c r="AC263" s="281">
        <f t="shared" ref="AC263:AL263" si="563">AC67</f>
        <v>71792.100000000006</v>
      </c>
      <c r="AD263" s="281">
        <f t="shared" si="563"/>
        <v>40128.339999999997</v>
      </c>
      <c r="AE263" s="281">
        <f t="shared" si="563"/>
        <v>27840.65</v>
      </c>
      <c r="AF263" s="281">
        <f t="shared" si="563"/>
        <v>34770.660000000003</v>
      </c>
      <c r="AG263" s="281">
        <f t="shared" si="563"/>
        <v>42435.71</v>
      </c>
      <c r="AH263" s="281">
        <f t="shared" si="563"/>
        <v>31705.85</v>
      </c>
      <c r="AI263" s="281">
        <f t="shared" si="563"/>
        <v>31383.13</v>
      </c>
      <c r="AJ263" s="281">
        <f t="shared" si="563"/>
        <v>23139.08</v>
      </c>
      <c r="AK263" s="281">
        <f t="shared" si="563"/>
        <v>15852.28</v>
      </c>
      <c r="AL263" s="281">
        <f t="shared" si="563"/>
        <v>1538.31</v>
      </c>
      <c r="AM263" s="281">
        <f t="shared" si="562"/>
        <v>26012.574003103273</v>
      </c>
      <c r="AN263" s="281">
        <f t="shared" si="562"/>
        <v>26281.007954010522</v>
      </c>
      <c r="AO263" s="281">
        <f t="shared" si="562"/>
        <v>26347.949772791257</v>
      </c>
      <c r="AP263" s="281">
        <f t="shared" si="562"/>
        <v>26422.694392932066</v>
      </c>
      <c r="AQ263" s="281">
        <f t="shared" si="562"/>
        <v>26415.166030164535</v>
      </c>
      <c r="AR263" s="281">
        <f t="shared" si="562"/>
        <v>26430.408919683709</v>
      </c>
      <c r="AS263" s="281">
        <f t="shared" si="562"/>
        <v>26364.196152312903</v>
      </c>
      <c r="AT263" s="281">
        <f t="shared" si="561"/>
        <v>26262.607243573548</v>
      </c>
      <c r="AU263" s="281">
        <f t="shared" si="561"/>
        <v>26150.029434662014</v>
      </c>
      <c r="AV263" s="281">
        <f t="shared" si="561"/>
        <v>25956.814994101354</v>
      </c>
      <c r="AW263" s="281">
        <f t="shared" si="561"/>
        <v>25816.674040516293</v>
      </c>
      <c r="AX263" s="281">
        <f t="shared" si="561"/>
        <v>25597.272825500124</v>
      </c>
      <c r="AY263" s="281">
        <f t="shared" si="490"/>
        <v>-8895.2471744998729</v>
      </c>
      <c r="AZ263" s="281">
        <f t="shared" si="491"/>
        <v>12289.162825500123</v>
      </c>
    </row>
    <row r="264" spans="2:52" x14ac:dyDescent="0.25">
      <c r="B264" s="294">
        <f t="shared" ref="B264:AX264" si="564">B78</f>
        <v>1492</v>
      </c>
      <c r="C264" s="297" t="str">
        <f t="shared" si="564"/>
        <v>CARTERA REFINACIADA COVID 19 NO DEVENGA</v>
      </c>
      <c r="D264" s="281">
        <f t="shared" si="564"/>
        <v>5403.96</v>
      </c>
      <c r="E264" s="281">
        <f t="shared" si="564"/>
        <v>5190.71</v>
      </c>
      <c r="F264" s="281">
        <f t="shared" si="564"/>
        <v>5190.71</v>
      </c>
      <c r="G264" s="281">
        <f t="shared" si="564"/>
        <v>4967.16</v>
      </c>
      <c r="H264" s="281">
        <f t="shared" si="564"/>
        <v>4967.16</v>
      </c>
      <c r="I264" s="281">
        <f t="shared" si="564"/>
        <v>4742.03</v>
      </c>
      <c r="J264" s="281">
        <f t="shared" si="564"/>
        <v>4742.03</v>
      </c>
      <c r="K264" s="281">
        <f t="shared" si="564"/>
        <v>4510.7299999999996</v>
      </c>
      <c r="L264" s="281">
        <f t="shared" si="564"/>
        <v>4393.7</v>
      </c>
      <c r="M264" s="281">
        <f t="shared" si="564"/>
        <v>4393.7</v>
      </c>
      <c r="N264" s="281">
        <f t="shared" si="564"/>
        <v>4152.8500000000004</v>
      </c>
      <c r="O264" s="281">
        <f t="shared" si="564"/>
        <v>4152.8500000000004</v>
      </c>
      <c r="P264" s="281">
        <f t="shared" si="564"/>
        <v>9567.83</v>
      </c>
      <c r="Q264" s="281">
        <f t="shared" si="564"/>
        <v>9124.5400000000009</v>
      </c>
      <c r="R264" s="281">
        <f t="shared" si="564"/>
        <v>9124.5400000000009</v>
      </c>
      <c r="S264" s="281">
        <f t="shared" si="564"/>
        <v>9188.2999999999993</v>
      </c>
      <c r="T264" s="281">
        <f t="shared" si="564"/>
        <v>9188.2999999999993</v>
      </c>
      <c r="U264" s="281">
        <f t="shared" si="564"/>
        <v>7936.77</v>
      </c>
      <c r="V264" s="281">
        <f t="shared" si="564"/>
        <v>7936.77</v>
      </c>
      <c r="W264" s="281">
        <f t="shared" si="564"/>
        <v>6650.95</v>
      </c>
      <c r="X264" s="281">
        <f t="shared" ref="X264:AS264" si="565">X78</f>
        <v>5996.29</v>
      </c>
      <c r="Y264" s="281">
        <f t="shared" si="565"/>
        <v>5996.29</v>
      </c>
      <c r="Z264" s="281">
        <f t="shared" si="565"/>
        <v>4830.8599999999997</v>
      </c>
      <c r="AA264" s="281">
        <f t="shared" si="565"/>
        <v>0</v>
      </c>
      <c r="AB264" s="281">
        <f t="shared" si="565"/>
        <v>7726.95</v>
      </c>
      <c r="AC264" s="281">
        <f t="shared" ref="AC264:AL264" si="566">AC78</f>
        <v>1157.73</v>
      </c>
      <c r="AD264" s="281">
        <f t="shared" si="566"/>
        <v>0</v>
      </c>
      <c r="AE264" s="281">
        <f t="shared" si="566"/>
        <v>16670.740000000002</v>
      </c>
      <c r="AF264" s="281">
        <f t="shared" si="566"/>
        <v>10917.38</v>
      </c>
      <c r="AG264" s="281">
        <f t="shared" si="566"/>
        <v>5703.51</v>
      </c>
      <c r="AH264" s="281">
        <f t="shared" si="566"/>
        <v>5471.66</v>
      </c>
      <c r="AI264" s="281">
        <f t="shared" si="566"/>
        <v>4982.58</v>
      </c>
      <c r="AJ264" s="281">
        <f t="shared" si="566"/>
        <v>10229.94</v>
      </c>
      <c r="AK264" s="281">
        <f t="shared" si="566"/>
        <v>6285.92</v>
      </c>
      <c r="AL264" s="281">
        <f t="shared" si="566"/>
        <v>16622.560000000001</v>
      </c>
      <c r="AM264" s="281">
        <f t="shared" si="565"/>
        <v>6297.9231869379228</v>
      </c>
      <c r="AN264" s="281">
        <f t="shared" si="565"/>
        <v>6320.7704098087561</v>
      </c>
      <c r="AO264" s="281">
        <f t="shared" si="565"/>
        <v>6325.3649282389188</v>
      </c>
      <c r="AP264" s="281">
        <f t="shared" si="565"/>
        <v>6338.7248806974067</v>
      </c>
      <c r="AQ264" s="281">
        <f t="shared" si="565"/>
        <v>6346.5180476742971</v>
      </c>
      <c r="AR264" s="281">
        <f t="shared" si="565"/>
        <v>6353.2219161100093</v>
      </c>
      <c r="AS264" s="281">
        <f t="shared" si="565"/>
        <v>6354.4136902785322</v>
      </c>
      <c r="AT264" s="281">
        <f t="shared" si="564"/>
        <v>6354.3824913495682</v>
      </c>
      <c r="AU264" s="281">
        <f t="shared" si="564"/>
        <v>6350.9684913397032</v>
      </c>
      <c r="AV264" s="281">
        <f t="shared" si="564"/>
        <v>6342.1278944946016</v>
      </c>
      <c r="AW264" s="281">
        <f t="shared" si="564"/>
        <v>6334.8705402630449</v>
      </c>
      <c r="AX264" s="281">
        <f t="shared" si="564"/>
        <v>6322.2841648368476</v>
      </c>
      <c r="AY264" s="281">
        <f t="shared" si="490"/>
        <v>-1614.4858351631528</v>
      </c>
      <c r="AZ264" s="281">
        <f t="shared" si="491"/>
        <v>-3245.5458351631523</v>
      </c>
    </row>
    <row r="265" spans="2:52" x14ac:dyDescent="0.25">
      <c r="B265" s="294">
        <f t="shared" ref="B265:AX265" si="567">B85</f>
        <v>1495</v>
      </c>
      <c r="C265" s="297" t="str">
        <f t="shared" si="567"/>
        <v>CARTERA REESTRUCTURADA COVID 19 NO DEVENGA</v>
      </c>
      <c r="D265" s="281">
        <f t="shared" si="567"/>
        <v>98944.98</v>
      </c>
      <c r="E265" s="281">
        <f t="shared" si="567"/>
        <v>150556.07999999999</v>
      </c>
      <c r="F265" s="281">
        <f t="shared" si="567"/>
        <v>124055.93</v>
      </c>
      <c r="G265" s="281">
        <f t="shared" si="567"/>
        <v>140890.04999999999</v>
      </c>
      <c r="H265" s="281">
        <f t="shared" si="567"/>
        <v>105197.75999999999</v>
      </c>
      <c r="I265" s="281">
        <f t="shared" si="567"/>
        <v>119729.73</v>
      </c>
      <c r="J265" s="281">
        <f t="shared" si="567"/>
        <v>77584.179999999993</v>
      </c>
      <c r="K265" s="281">
        <f t="shared" si="567"/>
        <v>102579.05</v>
      </c>
      <c r="L265" s="281">
        <f t="shared" si="567"/>
        <v>127219.27</v>
      </c>
      <c r="M265" s="281">
        <f t="shared" si="567"/>
        <v>99640.29</v>
      </c>
      <c r="N265" s="281">
        <f t="shared" si="567"/>
        <v>85949.33</v>
      </c>
      <c r="O265" s="281">
        <f t="shared" si="567"/>
        <v>87890.34</v>
      </c>
      <c r="P265" s="281">
        <f t="shared" si="567"/>
        <v>89179.32</v>
      </c>
      <c r="Q265" s="281">
        <f t="shared" si="567"/>
        <v>64907.27</v>
      </c>
      <c r="R265" s="281">
        <f t="shared" si="567"/>
        <v>73152.56</v>
      </c>
      <c r="S265" s="281">
        <f t="shared" si="567"/>
        <v>91476.05</v>
      </c>
      <c r="T265" s="281">
        <f t="shared" si="567"/>
        <v>56791.81</v>
      </c>
      <c r="U265" s="281">
        <f t="shared" si="567"/>
        <v>90199.679999999993</v>
      </c>
      <c r="V265" s="281">
        <f t="shared" si="567"/>
        <v>57199.93</v>
      </c>
      <c r="W265" s="281">
        <f t="shared" si="567"/>
        <v>82613.59</v>
      </c>
      <c r="X265" s="281">
        <f t="shared" ref="X265:AS265" si="568">X85</f>
        <v>85266.14</v>
      </c>
      <c r="Y265" s="281">
        <f t="shared" si="568"/>
        <v>67177.899999999994</v>
      </c>
      <c r="Z265" s="281">
        <f t="shared" si="568"/>
        <v>61277.1</v>
      </c>
      <c r="AA265" s="281">
        <f t="shared" si="568"/>
        <v>19556.93</v>
      </c>
      <c r="AB265" s="281">
        <f t="shared" si="568"/>
        <v>29648.400000000001</v>
      </c>
      <c r="AC265" s="281">
        <f t="shared" ref="AC265:AL265" si="569">AC85</f>
        <v>24415.83</v>
      </c>
      <c r="AD265" s="281">
        <f t="shared" si="569"/>
        <v>11157.68</v>
      </c>
      <c r="AE265" s="281">
        <f t="shared" si="569"/>
        <v>26117.52</v>
      </c>
      <c r="AF265" s="281">
        <f t="shared" si="569"/>
        <v>15256.96</v>
      </c>
      <c r="AG265" s="281">
        <f t="shared" si="569"/>
        <v>10848.79</v>
      </c>
      <c r="AH265" s="281">
        <f t="shared" si="569"/>
        <v>7426.24</v>
      </c>
      <c r="AI265" s="281">
        <f t="shared" si="569"/>
        <v>5138.6899999999996</v>
      </c>
      <c r="AJ265" s="281">
        <f t="shared" si="569"/>
        <v>4702.42</v>
      </c>
      <c r="AK265" s="281">
        <f t="shared" si="569"/>
        <v>0</v>
      </c>
      <c r="AL265" s="281">
        <f t="shared" si="569"/>
        <v>14356.64</v>
      </c>
      <c r="AM265" s="281">
        <f t="shared" si="568"/>
        <v>23920.12456249645</v>
      </c>
      <c r="AN265" s="281">
        <f t="shared" si="568"/>
        <v>24166.965707157429</v>
      </c>
      <c r="AO265" s="281">
        <f t="shared" si="568"/>
        <v>24228.522731213725</v>
      </c>
      <c r="AP265" s="281">
        <f t="shared" si="568"/>
        <v>24297.254899892279</v>
      </c>
      <c r="AQ265" s="281">
        <f t="shared" si="568"/>
        <v>24290.332118043414</v>
      </c>
      <c r="AR265" s="281">
        <f t="shared" si="568"/>
        <v>24304.348870708778</v>
      </c>
      <c r="AS265" s="281">
        <f t="shared" si="568"/>
        <v>24243.462253223392</v>
      </c>
      <c r="AT265" s="281">
        <f t="shared" si="567"/>
        <v>24150.045148444617</v>
      </c>
      <c r="AU265" s="281">
        <f t="shared" si="567"/>
        <v>24046.523089773473</v>
      </c>
      <c r="AV265" s="281">
        <f t="shared" si="567"/>
        <v>23868.850803865407</v>
      </c>
      <c r="AW265" s="281">
        <f t="shared" si="567"/>
        <v>23739.982777746125</v>
      </c>
      <c r="AX265" s="281">
        <f t="shared" si="567"/>
        <v>23538.230179494072</v>
      </c>
      <c r="AY265" s="281">
        <f t="shared" si="490"/>
        <v>-33661.699820505928</v>
      </c>
      <c r="AZ265" s="281">
        <f t="shared" si="491"/>
        <v>-65641.089820505935</v>
      </c>
    </row>
    <row r="266" spans="2:52" x14ac:dyDescent="0.25">
      <c r="B266" s="290"/>
      <c r="C266" s="299" t="s">
        <v>725</v>
      </c>
      <c r="D266" s="281">
        <f t="shared" ref="D266:H266" si="570">SUM(D267:D276)</f>
        <v>218883.32</v>
      </c>
      <c r="E266" s="281">
        <f t="shared" si="570"/>
        <v>285299.83</v>
      </c>
      <c r="F266" s="281">
        <f t="shared" si="570"/>
        <v>311343.66999999993</v>
      </c>
      <c r="G266" s="281">
        <f t="shared" si="570"/>
        <v>343082.15</v>
      </c>
      <c r="H266" s="281">
        <f t="shared" si="570"/>
        <v>364740.42000000004</v>
      </c>
      <c r="I266" s="281">
        <f t="shared" ref="I266:O266" si="571">SUM(I267:I276)</f>
        <v>401378.19</v>
      </c>
      <c r="J266" s="281">
        <f t="shared" si="571"/>
        <v>441913.67000000004</v>
      </c>
      <c r="K266" s="281">
        <f t="shared" si="571"/>
        <v>488401.13</v>
      </c>
      <c r="L266" s="281">
        <f t="shared" si="571"/>
        <v>503626.11999999994</v>
      </c>
      <c r="M266" s="281">
        <f t="shared" si="571"/>
        <v>552314.99</v>
      </c>
      <c r="N266" s="281">
        <f t="shared" si="571"/>
        <v>722320.55</v>
      </c>
      <c r="O266" s="281">
        <f t="shared" si="571"/>
        <v>586029.94999999995</v>
      </c>
      <c r="P266" s="281">
        <f t="shared" ref="P266:Q266" si="572">SUM(P267:P276)</f>
        <v>637164.39</v>
      </c>
      <c r="Q266" s="281">
        <f t="shared" si="572"/>
        <v>682881.80999999994</v>
      </c>
      <c r="R266" s="281">
        <f t="shared" ref="R266" si="573">SUM(R267:R276)</f>
        <v>716889.09</v>
      </c>
      <c r="S266" s="281">
        <f t="shared" ref="S266" si="574">SUM(S267:S276)</f>
        <v>779078.60000000009</v>
      </c>
      <c r="T266" s="281">
        <f t="shared" ref="T266" si="575">SUM(T267:T276)</f>
        <v>809724.26</v>
      </c>
      <c r="U266" s="281">
        <f t="shared" ref="U266" si="576">SUM(U267:U276)</f>
        <v>878064.19</v>
      </c>
      <c r="V266" s="281">
        <f t="shared" ref="V266" si="577">SUM(V267:V276)</f>
        <v>928458.1399999999</v>
      </c>
      <c r="W266" s="281">
        <f t="shared" ref="W266:AS266" si="578">SUM(W267:W276)</f>
        <v>969934.62</v>
      </c>
      <c r="X266" s="281">
        <f t="shared" si="578"/>
        <v>1027801.55</v>
      </c>
      <c r="Y266" s="281">
        <f t="shared" si="578"/>
        <v>1062806.1499999999</v>
      </c>
      <c r="Z266" s="281">
        <f t="shared" si="578"/>
        <v>1094026.98</v>
      </c>
      <c r="AA266" s="281">
        <f t="shared" si="578"/>
        <v>84806.680000000022</v>
      </c>
      <c r="AB266" s="281">
        <f t="shared" si="578"/>
        <v>75262.559999999998</v>
      </c>
      <c r="AC266" s="281">
        <f t="shared" ref="AC266:AL266" si="579">SUM(AC267:AC276)</f>
        <v>67261.759999999995</v>
      </c>
      <c r="AD266" s="281">
        <f t="shared" si="579"/>
        <v>60411.97</v>
      </c>
      <c r="AE266" s="281">
        <f t="shared" si="579"/>
        <v>57861.329999999994</v>
      </c>
      <c r="AF266" s="281">
        <f t="shared" si="579"/>
        <v>54700.09</v>
      </c>
      <c r="AG266" s="281">
        <f t="shared" si="579"/>
        <v>51910.009999999995</v>
      </c>
      <c r="AH266" s="281">
        <f t="shared" si="579"/>
        <v>52652.14</v>
      </c>
      <c r="AI266" s="281">
        <f t="shared" si="579"/>
        <v>55944.99</v>
      </c>
      <c r="AJ266" s="281">
        <f t="shared" si="579"/>
        <v>61953.710000000006</v>
      </c>
      <c r="AK266" s="281">
        <f t="shared" si="579"/>
        <v>59296.600000000006</v>
      </c>
      <c r="AL266" s="281">
        <f t="shared" si="579"/>
        <v>58151.229999999989</v>
      </c>
      <c r="AM266" s="281">
        <f t="shared" si="578"/>
        <v>347571.32095641963</v>
      </c>
      <c r="AN266" s="281">
        <f t="shared" si="578"/>
        <v>378835.19731159165</v>
      </c>
      <c r="AO266" s="281">
        <f t="shared" si="578"/>
        <v>408892.83728787908</v>
      </c>
      <c r="AP266" s="281">
        <f t="shared" si="578"/>
        <v>436299.00608448777</v>
      </c>
      <c r="AQ266" s="281">
        <f t="shared" si="578"/>
        <v>465090.97788928635</v>
      </c>
      <c r="AR266" s="281">
        <f t="shared" si="578"/>
        <v>493479.59080805402</v>
      </c>
      <c r="AS266" s="281">
        <f t="shared" si="578"/>
        <v>521212.7869139199</v>
      </c>
      <c r="AT266" s="281">
        <f t="shared" ref="AT266" si="580">SUM(AT267:AT276)</f>
        <v>548315.66054714075</v>
      </c>
      <c r="AU266" s="281">
        <f t="shared" ref="AU266" si="581">SUM(AU267:AU276)</f>
        <v>574739.01967228192</v>
      </c>
      <c r="AV266" s="281">
        <f t="shared" ref="AV266" si="582">SUM(AV267:AV276)</f>
        <v>599993.48074060481</v>
      </c>
      <c r="AW266" s="281">
        <f t="shared" ref="AW266" si="583">SUM(AW267:AW276)</f>
        <v>625103.80976407358</v>
      </c>
      <c r="AX266" s="281">
        <f t="shared" ref="AX266" si="584">SUM(AX267:AX276)</f>
        <v>649617.93088471645</v>
      </c>
      <c r="AY266" s="281">
        <f t="shared" si="490"/>
        <v>-278840.20911528345</v>
      </c>
      <c r="AZ266" s="281">
        <f t="shared" si="491"/>
        <v>12453.540884716436</v>
      </c>
    </row>
    <row r="267" spans="2:52" x14ac:dyDescent="0.25">
      <c r="B267" s="294">
        <f t="shared" ref="B267:AX267" si="585">B68</f>
        <v>1449</v>
      </c>
      <c r="C267" s="295" t="str">
        <f t="shared" si="585"/>
        <v>CARTERA DE CRÉDITOS PRODUCTIVO VENCIDA</v>
      </c>
      <c r="D267" s="281">
        <f t="shared" si="585"/>
        <v>12994.81</v>
      </c>
      <c r="E267" s="281">
        <f t="shared" si="585"/>
        <v>17439.560000000001</v>
      </c>
      <c r="F267" s="281">
        <f t="shared" si="585"/>
        <v>17439.560000000001</v>
      </c>
      <c r="G267" s="281">
        <f t="shared" si="585"/>
        <v>21972.91</v>
      </c>
      <c r="H267" s="281">
        <f t="shared" si="585"/>
        <v>24267.64</v>
      </c>
      <c r="I267" s="281">
        <f t="shared" si="585"/>
        <v>26567.5</v>
      </c>
      <c r="J267" s="281">
        <f t="shared" si="585"/>
        <v>28899.599999999999</v>
      </c>
      <c r="K267" s="281">
        <f t="shared" si="585"/>
        <v>31237.39</v>
      </c>
      <c r="L267" s="281">
        <f t="shared" si="585"/>
        <v>34455</v>
      </c>
      <c r="M267" s="281">
        <f t="shared" si="585"/>
        <v>35985.839999999997</v>
      </c>
      <c r="N267" s="281">
        <f t="shared" si="585"/>
        <v>38851.58</v>
      </c>
      <c r="O267" s="281">
        <f t="shared" si="585"/>
        <v>40812.410000000003</v>
      </c>
      <c r="P267" s="281">
        <f t="shared" si="585"/>
        <v>43726.04</v>
      </c>
      <c r="Q267" s="281">
        <f t="shared" si="585"/>
        <v>46190.87</v>
      </c>
      <c r="R267" s="281">
        <f t="shared" si="585"/>
        <v>45718.12</v>
      </c>
      <c r="S267" s="281">
        <f t="shared" si="585"/>
        <v>51201.7</v>
      </c>
      <c r="T267" s="281">
        <f t="shared" si="585"/>
        <v>54680.53</v>
      </c>
      <c r="U267" s="281">
        <f t="shared" si="585"/>
        <v>57171.95</v>
      </c>
      <c r="V267" s="281">
        <f t="shared" si="585"/>
        <v>59148.1</v>
      </c>
      <c r="W267" s="281">
        <f t="shared" si="585"/>
        <v>61977.120000000003</v>
      </c>
      <c r="X267" s="281">
        <f t="shared" ref="X267:AS267" si="586">X68</f>
        <v>64968.51</v>
      </c>
      <c r="Y267" s="281">
        <f t="shared" si="586"/>
        <v>66680.12</v>
      </c>
      <c r="Z267" s="281">
        <f t="shared" si="586"/>
        <v>69873.320000000007</v>
      </c>
      <c r="AA267" s="281">
        <f t="shared" si="586"/>
        <v>87</v>
      </c>
      <c r="AB267" s="281">
        <f t="shared" si="586"/>
        <v>87</v>
      </c>
      <c r="AC267" s="281">
        <f t="shared" ref="AC267:AL267" si="587">AC68</f>
        <v>1604.2</v>
      </c>
      <c r="AD267" s="281">
        <f t="shared" si="587"/>
        <v>72</v>
      </c>
      <c r="AE267" s="281">
        <f t="shared" si="587"/>
        <v>641.5</v>
      </c>
      <c r="AF267" s="281">
        <f t="shared" si="587"/>
        <v>72</v>
      </c>
      <c r="AG267" s="281">
        <f t="shared" si="587"/>
        <v>72</v>
      </c>
      <c r="AH267" s="281">
        <f t="shared" si="587"/>
        <v>72</v>
      </c>
      <c r="AI267" s="281">
        <f t="shared" si="587"/>
        <v>71</v>
      </c>
      <c r="AJ267" s="281">
        <f t="shared" si="587"/>
        <v>133.91</v>
      </c>
      <c r="AK267" s="281">
        <f t="shared" si="587"/>
        <v>71</v>
      </c>
      <c r="AL267" s="281">
        <f t="shared" si="587"/>
        <v>71</v>
      </c>
      <c r="AM267" s="281">
        <f t="shared" si="586"/>
        <v>7477.3256849710569</v>
      </c>
      <c r="AN267" s="281">
        <f t="shared" si="586"/>
        <v>7476.8646291124569</v>
      </c>
      <c r="AO267" s="281">
        <f t="shared" si="586"/>
        <v>7467.3053524813386</v>
      </c>
      <c r="AP267" s="281">
        <f t="shared" si="586"/>
        <v>7457.4093804526228</v>
      </c>
      <c r="AQ267" s="281">
        <f t="shared" si="586"/>
        <v>7453.2709290282737</v>
      </c>
      <c r="AR267" s="281">
        <f t="shared" si="586"/>
        <v>7447.9745708477776</v>
      </c>
      <c r="AS267" s="281">
        <f t="shared" si="586"/>
        <v>7454.3385967968061</v>
      </c>
      <c r="AT267" s="281">
        <f t="shared" si="585"/>
        <v>7459.3814967445869</v>
      </c>
      <c r="AU267" s="281">
        <f t="shared" si="585"/>
        <v>7460.8571460225821</v>
      </c>
      <c r="AV267" s="281">
        <f t="shared" si="585"/>
        <v>7474.1314042751346</v>
      </c>
      <c r="AW267" s="281">
        <f t="shared" si="585"/>
        <v>7491.6474762106554</v>
      </c>
      <c r="AX267" s="281">
        <f t="shared" si="585"/>
        <v>7486.1811125148042</v>
      </c>
      <c r="AY267" s="281">
        <f t="shared" si="490"/>
        <v>-51661.918887485197</v>
      </c>
      <c r="AZ267" s="281">
        <f t="shared" si="491"/>
        <v>-36239.858887485199</v>
      </c>
    </row>
    <row r="268" spans="2:52" x14ac:dyDescent="0.25">
      <c r="B268" s="294">
        <f t="shared" ref="B268:AX268" si="588">B69</f>
        <v>1450</v>
      </c>
      <c r="C268" s="295" t="str">
        <f t="shared" si="588"/>
        <v>CARTERA DE CRÉDITOS CONSUMO VENCIDA</v>
      </c>
      <c r="D268" s="281">
        <f t="shared" si="588"/>
        <v>150435.48000000001</v>
      </c>
      <c r="E268" s="281">
        <f t="shared" si="588"/>
        <v>199412.76</v>
      </c>
      <c r="F268" s="281">
        <f t="shared" si="588"/>
        <v>223720.37</v>
      </c>
      <c r="G268" s="281">
        <f t="shared" si="588"/>
        <v>243863.93</v>
      </c>
      <c r="H268" s="281">
        <f t="shared" si="588"/>
        <v>258493.51</v>
      </c>
      <c r="I268" s="281">
        <f t="shared" si="588"/>
        <v>284657.69</v>
      </c>
      <c r="J268" s="281">
        <f t="shared" si="588"/>
        <v>314838.39</v>
      </c>
      <c r="K268" s="281">
        <f t="shared" si="588"/>
        <v>341910.63</v>
      </c>
      <c r="L268" s="281">
        <f t="shared" si="588"/>
        <v>355274.84</v>
      </c>
      <c r="M268" s="281">
        <f t="shared" si="588"/>
        <v>395988.65</v>
      </c>
      <c r="N268" s="281">
        <f t="shared" si="588"/>
        <v>562174.46</v>
      </c>
      <c r="O268" s="281">
        <f t="shared" si="588"/>
        <v>415477.75</v>
      </c>
      <c r="P268" s="281">
        <f t="shared" si="588"/>
        <v>449923.5</v>
      </c>
      <c r="Q268" s="281">
        <f t="shared" si="588"/>
        <v>481446.37</v>
      </c>
      <c r="R268" s="281">
        <f t="shared" si="588"/>
        <v>513616.79</v>
      </c>
      <c r="S268" s="281">
        <f t="shared" si="588"/>
        <v>552630.36</v>
      </c>
      <c r="T268" s="281">
        <f t="shared" si="588"/>
        <v>567299.19999999995</v>
      </c>
      <c r="U268" s="281">
        <f t="shared" si="588"/>
        <v>607558.54</v>
      </c>
      <c r="V268" s="281">
        <f t="shared" si="588"/>
        <v>642280.15</v>
      </c>
      <c r="W268" s="281">
        <f t="shared" si="588"/>
        <v>670168.05000000005</v>
      </c>
      <c r="X268" s="281">
        <f t="shared" ref="X268:AS268" si="589">X69</f>
        <v>704279.91</v>
      </c>
      <c r="Y268" s="281">
        <f t="shared" si="589"/>
        <v>733791.6</v>
      </c>
      <c r="Z268" s="281">
        <f t="shared" si="589"/>
        <v>779668.36</v>
      </c>
      <c r="AA268" s="281">
        <f t="shared" si="589"/>
        <v>63584.14</v>
      </c>
      <c r="AB268" s="281">
        <f t="shared" si="589"/>
        <v>54544.74</v>
      </c>
      <c r="AC268" s="281">
        <f t="shared" ref="AC268:AL268" si="590">AC69</f>
        <v>43396.85</v>
      </c>
      <c r="AD268" s="281">
        <f t="shared" si="590"/>
        <v>44878.44</v>
      </c>
      <c r="AE268" s="281">
        <f t="shared" si="590"/>
        <v>44364.4</v>
      </c>
      <c r="AF268" s="281">
        <f t="shared" si="590"/>
        <v>45510.93</v>
      </c>
      <c r="AG268" s="281">
        <f t="shared" si="590"/>
        <v>44539.59</v>
      </c>
      <c r="AH268" s="281">
        <f t="shared" si="590"/>
        <v>43618.7</v>
      </c>
      <c r="AI268" s="281">
        <f t="shared" si="590"/>
        <v>45236.480000000003</v>
      </c>
      <c r="AJ268" s="281">
        <f t="shared" si="590"/>
        <v>47027.360000000001</v>
      </c>
      <c r="AK268" s="281">
        <f t="shared" si="590"/>
        <v>46263.12</v>
      </c>
      <c r="AL268" s="281">
        <f t="shared" si="590"/>
        <v>48498.31</v>
      </c>
      <c r="AM268" s="281">
        <f t="shared" si="589"/>
        <v>251431.80275881055</v>
      </c>
      <c r="AN268" s="281">
        <f t="shared" si="589"/>
        <v>277150.35502192704</v>
      </c>
      <c r="AO268" s="281">
        <f t="shared" si="589"/>
        <v>301910.82371080626</v>
      </c>
      <c r="AP268" s="281">
        <f t="shared" si="589"/>
        <v>324058.6301278093</v>
      </c>
      <c r="AQ268" s="281">
        <f t="shared" si="589"/>
        <v>347717.41141289804</v>
      </c>
      <c r="AR268" s="281">
        <f t="shared" si="589"/>
        <v>370994.3398012871</v>
      </c>
      <c r="AS268" s="281">
        <f t="shared" si="589"/>
        <v>393736.4411721747</v>
      </c>
      <c r="AT268" s="281">
        <f t="shared" si="588"/>
        <v>415937.79351382639</v>
      </c>
      <c r="AU268" s="281">
        <f t="shared" si="588"/>
        <v>437604.04812218423</v>
      </c>
      <c r="AV268" s="281">
        <f t="shared" si="588"/>
        <v>458166.34055151913</v>
      </c>
      <c r="AW268" s="281">
        <f t="shared" si="588"/>
        <v>478614.44864477264</v>
      </c>
      <c r="AX268" s="281">
        <f t="shared" si="588"/>
        <v>498619.73346751468</v>
      </c>
      <c r="AY268" s="281">
        <f t="shared" si="490"/>
        <v>-143660.41653248534</v>
      </c>
      <c r="AZ268" s="281">
        <f t="shared" si="491"/>
        <v>48696.233467514685</v>
      </c>
    </row>
    <row r="269" spans="2:52" x14ac:dyDescent="0.25">
      <c r="B269" s="294">
        <f t="shared" ref="B269:AX269" si="591">B70</f>
        <v>1451</v>
      </c>
      <c r="C269" s="295" t="str">
        <f t="shared" si="591"/>
        <v>CARTERA DE CREDITO DE INMOBILIARIA VENCIDA</v>
      </c>
      <c r="D269" s="281">
        <f t="shared" si="591"/>
        <v>1</v>
      </c>
      <c r="E269" s="281">
        <f t="shared" si="591"/>
        <v>1</v>
      </c>
      <c r="F269" s="281">
        <f t="shared" si="591"/>
        <v>1</v>
      </c>
      <c r="G269" s="281">
        <f t="shared" si="591"/>
        <v>1</v>
      </c>
      <c r="H269" s="281">
        <f t="shared" si="591"/>
        <v>1</v>
      </c>
      <c r="I269" s="281">
        <f t="shared" si="591"/>
        <v>1</v>
      </c>
      <c r="J269" s="281">
        <f t="shared" si="591"/>
        <v>1</v>
      </c>
      <c r="K269" s="281">
        <f t="shared" si="591"/>
        <v>1</v>
      </c>
      <c r="L269" s="281">
        <f t="shared" si="591"/>
        <v>1</v>
      </c>
      <c r="M269" s="281">
        <f t="shared" si="591"/>
        <v>1</v>
      </c>
      <c r="N269" s="281">
        <f t="shared" si="591"/>
        <v>1</v>
      </c>
      <c r="O269" s="281">
        <f t="shared" si="591"/>
        <v>1</v>
      </c>
      <c r="P269" s="281">
        <f t="shared" si="591"/>
        <v>1</v>
      </c>
      <c r="Q269" s="281">
        <f t="shared" si="591"/>
        <v>0</v>
      </c>
      <c r="R269" s="281">
        <f t="shared" si="591"/>
        <v>0</v>
      </c>
      <c r="S269" s="281">
        <f t="shared" si="591"/>
        <v>0</v>
      </c>
      <c r="T269" s="281">
        <f t="shared" si="591"/>
        <v>0</v>
      </c>
      <c r="U269" s="281">
        <f t="shared" si="591"/>
        <v>0</v>
      </c>
      <c r="V269" s="281">
        <f t="shared" si="591"/>
        <v>0</v>
      </c>
      <c r="W269" s="281">
        <f t="shared" si="591"/>
        <v>0</v>
      </c>
      <c r="X269" s="281">
        <f t="shared" ref="X269:AS269" si="592">X70</f>
        <v>0</v>
      </c>
      <c r="Y269" s="281">
        <f t="shared" si="592"/>
        <v>0</v>
      </c>
      <c r="Z269" s="281">
        <f t="shared" si="592"/>
        <v>0</v>
      </c>
      <c r="AA269" s="281">
        <f t="shared" si="592"/>
        <v>0</v>
      </c>
      <c r="AB269" s="281">
        <f t="shared" si="592"/>
        <v>0</v>
      </c>
      <c r="AC269" s="281">
        <f t="shared" ref="AC269:AL269" si="593">AC70</f>
        <v>0</v>
      </c>
      <c r="AD269" s="281">
        <f t="shared" si="593"/>
        <v>0</v>
      </c>
      <c r="AE269" s="281">
        <f t="shared" si="593"/>
        <v>0</v>
      </c>
      <c r="AF269" s="281">
        <f t="shared" si="593"/>
        <v>0</v>
      </c>
      <c r="AG269" s="281">
        <f t="shared" si="593"/>
        <v>0</v>
      </c>
      <c r="AH269" s="281">
        <f t="shared" si="593"/>
        <v>0</v>
      </c>
      <c r="AI269" s="281">
        <f t="shared" si="593"/>
        <v>0</v>
      </c>
      <c r="AJ269" s="281">
        <f t="shared" si="593"/>
        <v>0</v>
      </c>
      <c r="AK269" s="281">
        <f t="shared" si="593"/>
        <v>0</v>
      </c>
      <c r="AL269" s="281">
        <f t="shared" si="593"/>
        <v>0</v>
      </c>
      <c r="AM269" s="281">
        <f t="shared" si="592"/>
        <v>0</v>
      </c>
      <c r="AN269" s="281">
        <f t="shared" si="592"/>
        <v>0</v>
      </c>
      <c r="AO269" s="281">
        <f t="shared" si="592"/>
        <v>0</v>
      </c>
      <c r="AP269" s="281">
        <f t="shared" si="592"/>
        <v>0</v>
      </c>
      <c r="AQ269" s="281">
        <f t="shared" si="592"/>
        <v>0</v>
      </c>
      <c r="AR269" s="281">
        <f t="shared" si="592"/>
        <v>0</v>
      </c>
      <c r="AS269" s="281">
        <f t="shared" si="592"/>
        <v>0</v>
      </c>
      <c r="AT269" s="281">
        <f t="shared" si="591"/>
        <v>0</v>
      </c>
      <c r="AU269" s="281">
        <f t="shared" si="591"/>
        <v>0</v>
      </c>
      <c r="AV269" s="281">
        <f t="shared" si="591"/>
        <v>0</v>
      </c>
      <c r="AW269" s="281">
        <f t="shared" si="591"/>
        <v>0</v>
      </c>
      <c r="AX269" s="281">
        <f t="shared" si="591"/>
        <v>0</v>
      </c>
      <c r="AY269" s="281">
        <f t="shared" si="490"/>
        <v>0</v>
      </c>
      <c r="AZ269" s="281">
        <f t="shared" si="491"/>
        <v>-1</v>
      </c>
    </row>
    <row r="270" spans="2:52" x14ac:dyDescent="0.25">
      <c r="B270" s="294">
        <f t="shared" ref="B270:AX270" si="594">B71</f>
        <v>1452</v>
      </c>
      <c r="C270" s="295" t="str">
        <f t="shared" si="594"/>
        <v>CARTERA DE MICROCRÉDITO VENCIDA</v>
      </c>
      <c r="D270" s="281">
        <f t="shared" si="594"/>
        <v>30731.11</v>
      </c>
      <c r="E270" s="281">
        <f t="shared" si="594"/>
        <v>38775.339999999997</v>
      </c>
      <c r="F270" s="281">
        <f t="shared" si="594"/>
        <v>40957.43</v>
      </c>
      <c r="G270" s="281">
        <f t="shared" si="594"/>
        <v>43977.82</v>
      </c>
      <c r="H270" s="281">
        <f t="shared" si="594"/>
        <v>49936.68</v>
      </c>
      <c r="I270" s="281">
        <f t="shared" si="594"/>
        <v>56540.06</v>
      </c>
      <c r="J270" s="281">
        <f t="shared" si="594"/>
        <v>65878.649999999994</v>
      </c>
      <c r="K270" s="281">
        <f t="shared" si="594"/>
        <v>79549.88</v>
      </c>
      <c r="L270" s="281">
        <f t="shared" si="594"/>
        <v>77004.899999999994</v>
      </c>
      <c r="M270" s="281">
        <f t="shared" si="594"/>
        <v>84048.74</v>
      </c>
      <c r="N270" s="281">
        <f t="shared" si="594"/>
        <v>87203.69</v>
      </c>
      <c r="O270" s="281">
        <f t="shared" si="594"/>
        <v>95510.24</v>
      </c>
      <c r="P270" s="281">
        <f t="shared" si="594"/>
        <v>101586.67</v>
      </c>
      <c r="Q270" s="281">
        <f t="shared" si="594"/>
        <v>116122.15</v>
      </c>
      <c r="R270" s="281">
        <f t="shared" si="594"/>
        <v>117226.73</v>
      </c>
      <c r="S270" s="281">
        <f t="shared" si="594"/>
        <v>130605.71</v>
      </c>
      <c r="T270" s="281">
        <f t="shared" si="594"/>
        <v>143043.60999999999</v>
      </c>
      <c r="U270" s="281">
        <f t="shared" si="594"/>
        <v>161565.29999999999</v>
      </c>
      <c r="V270" s="281">
        <f t="shared" si="594"/>
        <v>173513.62</v>
      </c>
      <c r="W270" s="281">
        <f t="shared" si="594"/>
        <v>175486.39</v>
      </c>
      <c r="X270" s="281">
        <f t="shared" ref="X270:AS270" si="595">X71</f>
        <v>193598.2</v>
      </c>
      <c r="Y270" s="281">
        <f t="shared" si="595"/>
        <v>193320.84</v>
      </c>
      <c r="Z270" s="281">
        <f t="shared" si="595"/>
        <v>210430.65</v>
      </c>
      <c r="AA270" s="281">
        <f t="shared" si="595"/>
        <v>18998.16</v>
      </c>
      <c r="AB270" s="281">
        <f t="shared" si="595"/>
        <v>15527.82</v>
      </c>
      <c r="AC270" s="281">
        <f t="shared" ref="AC270:AL270" si="596">AC71</f>
        <v>16857.57</v>
      </c>
      <c r="AD270" s="281">
        <f t="shared" si="596"/>
        <v>11844.24</v>
      </c>
      <c r="AE270" s="281">
        <f t="shared" si="596"/>
        <v>9085.81</v>
      </c>
      <c r="AF270" s="281">
        <f t="shared" si="596"/>
        <v>5549.54</v>
      </c>
      <c r="AG270" s="281">
        <f t="shared" si="596"/>
        <v>4525.07</v>
      </c>
      <c r="AH270" s="281">
        <f t="shared" si="596"/>
        <v>6167.28</v>
      </c>
      <c r="AI270" s="281">
        <f t="shared" si="596"/>
        <v>7968.63</v>
      </c>
      <c r="AJ270" s="281">
        <f t="shared" si="596"/>
        <v>11906.77</v>
      </c>
      <c r="AK270" s="281">
        <f t="shared" si="596"/>
        <v>10152.66</v>
      </c>
      <c r="AL270" s="281">
        <f t="shared" si="596"/>
        <v>5944.48</v>
      </c>
      <c r="AM270" s="281">
        <f t="shared" si="595"/>
        <v>60106.916556898766</v>
      </c>
      <c r="AN270" s="281">
        <f t="shared" si="595"/>
        <v>65459.391345004879</v>
      </c>
      <c r="AO270" s="281">
        <f t="shared" si="595"/>
        <v>70720.567501840706</v>
      </c>
      <c r="AP270" s="281">
        <f t="shared" si="595"/>
        <v>75918.167210921587</v>
      </c>
      <c r="AQ270" s="281">
        <f t="shared" si="595"/>
        <v>81040.632552572555</v>
      </c>
      <c r="AR270" s="281">
        <f t="shared" si="595"/>
        <v>86133.632803209286</v>
      </c>
      <c r="AS270" s="281">
        <f t="shared" si="595"/>
        <v>91149.625071532806</v>
      </c>
      <c r="AT270" s="281">
        <f t="shared" si="594"/>
        <v>96098.540386973444</v>
      </c>
      <c r="AU270" s="281">
        <f t="shared" si="594"/>
        <v>100920.40642228979</v>
      </c>
      <c r="AV270" s="281">
        <f t="shared" si="594"/>
        <v>105720.15238188161</v>
      </c>
      <c r="AW270" s="281">
        <f t="shared" si="594"/>
        <v>110454.54521377446</v>
      </c>
      <c r="AX270" s="281">
        <f t="shared" si="594"/>
        <v>115112.20615174827</v>
      </c>
      <c r="AY270" s="281">
        <f t="shared" si="490"/>
        <v>-58401.41384825173</v>
      </c>
      <c r="AZ270" s="281">
        <f t="shared" si="491"/>
        <v>13525.536151748267</v>
      </c>
    </row>
    <row r="271" spans="2:52" x14ac:dyDescent="0.25">
      <c r="B271" s="294">
        <f t="shared" ref="B271:C274" si="597">B72</f>
        <v>1458</v>
      </c>
      <c r="C271" s="295" t="str">
        <f t="shared" si="597"/>
        <v>CARTERA DE CRÉDITOS CONSUMO REFINANCIADA VENCIDA</v>
      </c>
      <c r="D271" s="282"/>
      <c r="E271" s="282"/>
      <c r="F271" s="282"/>
      <c r="G271" s="282"/>
      <c r="H271" s="282"/>
      <c r="I271" s="282"/>
      <c r="J271" s="282"/>
      <c r="K271" s="282"/>
      <c r="L271" s="282"/>
      <c r="M271" s="282"/>
      <c r="N271" s="282"/>
      <c r="O271" s="282"/>
      <c r="P271" s="281">
        <f t="shared" ref="P271:AX271" si="598">P72</f>
        <v>2839.6</v>
      </c>
      <c r="Q271" s="281">
        <f t="shared" si="598"/>
        <v>3460.01</v>
      </c>
      <c r="R271" s="281">
        <f t="shared" si="598"/>
        <v>4263.6400000000003</v>
      </c>
      <c r="S271" s="281">
        <f t="shared" si="598"/>
        <v>4815.6000000000004</v>
      </c>
      <c r="T271" s="281">
        <f t="shared" si="598"/>
        <v>5614.41</v>
      </c>
      <c r="U271" s="281">
        <f t="shared" si="598"/>
        <v>6795.75</v>
      </c>
      <c r="V271" s="281">
        <f t="shared" si="598"/>
        <v>8200.1</v>
      </c>
      <c r="W271" s="281">
        <f t="shared" si="598"/>
        <v>10105.49</v>
      </c>
      <c r="X271" s="281">
        <f t="shared" ref="X271:AS271" si="599">X72</f>
        <v>9718.3700000000008</v>
      </c>
      <c r="Y271" s="281">
        <f t="shared" si="599"/>
        <v>11911.09</v>
      </c>
      <c r="Z271" s="281">
        <f t="shared" si="599"/>
        <v>13236.36</v>
      </c>
      <c r="AA271" s="281">
        <f t="shared" si="599"/>
        <v>517.6</v>
      </c>
      <c r="AB271" s="281">
        <f t="shared" si="599"/>
        <v>423.47</v>
      </c>
      <c r="AC271" s="281">
        <f t="shared" ref="AC271:AL271" si="600">AC72</f>
        <v>569.75</v>
      </c>
      <c r="AD271" s="281">
        <f t="shared" si="600"/>
        <v>900.43</v>
      </c>
      <c r="AE271" s="281">
        <f t="shared" si="600"/>
        <v>1387.6</v>
      </c>
      <c r="AF271" s="281">
        <f t="shared" si="600"/>
        <v>805.25</v>
      </c>
      <c r="AG271" s="281">
        <f t="shared" si="600"/>
        <v>626.97</v>
      </c>
      <c r="AH271" s="281">
        <f t="shared" si="600"/>
        <v>559.62</v>
      </c>
      <c r="AI271" s="281">
        <f t="shared" si="600"/>
        <v>0</v>
      </c>
      <c r="AJ271" s="281">
        <f t="shared" si="600"/>
        <v>59.16</v>
      </c>
      <c r="AK271" s="281">
        <f t="shared" si="600"/>
        <v>0</v>
      </c>
      <c r="AL271" s="281">
        <f t="shared" si="600"/>
        <v>0</v>
      </c>
      <c r="AM271" s="281">
        <f t="shared" si="599"/>
        <v>9569.099119128743</v>
      </c>
      <c r="AN271" s="281">
        <f t="shared" si="599"/>
        <v>9603.8133151832881</v>
      </c>
      <c r="AO271" s="281">
        <f t="shared" si="599"/>
        <v>9610.7942517488646</v>
      </c>
      <c r="AP271" s="281">
        <f t="shared" si="599"/>
        <v>9631.0934369734914</v>
      </c>
      <c r="AQ271" s="281">
        <f t="shared" si="599"/>
        <v>9642.9344177286148</v>
      </c>
      <c r="AR271" s="281">
        <f t="shared" si="599"/>
        <v>9653.1203122908064</v>
      </c>
      <c r="AS271" s="281">
        <f t="shared" si="599"/>
        <v>9654.9311005153868</v>
      </c>
      <c r="AT271" s="281">
        <f t="shared" si="598"/>
        <v>9654.8836966911731</v>
      </c>
      <c r="AU271" s="281">
        <f t="shared" si="598"/>
        <v>9649.6964463044314</v>
      </c>
      <c r="AV271" s="281">
        <f t="shared" si="598"/>
        <v>9636.2639948482938</v>
      </c>
      <c r="AW271" s="281">
        <f t="shared" si="598"/>
        <v>9625.2371309245736</v>
      </c>
      <c r="AX271" s="281">
        <f t="shared" si="598"/>
        <v>9606.1133228962954</v>
      </c>
      <c r="AY271" s="281">
        <f t="shared" si="490"/>
        <v>1406.013322896295</v>
      </c>
      <c r="AZ271" s="281">
        <f t="shared" si="491"/>
        <v>6766.513322896295</v>
      </c>
    </row>
    <row r="272" spans="2:52" x14ac:dyDescent="0.25">
      <c r="B272" s="294">
        <f t="shared" si="597"/>
        <v>1460</v>
      </c>
      <c r="C272" s="295" t="str">
        <f t="shared" si="597"/>
        <v>CARTERA DE MICROCRÉDITO REFINANCIADA VENCIDA</v>
      </c>
      <c r="D272" s="282"/>
      <c r="E272" s="282"/>
      <c r="F272" s="282"/>
      <c r="G272" s="282"/>
      <c r="H272" s="282"/>
      <c r="I272" s="282"/>
      <c r="J272" s="282"/>
      <c r="K272" s="282"/>
      <c r="L272" s="282"/>
      <c r="M272" s="282"/>
      <c r="N272" s="282"/>
      <c r="O272" s="282"/>
      <c r="P272" s="281">
        <f t="shared" ref="P272:AX272" si="601">P73</f>
        <v>273.38</v>
      </c>
      <c r="Q272" s="281">
        <f t="shared" si="601"/>
        <v>634.84</v>
      </c>
      <c r="R272" s="281">
        <f t="shared" si="601"/>
        <v>661.96</v>
      </c>
      <c r="S272" s="281">
        <f t="shared" si="601"/>
        <v>792.67</v>
      </c>
      <c r="T272" s="281">
        <f t="shared" si="601"/>
        <v>1158.6099999999999</v>
      </c>
      <c r="U272" s="281">
        <f t="shared" si="601"/>
        <v>1146.5899999999999</v>
      </c>
      <c r="V272" s="281">
        <f t="shared" si="601"/>
        <v>1467.34</v>
      </c>
      <c r="W272" s="281">
        <f t="shared" si="601"/>
        <v>1779.44</v>
      </c>
      <c r="X272" s="281">
        <f t="shared" ref="X272:AS272" si="602">X73</f>
        <v>2518.6999999999998</v>
      </c>
      <c r="Y272" s="281">
        <f t="shared" si="602"/>
        <v>3406.6</v>
      </c>
      <c r="Z272" s="281">
        <f t="shared" si="602"/>
        <v>2411.8200000000002</v>
      </c>
      <c r="AA272" s="281">
        <f t="shared" si="602"/>
        <v>132</v>
      </c>
      <c r="AB272" s="281">
        <f t="shared" si="602"/>
        <v>0</v>
      </c>
      <c r="AC272" s="281">
        <f t="shared" ref="AC272:AL272" si="603">AC73</f>
        <v>38.75</v>
      </c>
      <c r="AD272" s="281">
        <f t="shared" si="603"/>
        <v>76.599999999999994</v>
      </c>
      <c r="AE272" s="281">
        <f t="shared" si="603"/>
        <v>248.77</v>
      </c>
      <c r="AF272" s="281">
        <f t="shared" si="603"/>
        <v>157.94999999999999</v>
      </c>
      <c r="AG272" s="281">
        <f t="shared" si="603"/>
        <v>197.4</v>
      </c>
      <c r="AH272" s="281">
        <f t="shared" si="603"/>
        <v>384.21</v>
      </c>
      <c r="AI272" s="281">
        <f t="shared" si="603"/>
        <v>566.9</v>
      </c>
      <c r="AJ272" s="281">
        <f t="shared" si="603"/>
        <v>758.84</v>
      </c>
      <c r="AK272" s="281">
        <f t="shared" si="603"/>
        <v>816.91</v>
      </c>
      <c r="AL272" s="281">
        <f t="shared" si="603"/>
        <v>586.73</v>
      </c>
      <c r="AM272" s="281">
        <f t="shared" si="602"/>
        <v>1684.9888265232512</v>
      </c>
      <c r="AN272" s="281">
        <f t="shared" si="602"/>
        <v>1691.1015265533636</v>
      </c>
      <c r="AO272" s="281">
        <f t="shared" si="602"/>
        <v>1692.3307749878531</v>
      </c>
      <c r="AP272" s="281">
        <f t="shared" si="602"/>
        <v>1695.9051867339545</v>
      </c>
      <c r="AQ272" s="281">
        <f t="shared" si="602"/>
        <v>1697.990223164142</v>
      </c>
      <c r="AR272" s="281">
        <f t="shared" si="602"/>
        <v>1699.7838213191794</v>
      </c>
      <c r="AS272" s="281">
        <f t="shared" si="602"/>
        <v>1700.1026766145035</v>
      </c>
      <c r="AT272" s="281">
        <f t="shared" si="601"/>
        <v>1700.0943294427227</v>
      </c>
      <c r="AU272" s="281">
        <f t="shared" si="601"/>
        <v>1699.1809248647969</v>
      </c>
      <c r="AV272" s="281">
        <f t="shared" si="601"/>
        <v>1696.8156519864795</v>
      </c>
      <c r="AW272" s="281">
        <f t="shared" si="601"/>
        <v>1694.8739705103289</v>
      </c>
      <c r="AX272" s="281">
        <f t="shared" si="601"/>
        <v>1691.5065267784723</v>
      </c>
      <c r="AY272" s="281">
        <f t="shared" si="490"/>
        <v>224.16652677847242</v>
      </c>
      <c r="AZ272" s="281">
        <f t="shared" si="491"/>
        <v>1418.1265267784725</v>
      </c>
    </row>
    <row r="273" spans="1:52" x14ac:dyDescent="0.25">
      <c r="B273" s="294">
        <f t="shared" si="597"/>
        <v>1466</v>
      </c>
      <c r="C273" s="295" t="str">
        <f t="shared" si="597"/>
        <v>CARTERA DE CRÉDITOS CONSUMO REESTRUCTURADA VENCIDA</v>
      </c>
      <c r="D273" s="282"/>
      <c r="E273" s="282"/>
      <c r="F273" s="282"/>
      <c r="G273" s="282"/>
      <c r="H273" s="282"/>
      <c r="I273" s="282"/>
      <c r="J273" s="282"/>
      <c r="K273" s="282"/>
      <c r="L273" s="282"/>
      <c r="M273" s="282"/>
      <c r="N273" s="282"/>
      <c r="O273" s="282"/>
      <c r="P273" s="281">
        <f t="shared" ref="P273:AX273" si="604">P74</f>
        <v>720.31</v>
      </c>
      <c r="Q273" s="281">
        <f t="shared" si="604"/>
        <v>1680.44</v>
      </c>
      <c r="R273" s="281">
        <f t="shared" si="604"/>
        <v>2063.91</v>
      </c>
      <c r="S273" s="281">
        <f t="shared" si="604"/>
        <v>2122.79</v>
      </c>
      <c r="T273" s="281">
        <f t="shared" si="604"/>
        <v>2384.39</v>
      </c>
      <c r="U273" s="281">
        <f t="shared" si="604"/>
        <v>3132.59</v>
      </c>
      <c r="V273" s="281">
        <f t="shared" si="604"/>
        <v>3963.72</v>
      </c>
      <c r="W273" s="281">
        <f t="shared" si="604"/>
        <v>4702.12</v>
      </c>
      <c r="X273" s="281">
        <f t="shared" ref="X273:AS273" si="605">X74</f>
        <v>5320.07</v>
      </c>
      <c r="Y273" s="281">
        <f t="shared" si="605"/>
        <v>6808.21</v>
      </c>
      <c r="Z273" s="281">
        <f t="shared" si="605"/>
        <v>7574.05</v>
      </c>
      <c r="AA273" s="281">
        <f t="shared" si="605"/>
        <v>207.74</v>
      </c>
      <c r="AB273" s="281">
        <f t="shared" si="605"/>
        <v>365.84</v>
      </c>
      <c r="AC273" s="281">
        <f t="shared" ref="AC273:AL273" si="606">AC74</f>
        <v>291.74</v>
      </c>
      <c r="AD273" s="281">
        <f t="shared" si="606"/>
        <v>406.9</v>
      </c>
      <c r="AE273" s="281">
        <f t="shared" si="606"/>
        <v>294.36</v>
      </c>
      <c r="AF273" s="281">
        <f t="shared" si="606"/>
        <v>117.47</v>
      </c>
      <c r="AG273" s="281">
        <f t="shared" si="606"/>
        <v>414.31</v>
      </c>
      <c r="AH273" s="281">
        <f t="shared" si="606"/>
        <v>350.73</v>
      </c>
      <c r="AI273" s="281">
        <f t="shared" si="606"/>
        <v>697.77</v>
      </c>
      <c r="AJ273" s="281">
        <f t="shared" si="606"/>
        <v>457.55</v>
      </c>
      <c r="AK273" s="281">
        <f t="shared" si="606"/>
        <v>655.21</v>
      </c>
      <c r="AL273" s="281">
        <f t="shared" si="606"/>
        <v>756.13</v>
      </c>
      <c r="AM273" s="281">
        <f t="shared" si="605"/>
        <v>1361.4623950830103</v>
      </c>
      <c r="AN273" s="281">
        <f t="shared" si="605"/>
        <v>1375.5118593797838</v>
      </c>
      <c r="AO273" s="281">
        <f t="shared" si="605"/>
        <v>1379.015502230259</v>
      </c>
      <c r="AP273" s="281">
        <f t="shared" si="605"/>
        <v>1382.9275329867821</v>
      </c>
      <c r="AQ273" s="281">
        <f t="shared" si="605"/>
        <v>1382.5335088197271</v>
      </c>
      <c r="AR273" s="281">
        <f t="shared" si="605"/>
        <v>1383.33130072107</v>
      </c>
      <c r="AS273" s="281">
        <f t="shared" si="605"/>
        <v>1379.8658154200391</v>
      </c>
      <c r="AT273" s="281">
        <f t="shared" si="604"/>
        <v>1374.5487914688663</v>
      </c>
      <c r="AU273" s="281">
        <f t="shared" si="604"/>
        <v>1368.6566235759233</v>
      </c>
      <c r="AV273" s="281">
        <f t="shared" si="604"/>
        <v>1358.5440451367824</v>
      </c>
      <c r="AW273" s="281">
        <f t="shared" si="604"/>
        <v>1351.2092601095731</v>
      </c>
      <c r="AX273" s="281">
        <f t="shared" si="604"/>
        <v>1339.7261018629342</v>
      </c>
      <c r="AY273" s="281">
        <f t="shared" si="490"/>
        <v>-2623.9938981370656</v>
      </c>
      <c r="AZ273" s="281">
        <f t="shared" si="491"/>
        <v>619.41610186293428</v>
      </c>
    </row>
    <row r="274" spans="1:52" x14ac:dyDescent="0.25">
      <c r="B274" s="294">
        <f t="shared" si="597"/>
        <v>1468</v>
      </c>
      <c r="C274" s="295" t="str">
        <f t="shared" si="597"/>
        <v>CARTERA DE MICROCRÉDITO REESTRUCTURADA VENCIDA</v>
      </c>
      <c r="D274" s="281">
        <f t="shared" ref="D274:O274" si="607">D75</f>
        <v>4633.6099999999997</v>
      </c>
      <c r="E274" s="281">
        <f t="shared" si="607"/>
        <v>5230.6099999999997</v>
      </c>
      <c r="F274" s="281">
        <f t="shared" si="607"/>
        <v>5494.1</v>
      </c>
      <c r="G274" s="281">
        <f t="shared" si="607"/>
        <v>5604.27</v>
      </c>
      <c r="H274" s="281">
        <f t="shared" si="607"/>
        <v>5123.8100000000004</v>
      </c>
      <c r="I274" s="281">
        <f t="shared" si="607"/>
        <v>3444.25</v>
      </c>
      <c r="J274" s="281">
        <f t="shared" si="607"/>
        <v>2870.46</v>
      </c>
      <c r="K274" s="281">
        <f t="shared" si="607"/>
        <v>2491.79</v>
      </c>
      <c r="L274" s="281">
        <f t="shared" si="607"/>
        <v>1452.6</v>
      </c>
      <c r="M274" s="281">
        <f t="shared" si="607"/>
        <v>1351.97</v>
      </c>
      <c r="N274" s="281">
        <f t="shared" si="607"/>
        <v>1231.24</v>
      </c>
      <c r="O274" s="281">
        <f t="shared" si="607"/>
        <v>1382.08</v>
      </c>
      <c r="P274" s="281">
        <f t="shared" ref="P274:AX274" si="608">P75</f>
        <v>1377.87</v>
      </c>
      <c r="Q274" s="281">
        <f t="shared" si="608"/>
        <v>1386.3</v>
      </c>
      <c r="R274" s="281">
        <f t="shared" si="608"/>
        <v>1231.24</v>
      </c>
      <c r="S274" s="281">
        <f t="shared" si="608"/>
        <v>512.67999999999995</v>
      </c>
      <c r="T274" s="281">
        <f t="shared" si="608"/>
        <v>880.92</v>
      </c>
      <c r="U274" s="281">
        <f t="shared" si="608"/>
        <v>709.33</v>
      </c>
      <c r="V274" s="281">
        <f t="shared" si="608"/>
        <v>1266.3599999999999</v>
      </c>
      <c r="W274" s="281">
        <f t="shared" si="608"/>
        <v>2014.01</v>
      </c>
      <c r="X274" s="281">
        <f t="shared" ref="X274:AS274" si="609">X75</f>
        <v>2012.82</v>
      </c>
      <c r="Y274" s="281">
        <f t="shared" si="609"/>
        <v>2328.06</v>
      </c>
      <c r="Z274" s="281">
        <f t="shared" si="609"/>
        <v>2609.5</v>
      </c>
      <c r="AA274" s="281">
        <f t="shared" si="609"/>
        <v>591.85</v>
      </c>
      <c r="AB274" s="281">
        <f t="shared" si="609"/>
        <v>1755.69</v>
      </c>
      <c r="AC274" s="281">
        <f t="shared" ref="AC274:AL274" si="610">AC75</f>
        <v>1613.22</v>
      </c>
      <c r="AD274" s="281">
        <f t="shared" si="610"/>
        <v>1063.22</v>
      </c>
      <c r="AE274" s="281">
        <f t="shared" si="610"/>
        <v>557.37</v>
      </c>
      <c r="AF274" s="281">
        <f t="shared" si="610"/>
        <v>790.11</v>
      </c>
      <c r="AG274" s="281">
        <f t="shared" si="610"/>
        <v>550.55999999999995</v>
      </c>
      <c r="AH274" s="281">
        <f t="shared" si="610"/>
        <v>472.57</v>
      </c>
      <c r="AI274" s="281">
        <f t="shared" si="610"/>
        <v>759.71</v>
      </c>
      <c r="AJ274" s="281">
        <f t="shared" si="610"/>
        <v>569.74</v>
      </c>
      <c r="AK274" s="281">
        <f t="shared" si="610"/>
        <v>336.41</v>
      </c>
      <c r="AL274" s="281">
        <f t="shared" si="610"/>
        <v>173.42</v>
      </c>
      <c r="AM274" s="281">
        <f t="shared" si="609"/>
        <v>583.14098285903663</v>
      </c>
      <c r="AN274" s="281">
        <f t="shared" si="609"/>
        <v>589.15864331609532</v>
      </c>
      <c r="AO274" s="281">
        <f t="shared" si="609"/>
        <v>590.65932210295864</v>
      </c>
      <c r="AP274" s="281">
        <f t="shared" si="609"/>
        <v>592.33492142070156</v>
      </c>
      <c r="AQ274" s="281">
        <f t="shared" si="609"/>
        <v>592.16615316028049</v>
      </c>
      <c r="AR274" s="281">
        <f t="shared" si="609"/>
        <v>592.50786304161568</v>
      </c>
      <c r="AS274" s="281">
        <f t="shared" si="609"/>
        <v>591.02352787978884</v>
      </c>
      <c r="AT274" s="281">
        <f t="shared" si="608"/>
        <v>588.74614248598743</v>
      </c>
      <c r="AU274" s="281">
        <f t="shared" si="608"/>
        <v>586.22241168837559</v>
      </c>
      <c r="AV274" s="281">
        <f t="shared" si="608"/>
        <v>581.8909964751922</v>
      </c>
      <c r="AW274" s="281">
        <f t="shared" si="608"/>
        <v>578.74936453201553</v>
      </c>
      <c r="AX274" s="281">
        <f t="shared" si="608"/>
        <v>573.83090316983998</v>
      </c>
      <c r="AY274" s="281">
        <f t="shared" si="490"/>
        <v>-692.52909683015992</v>
      </c>
      <c r="AZ274" s="281">
        <f t="shared" si="491"/>
        <v>-804.03909683015991</v>
      </c>
    </row>
    <row r="275" spans="1:52" x14ac:dyDescent="0.25">
      <c r="B275" s="294">
        <f t="shared" ref="B275:AX275" si="611">B80</f>
        <v>1493</v>
      </c>
      <c r="C275" s="297" t="str">
        <f t="shared" si="611"/>
        <v>CARTERA REFINACIADA COVID 19 VENCIDA</v>
      </c>
      <c r="D275" s="281">
        <f t="shared" si="611"/>
        <v>1338.91</v>
      </c>
      <c r="E275" s="281">
        <f t="shared" si="611"/>
        <v>1552.16</v>
      </c>
      <c r="F275" s="281">
        <f t="shared" si="611"/>
        <v>1552.16</v>
      </c>
      <c r="G275" s="281">
        <f t="shared" si="611"/>
        <v>1775.71</v>
      </c>
      <c r="H275" s="281">
        <f t="shared" si="611"/>
        <v>1775.71</v>
      </c>
      <c r="I275" s="281">
        <f t="shared" si="611"/>
        <v>2000.84</v>
      </c>
      <c r="J275" s="281">
        <f t="shared" si="611"/>
        <v>2000.84</v>
      </c>
      <c r="K275" s="281">
        <f t="shared" si="611"/>
        <v>2232.14</v>
      </c>
      <c r="L275" s="281">
        <f t="shared" si="611"/>
        <v>2349.17</v>
      </c>
      <c r="M275" s="281">
        <f t="shared" si="611"/>
        <v>2349.17</v>
      </c>
      <c r="N275" s="281">
        <f t="shared" si="611"/>
        <v>1590.02</v>
      </c>
      <c r="O275" s="281">
        <f t="shared" si="611"/>
        <v>1590.02</v>
      </c>
      <c r="P275" s="281">
        <f t="shared" si="611"/>
        <v>2312.89</v>
      </c>
      <c r="Q275" s="281">
        <f t="shared" si="611"/>
        <v>2010.75</v>
      </c>
      <c r="R275" s="281">
        <f t="shared" si="611"/>
        <v>2010.75</v>
      </c>
      <c r="S275" s="281">
        <f t="shared" si="611"/>
        <v>3079.92</v>
      </c>
      <c r="T275" s="281">
        <f t="shared" si="611"/>
        <v>2239.7399999999998</v>
      </c>
      <c r="U275" s="281">
        <f t="shared" si="611"/>
        <v>3491.27</v>
      </c>
      <c r="V275" s="281">
        <f t="shared" si="611"/>
        <v>3160.04</v>
      </c>
      <c r="W275" s="281">
        <f t="shared" si="611"/>
        <v>4111.8</v>
      </c>
      <c r="X275" s="281">
        <f t="shared" ref="X275:AS275" si="612">X80</f>
        <v>4386.18</v>
      </c>
      <c r="Y275" s="281">
        <f t="shared" si="612"/>
        <v>3743.83</v>
      </c>
      <c r="Z275" s="281">
        <f t="shared" si="612"/>
        <v>4204.24</v>
      </c>
      <c r="AA275" s="281">
        <f t="shared" si="612"/>
        <v>0</v>
      </c>
      <c r="AB275" s="281">
        <f t="shared" si="612"/>
        <v>743.13</v>
      </c>
      <c r="AC275" s="281">
        <f t="shared" ref="AC275:AL275" si="613">AC80</f>
        <v>1110.56</v>
      </c>
      <c r="AD275" s="281">
        <f t="shared" si="613"/>
        <v>0</v>
      </c>
      <c r="AE275" s="281">
        <f t="shared" si="613"/>
        <v>314.60000000000002</v>
      </c>
      <c r="AF275" s="281">
        <f t="shared" si="613"/>
        <v>636.53</v>
      </c>
      <c r="AG275" s="281">
        <f t="shared" si="613"/>
        <v>225.16</v>
      </c>
      <c r="AH275" s="281">
        <f t="shared" si="613"/>
        <v>457.01</v>
      </c>
      <c r="AI275" s="281">
        <f t="shared" si="613"/>
        <v>212.2</v>
      </c>
      <c r="AJ275" s="281">
        <f t="shared" si="613"/>
        <v>602.11</v>
      </c>
      <c r="AK275" s="281">
        <f t="shared" si="613"/>
        <v>999.29</v>
      </c>
      <c r="AL275" s="281">
        <f t="shared" si="613"/>
        <v>1139.32</v>
      </c>
      <c r="AM275" s="281">
        <f t="shared" si="612"/>
        <v>3893.5491260724184</v>
      </c>
      <c r="AN275" s="281">
        <f t="shared" si="612"/>
        <v>3907.6739068932475</v>
      </c>
      <c r="AO275" s="281">
        <f t="shared" si="612"/>
        <v>3910.5143644040004</v>
      </c>
      <c r="AP275" s="281">
        <f t="shared" si="612"/>
        <v>3918.7738540286123</v>
      </c>
      <c r="AQ275" s="281">
        <f t="shared" si="612"/>
        <v>3923.5918039418689</v>
      </c>
      <c r="AR275" s="281">
        <f t="shared" si="612"/>
        <v>3927.7363195725629</v>
      </c>
      <c r="AS275" s="281">
        <f t="shared" si="612"/>
        <v>3928.473107103086</v>
      </c>
      <c r="AT275" s="281">
        <f t="shared" si="611"/>
        <v>3928.4538190681264</v>
      </c>
      <c r="AU275" s="281">
        <f t="shared" si="611"/>
        <v>3926.3431904751337</v>
      </c>
      <c r="AV275" s="281">
        <f t="shared" si="611"/>
        <v>3920.8776906431267</v>
      </c>
      <c r="AW275" s="281">
        <f t="shared" si="611"/>
        <v>3916.390994888488</v>
      </c>
      <c r="AX275" s="281">
        <f t="shared" si="611"/>
        <v>3908.6097518363767</v>
      </c>
      <c r="AY275" s="281">
        <f t="shared" si="490"/>
        <v>748.56975183637678</v>
      </c>
      <c r="AZ275" s="281">
        <f t="shared" si="491"/>
        <v>1595.7197518363769</v>
      </c>
    </row>
    <row r="276" spans="1:52" x14ac:dyDescent="0.25">
      <c r="B276" s="294">
        <f t="shared" ref="B276:AX276" si="614">B88</f>
        <v>1496</v>
      </c>
      <c r="C276" s="297" t="str">
        <f t="shared" si="614"/>
        <v>CARTERA REESTRUCTURADA COVID 19 VENCIDA</v>
      </c>
      <c r="D276" s="281">
        <f t="shared" si="614"/>
        <v>18748.400000000001</v>
      </c>
      <c r="E276" s="281">
        <f t="shared" si="614"/>
        <v>22888.400000000001</v>
      </c>
      <c r="F276" s="281">
        <f t="shared" si="614"/>
        <v>22179.05</v>
      </c>
      <c r="G276" s="281">
        <f t="shared" si="614"/>
        <v>25886.51</v>
      </c>
      <c r="H276" s="281">
        <f t="shared" si="614"/>
        <v>25142.07</v>
      </c>
      <c r="I276" s="281">
        <f t="shared" si="614"/>
        <v>28166.85</v>
      </c>
      <c r="J276" s="281">
        <f t="shared" si="614"/>
        <v>27424.73</v>
      </c>
      <c r="K276" s="281">
        <f t="shared" si="614"/>
        <v>30978.3</v>
      </c>
      <c r="L276" s="281">
        <f t="shared" si="614"/>
        <v>33088.61</v>
      </c>
      <c r="M276" s="281">
        <f t="shared" si="614"/>
        <v>32589.62</v>
      </c>
      <c r="N276" s="281">
        <f t="shared" si="614"/>
        <v>31268.560000000001</v>
      </c>
      <c r="O276" s="281">
        <f t="shared" si="614"/>
        <v>31256.45</v>
      </c>
      <c r="P276" s="281">
        <f t="shared" si="614"/>
        <v>34403.129999999997</v>
      </c>
      <c r="Q276" s="281">
        <f t="shared" si="614"/>
        <v>29950.080000000002</v>
      </c>
      <c r="R276" s="281">
        <f t="shared" si="614"/>
        <v>30095.95</v>
      </c>
      <c r="S276" s="281">
        <f t="shared" si="614"/>
        <v>33317.17</v>
      </c>
      <c r="T276" s="281">
        <f t="shared" si="614"/>
        <v>32422.85</v>
      </c>
      <c r="U276" s="281">
        <f t="shared" si="614"/>
        <v>36492.870000000003</v>
      </c>
      <c r="V276" s="281">
        <f t="shared" si="614"/>
        <v>35458.71</v>
      </c>
      <c r="W276" s="281">
        <f t="shared" si="614"/>
        <v>39590.199999999997</v>
      </c>
      <c r="X276" s="281">
        <f t="shared" ref="X276:AS276" si="615">X88</f>
        <v>40998.79</v>
      </c>
      <c r="Y276" s="281">
        <f t="shared" si="615"/>
        <v>40815.800000000003</v>
      </c>
      <c r="Z276" s="281">
        <f t="shared" si="615"/>
        <v>4018.68</v>
      </c>
      <c r="AA276" s="281">
        <f t="shared" si="615"/>
        <v>688.19</v>
      </c>
      <c r="AB276" s="281">
        <f t="shared" si="615"/>
        <v>1814.87</v>
      </c>
      <c r="AC276" s="281">
        <f t="shared" ref="AC276:AL276" si="616">AC88</f>
        <v>1779.12</v>
      </c>
      <c r="AD276" s="281">
        <f t="shared" si="616"/>
        <v>1170.1400000000001</v>
      </c>
      <c r="AE276" s="281">
        <f t="shared" si="616"/>
        <v>966.92</v>
      </c>
      <c r="AF276" s="281">
        <f t="shared" si="616"/>
        <v>1060.31</v>
      </c>
      <c r="AG276" s="281">
        <f t="shared" si="616"/>
        <v>758.95</v>
      </c>
      <c r="AH276" s="281">
        <f t="shared" si="616"/>
        <v>570.02</v>
      </c>
      <c r="AI276" s="281">
        <f t="shared" si="616"/>
        <v>432.3</v>
      </c>
      <c r="AJ276" s="281">
        <f t="shared" si="616"/>
        <v>438.27</v>
      </c>
      <c r="AK276" s="281">
        <f t="shared" si="616"/>
        <v>2</v>
      </c>
      <c r="AL276" s="281">
        <f t="shared" si="616"/>
        <v>981.84</v>
      </c>
      <c r="AM276" s="281">
        <f t="shared" si="615"/>
        <v>11463.035506072874</v>
      </c>
      <c r="AN276" s="281">
        <f t="shared" si="615"/>
        <v>11581.327064221565</v>
      </c>
      <c r="AO276" s="281">
        <f t="shared" si="615"/>
        <v>11610.826507276801</v>
      </c>
      <c r="AP276" s="281">
        <f t="shared" si="615"/>
        <v>11643.764433160637</v>
      </c>
      <c r="AQ276" s="281">
        <f t="shared" si="615"/>
        <v>11640.446887972817</v>
      </c>
      <c r="AR276" s="281">
        <f t="shared" si="615"/>
        <v>11647.164015764653</v>
      </c>
      <c r="AS276" s="281">
        <f t="shared" si="615"/>
        <v>11617.985845882798</v>
      </c>
      <c r="AT276" s="281">
        <f t="shared" si="614"/>
        <v>11573.218370439441</v>
      </c>
      <c r="AU276" s="281">
        <f t="shared" si="614"/>
        <v>11523.608384876503</v>
      </c>
      <c r="AV276" s="281">
        <f t="shared" si="614"/>
        <v>11438.464023839084</v>
      </c>
      <c r="AW276" s="281">
        <f t="shared" si="614"/>
        <v>11376.707708350703</v>
      </c>
      <c r="AX276" s="281">
        <f t="shared" si="614"/>
        <v>11280.023546394803</v>
      </c>
      <c r="AY276" s="281">
        <f t="shared" si="490"/>
        <v>-24178.686453605194</v>
      </c>
      <c r="AZ276" s="281">
        <f t="shared" si="491"/>
        <v>-23123.106453605193</v>
      </c>
    </row>
    <row r="277" spans="1:52" s="229" customFormat="1" x14ac:dyDescent="0.25">
      <c r="B277" s="283"/>
      <c r="C277" s="300" t="s">
        <v>195</v>
      </c>
      <c r="D277" s="293">
        <f t="shared" ref="D277:H277" si="617">SUM(D278:D280)</f>
        <v>40716.68</v>
      </c>
      <c r="E277" s="293">
        <f t="shared" si="617"/>
        <v>39926.21</v>
      </c>
      <c r="F277" s="293">
        <f t="shared" si="617"/>
        <v>39124.810000000005</v>
      </c>
      <c r="G277" s="293">
        <f t="shared" si="617"/>
        <v>38268.980000000003</v>
      </c>
      <c r="H277" s="293">
        <f t="shared" si="617"/>
        <v>37725.43</v>
      </c>
      <c r="I277" s="293">
        <f t="shared" ref="I277:O277" si="618">SUM(I278:I280)</f>
        <v>36595.24</v>
      </c>
      <c r="J277" s="293">
        <f t="shared" si="618"/>
        <v>35896.219999999994</v>
      </c>
      <c r="K277" s="293">
        <f t="shared" si="618"/>
        <v>34734.54</v>
      </c>
      <c r="L277" s="293">
        <f t="shared" si="618"/>
        <v>34004.39</v>
      </c>
      <c r="M277" s="293">
        <f t="shared" si="618"/>
        <v>33340.450000000004</v>
      </c>
      <c r="N277" s="293">
        <f t="shared" si="618"/>
        <v>31213.8</v>
      </c>
      <c r="O277" s="293">
        <f t="shared" si="618"/>
        <v>30614.350000000002</v>
      </c>
      <c r="P277" s="293">
        <f t="shared" ref="P277:Q277" si="619">SUM(P278:P280)</f>
        <v>29844.43</v>
      </c>
      <c r="Q277" s="293">
        <f t="shared" si="619"/>
        <v>28710.010000000002</v>
      </c>
      <c r="R277" s="293">
        <f t="shared" ref="R277" si="620">SUM(R278:R280)</f>
        <v>27864.43</v>
      </c>
      <c r="S277" s="293">
        <f t="shared" ref="S277" si="621">SUM(S278:S280)</f>
        <v>27373.119999999995</v>
      </c>
      <c r="T277" s="293">
        <f t="shared" ref="T277" si="622">SUM(T278:T280)</f>
        <v>26048.75</v>
      </c>
      <c r="U277" s="293">
        <f t="shared" ref="U277" si="623">SUM(U278:U280)</f>
        <v>25551.34</v>
      </c>
      <c r="V277" s="293">
        <f t="shared" ref="V277" si="624">SUM(V278:V280)</f>
        <v>24722.350000000002</v>
      </c>
      <c r="W277" s="293">
        <f t="shared" ref="W277:AS277" si="625">SUM(W278:W280)</f>
        <v>23877.57</v>
      </c>
      <c r="X277" s="293">
        <f t="shared" si="625"/>
        <v>22985.58</v>
      </c>
      <c r="Y277" s="293">
        <f t="shared" si="625"/>
        <v>21824.440000000002</v>
      </c>
      <c r="Z277" s="293">
        <f t="shared" si="625"/>
        <v>20588.07</v>
      </c>
      <c r="AA277" s="293">
        <f t="shared" si="625"/>
        <v>13554.21</v>
      </c>
      <c r="AB277" s="293">
        <f t="shared" si="625"/>
        <v>139832.85</v>
      </c>
      <c r="AC277" s="293">
        <f t="shared" ref="AC277:AL277" si="626">SUM(AC278:AC280)</f>
        <v>159712.29</v>
      </c>
      <c r="AD277" s="293">
        <f t="shared" si="626"/>
        <v>156589.47</v>
      </c>
      <c r="AE277" s="293">
        <f t="shared" si="626"/>
        <v>140423.82</v>
      </c>
      <c r="AF277" s="293">
        <f t="shared" si="626"/>
        <v>137913.59</v>
      </c>
      <c r="AG277" s="293">
        <f t="shared" si="626"/>
        <v>134762.99000000002</v>
      </c>
      <c r="AH277" s="293">
        <f t="shared" si="626"/>
        <v>132104.87</v>
      </c>
      <c r="AI277" s="293">
        <f t="shared" si="626"/>
        <v>129109.19</v>
      </c>
      <c r="AJ277" s="293">
        <f t="shared" si="626"/>
        <v>126380.63</v>
      </c>
      <c r="AK277" s="293">
        <f t="shared" si="626"/>
        <v>119199.63999999998</v>
      </c>
      <c r="AL277" s="293">
        <f t="shared" si="626"/>
        <v>115962.57</v>
      </c>
      <c r="AM277" s="293">
        <f t="shared" si="625"/>
        <v>22610.168735403717</v>
      </c>
      <c r="AN277" s="293">
        <f t="shared" si="625"/>
        <v>22692.192531012453</v>
      </c>
      <c r="AO277" s="293">
        <f t="shared" si="625"/>
        <v>22708.687307763517</v>
      </c>
      <c r="AP277" s="293">
        <f t="shared" si="625"/>
        <v>22756.650861845897</v>
      </c>
      <c r="AQ277" s="293">
        <f t="shared" si="625"/>
        <v>22784.629104053762</v>
      </c>
      <c r="AR277" s="293">
        <f t="shared" si="625"/>
        <v>22808.696656485296</v>
      </c>
      <c r="AS277" s="293">
        <f t="shared" si="625"/>
        <v>22812.97524392515</v>
      </c>
      <c r="AT277" s="293">
        <f t="shared" ref="AT277" si="627">SUM(AT278:AT280)</f>
        <v>22812.863236676523</v>
      </c>
      <c r="AU277" s="293">
        <f t="shared" ref="AU277" si="628">SUM(AU278:AU280)</f>
        <v>22800.606638113073</v>
      </c>
      <c r="AV277" s="293">
        <f t="shared" ref="AV277" si="629">SUM(AV278:AV280)</f>
        <v>22768.86801881648</v>
      </c>
      <c r="AW277" s="293">
        <f t="shared" ref="AW277" si="630">SUM(AW278:AW280)</f>
        <v>22742.813397494894</v>
      </c>
      <c r="AX277" s="293">
        <f t="shared" ref="AX277" si="631">SUM(AX278:AX280)</f>
        <v>22697.627061665378</v>
      </c>
      <c r="AY277" s="293">
        <f t="shared" si="490"/>
        <v>-2024.7229383346239</v>
      </c>
      <c r="AZ277" s="293">
        <f t="shared" si="491"/>
        <v>-7146.802938334622</v>
      </c>
    </row>
    <row r="278" spans="1:52" x14ac:dyDescent="0.25">
      <c r="B278" s="283"/>
      <c r="C278" s="284" t="s">
        <v>726</v>
      </c>
      <c r="D278" s="281">
        <f t="shared" ref="D278:H278" si="632">D253</f>
        <v>33973.81</v>
      </c>
      <c r="E278" s="281">
        <f t="shared" si="632"/>
        <v>33183.339999999997</v>
      </c>
      <c r="F278" s="281">
        <f t="shared" si="632"/>
        <v>32381.94</v>
      </c>
      <c r="G278" s="281">
        <f t="shared" si="632"/>
        <v>31526.11</v>
      </c>
      <c r="H278" s="281">
        <f t="shared" si="632"/>
        <v>30982.560000000001</v>
      </c>
      <c r="I278" s="281">
        <f t="shared" ref="I278:O278" si="633">I253</f>
        <v>29852.37</v>
      </c>
      <c r="J278" s="281">
        <f t="shared" si="633"/>
        <v>29153.35</v>
      </c>
      <c r="K278" s="281">
        <f t="shared" si="633"/>
        <v>27991.67</v>
      </c>
      <c r="L278" s="281">
        <f t="shared" si="633"/>
        <v>27261.52</v>
      </c>
      <c r="M278" s="281">
        <f t="shared" si="633"/>
        <v>26597.58</v>
      </c>
      <c r="N278" s="281">
        <f t="shared" si="633"/>
        <v>25470.93</v>
      </c>
      <c r="O278" s="281">
        <f t="shared" si="633"/>
        <v>24871.48</v>
      </c>
      <c r="P278" s="281">
        <f t="shared" ref="P278" si="634">P253</f>
        <v>17963.71</v>
      </c>
      <c r="Q278" s="281">
        <f t="shared" ref="Q278:AX278" si="635">Q253</f>
        <v>17574.72</v>
      </c>
      <c r="R278" s="281">
        <f t="shared" si="635"/>
        <v>16729.14</v>
      </c>
      <c r="S278" s="281">
        <f t="shared" si="635"/>
        <v>15104.9</v>
      </c>
      <c r="T278" s="281">
        <f t="shared" si="635"/>
        <v>14620.71</v>
      </c>
      <c r="U278" s="281">
        <f t="shared" si="635"/>
        <v>14123.3</v>
      </c>
      <c r="V278" s="281">
        <f t="shared" si="635"/>
        <v>13625.54</v>
      </c>
      <c r="W278" s="281">
        <f t="shared" si="635"/>
        <v>13114.82</v>
      </c>
      <c r="X278" s="281">
        <f t="shared" ref="X278:AS278" si="636">X253</f>
        <v>12603.11</v>
      </c>
      <c r="Y278" s="281">
        <f t="shared" si="636"/>
        <v>12084.32</v>
      </c>
      <c r="Z278" s="281">
        <f t="shared" si="636"/>
        <v>11552.97</v>
      </c>
      <c r="AA278" s="281">
        <f t="shared" si="636"/>
        <v>13554.21</v>
      </c>
      <c r="AB278" s="281">
        <f t="shared" si="636"/>
        <v>131362.76999999999</v>
      </c>
      <c r="AC278" s="281">
        <f t="shared" ref="AC278:AL278" si="637">AC253</f>
        <v>157444</v>
      </c>
      <c r="AD278" s="281">
        <f t="shared" si="637"/>
        <v>156589.47</v>
      </c>
      <c r="AE278" s="281">
        <f t="shared" si="637"/>
        <v>123438.48</v>
      </c>
      <c r="AF278" s="281">
        <f t="shared" si="637"/>
        <v>126359.67999999999</v>
      </c>
      <c r="AG278" s="281">
        <f t="shared" si="637"/>
        <v>128834.32</v>
      </c>
      <c r="AH278" s="281">
        <f t="shared" si="637"/>
        <v>126176.2</v>
      </c>
      <c r="AI278" s="281">
        <f t="shared" si="637"/>
        <v>123914.41</v>
      </c>
      <c r="AJ278" s="281">
        <f t="shared" si="637"/>
        <v>115548.58</v>
      </c>
      <c r="AK278" s="281">
        <f t="shared" si="637"/>
        <v>111914.43</v>
      </c>
      <c r="AL278" s="281">
        <f t="shared" si="637"/>
        <v>98200.69</v>
      </c>
      <c r="AM278" s="281">
        <f t="shared" si="636"/>
        <v>12418.696422393374</v>
      </c>
      <c r="AN278" s="281">
        <f t="shared" si="636"/>
        <v>12463.748214310448</v>
      </c>
      <c r="AO278" s="281">
        <f t="shared" si="636"/>
        <v>12472.808015120598</v>
      </c>
      <c r="AP278" s="281">
        <f t="shared" si="636"/>
        <v>12499.15212711988</v>
      </c>
      <c r="AQ278" s="281">
        <f t="shared" si="636"/>
        <v>12514.519252437594</v>
      </c>
      <c r="AR278" s="281">
        <f t="shared" si="636"/>
        <v>12527.738420802723</v>
      </c>
      <c r="AS278" s="281">
        <f t="shared" si="636"/>
        <v>12530.08844654353</v>
      </c>
      <c r="AT278" s="281">
        <f t="shared" si="635"/>
        <v>12530.026926258826</v>
      </c>
      <c r="AU278" s="281">
        <f t="shared" si="635"/>
        <v>12523.294956298238</v>
      </c>
      <c r="AV278" s="281">
        <f t="shared" si="635"/>
        <v>12505.862433678752</v>
      </c>
      <c r="AW278" s="281">
        <f t="shared" si="635"/>
        <v>12491.551862343362</v>
      </c>
      <c r="AX278" s="281">
        <f t="shared" si="635"/>
        <v>12466.733144992157</v>
      </c>
      <c r="AY278" s="281">
        <f t="shared" si="490"/>
        <v>-1158.8068550078442</v>
      </c>
      <c r="AZ278" s="281">
        <f t="shared" si="491"/>
        <v>-5496.9768550078425</v>
      </c>
    </row>
    <row r="279" spans="1:52" x14ac:dyDescent="0.25">
      <c r="B279" s="290"/>
      <c r="C279" s="284" t="s">
        <v>727</v>
      </c>
      <c r="D279" s="281">
        <f t="shared" ref="D279:H279" si="638">D264</f>
        <v>5403.96</v>
      </c>
      <c r="E279" s="281">
        <f t="shared" si="638"/>
        <v>5190.71</v>
      </c>
      <c r="F279" s="281">
        <f t="shared" si="638"/>
        <v>5190.71</v>
      </c>
      <c r="G279" s="281">
        <f t="shared" si="638"/>
        <v>4967.16</v>
      </c>
      <c r="H279" s="281">
        <f t="shared" si="638"/>
        <v>4967.16</v>
      </c>
      <c r="I279" s="281">
        <f t="shared" ref="I279:O279" si="639">I264</f>
        <v>4742.03</v>
      </c>
      <c r="J279" s="281">
        <f t="shared" si="639"/>
        <v>4742.03</v>
      </c>
      <c r="K279" s="281">
        <f t="shared" si="639"/>
        <v>4510.7299999999996</v>
      </c>
      <c r="L279" s="281">
        <f t="shared" si="639"/>
        <v>4393.7</v>
      </c>
      <c r="M279" s="281">
        <f t="shared" si="639"/>
        <v>4393.7</v>
      </c>
      <c r="N279" s="281">
        <f t="shared" si="639"/>
        <v>4152.8500000000004</v>
      </c>
      <c r="O279" s="281">
        <f t="shared" si="639"/>
        <v>4152.8500000000004</v>
      </c>
      <c r="P279" s="281">
        <f t="shared" ref="P279" si="640">P264</f>
        <v>9567.83</v>
      </c>
      <c r="Q279" s="281">
        <f t="shared" ref="Q279:AX279" si="641">Q264</f>
        <v>9124.5400000000009</v>
      </c>
      <c r="R279" s="281">
        <f t="shared" si="641"/>
        <v>9124.5400000000009</v>
      </c>
      <c r="S279" s="281">
        <f t="shared" si="641"/>
        <v>9188.2999999999993</v>
      </c>
      <c r="T279" s="281">
        <f t="shared" si="641"/>
        <v>9188.2999999999993</v>
      </c>
      <c r="U279" s="281">
        <f t="shared" si="641"/>
        <v>7936.77</v>
      </c>
      <c r="V279" s="281">
        <f t="shared" si="641"/>
        <v>7936.77</v>
      </c>
      <c r="W279" s="281">
        <f t="shared" si="641"/>
        <v>6650.95</v>
      </c>
      <c r="X279" s="281">
        <f t="shared" ref="X279:AS279" si="642">X264</f>
        <v>5996.29</v>
      </c>
      <c r="Y279" s="281">
        <f t="shared" si="642"/>
        <v>5996.29</v>
      </c>
      <c r="Z279" s="281">
        <f t="shared" si="642"/>
        <v>4830.8599999999997</v>
      </c>
      <c r="AA279" s="281">
        <f t="shared" si="642"/>
        <v>0</v>
      </c>
      <c r="AB279" s="281">
        <f t="shared" si="642"/>
        <v>7726.95</v>
      </c>
      <c r="AC279" s="281">
        <f t="shared" ref="AC279:AL279" si="643">AC264</f>
        <v>1157.73</v>
      </c>
      <c r="AD279" s="281">
        <f t="shared" si="643"/>
        <v>0</v>
      </c>
      <c r="AE279" s="281">
        <f t="shared" si="643"/>
        <v>16670.740000000002</v>
      </c>
      <c r="AF279" s="281">
        <f t="shared" si="643"/>
        <v>10917.38</v>
      </c>
      <c r="AG279" s="281">
        <f t="shared" si="643"/>
        <v>5703.51</v>
      </c>
      <c r="AH279" s="281">
        <f t="shared" si="643"/>
        <v>5471.66</v>
      </c>
      <c r="AI279" s="281">
        <f t="shared" si="643"/>
        <v>4982.58</v>
      </c>
      <c r="AJ279" s="281">
        <f t="shared" si="643"/>
        <v>10229.94</v>
      </c>
      <c r="AK279" s="281">
        <f t="shared" si="643"/>
        <v>6285.92</v>
      </c>
      <c r="AL279" s="281">
        <f t="shared" si="643"/>
        <v>16622.560000000001</v>
      </c>
      <c r="AM279" s="281">
        <f t="shared" si="642"/>
        <v>6297.9231869379228</v>
      </c>
      <c r="AN279" s="281">
        <f t="shared" si="642"/>
        <v>6320.7704098087561</v>
      </c>
      <c r="AO279" s="281">
        <f t="shared" si="642"/>
        <v>6325.3649282389188</v>
      </c>
      <c r="AP279" s="281">
        <f t="shared" si="642"/>
        <v>6338.7248806974067</v>
      </c>
      <c r="AQ279" s="281">
        <f t="shared" si="642"/>
        <v>6346.5180476742971</v>
      </c>
      <c r="AR279" s="281">
        <f t="shared" si="642"/>
        <v>6353.2219161100093</v>
      </c>
      <c r="AS279" s="281">
        <f t="shared" si="642"/>
        <v>6354.4136902785322</v>
      </c>
      <c r="AT279" s="281">
        <f t="shared" si="641"/>
        <v>6354.3824913495682</v>
      </c>
      <c r="AU279" s="281">
        <f t="shared" si="641"/>
        <v>6350.9684913397032</v>
      </c>
      <c r="AV279" s="281">
        <f t="shared" si="641"/>
        <v>6342.1278944946016</v>
      </c>
      <c r="AW279" s="281">
        <f t="shared" si="641"/>
        <v>6334.8705402630449</v>
      </c>
      <c r="AX279" s="281">
        <f t="shared" si="641"/>
        <v>6322.2841648368476</v>
      </c>
      <c r="AY279" s="281">
        <f t="shared" si="490"/>
        <v>-1614.4858351631528</v>
      </c>
      <c r="AZ279" s="281">
        <f t="shared" si="491"/>
        <v>-3245.5458351631523</v>
      </c>
    </row>
    <row r="280" spans="1:52" x14ac:dyDescent="0.25">
      <c r="B280" s="283"/>
      <c r="C280" s="284" t="s">
        <v>728</v>
      </c>
      <c r="D280" s="281">
        <f t="shared" ref="D280:H280" si="644">D275</f>
        <v>1338.91</v>
      </c>
      <c r="E280" s="281">
        <f t="shared" si="644"/>
        <v>1552.16</v>
      </c>
      <c r="F280" s="281">
        <f t="shared" si="644"/>
        <v>1552.16</v>
      </c>
      <c r="G280" s="281">
        <f t="shared" si="644"/>
        <v>1775.71</v>
      </c>
      <c r="H280" s="281">
        <f t="shared" si="644"/>
        <v>1775.71</v>
      </c>
      <c r="I280" s="281">
        <f t="shared" ref="I280:O280" si="645">I275</f>
        <v>2000.84</v>
      </c>
      <c r="J280" s="281">
        <f t="shared" si="645"/>
        <v>2000.84</v>
      </c>
      <c r="K280" s="281">
        <f t="shared" si="645"/>
        <v>2232.14</v>
      </c>
      <c r="L280" s="281">
        <f t="shared" si="645"/>
        <v>2349.17</v>
      </c>
      <c r="M280" s="281">
        <f t="shared" si="645"/>
        <v>2349.17</v>
      </c>
      <c r="N280" s="281">
        <f t="shared" si="645"/>
        <v>1590.02</v>
      </c>
      <c r="O280" s="281">
        <f t="shared" si="645"/>
        <v>1590.02</v>
      </c>
      <c r="P280" s="281">
        <f t="shared" ref="P280" si="646">P275</f>
        <v>2312.89</v>
      </c>
      <c r="Q280" s="281">
        <f t="shared" ref="Q280:AX280" si="647">Q275</f>
        <v>2010.75</v>
      </c>
      <c r="R280" s="281">
        <f t="shared" si="647"/>
        <v>2010.75</v>
      </c>
      <c r="S280" s="281">
        <f t="shared" si="647"/>
        <v>3079.92</v>
      </c>
      <c r="T280" s="281">
        <f t="shared" si="647"/>
        <v>2239.7399999999998</v>
      </c>
      <c r="U280" s="281">
        <f t="shared" si="647"/>
        <v>3491.27</v>
      </c>
      <c r="V280" s="281">
        <f t="shared" si="647"/>
        <v>3160.04</v>
      </c>
      <c r="W280" s="281">
        <f t="shared" si="647"/>
        <v>4111.8</v>
      </c>
      <c r="X280" s="281">
        <f t="shared" ref="X280:AS280" si="648">X275</f>
        <v>4386.18</v>
      </c>
      <c r="Y280" s="281">
        <f t="shared" si="648"/>
        <v>3743.83</v>
      </c>
      <c r="Z280" s="281">
        <f t="shared" si="648"/>
        <v>4204.24</v>
      </c>
      <c r="AA280" s="281">
        <f t="shared" si="648"/>
        <v>0</v>
      </c>
      <c r="AB280" s="281">
        <f t="shared" si="648"/>
        <v>743.13</v>
      </c>
      <c r="AC280" s="281">
        <f t="shared" ref="AC280:AL280" si="649">AC275</f>
        <v>1110.56</v>
      </c>
      <c r="AD280" s="281">
        <f t="shared" si="649"/>
        <v>0</v>
      </c>
      <c r="AE280" s="281">
        <f t="shared" si="649"/>
        <v>314.60000000000002</v>
      </c>
      <c r="AF280" s="281">
        <f t="shared" si="649"/>
        <v>636.53</v>
      </c>
      <c r="AG280" s="281">
        <f t="shared" si="649"/>
        <v>225.16</v>
      </c>
      <c r="AH280" s="281">
        <f t="shared" si="649"/>
        <v>457.01</v>
      </c>
      <c r="AI280" s="281">
        <f t="shared" si="649"/>
        <v>212.2</v>
      </c>
      <c r="AJ280" s="281">
        <f t="shared" si="649"/>
        <v>602.11</v>
      </c>
      <c r="AK280" s="281">
        <f t="shared" si="649"/>
        <v>999.29</v>
      </c>
      <c r="AL280" s="281">
        <f t="shared" si="649"/>
        <v>1139.32</v>
      </c>
      <c r="AM280" s="281">
        <f t="shared" si="648"/>
        <v>3893.5491260724184</v>
      </c>
      <c r="AN280" s="281">
        <f t="shared" si="648"/>
        <v>3907.6739068932475</v>
      </c>
      <c r="AO280" s="281">
        <f t="shared" si="648"/>
        <v>3910.5143644040004</v>
      </c>
      <c r="AP280" s="281">
        <f t="shared" si="648"/>
        <v>3918.7738540286123</v>
      </c>
      <c r="AQ280" s="281">
        <f t="shared" si="648"/>
        <v>3923.5918039418689</v>
      </c>
      <c r="AR280" s="281">
        <f t="shared" si="648"/>
        <v>3927.7363195725629</v>
      </c>
      <c r="AS280" s="281">
        <f t="shared" si="648"/>
        <v>3928.473107103086</v>
      </c>
      <c r="AT280" s="281">
        <f t="shared" si="647"/>
        <v>3928.4538190681264</v>
      </c>
      <c r="AU280" s="281">
        <f t="shared" si="647"/>
        <v>3926.3431904751337</v>
      </c>
      <c r="AV280" s="281">
        <f t="shared" si="647"/>
        <v>3920.8776906431267</v>
      </c>
      <c r="AW280" s="281">
        <f t="shared" si="647"/>
        <v>3916.390994888488</v>
      </c>
      <c r="AX280" s="281">
        <f t="shared" si="647"/>
        <v>3908.6097518363767</v>
      </c>
      <c r="AY280" s="281">
        <f t="shared" si="490"/>
        <v>748.56975183637678</v>
      </c>
      <c r="AZ280" s="281">
        <f t="shared" si="491"/>
        <v>1595.7197518363769</v>
      </c>
    </row>
    <row r="281" spans="1:52" s="229" customFormat="1" x14ac:dyDescent="0.25">
      <c r="A281" s="248"/>
      <c r="B281" s="283"/>
      <c r="C281" s="296" t="s">
        <v>729</v>
      </c>
      <c r="D281" s="293">
        <f t="shared" ref="D281:H281" si="650">D279+D280</f>
        <v>6742.87</v>
      </c>
      <c r="E281" s="293">
        <f t="shared" si="650"/>
        <v>6742.87</v>
      </c>
      <c r="F281" s="293">
        <f t="shared" si="650"/>
        <v>6742.87</v>
      </c>
      <c r="G281" s="293">
        <f t="shared" si="650"/>
        <v>6742.87</v>
      </c>
      <c r="H281" s="293">
        <f t="shared" si="650"/>
        <v>6742.87</v>
      </c>
      <c r="I281" s="293">
        <f t="shared" ref="I281:O281" si="651">I279+I280</f>
        <v>6742.87</v>
      </c>
      <c r="J281" s="293">
        <f t="shared" si="651"/>
        <v>6742.87</v>
      </c>
      <c r="K281" s="293">
        <f t="shared" si="651"/>
        <v>6742.869999999999</v>
      </c>
      <c r="L281" s="293">
        <f t="shared" si="651"/>
        <v>6742.87</v>
      </c>
      <c r="M281" s="293">
        <f t="shared" si="651"/>
        <v>6742.87</v>
      </c>
      <c r="N281" s="293">
        <f t="shared" si="651"/>
        <v>5742.8700000000008</v>
      </c>
      <c r="O281" s="293">
        <f t="shared" si="651"/>
        <v>5742.8700000000008</v>
      </c>
      <c r="P281" s="293">
        <f t="shared" ref="P281:Q281" si="652">P279+P280</f>
        <v>11880.72</v>
      </c>
      <c r="Q281" s="293">
        <f t="shared" si="652"/>
        <v>11135.29</v>
      </c>
      <c r="R281" s="293">
        <f t="shared" ref="R281" si="653">R279+R280</f>
        <v>11135.29</v>
      </c>
      <c r="S281" s="293">
        <f t="shared" ref="S281" si="654">S279+S280</f>
        <v>12268.22</v>
      </c>
      <c r="T281" s="293">
        <f t="shared" ref="T281" si="655">T279+T280</f>
        <v>11428.039999999999</v>
      </c>
      <c r="U281" s="293">
        <f t="shared" ref="U281" si="656">U279+U280</f>
        <v>11428.04</v>
      </c>
      <c r="V281" s="293">
        <f t="shared" ref="V281" si="657">V279+V280</f>
        <v>11096.810000000001</v>
      </c>
      <c r="W281" s="293">
        <f t="shared" ref="W281:AS281" si="658">W279+W280</f>
        <v>10762.75</v>
      </c>
      <c r="X281" s="293">
        <f t="shared" si="658"/>
        <v>10382.470000000001</v>
      </c>
      <c r="Y281" s="293">
        <f t="shared" si="658"/>
        <v>9740.119999999999</v>
      </c>
      <c r="Z281" s="293">
        <f t="shared" si="658"/>
        <v>9035.0999999999985</v>
      </c>
      <c r="AA281" s="293">
        <f t="shared" si="658"/>
        <v>0</v>
      </c>
      <c r="AB281" s="293">
        <f t="shared" si="658"/>
        <v>8470.08</v>
      </c>
      <c r="AC281" s="293">
        <f t="shared" ref="AC281:AL281" si="659">AC279+AC280</f>
        <v>2268.29</v>
      </c>
      <c r="AD281" s="293">
        <f t="shared" si="659"/>
        <v>0</v>
      </c>
      <c r="AE281" s="293">
        <f t="shared" si="659"/>
        <v>16985.34</v>
      </c>
      <c r="AF281" s="293">
        <f t="shared" si="659"/>
        <v>11553.91</v>
      </c>
      <c r="AG281" s="293">
        <f t="shared" si="659"/>
        <v>5928.67</v>
      </c>
      <c r="AH281" s="293">
        <f t="shared" si="659"/>
        <v>5928.67</v>
      </c>
      <c r="AI281" s="293">
        <f t="shared" si="659"/>
        <v>5194.78</v>
      </c>
      <c r="AJ281" s="293">
        <f t="shared" si="659"/>
        <v>10832.050000000001</v>
      </c>
      <c r="AK281" s="293">
        <f t="shared" si="659"/>
        <v>7285.21</v>
      </c>
      <c r="AL281" s="293">
        <f t="shared" si="659"/>
        <v>17761.88</v>
      </c>
      <c r="AM281" s="293">
        <f t="shared" si="658"/>
        <v>10191.472313010341</v>
      </c>
      <c r="AN281" s="293">
        <f t="shared" si="658"/>
        <v>10228.444316702004</v>
      </c>
      <c r="AO281" s="293">
        <f t="shared" si="658"/>
        <v>10235.87929264292</v>
      </c>
      <c r="AP281" s="293">
        <f t="shared" si="658"/>
        <v>10257.498734726019</v>
      </c>
      <c r="AQ281" s="293">
        <f t="shared" si="658"/>
        <v>10270.109851616166</v>
      </c>
      <c r="AR281" s="293">
        <f t="shared" si="658"/>
        <v>10280.958235682572</v>
      </c>
      <c r="AS281" s="293">
        <f t="shared" si="658"/>
        <v>10282.886797381618</v>
      </c>
      <c r="AT281" s="293">
        <f t="shared" ref="AT281" si="660">AT279+AT280</f>
        <v>10282.836310417695</v>
      </c>
      <c r="AU281" s="293">
        <f t="shared" ref="AU281" si="661">AU279+AU280</f>
        <v>10277.311681814837</v>
      </c>
      <c r="AV281" s="293">
        <f t="shared" ref="AV281" si="662">AV279+AV280</f>
        <v>10263.005585137729</v>
      </c>
      <c r="AW281" s="293">
        <f t="shared" ref="AW281" si="663">AW279+AW280</f>
        <v>10251.261535151532</v>
      </c>
      <c r="AX281" s="293">
        <f t="shared" ref="AX281" si="664">AX279+AX280</f>
        <v>10230.893916673223</v>
      </c>
      <c r="AY281" s="293">
        <f t="shared" si="490"/>
        <v>-865.91608332677788</v>
      </c>
      <c r="AZ281" s="293">
        <f t="shared" si="491"/>
        <v>-1649.8260833267759</v>
      </c>
    </row>
    <row r="282" spans="1:52" s="229" customFormat="1" x14ac:dyDescent="0.25">
      <c r="B282" s="283"/>
      <c r="C282" s="300" t="s">
        <v>196</v>
      </c>
      <c r="D282" s="293">
        <f t="shared" ref="D282:H282" si="665">SUM(D283:D285)</f>
        <v>380964.71</v>
      </c>
      <c r="E282" s="293">
        <f t="shared" si="665"/>
        <v>382404.16000000003</v>
      </c>
      <c r="F282" s="293">
        <f t="shared" si="665"/>
        <v>376584.34</v>
      </c>
      <c r="G282" s="293">
        <f t="shared" si="665"/>
        <v>360994.79000000004</v>
      </c>
      <c r="H282" s="293">
        <f t="shared" si="665"/>
        <v>348157.47</v>
      </c>
      <c r="I282" s="293">
        <f t="shared" ref="I282:O282" si="666">SUM(I283:I285)</f>
        <v>343103.11</v>
      </c>
      <c r="J282" s="293">
        <f t="shared" si="666"/>
        <v>348040</v>
      </c>
      <c r="K282" s="293">
        <f t="shared" si="666"/>
        <v>371779.33999999997</v>
      </c>
      <c r="L282" s="293">
        <f t="shared" si="666"/>
        <v>475749.86000000004</v>
      </c>
      <c r="M282" s="293">
        <f t="shared" si="666"/>
        <v>534419.88</v>
      </c>
      <c r="N282" s="293">
        <f t="shared" si="666"/>
        <v>540262.12</v>
      </c>
      <c r="O282" s="293">
        <f t="shared" si="666"/>
        <v>566474.54999999993</v>
      </c>
      <c r="P282" s="293">
        <f t="shared" ref="P282:Q282" si="667">SUM(P283:P285)</f>
        <v>531305.90999999992</v>
      </c>
      <c r="Q282" s="293">
        <f t="shared" si="667"/>
        <v>508740.65</v>
      </c>
      <c r="R282" s="293">
        <f t="shared" ref="R282" si="668">SUM(R283:R285)</f>
        <v>452007.15</v>
      </c>
      <c r="S282" s="293">
        <f t="shared" ref="S282" si="669">SUM(S283:S285)</f>
        <v>602185.57000000007</v>
      </c>
      <c r="T282" s="293">
        <f t="shared" ref="T282" si="670">SUM(T283:T285)</f>
        <v>596136.63</v>
      </c>
      <c r="U282" s="293">
        <f t="shared" ref="U282" si="671">SUM(U283:U285)</f>
        <v>523100.79</v>
      </c>
      <c r="V282" s="293">
        <f t="shared" ref="V282" si="672">SUM(V283:V285)</f>
        <v>475868.9</v>
      </c>
      <c r="W282" s="293">
        <f t="shared" ref="W282:AS282" si="673">SUM(W283:W285)</f>
        <v>527748.04999999993</v>
      </c>
      <c r="X282" s="293">
        <f t="shared" si="673"/>
        <v>563269.25</v>
      </c>
      <c r="Y282" s="293">
        <f t="shared" si="673"/>
        <v>536264.31000000006</v>
      </c>
      <c r="Z282" s="293">
        <f t="shared" si="673"/>
        <v>523215.38000000006</v>
      </c>
      <c r="AA282" s="293">
        <f t="shared" si="673"/>
        <v>430779.13999999996</v>
      </c>
      <c r="AB282" s="293">
        <f t="shared" si="673"/>
        <v>486842.42999999993</v>
      </c>
      <c r="AC282" s="293">
        <f t="shared" ref="AC282:AL282" si="674">SUM(AC283:AC285)</f>
        <v>472574.94000000006</v>
      </c>
      <c r="AD282" s="293">
        <f t="shared" si="674"/>
        <v>442320.7</v>
      </c>
      <c r="AE282" s="293">
        <f t="shared" si="674"/>
        <v>406705.31999999995</v>
      </c>
      <c r="AF282" s="293">
        <f t="shared" si="674"/>
        <v>441868.19999999995</v>
      </c>
      <c r="AG282" s="293">
        <f t="shared" si="674"/>
        <v>451884.46</v>
      </c>
      <c r="AH282" s="293">
        <f t="shared" si="674"/>
        <v>425569.97000000003</v>
      </c>
      <c r="AI282" s="293">
        <f t="shared" si="674"/>
        <v>441335.10000000003</v>
      </c>
      <c r="AJ282" s="293">
        <f t="shared" si="674"/>
        <v>403587.53</v>
      </c>
      <c r="AK282" s="293">
        <f t="shared" si="674"/>
        <v>386685.3</v>
      </c>
      <c r="AL282" s="293">
        <f t="shared" si="674"/>
        <v>375340.99000000005</v>
      </c>
      <c r="AM282" s="293">
        <f t="shared" si="673"/>
        <v>243358.16053489028</v>
      </c>
      <c r="AN282" s="293">
        <f t="shared" si="673"/>
        <v>244996.63126012834</v>
      </c>
      <c r="AO282" s="293">
        <f t="shared" si="673"/>
        <v>245382.38520456964</v>
      </c>
      <c r="AP282" s="293">
        <f t="shared" si="673"/>
        <v>245983.55292237113</v>
      </c>
      <c r="AQ282" s="293">
        <f t="shared" si="673"/>
        <v>246112.27693708357</v>
      </c>
      <c r="AR282" s="293">
        <f t="shared" si="673"/>
        <v>246317.29112397763</v>
      </c>
      <c r="AS282" s="293">
        <f t="shared" si="673"/>
        <v>246054.54235942903</v>
      </c>
      <c r="AT282" s="293">
        <f t="shared" ref="AT282" si="675">SUM(AT283:AT285)</f>
        <v>245612.89557245537</v>
      </c>
      <c r="AU282" s="293">
        <f t="shared" ref="AU282" si="676">SUM(AU283:AU285)</f>
        <v>245053.48417704285</v>
      </c>
      <c r="AV282" s="293">
        <f t="shared" ref="AV282" si="677">SUM(AV283:AV285)</f>
        <v>244031.63598812043</v>
      </c>
      <c r="AW282" s="293">
        <f t="shared" ref="AW282" si="678">SUM(AW283:AW285)</f>
        <v>243272.97212054301</v>
      </c>
      <c r="AX282" s="293">
        <f t="shared" ref="AX282" si="679">SUM(AX283:AX285)</f>
        <v>242059.86722202541</v>
      </c>
      <c r="AY282" s="293">
        <f t="shared" si="490"/>
        <v>-233809.03277797461</v>
      </c>
      <c r="AZ282" s="293">
        <f t="shared" si="491"/>
        <v>-289246.04277797451</v>
      </c>
    </row>
    <row r="283" spans="1:52" x14ac:dyDescent="0.25">
      <c r="B283" s="290"/>
      <c r="C283" s="284" t="s">
        <v>730</v>
      </c>
      <c r="D283" s="281">
        <f t="shared" ref="D283:H283" si="680">D249+D251+D254</f>
        <v>255793.06</v>
      </c>
      <c r="E283" s="281">
        <f t="shared" si="680"/>
        <v>201481.41</v>
      </c>
      <c r="F283" s="281">
        <f t="shared" si="680"/>
        <v>222912.78</v>
      </c>
      <c r="G283" s="281">
        <f t="shared" si="680"/>
        <v>186981.65000000002</v>
      </c>
      <c r="H283" s="281">
        <f t="shared" si="680"/>
        <v>211379.35</v>
      </c>
      <c r="I283" s="281">
        <f t="shared" ref="I283:O283" si="681">I249+I251+I254</f>
        <v>190768.24000000002</v>
      </c>
      <c r="J283" s="281">
        <f t="shared" si="681"/>
        <v>239492.8</v>
      </c>
      <c r="K283" s="281">
        <f t="shared" si="681"/>
        <v>235393.39</v>
      </c>
      <c r="L283" s="281">
        <f t="shared" si="681"/>
        <v>313989.38</v>
      </c>
      <c r="M283" s="281">
        <f t="shared" si="681"/>
        <v>400838</v>
      </c>
      <c r="N283" s="281">
        <f t="shared" si="681"/>
        <v>421812.99</v>
      </c>
      <c r="O283" s="281">
        <f t="shared" si="681"/>
        <v>432490.93999999994</v>
      </c>
      <c r="P283" s="281">
        <f t="shared" ref="P283" si="682">P249+P251+P254</f>
        <v>393037.48</v>
      </c>
      <c r="Q283" s="281">
        <f t="shared" ref="Q283:AX283" si="683">Q249+Q251+Q254</f>
        <v>399343.95</v>
      </c>
      <c r="R283" s="281">
        <f t="shared" si="683"/>
        <v>347527.4</v>
      </c>
      <c r="S283" s="281">
        <f t="shared" si="683"/>
        <v>425014.43000000005</v>
      </c>
      <c r="T283" s="281">
        <f t="shared" si="683"/>
        <v>457779.78</v>
      </c>
      <c r="U283" s="281">
        <f t="shared" si="683"/>
        <v>360649.36</v>
      </c>
      <c r="V283" s="281">
        <f t="shared" si="683"/>
        <v>347451.38</v>
      </c>
      <c r="W283" s="281">
        <f t="shared" si="683"/>
        <v>313689.90999999997</v>
      </c>
      <c r="X283" s="281">
        <f t="shared" ref="X283:AS283" si="684">X249+X251+X254</f>
        <v>342552.15</v>
      </c>
      <c r="Y283" s="281">
        <f t="shared" si="684"/>
        <v>318380.27</v>
      </c>
      <c r="Z283" s="281">
        <f t="shared" si="684"/>
        <v>348715.92000000004</v>
      </c>
      <c r="AA283" s="281">
        <f t="shared" si="684"/>
        <v>351315.99</v>
      </c>
      <c r="AB283" s="281">
        <f t="shared" si="684"/>
        <v>380188.55999999994</v>
      </c>
      <c r="AC283" s="281">
        <f t="shared" ref="AC283:AL283" si="685">AC249+AC251+AC254</f>
        <v>372974.67000000004</v>
      </c>
      <c r="AD283" s="281">
        <f t="shared" si="685"/>
        <v>388801.32</v>
      </c>
      <c r="AE283" s="281">
        <f t="shared" si="685"/>
        <v>351222.86</v>
      </c>
      <c r="AF283" s="281">
        <f t="shared" si="685"/>
        <v>389990.16</v>
      </c>
      <c r="AG283" s="281">
        <f t="shared" si="685"/>
        <v>397290.45</v>
      </c>
      <c r="AH283" s="281">
        <f t="shared" si="685"/>
        <v>385395.29000000004</v>
      </c>
      <c r="AI283" s="281">
        <f t="shared" si="685"/>
        <v>403621.27</v>
      </c>
      <c r="AJ283" s="281">
        <f t="shared" si="685"/>
        <v>374738.02</v>
      </c>
      <c r="AK283" s="281">
        <f t="shared" si="685"/>
        <v>370494.61</v>
      </c>
      <c r="AL283" s="281">
        <f t="shared" si="685"/>
        <v>358290.78</v>
      </c>
      <c r="AM283" s="281">
        <f t="shared" si="684"/>
        <v>181379.28548035864</v>
      </c>
      <c r="AN283" s="281">
        <f t="shared" si="684"/>
        <v>182378.17189142274</v>
      </c>
      <c r="AO283" s="281">
        <f t="shared" si="684"/>
        <v>182604.4268711849</v>
      </c>
      <c r="AP283" s="281">
        <f t="shared" si="684"/>
        <v>183027.50427496547</v>
      </c>
      <c r="AQ283" s="281">
        <f t="shared" si="684"/>
        <v>183174.16574774255</v>
      </c>
      <c r="AR283" s="281">
        <f t="shared" si="684"/>
        <v>183342.8614547789</v>
      </c>
      <c r="AS283" s="281">
        <f t="shared" si="684"/>
        <v>183237.87458013016</v>
      </c>
      <c r="AT283" s="281">
        <f t="shared" si="683"/>
        <v>183038.2786675118</v>
      </c>
      <c r="AU283" s="281">
        <f t="shared" si="683"/>
        <v>182747.1008560425</v>
      </c>
      <c r="AV283" s="281">
        <f t="shared" si="683"/>
        <v>182185.61516983938</v>
      </c>
      <c r="AW283" s="281">
        <f t="shared" si="683"/>
        <v>181760.85822939788</v>
      </c>
      <c r="AX283" s="281">
        <f t="shared" si="683"/>
        <v>181070.50976746657</v>
      </c>
      <c r="AY283" s="281">
        <f t="shared" si="490"/>
        <v>-166380.87023253343</v>
      </c>
      <c r="AZ283" s="281">
        <f t="shared" si="491"/>
        <v>-211966.97023253341</v>
      </c>
    </row>
    <row r="284" spans="1:52" x14ac:dyDescent="0.25">
      <c r="B284" s="290"/>
      <c r="C284" s="284" t="s">
        <v>731</v>
      </c>
      <c r="D284" s="281">
        <f t="shared" ref="D284:H284" si="686">D263+D265</f>
        <v>101789.64</v>
      </c>
      <c r="E284" s="281">
        <f t="shared" si="686"/>
        <v>152803.74</v>
      </c>
      <c r="F284" s="281">
        <f t="shared" si="686"/>
        <v>125998.40999999999</v>
      </c>
      <c r="G284" s="281">
        <f t="shared" si="686"/>
        <v>142522.35999999999</v>
      </c>
      <c r="H284" s="281">
        <f t="shared" si="686"/>
        <v>106512.23999999999</v>
      </c>
      <c r="I284" s="281">
        <f t="shared" ref="I284:O284" si="687">I263+I265</f>
        <v>120723.76999999999</v>
      </c>
      <c r="J284" s="281">
        <f t="shared" si="687"/>
        <v>78252.009999999995</v>
      </c>
      <c r="K284" s="281">
        <f t="shared" si="687"/>
        <v>102915.86</v>
      </c>
      <c r="L284" s="281">
        <f t="shared" si="687"/>
        <v>127219.27</v>
      </c>
      <c r="M284" s="281">
        <f t="shared" si="687"/>
        <v>99640.29</v>
      </c>
      <c r="N284" s="281">
        <f t="shared" si="687"/>
        <v>85949.33</v>
      </c>
      <c r="O284" s="281">
        <f t="shared" si="687"/>
        <v>101345.08</v>
      </c>
      <c r="P284" s="281">
        <f t="shared" ref="P284" si="688">P263+P265</f>
        <v>102487.43000000001</v>
      </c>
      <c r="Q284" s="281">
        <f t="shared" ref="Q284:AX284" si="689">Q263+Q265</f>
        <v>78060.319999999992</v>
      </c>
      <c r="R284" s="281">
        <f t="shared" si="689"/>
        <v>73152.56</v>
      </c>
      <c r="S284" s="281">
        <f t="shared" si="689"/>
        <v>143341.29</v>
      </c>
      <c r="T284" s="281">
        <f t="shared" si="689"/>
        <v>105053.07999999999</v>
      </c>
      <c r="U284" s="281">
        <f t="shared" si="689"/>
        <v>125249.23</v>
      </c>
      <c r="V284" s="281">
        <f t="shared" si="689"/>
        <v>91692.45</v>
      </c>
      <c r="W284" s="281">
        <f t="shared" si="689"/>
        <v>172453.93</v>
      </c>
      <c r="X284" s="281">
        <f t="shared" ref="X284:AS284" si="690">X263+X265</f>
        <v>177705.49</v>
      </c>
      <c r="Y284" s="281">
        <f t="shared" si="690"/>
        <v>174740.18</v>
      </c>
      <c r="Z284" s="281">
        <f t="shared" si="690"/>
        <v>167871.28</v>
      </c>
      <c r="AA284" s="281">
        <f t="shared" si="690"/>
        <v>78183.11</v>
      </c>
      <c r="AB284" s="281">
        <f t="shared" si="690"/>
        <v>103083.31</v>
      </c>
      <c r="AC284" s="281">
        <f t="shared" ref="AC284:AL284" si="691">AC263+AC265</f>
        <v>96207.930000000008</v>
      </c>
      <c r="AD284" s="281">
        <f t="shared" si="691"/>
        <v>51286.02</v>
      </c>
      <c r="AE284" s="281">
        <f t="shared" si="691"/>
        <v>53958.17</v>
      </c>
      <c r="AF284" s="281">
        <f t="shared" si="691"/>
        <v>50027.62</v>
      </c>
      <c r="AG284" s="281">
        <f t="shared" si="691"/>
        <v>53284.5</v>
      </c>
      <c r="AH284" s="281">
        <f t="shared" si="691"/>
        <v>39132.089999999997</v>
      </c>
      <c r="AI284" s="281">
        <f t="shared" si="691"/>
        <v>36521.82</v>
      </c>
      <c r="AJ284" s="281">
        <f t="shared" si="691"/>
        <v>27841.5</v>
      </c>
      <c r="AK284" s="281">
        <f t="shared" si="691"/>
        <v>15852.28</v>
      </c>
      <c r="AL284" s="281">
        <f t="shared" si="691"/>
        <v>15894.949999999999</v>
      </c>
      <c r="AM284" s="281">
        <f t="shared" si="690"/>
        <v>49932.698565599727</v>
      </c>
      <c r="AN284" s="281">
        <f t="shared" si="690"/>
        <v>50447.973661167955</v>
      </c>
      <c r="AO284" s="281">
        <f t="shared" si="690"/>
        <v>50576.472504004982</v>
      </c>
      <c r="AP284" s="281">
        <f t="shared" si="690"/>
        <v>50719.949292824342</v>
      </c>
      <c r="AQ284" s="281">
        <f t="shared" si="690"/>
        <v>50705.498148207946</v>
      </c>
      <c r="AR284" s="281">
        <f t="shared" si="690"/>
        <v>50734.757790392483</v>
      </c>
      <c r="AS284" s="281">
        <f t="shared" si="690"/>
        <v>50607.658405536291</v>
      </c>
      <c r="AT284" s="281">
        <f t="shared" si="689"/>
        <v>50412.652392018164</v>
      </c>
      <c r="AU284" s="281">
        <f t="shared" si="689"/>
        <v>50196.552524435487</v>
      </c>
      <c r="AV284" s="281">
        <f t="shared" si="689"/>
        <v>49825.665797966765</v>
      </c>
      <c r="AW284" s="281">
        <f t="shared" si="689"/>
        <v>49556.656818262418</v>
      </c>
      <c r="AX284" s="281">
        <f t="shared" si="689"/>
        <v>49135.5030049942</v>
      </c>
      <c r="AY284" s="281">
        <f t="shared" si="490"/>
        <v>-42556.946995005797</v>
      </c>
      <c r="AZ284" s="281">
        <f t="shared" si="491"/>
        <v>-53351.926995005808</v>
      </c>
    </row>
    <row r="285" spans="1:52" x14ac:dyDescent="0.25">
      <c r="B285" s="290"/>
      <c r="C285" s="284" t="s">
        <v>732</v>
      </c>
      <c r="D285" s="281">
        <f t="shared" ref="D285:H285" si="692">D274+D276</f>
        <v>23382.010000000002</v>
      </c>
      <c r="E285" s="281">
        <f t="shared" si="692"/>
        <v>28119.010000000002</v>
      </c>
      <c r="F285" s="281">
        <f t="shared" si="692"/>
        <v>27673.15</v>
      </c>
      <c r="G285" s="281">
        <f t="shared" si="692"/>
        <v>31490.78</v>
      </c>
      <c r="H285" s="281">
        <f t="shared" si="692"/>
        <v>30265.88</v>
      </c>
      <c r="I285" s="281">
        <f t="shared" ref="I285:O285" si="693">I274+I276</f>
        <v>31611.1</v>
      </c>
      <c r="J285" s="281">
        <f t="shared" si="693"/>
        <v>30295.19</v>
      </c>
      <c r="K285" s="281">
        <f t="shared" si="693"/>
        <v>33470.089999999997</v>
      </c>
      <c r="L285" s="281">
        <f t="shared" si="693"/>
        <v>34541.21</v>
      </c>
      <c r="M285" s="281">
        <f t="shared" si="693"/>
        <v>33941.589999999997</v>
      </c>
      <c r="N285" s="281">
        <f t="shared" si="693"/>
        <v>32499.800000000003</v>
      </c>
      <c r="O285" s="281">
        <f t="shared" si="693"/>
        <v>32638.53</v>
      </c>
      <c r="P285" s="281">
        <f t="shared" ref="P285" si="694">P274+P276</f>
        <v>35781</v>
      </c>
      <c r="Q285" s="281">
        <f t="shared" ref="Q285:AX285" si="695">Q274+Q276</f>
        <v>31336.38</v>
      </c>
      <c r="R285" s="281">
        <f t="shared" si="695"/>
        <v>31327.190000000002</v>
      </c>
      <c r="S285" s="281">
        <f t="shared" si="695"/>
        <v>33829.85</v>
      </c>
      <c r="T285" s="281">
        <f t="shared" si="695"/>
        <v>33303.769999999997</v>
      </c>
      <c r="U285" s="281">
        <f t="shared" si="695"/>
        <v>37202.200000000004</v>
      </c>
      <c r="V285" s="281">
        <f t="shared" si="695"/>
        <v>36725.07</v>
      </c>
      <c r="W285" s="281">
        <f t="shared" si="695"/>
        <v>41604.21</v>
      </c>
      <c r="X285" s="281">
        <f t="shared" ref="X285:AS285" si="696">X274+X276</f>
        <v>43011.61</v>
      </c>
      <c r="Y285" s="281">
        <f t="shared" si="696"/>
        <v>43143.86</v>
      </c>
      <c r="Z285" s="281">
        <f t="shared" si="696"/>
        <v>6628.18</v>
      </c>
      <c r="AA285" s="281">
        <f t="shared" si="696"/>
        <v>1280.04</v>
      </c>
      <c r="AB285" s="281">
        <f t="shared" si="696"/>
        <v>3570.56</v>
      </c>
      <c r="AC285" s="281">
        <f t="shared" ref="AC285:AL285" si="697">AC274+AC276</f>
        <v>3392.34</v>
      </c>
      <c r="AD285" s="281">
        <f t="shared" si="697"/>
        <v>2233.36</v>
      </c>
      <c r="AE285" s="281">
        <f t="shared" si="697"/>
        <v>1524.29</v>
      </c>
      <c r="AF285" s="281">
        <f t="shared" si="697"/>
        <v>1850.42</v>
      </c>
      <c r="AG285" s="281">
        <f t="shared" si="697"/>
        <v>1309.51</v>
      </c>
      <c r="AH285" s="281">
        <f t="shared" si="697"/>
        <v>1042.5899999999999</v>
      </c>
      <c r="AI285" s="281">
        <f t="shared" si="697"/>
        <v>1192.01</v>
      </c>
      <c r="AJ285" s="281">
        <f t="shared" si="697"/>
        <v>1008.01</v>
      </c>
      <c r="AK285" s="281">
        <f t="shared" si="697"/>
        <v>338.41</v>
      </c>
      <c r="AL285" s="281">
        <f t="shared" si="697"/>
        <v>1155.26</v>
      </c>
      <c r="AM285" s="281">
        <f t="shared" si="696"/>
        <v>12046.176488931911</v>
      </c>
      <c r="AN285" s="281">
        <f t="shared" si="696"/>
        <v>12170.48570753766</v>
      </c>
      <c r="AO285" s="281">
        <f t="shared" si="696"/>
        <v>12201.485829379759</v>
      </c>
      <c r="AP285" s="281">
        <f t="shared" si="696"/>
        <v>12236.099354581338</v>
      </c>
      <c r="AQ285" s="281">
        <f t="shared" si="696"/>
        <v>12232.613041133098</v>
      </c>
      <c r="AR285" s="281">
        <f t="shared" si="696"/>
        <v>12239.671878806268</v>
      </c>
      <c r="AS285" s="281">
        <f t="shared" si="696"/>
        <v>12209.009373762587</v>
      </c>
      <c r="AT285" s="281">
        <f t="shared" si="695"/>
        <v>12161.964512925428</v>
      </c>
      <c r="AU285" s="281">
        <f t="shared" si="695"/>
        <v>12109.830796564878</v>
      </c>
      <c r="AV285" s="281">
        <f t="shared" si="695"/>
        <v>12020.355020314277</v>
      </c>
      <c r="AW285" s="281">
        <f t="shared" si="695"/>
        <v>11955.457072882718</v>
      </c>
      <c r="AX285" s="281">
        <f t="shared" si="695"/>
        <v>11853.854449564642</v>
      </c>
      <c r="AY285" s="281">
        <f t="shared" si="490"/>
        <v>-24871.215550435358</v>
      </c>
      <c r="AZ285" s="281">
        <f t="shared" si="491"/>
        <v>-23927.145550435358</v>
      </c>
    </row>
    <row r="286" spans="1:52" s="229" customFormat="1" x14ac:dyDescent="0.25">
      <c r="A286" s="248"/>
      <c r="B286" s="283"/>
      <c r="C286" s="296" t="s">
        <v>733</v>
      </c>
      <c r="D286" s="301">
        <f t="shared" ref="D286:H286" si="698">D284+D285</f>
        <v>125171.65</v>
      </c>
      <c r="E286" s="301">
        <f t="shared" si="698"/>
        <v>180922.75</v>
      </c>
      <c r="F286" s="301">
        <f t="shared" si="698"/>
        <v>153671.56</v>
      </c>
      <c r="G286" s="301">
        <f t="shared" si="698"/>
        <v>174013.13999999998</v>
      </c>
      <c r="H286" s="301">
        <f t="shared" si="698"/>
        <v>136778.12</v>
      </c>
      <c r="I286" s="301">
        <f t="shared" ref="I286:O286" si="699">I284+I285</f>
        <v>152334.87</v>
      </c>
      <c r="J286" s="301">
        <f t="shared" si="699"/>
        <v>108547.2</v>
      </c>
      <c r="K286" s="301">
        <f t="shared" si="699"/>
        <v>136385.95000000001</v>
      </c>
      <c r="L286" s="301">
        <f t="shared" si="699"/>
        <v>161760.48000000001</v>
      </c>
      <c r="M286" s="301">
        <f t="shared" si="699"/>
        <v>133581.88</v>
      </c>
      <c r="N286" s="301">
        <f t="shared" si="699"/>
        <v>118449.13</v>
      </c>
      <c r="O286" s="301">
        <f t="shared" si="699"/>
        <v>133983.60999999999</v>
      </c>
      <c r="P286" s="301">
        <f t="shared" ref="P286:Q286" si="700">P284+P285</f>
        <v>138268.43</v>
      </c>
      <c r="Q286" s="301">
        <f t="shared" si="700"/>
        <v>109396.7</v>
      </c>
      <c r="R286" s="301">
        <f t="shared" ref="R286" si="701">R284+R285</f>
        <v>104479.75</v>
      </c>
      <c r="S286" s="301">
        <f t="shared" ref="S286" si="702">S284+S285</f>
        <v>177171.14</v>
      </c>
      <c r="T286" s="301">
        <f t="shared" ref="T286" si="703">T284+T285</f>
        <v>138356.84999999998</v>
      </c>
      <c r="U286" s="301">
        <f t="shared" ref="U286" si="704">U284+U285</f>
        <v>162451.43</v>
      </c>
      <c r="V286" s="301">
        <f t="shared" ref="V286" si="705">V284+V285</f>
        <v>128417.51999999999</v>
      </c>
      <c r="W286" s="301">
        <f t="shared" ref="W286:AS286" si="706">W284+W285</f>
        <v>214058.13999999998</v>
      </c>
      <c r="X286" s="301">
        <f t="shared" si="706"/>
        <v>220717.09999999998</v>
      </c>
      <c r="Y286" s="301">
        <f t="shared" si="706"/>
        <v>217884.03999999998</v>
      </c>
      <c r="Z286" s="301">
        <f t="shared" si="706"/>
        <v>174499.46</v>
      </c>
      <c r="AA286" s="301">
        <f t="shared" si="706"/>
        <v>79463.149999999994</v>
      </c>
      <c r="AB286" s="301">
        <f t="shared" si="706"/>
        <v>106653.87</v>
      </c>
      <c r="AC286" s="301">
        <f t="shared" ref="AC286:AL286" si="707">AC284+AC285</f>
        <v>99600.27</v>
      </c>
      <c r="AD286" s="301">
        <f t="shared" si="707"/>
        <v>53519.38</v>
      </c>
      <c r="AE286" s="301">
        <f t="shared" si="707"/>
        <v>55482.46</v>
      </c>
      <c r="AF286" s="301">
        <f t="shared" si="707"/>
        <v>51878.04</v>
      </c>
      <c r="AG286" s="301">
        <f t="shared" si="707"/>
        <v>54594.01</v>
      </c>
      <c r="AH286" s="301">
        <f t="shared" si="707"/>
        <v>40174.679999999993</v>
      </c>
      <c r="AI286" s="301">
        <f t="shared" si="707"/>
        <v>37713.83</v>
      </c>
      <c r="AJ286" s="301">
        <f t="shared" si="707"/>
        <v>28849.51</v>
      </c>
      <c r="AK286" s="301">
        <f t="shared" si="707"/>
        <v>16190.69</v>
      </c>
      <c r="AL286" s="301">
        <f t="shared" si="707"/>
        <v>17050.21</v>
      </c>
      <c r="AM286" s="301">
        <f t="shared" si="706"/>
        <v>61978.875054531636</v>
      </c>
      <c r="AN286" s="301">
        <f t="shared" si="706"/>
        <v>62618.459368705619</v>
      </c>
      <c r="AO286" s="301">
        <f t="shared" si="706"/>
        <v>62777.95833338474</v>
      </c>
      <c r="AP286" s="301">
        <f t="shared" si="706"/>
        <v>62956.048647405682</v>
      </c>
      <c r="AQ286" s="301">
        <f t="shared" si="706"/>
        <v>62938.111189341042</v>
      </c>
      <c r="AR286" s="301">
        <f t="shared" si="706"/>
        <v>62974.429669198755</v>
      </c>
      <c r="AS286" s="301">
        <f t="shared" si="706"/>
        <v>62816.667779298878</v>
      </c>
      <c r="AT286" s="301">
        <f t="shared" ref="AT286" si="708">AT284+AT285</f>
        <v>62574.616904943592</v>
      </c>
      <c r="AU286" s="301">
        <f t="shared" ref="AU286" si="709">AU284+AU285</f>
        <v>62306.383321000365</v>
      </c>
      <c r="AV286" s="301">
        <f t="shared" ref="AV286" si="710">AV284+AV285</f>
        <v>61846.020818281046</v>
      </c>
      <c r="AW286" s="301">
        <f t="shared" ref="AW286" si="711">AW284+AW285</f>
        <v>61512.113891145134</v>
      </c>
      <c r="AX286" s="301">
        <f t="shared" ref="AX286" si="712">AX284+AX285</f>
        <v>60989.357454558842</v>
      </c>
      <c r="AY286" s="301">
        <f t="shared" si="490"/>
        <v>-67428.162545441155</v>
      </c>
      <c r="AZ286" s="301">
        <f t="shared" si="491"/>
        <v>-77279.072545441159</v>
      </c>
    </row>
    <row r="287" spans="1:52" x14ac:dyDescent="0.25">
      <c r="B287" s="302"/>
      <c r="C287" s="303"/>
    </row>
    <row r="288" spans="1:52" x14ac:dyDescent="0.25">
      <c r="B288" s="302"/>
      <c r="C288" s="304" t="s">
        <v>734</v>
      </c>
    </row>
    <row r="289" spans="2:52" x14ac:dyDescent="0.25">
      <c r="B289" s="305">
        <f t="shared" ref="B289:AX289" si="713">B154</f>
        <v>2101</v>
      </c>
      <c r="C289" s="306" t="str">
        <f t="shared" si="713"/>
        <v>Depósitos a la vista</v>
      </c>
      <c r="D289" s="281">
        <f t="shared" si="713"/>
        <v>2785447.84</v>
      </c>
      <c r="E289" s="281">
        <f t="shared" si="713"/>
        <v>2149664.19</v>
      </c>
      <c r="F289" s="281">
        <f t="shared" si="713"/>
        <v>2220716.85</v>
      </c>
      <c r="G289" s="281">
        <f t="shared" si="713"/>
        <v>2486838.7400000002</v>
      </c>
      <c r="H289" s="281">
        <f t="shared" si="713"/>
        <v>2370594.61</v>
      </c>
      <c r="I289" s="281">
        <f t="shared" si="713"/>
        <v>2070144.32</v>
      </c>
      <c r="J289" s="281">
        <f t="shared" si="713"/>
        <v>1932542.77</v>
      </c>
      <c r="K289" s="281">
        <f t="shared" si="713"/>
        <v>2143831.6800000002</v>
      </c>
      <c r="L289" s="281">
        <f t="shared" si="713"/>
        <v>2109438.85</v>
      </c>
      <c r="M289" s="281">
        <f t="shared" si="713"/>
        <v>1554788.74</v>
      </c>
      <c r="N289" s="281">
        <f t="shared" si="713"/>
        <v>1585440.94</v>
      </c>
      <c r="O289" s="281">
        <f t="shared" si="713"/>
        <v>1720835.11</v>
      </c>
      <c r="P289" s="281">
        <f t="shared" si="713"/>
        <v>1654073.08</v>
      </c>
      <c r="Q289" s="281">
        <f t="shared" si="713"/>
        <v>1763984.37</v>
      </c>
      <c r="R289" s="281">
        <f t="shared" si="713"/>
        <v>1565857.09</v>
      </c>
      <c r="S289" s="281">
        <f t="shared" si="713"/>
        <v>1674007.78</v>
      </c>
      <c r="T289" s="281">
        <f t="shared" si="713"/>
        <v>1828667.75</v>
      </c>
      <c r="U289" s="281">
        <f t="shared" si="713"/>
        <v>5321348.2300000004</v>
      </c>
      <c r="V289" s="281">
        <f t="shared" si="713"/>
        <v>5398046.9900000002</v>
      </c>
      <c r="W289" s="281">
        <f t="shared" si="713"/>
        <v>3624771.57</v>
      </c>
      <c r="X289" s="281">
        <f t="shared" ref="X289:AS289" si="714">X154</f>
        <v>3473864.84</v>
      </c>
      <c r="Y289" s="281">
        <f t="shared" si="714"/>
        <v>3550861.75</v>
      </c>
      <c r="Z289" s="281">
        <f t="shared" si="714"/>
        <v>2598330.56</v>
      </c>
      <c r="AA289" s="281">
        <f t="shared" si="714"/>
        <v>2793866.7</v>
      </c>
      <c r="AB289" s="281">
        <f t="shared" si="714"/>
        <v>3550753.7</v>
      </c>
      <c r="AC289" s="281">
        <f t="shared" ref="AC289:AL289" si="715">AC154</f>
        <v>3344738.82</v>
      </c>
      <c r="AD289" s="281">
        <f t="shared" si="715"/>
        <v>3213452.6</v>
      </c>
      <c r="AE289" s="281">
        <f t="shared" si="715"/>
        <v>3495435.68</v>
      </c>
      <c r="AF289" s="281">
        <f t="shared" si="715"/>
        <v>3281849.34</v>
      </c>
      <c r="AG289" s="281">
        <f t="shared" si="715"/>
        <v>3448782.41</v>
      </c>
      <c r="AH289" s="281">
        <f t="shared" si="715"/>
        <v>4105433.61</v>
      </c>
      <c r="AI289" s="281">
        <f t="shared" si="715"/>
        <v>4288749.26</v>
      </c>
      <c r="AJ289" s="281">
        <f t="shared" si="715"/>
        <v>4189119.69</v>
      </c>
      <c r="AK289" s="281">
        <f t="shared" si="715"/>
        <v>3597423.31</v>
      </c>
      <c r="AL289" s="281">
        <f t="shared" si="715"/>
        <v>3263886.28</v>
      </c>
      <c r="AM289" s="281">
        <f t="shared" si="714"/>
        <v>3463886.2800000003</v>
      </c>
      <c r="AN289" s="281">
        <f t="shared" si="714"/>
        <v>3663886.28</v>
      </c>
      <c r="AO289" s="281">
        <f t="shared" si="714"/>
        <v>3863886.28</v>
      </c>
      <c r="AP289" s="281">
        <f t="shared" si="714"/>
        <v>4063886.28</v>
      </c>
      <c r="AQ289" s="281">
        <f t="shared" si="714"/>
        <v>4263886.2799999993</v>
      </c>
      <c r="AR289" s="281">
        <f t="shared" si="714"/>
        <v>4463886.2800000012</v>
      </c>
      <c r="AS289" s="281">
        <f t="shared" si="714"/>
        <v>4663886.28</v>
      </c>
      <c r="AT289" s="281">
        <f t="shared" si="713"/>
        <v>4863886.28</v>
      </c>
      <c r="AU289" s="281">
        <f t="shared" si="713"/>
        <v>4863886.28</v>
      </c>
      <c r="AV289" s="281">
        <f t="shared" si="713"/>
        <v>5063886.2800000012</v>
      </c>
      <c r="AW289" s="281">
        <f t="shared" si="713"/>
        <v>5263886.2799999993</v>
      </c>
      <c r="AX289" s="281">
        <f t="shared" si="713"/>
        <v>5463886.2800000003</v>
      </c>
      <c r="AY289" s="281">
        <f>AX289-V289</f>
        <v>65839.290000000037</v>
      </c>
      <c r="AZ289" s="281">
        <f>AX289-P289</f>
        <v>3809813.2</v>
      </c>
    </row>
    <row r="290" spans="2:52" x14ac:dyDescent="0.25">
      <c r="B290" s="305">
        <f t="shared" ref="B290:AX290" si="716">B160</f>
        <v>2103</v>
      </c>
      <c r="C290" s="306" t="str">
        <f t="shared" si="716"/>
        <v>Depósitos a plazo</v>
      </c>
      <c r="D290" s="281">
        <f t="shared" si="716"/>
        <v>30608843.57</v>
      </c>
      <c r="E290" s="281">
        <f t="shared" si="716"/>
        <v>30846530.629999999</v>
      </c>
      <c r="F290" s="281">
        <f t="shared" si="716"/>
        <v>30241730.84</v>
      </c>
      <c r="G290" s="281">
        <f t="shared" si="716"/>
        <v>30121566.809999999</v>
      </c>
      <c r="H290" s="281">
        <f t="shared" si="716"/>
        <v>28872852.129999999</v>
      </c>
      <c r="I290" s="281">
        <f t="shared" si="716"/>
        <v>28496062.440000001</v>
      </c>
      <c r="J290" s="281">
        <f t="shared" si="716"/>
        <v>28162214.809999999</v>
      </c>
      <c r="K290" s="281">
        <f t="shared" si="716"/>
        <v>27483988.449999999</v>
      </c>
      <c r="L290" s="281">
        <f t="shared" si="716"/>
        <v>27141839.559999999</v>
      </c>
      <c r="M290" s="281">
        <f t="shared" si="716"/>
        <v>27123279.399999999</v>
      </c>
      <c r="N290" s="281">
        <f t="shared" si="716"/>
        <v>28336271.760000002</v>
      </c>
      <c r="O290" s="281">
        <f t="shared" si="716"/>
        <v>28144271.960000001</v>
      </c>
      <c r="P290" s="281">
        <f t="shared" si="716"/>
        <v>27935747.670000002</v>
      </c>
      <c r="Q290" s="281">
        <f t="shared" si="716"/>
        <v>27882834.43</v>
      </c>
      <c r="R290" s="281">
        <f t="shared" si="716"/>
        <v>27906757.120000001</v>
      </c>
      <c r="S290" s="281">
        <f t="shared" si="716"/>
        <v>28043238.48</v>
      </c>
      <c r="T290" s="281">
        <f t="shared" si="716"/>
        <v>28347834.620000001</v>
      </c>
      <c r="U290" s="281">
        <f t="shared" si="716"/>
        <v>28013718.859999999</v>
      </c>
      <c r="V290" s="281">
        <f t="shared" si="716"/>
        <v>27921868.969999999</v>
      </c>
      <c r="W290" s="281">
        <f t="shared" si="716"/>
        <v>29012926.539999999</v>
      </c>
      <c r="X290" s="281">
        <f t="shared" ref="X290:AS290" si="717">X160</f>
        <v>29824752.460000001</v>
      </c>
      <c r="Y290" s="281">
        <f t="shared" si="717"/>
        <v>29616776.190000001</v>
      </c>
      <c r="Z290" s="281">
        <f t="shared" si="717"/>
        <v>31860186.120000001</v>
      </c>
      <c r="AA290" s="281">
        <f t="shared" si="717"/>
        <v>32383346.359999999</v>
      </c>
      <c r="AB290" s="281">
        <f t="shared" si="717"/>
        <v>33021227.440000001</v>
      </c>
      <c r="AC290" s="281">
        <f t="shared" ref="AC290:AL290" si="718">AC160</f>
        <v>35214743.200000003</v>
      </c>
      <c r="AD290" s="281">
        <f t="shared" si="718"/>
        <v>37372131.68</v>
      </c>
      <c r="AE290" s="281">
        <f t="shared" si="718"/>
        <v>38286122.32</v>
      </c>
      <c r="AF290" s="281">
        <f t="shared" si="718"/>
        <v>39632509.93</v>
      </c>
      <c r="AG290" s="281">
        <f t="shared" si="718"/>
        <v>42089375.640000001</v>
      </c>
      <c r="AH290" s="281">
        <f t="shared" si="718"/>
        <v>43481317.68</v>
      </c>
      <c r="AI290" s="281">
        <f t="shared" si="718"/>
        <v>46747210.240000002</v>
      </c>
      <c r="AJ290" s="281">
        <f t="shared" si="718"/>
        <v>48646147.57</v>
      </c>
      <c r="AK290" s="281">
        <f t="shared" si="718"/>
        <v>50898420.039999999</v>
      </c>
      <c r="AL290" s="281">
        <f t="shared" si="718"/>
        <v>53103837.18</v>
      </c>
      <c r="AM290" s="281">
        <f t="shared" si="717"/>
        <v>59300337.179999985</v>
      </c>
      <c r="AN290" s="281">
        <f t="shared" si="717"/>
        <v>65496837.18</v>
      </c>
      <c r="AO290" s="281">
        <f t="shared" si="717"/>
        <v>71693337.179999992</v>
      </c>
      <c r="AP290" s="281">
        <f t="shared" si="717"/>
        <v>77889837.180000007</v>
      </c>
      <c r="AQ290" s="281">
        <f t="shared" si="717"/>
        <v>84086337.179999992</v>
      </c>
      <c r="AR290" s="281">
        <f t="shared" si="717"/>
        <v>90282837.180000007</v>
      </c>
      <c r="AS290" s="281">
        <f t="shared" si="717"/>
        <v>96479337.179999992</v>
      </c>
      <c r="AT290" s="281">
        <f t="shared" si="716"/>
        <v>102675837.18000001</v>
      </c>
      <c r="AU290" s="281">
        <f t="shared" si="716"/>
        <v>108872337.18000001</v>
      </c>
      <c r="AV290" s="281">
        <f t="shared" si="716"/>
        <v>115068837.17999999</v>
      </c>
      <c r="AW290" s="281">
        <f t="shared" si="716"/>
        <v>121265337.18000002</v>
      </c>
      <c r="AX290" s="281">
        <f t="shared" si="716"/>
        <v>127461837.18000001</v>
      </c>
      <c r="AY290" s="281">
        <f>AX290-V290</f>
        <v>99539968.210000008</v>
      </c>
      <c r="AZ290" s="281">
        <f>AX290-P290</f>
        <v>99526089.510000005</v>
      </c>
    </row>
    <row r="291" spans="2:52" x14ac:dyDescent="0.25">
      <c r="B291" s="305">
        <f t="shared" ref="B291:AX291" si="719">B166</f>
        <v>2105</v>
      </c>
      <c r="C291" s="306" t="str">
        <f t="shared" si="719"/>
        <v>DEPOSITOS RESTRINGIDOS</v>
      </c>
      <c r="D291" s="281">
        <f t="shared" si="719"/>
        <v>80336.12</v>
      </c>
      <c r="E291" s="281">
        <f t="shared" si="719"/>
        <v>80336.12</v>
      </c>
      <c r="F291" s="281">
        <f t="shared" si="719"/>
        <v>80336.12</v>
      </c>
      <c r="G291" s="281">
        <f t="shared" si="719"/>
        <v>80336.12</v>
      </c>
      <c r="H291" s="281">
        <f t="shared" si="719"/>
        <v>80336.12</v>
      </c>
      <c r="I291" s="281">
        <f t="shared" si="719"/>
        <v>80336.12</v>
      </c>
      <c r="J291" s="281">
        <f t="shared" si="719"/>
        <v>80336.12</v>
      </c>
      <c r="K291" s="281">
        <f t="shared" si="719"/>
        <v>80336.12</v>
      </c>
      <c r="L291" s="281">
        <f t="shared" si="719"/>
        <v>80336.12</v>
      </c>
      <c r="M291" s="281">
        <f t="shared" si="719"/>
        <v>80336.12</v>
      </c>
      <c r="N291" s="281">
        <f t="shared" si="719"/>
        <v>80336.12</v>
      </c>
      <c r="O291" s="281">
        <f t="shared" si="719"/>
        <v>80336.12</v>
      </c>
      <c r="P291" s="281">
        <f t="shared" si="719"/>
        <v>80336.12</v>
      </c>
      <c r="Q291" s="281">
        <f t="shared" si="719"/>
        <v>80336.12</v>
      </c>
      <c r="R291" s="281">
        <f t="shared" si="719"/>
        <v>89934.89</v>
      </c>
      <c r="S291" s="281">
        <f t="shared" si="719"/>
        <v>89934.89</v>
      </c>
      <c r="T291" s="281">
        <f t="shared" si="719"/>
        <v>80336.12</v>
      </c>
      <c r="U291" s="281">
        <f t="shared" si="719"/>
        <v>80336.12</v>
      </c>
      <c r="V291" s="281">
        <f t="shared" si="719"/>
        <v>80336.12</v>
      </c>
      <c r="W291" s="281">
        <f t="shared" si="719"/>
        <v>80336.12</v>
      </c>
      <c r="X291" s="281">
        <f t="shared" ref="X291:AS291" si="720">X166</f>
        <v>80336.12</v>
      </c>
      <c r="Y291" s="281">
        <f t="shared" si="720"/>
        <v>80336.12</v>
      </c>
      <c r="Z291" s="281">
        <f t="shared" si="720"/>
        <v>80336.12</v>
      </c>
      <c r="AA291" s="281">
        <f t="shared" si="720"/>
        <v>80336.12</v>
      </c>
      <c r="AB291" s="281">
        <f t="shared" si="720"/>
        <v>80336.12</v>
      </c>
      <c r="AC291" s="281">
        <f t="shared" ref="AC291:AL291" si="721">AC166</f>
        <v>80336.12</v>
      </c>
      <c r="AD291" s="281">
        <f t="shared" si="721"/>
        <v>80336.12</v>
      </c>
      <c r="AE291" s="281">
        <f t="shared" si="721"/>
        <v>80336.12</v>
      </c>
      <c r="AF291" s="281">
        <f t="shared" si="721"/>
        <v>80336.12</v>
      </c>
      <c r="AG291" s="281">
        <f t="shared" si="721"/>
        <v>80336.12</v>
      </c>
      <c r="AH291" s="281">
        <f t="shared" si="721"/>
        <v>80336.12</v>
      </c>
      <c r="AI291" s="281">
        <f t="shared" si="721"/>
        <v>80336.12</v>
      </c>
      <c r="AJ291" s="281">
        <f t="shared" si="721"/>
        <v>80336.12</v>
      </c>
      <c r="AK291" s="281">
        <f t="shared" si="721"/>
        <v>80336.12</v>
      </c>
      <c r="AL291" s="281">
        <f t="shared" si="721"/>
        <v>80336.12</v>
      </c>
      <c r="AM291" s="281">
        <f t="shared" si="720"/>
        <v>80336.12</v>
      </c>
      <c r="AN291" s="281">
        <f t="shared" si="720"/>
        <v>80336.12</v>
      </c>
      <c r="AO291" s="281">
        <f t="shared" si="720"/>
        <v>80336.12</v>
      </c>
      <c r="AP291" s="281">
        <f t="shared" si="720"/>
        <v>80336.12</v>
      </c>
      <c r="AQ291" s="281">
        <f t="shared" si="720"/>
        <v>80336.12</v>
      </c>
      <c r="AR291" s="281">
        <f t="shared" si="720"/>
        <v>80336.12</v>
      </c>
      <c r="AS291" s="281">
        <f t="shared" si="720"/>
        <v>80336.12</v>
      </c>
      <c r="AT291" s="281">
        <f t="shared" si="719"/>
        <v>80336.12</v>
      </c>
      <c r="AU291" s="281">
        <f t="shared" si="719"/>
        <v>80336.12</v>
      </c>
      <c r="AV291" s="281">
        <f t="shared" si="719"/>
        <v>80336.12</v>
      </c>
      <c r="AW291" s="281">
        <f t="shared" si="719"/>
        <v>80336.12</v>
      </c>
      <c r="AX291" s="281">
        <f t="shared" si="719"/>
        <v>80336.12</v>
      </c>
      <c r="AY291" s="281">
        <f>AX291-V291</f>
        <v>0</v>
      </c>
      <c r="AZ291" s="281">
        <f>AX291-P291</f>
        <v>0</v>
      </c>
    </row>
    <row r="292" spans="2:52" s="229" customFormat="1" x14ac:dyDescent="0.25">
      <c r="B292" s="307" t="s">
        <v>735</v>
      </c>
      <c r="C292" s="308" t="s">
        <v>736</v>
      </c>
      <c r="D292" s="293">
        <f t="shared" ref="D292:H292" si="722">SUM(D289:D291)</f>
        <v>33474627.530000001</v>
      </c>
      <c r="E292" s="293">
        <f t="shared" si="722"/>
        <v>33076530.940000001</v>
      </c>
      <c r="F292" s="293">
        <f t="shared" si="722"/>
        <v>32542783.810000002</v>
      </c>
      <c r="G292" s="293">
        <f t="shared" si="722"/>
        <v>32688741.669999998</v>
      </c>
      <c r="H292" s="293">
        <f t="shared" si="722"/>
        <v>31323782.859999999</v>
      </c>
      <c r="I292" s="293">
        <f t="shared" ref="I292:O292" si="723">SUM(I289:I291)</f>
        <v>30646542.880000003</v>
      </c>
      <c r="J292" s="293">
        <f t="shared" si="723"/>
        <v>30175093.699999999</v>
      </c>
      <c r="K292" s="293">
        <f t="shared" si="723"/>
        <v>29708156.25</v>
      </c>
      <c r="L292" s="293">
        <f t="shared" si="723"/>
        <v>29331614.530000001</v>
      </c>
      <c r="M292" s="293">
        <f t="shared" si="723"/>
        <v>28758404.259999998</v>
      </c>
      <c r="N292" s="293">
        <f t="shared" si="723"/>
        <v>30002048.820000004</v>
      </c>
      <c r="O292" s="293">
        <f t="shared" si="723"/>
        <v>29945443.190000001</v>
      </c>
      <c r="P292" s="293">
        <f t="shared" ref="P292:Q292" si="724">SUM(P289:P291)</f>
        <v>29670156.870000001</v>
      </c>
      <c r="Q292" s="293">
        <f t="shared" si="724"/>
        <v>29727154.920000002</v>
      </c>
      <c r="R292" s="293">
        <f t="shared" ref="R292" si="725">SUM(R289:R291)</f>
        <v>29562549.100000001</v>
      </c>
      <c r="S292" s="293">
        <f t="shared" ref="S292" si="726">SUM(S289:S291)</f>
        <v>29807181.150000002</v>
      </c>
      <c r="T292" s="293">
        <f t="shared" ref="T292" si="727">SUM(T289:T291)</f>
        <v>30256838.490000002</v>
      </c>
      <c r="U292" s="293">
        <f t="shared" ref="U292" si="728">SUM(U289:U291)</f>
        <v>33415403.210000001</v>
      </c>
      <c r="V292" s="293">
        <f t="shared" ref="V292" si="729">SUM(V289:V291)</f>
        <v>33400252.080000002</v>
      </c>
      <c r="W292" s="293">
        <f t="shared" ref="W292:AS292" si="730">SUM(W289:W291)</f>
        <v>32718034.23</v>
      </c>
      <c r="X292" s="293">
        <f t="shared" si="730"/>
        <v>33378953.420000002</v>
      </c>
      <c r="Y292" s="293">
        <f t="shared" si="730"/>
        <v>33247974.060000002</v>
      </c>
      <c r="Z292" s="293">
        <f t="shared" si="730"/>
        <v>34538852.799999997</v>
      </c>
      <c r="AA292" s="293">
        <f t="shared" si="730"/>
        <v>35257549.18</v>
      </c>
      <c r="AB292" s="293">
        <f t="shared" si="730"/>
        <v>36652317.259999998</v>
      </c>
      <c r="AC292" s="293">
        <f t="shared" ref="AC292:AL292" si="731">SUM(AC289:AC291)</f>
        <v>38639818.140000001</v>
      </c>
      <c r="AD292" s="293">
        <f t="shared" si="731"/>
        <v>40665920.399999999</v>
      </c>
      <c r="AE292" s="293">
        <f t="shared" si="731"/>
        <v>41861894.119999997</v>
      </c>
      <c r="AF292" s="293">
        <f t="shared" si="731"/>
        <v>42994695.389999993</v>
      </c>
      <c r="AG292" s="293">
        <f t="shared" si="731"/>
        <v>45618494.169999994</v>
      </c>
      <c r="AH292" s="293">
        <f t="shared" si="731"/>
        <v>47667087.409999996</v>
      </c>
      <c r="AI292" s="293">
        <f t="shared" si="731"/>
        <v>51116295.619999997</v>
      </c>
      <c r="AJ292" s="293">
        <f t="shared" si="731"/>
        <v>52915603.379999995</v>
      </c>
      <c r="AK292" s="293">
        <f t="shared" si="731"/>
        <v>54576179.469999999</v>
      </c>
      <c r="AL292" s="293">
        <f t="shared" si="731"/>
        <v>56448059.579999998</v>
      </c>
      <c r="AM292" s="293">
        <f t="shared" si="730"/>
        <v>62844559.579999983</v>
      </c>
      <c r="AN292" s="293">
        <f t="shared" si="730"/>
        <v>69241059.579999998</v>
      </c>
      <c r="AO292" s="293">
        <f t="shared" si="730"/>
        <v>75637559.579999998</v>
      </c>
      <c r="AP292" s="293">
        <f t="shared" si="730"/>
        <v>82034059.580000013</v>
      </c>
      <c r="AQ292" s="293">
        <f t="shared" si="730"/>
        <v>88430559.579999998</v>
      </c>
      <c r="AR292" s="293">
        <f t="shared" si="730"/>
        <v>94827059.580000013</v>
      </c>
      <c r="AS292" s="293">
        <f t="shared" si="730"/>
        <v>101223559.58</v>
      </c>
      <c r="AT292" s="293">
        <f t="shared" ref="AT292" si="732">SUM(AT289:AT291)</f>
        <v>107620059.58000001</v>
      </c>
      <c r="AU292" s="293">
        <f t="shared" ref="AU292" si="733">SUM(AU289:AU291)</f>
        <v>113816559.58000001</v>
      </c>
      <c r="AV292" s="293">
        <f t="shared" ref="AV292" si="734">SUM(AV289:AV291)</f>
        <v>120213059.58</v>
      </c>
      <c r="AW292" s="293">
        <f t="shared" ref="AW292" si="735">SUM(AW289:AW291)</f>
        <v>126609559.58000003</v>
      </c>
      <c r="AX292" s="293">
        <f t="shared" ref="AX292" si="736">SUM(AX289:AX291)</f>
        <v>133006059.58000001</v>
      </c>
      <c r="AY292" s="293">
        <f>AX292-V292</f>
        <v>99605807.500000015</v>
      </c>
      <c r="AZ292" s="293">
        <f>AX292-P292</f>
        <v>103335902.71000001</v>
      </c>
    </row>
    <row r="293" spans="2:52" x14ac:dyDescent="0.25">
      <c r="B293" s="302"/>
      <c r="C293" s="303"/>
    </row>
    <row r="294" spans="2:52" x14ac:dyDescent="0.25">
      <c r="B294" s="302"/>
      <c r="C294" s="309" t="s">
        <v>737</v>
      </c>
      <c r="D294" s="310">
        <f t="shared" ref="D294:AZ294" si="737">D4</f>
        <v>44926</v>
      </c>
      <c r="E294" s="310">
        <f t="shared" si="737"/>
        <v>44957</v>
      </c>
      <c r="F294" s="310">
        <f t="shared" si="737"/>
        <v>44985</v>
      </c>
      <c r="G294" s="310">
        <f t="shared" si="737"/>
        <v>45016</v>
      </c>
      <c r="H294" s="310">
        <f t="shared" si="737"/>
        <v>45046</v>
      </c>
      <c r="I294" s="310">
        <f t="shared" si="737"/>
        <v>45077</v>
      </c>
      <c r="J294" s="310">
        <f t="shared" si="737"/>
        <v>45107</v>
      </c>
      <c r="K294" s="310">
        <f t="shared" si="737"/>
        <v>45138</v>
      </c>
      <c r="L294" s="310">
        <f t="shared" si="737"/>
        <v>45169</v>
      </c>
      <c r="M294" s="310">
        <f t="shared" si="737"/>
        <v>45199</v>
      </c>
      <c r="N294" s="310">
        <f t="shared" si="737"/>
        <v>45230</v>
      </c>
      <c r="O294" s="310">
        <f t="shared" si="737"/>
        <v>45260</v>
      </c>
      <c r="P294" s="310">
        <f t="shared" si="737"/>
        <v>45291</v>
      </c>
      <c r="Q294" s="310">
        <f t="shared" si="737"/>
        <v>45322</v>
      </c>
      <c r="R294" s="310">
        <f t="shared" si="737"/>
        <v>45351</v>
      </c>
      <c r="S294" s="310">
        <f t="shared" si="737"/>
        <v>45382</v>
      </c>
      <c r="T294" s="310">
        <f t="shared" si="737"/>
        <v>45412</v>
      </c>
      <c r="U294" s="310">
        <f t="shared" si="737"/>
        <v>45443</v>
      </c>
      <c r="V294" s="310">
        <f t="shared" si="737"/>
        <v>45473</v>
      </c>
      <c r="W294" s="310">
        <f t="shared" si="737"/>
        <v>45504</v>
      </c>
      <c r="X294" s="310">
        <f t="shared" ref="X294:AS294" si="738">X4</f>
        <v>45535</v>
      </c>
      <c r="Y294" s="310">
        <f t="shared" si="738"/>
        <v>45565</v>
      </c>
      <c r="Z294" s="310">
        <f t="shared" si="738"/>
        <v>45596</v>
      </c>
      <c r="AA294" s="310">
        <f t="shared" si="738"/>
        <v>45626</v>
      </c>
      <c r="AB294" s="310">
        <f t="shared" si="738"/>
        <v>45657</v>
      </c>
      <c r="AC294" s="311" t="s">
        <v>687</v>
      </c>
      <c r="AD294" s="311" t="s">
        <v>688</v>
      </c>
      <c r="AE294" s="311" t="s">
        <v>689</v>
      </c>
      <c r="AF294" s="311" t="s">
        <v>690</v>
      </c>
      <c r="AG294" s="311" t="s">
        <v>691</v>
      </c>
      <c r="AH294" s="311" t="s">
        <v>692</v>
      </c>
      <c r="AI294" s="311" t="s">
        <v>693</v>
      </c>
      <c r="AJ294" s="311" t="s">
        <v>694</v>
      </c>
      <c r="AK294" s="311" t="s">
        <v>695</v>
      </c>
      <c r="AL294" s="311" t="s">
        <v>696</v>
      </c>
      <c r="AM294" s="310">
        <f t="shared" si="738"/>
        <v>45688</v>
      </c>
      <c r="AN294" s="310">
        <f t="shared" si="738"/>
        <v>45716</v>
      </c>
      <c r="AO294" s="310">
        <f t="shared" si="738"/>
        <v>45747</v>
      </c>
      <c r="AP294" s="310">
        <f t="shared" si="738"/>
        <v>45777</v>
      </c>
      <c r="AQ294" s="310">
        <f t="shared" si="738"/>
        <v>45808</v>
      </c>
      <c r="AR294" s="310">
        <f t="shared" si="738"/>
        <v>45838</v>
      </c>
      <c r="AS294" s="310">
        <f t="shared" si="738"/>
        <v>45869</v>
      </c>
      <c r="AT294" s="310">
        <f t="shared" si="737"/>
        <v>45900</v>
      </c>
      <c r="AU294" s="310">
        <f t="shared" si="737"/>
        <v>45930</v>
      </c>
      <c r="AV294" s="310">
        <f t="shared" si="737"/>
        <v>45961</v>
      </c>
      <c r="AW294" s="310">
        <f t="shared" si="737"/>
        <v>45991</v>
      </c>
      <c r="AX294" s="310">
        <f t="shared" si="737"/>
        <v>46022</v>
      </c>
      <c r="AY294" s="310" t="str">
        <f t="shared" si="737"/>
        <v>Comportam</v>
      </c>
      <c r="AZ294" s="310" t="str">
        <f t="shared" si="737"/>
        <v>Comportam</v>
      </c>
    </row>
    <row r="295" spans="2:52" x14ac:dyDescent="0.25">
      <c r="B295" s="302"/>
      <c r="C295" s="312" t="s">
        <v>738</v>
      </c>
      <c r="D295" s="280" t="e">
        <f>PT!#REF!</f>
        <v>#REF!</v>
      </c>
      <c r="E295" s="280" t="e">
        <f>PT!#REF!</f>
        <v>#REF!</v>
      </c>
      <c r="F295" s="280" t="e">
        <f>PT!#REF!</f>
        <v>#REF!</v>
      </c>
      <c r="G295" s="280" t="e">
        <f>PT!#REF!</f>
        <v>#REF!</v>
      </c>
      <c r="H295" s="280" t="e">
        <f>PT!#REF!</f>
        <v>#REF!</v>
      </c>
      <c r="I295" s="280" t="e">
        <f>PT!#REF!</f>
        <v>#REF!</v>
      </c>
      <c r="J295" s="280" t="e">
        <f>PT!#REF!</f>
        <v>#REF!</v>
      </c>
      <c r="K295" s="280" t="e">
        <f>PT!#REF!</f>
        <v>#REF!</v>
      </c>
      <c r="L295" s="280" t="e">
        <f>PT!#REF!</f>
        <v>#REF!</v>
      </c>
      <c r="M295" s="280" t="e">
        <f>PT!#REF!</f>
        <v>#REF!</v>
      </c>
      <c r="N295" s="280" t="e">
        <f>PT!#REF!</f>
        <v>#REF!</v>
      </c>
      <c r="O295" s="280" t="e">
        <f>PT!#REF!</f>
        <v>#REF!</v>
      </c>
      <c r="P295" s="280">
        <f>PT!D6</f>
        <v>10578521.050000001</v>
      </c>
      <c r="Q295" s="280">
        <f>PT!E6</f>
        <v>10699253.998507457</v>
      </c>
      <c r="R295" s="280">
        <f>PT!F6</f>
        <v>10784521.07828602</v>
      </c>
      <c r="S295" s="280">
        <f>PT!G6</f>
        <v>10994127.825519284</v>
      </c>
      <c r="T295" s="280">
        <f>PT!H6</f>
        <v>11232366.860676019</v>
      </c>
      <c r="U295" s="280">
        <f>PT!I6</f>
        <v>11494945.732091991</v>
      </c>
      <c r="V295" s="280">
        <f>PT!J6</f>
        <v>11776838.262094654</v>
      </c>
      <c r="W295" s="280">
        <f>PT!K6</f>
        <v>12083259.061882384</v>
      </c>
      <c r="X295" s="280">
        <f>PT!L6</f>
        <v>12458601.616104651</v>
      </c>
      <c r="Y295" s="280">
        <f>PT!M6</f>
        <v>12796474.828990886</v>
      </c>
      <c r="Z295" s="280">
        <f>PT!N6</f>
        <v>13211976.382451145</v>
      </c>
      <c r="AA295" s="280">
        <f>PT!O6</f>
        <v>13644620.606549973</v>
      </c>
      <c r="AB295" s="280">
        <f>PT!P6</f>
        <v>14037238.926802199</v>
      </c>
      <c r="AC295" s="280">
        <f>PT!Q6</f>
        <v>0</v>
      </c>
      <c r="AD295" s="280">
        <f>PT!R6</f>
        <v>0</v>
      </c>
      <c r="AE295" s="280">
        <f>PT!S6</f>
        <v>0</v>
      </c>
      <c r="AF295" s="280">
        <f>PT!T6</f>
        <v>0</v>
      </c>
      <c r="AG295" s="280">
        <f>PT!U6</f>
        <v>0</v>
      </c>
      <c r="AH295" s="280">
        <f>PT!V6</f>
        <v>0</v>
      </c>
      <c r="AI295" s="280">
        <f>PT!W6</f>
        <v>0</v>
      </c>
      <c r="AJ295" s="280">
        <f>PT!X6</f>
        <v>0</v>
      </c>
      <c r="AK295" s="280">
        <f>PT!Y6</f>
        <v>0</v>
      </c>
      <c r="AL295" s="280">
        <f>PT!Z6</f>
        <v>0</v>
      </c>
      <c r="AM295" s="280">
        <f>PT!E6</f>
        <v>10699253.998507457</v>
      </c>
      <c r="AN295" s="280">
        <f>PT!F6</f>
        <v>10784521.07828602</v>
      </c>
      <c r="AO295" s="280">
        <f>PT!G6</f>
        <v>10994127.825519284</v>
      </c>
      <c r="AP295" s="280">
        <f>PT!H6</f>
        <v>11232366.860676019</v>
      </c>
      <c r="AQ295" s="280">
        <f>PT!I6</f>
        <v>11494945.732091991</v>
      </c>
      <c r="AR295" s="280">
        <f>PT!J6</f>
        <v>11776838.262094654</v>
      </c>
      <c r="AS295" s="280">
        <f>PT!K6</f>
        <v>12083259.061882384</v>
      </c>
      <c r="AT295" s="280">
        <f>PT!L6</f>
        <v>12458601.616104651</v>
      </c>
      <c r="AU295" s="280">
        <f>PT!M6</f>
        <v>12796474.828990886</v>
      </c>
      <c r="AV295" s="280">
        <f>PT!N6</f>
        <v>13211976.382451145</v>
      </c>
      <c r="AW295" s="280">
        <f>PT!O6</f>
        <v>13644620.606549973</v>
      </c>
      <c r="AX295" s="280">
        <f>PT!P6</f>
        <v>14037238.926802199</v>
      </c>
      <c r="AY295" s="281">
        <f>AX295-V295</f>
        <v>2260400.6647075452</v>
      </c>
      <c r="AZ295" s="281">
        <f>AX295-P295</f>
        <v>3458717.8768021986</v>
      </c>
    </row>
    <row r="296" spans="2:52" x14ac:dyDescent="0.25">
      <c r="B296" s="302"/>
      <c r="C296" s="312" t="s">
        <v>739</v>
      </c>
      <c r="D296" s="280" t="e">
        <f>PT!#REF!</f>
        <v>#REF!</v>
      </c>
      <c r="E296" s="280" t="e">
        <f>PT!#REF!</f>
        <v>#REF!</v>
      </c>
      <c r="F296" s="280" t="e">
        <f>PT!#REF!</f>
        <v>#REF!</v>
      </c>
      <c r="G296" s="280" t="e">
        <f>PT!#REF!</f>
        <v>#REF!</v>
      </c>
      <c r="H296" s="280" t="e">
        <f>PT!#REF!</f>
        <v>#REF!</v>
      </c>
      <c r="I296" s="280" t="e">
        <f>PT!#REF!</f>
        <v>#REF!</v>
      </c>
      <c r="J296" s="280" t="e">
        <f>PT!#REF!</f>
        <v>#REF!</v>
      </c>
      <c r="K296" s="280" t="e">
        <f>PT!#REF!</f>
        <v>#REF!</v>
      </c>
      <c r="L296" s="280" t="e">
        <f>PT!#REF!</f>
        <v>#REF!</v>
      </c>
      <c r="M296" s="280" t="e">
        <f>PT!#REF!</f>
        <v>#REF!</v>
      </c>
      <c r="N296" s="280" t="e">
        <f>PT!#REF!</f>
        <v>#REF!</v>
      </c>
      <c r="O296" s="280" t="e">
        <f>PT!#REF!</f>
        <v>#REF!</v>
      </c>
      <c r="P296" s="280">
        <f>PT!D14</f>
        <v>40442.283000000003</v>
      </c>
      <c r="Q296" s="280">
        <f>PT!E14</f>
        <v>19139.908000000003</v>
      </c>
      <c r="R296" s="280">
        <f>PT!F14</f>
        <v>19139.908000000003</v>
      </c>
      <c r="S296" s="280">
        <f>PT!G14</f>
        <v>19139.908000000003</v>
      </c>
      <c r="T296" s="280">
        <f>PT!H14</f>
        <v>22470.387999999999</v>
      </c>
      <c r="U296" s="280">
        <f>PT!I14</f>
        <v>22470.387999999999</v>
      </c>
      <c r="V296" s="280">
        <f>PT!J14</f>
        <v>22470.387999999999</v>
      </c>
      <c r="W296" s="280">
        <f>PT!K14</f>
        <v>22470.387999999999</v>
      </c>
      <c r="X296" s="280">
        <f>PT!L14</f>
        <v>22470.387999999999</v>
      </c>
      <c r="Y296" s="280">
        <f>PT!M14</f>
        <v>22470.387999999999</v>
      </c>
      <c r="Z296" s="280">
        <f>PT!N14</f>
        <v>22470.387999999999</v>
      </c>
      <c r="AA296" s="280">
        <f>PT!O14</f>
        <v>22470.387999999999</v>
      </c>
      <c r="AB296" s="280">
        <f>PT!P14</f>
        <v>22470.387999999999</v>
      </c>
      <c r="AC296" s="280">
        <f>PT!Q14</f>
        <v>0</v>
      </c>
      <c r="AD296" s="280">
        <f>PT!R14</f>
        <v>0</v>
      </c>
      <c r="AE296" s="280">
        <f>PT!S14</f>
        <v>0</v>
      </c>
      <c r="AF296" s="280">
        <f>PT!T14</f>
        <v>0</v>
      </c>
      <c r="AG296" s="280">
        <f>PT!U14</f>
        <v>0</v>
      </c>
      <c r="AH296" s="280">
        <f>PT!V14</f>
        <v>0</v>
      </c>
      <c r="AI296" s="280">
        <f>PT!W14</f>
        <v>0</v>
      </c>
      <c r="AJ296" s="280">
        <f>PT!X14</f>
        <v>0</v>
      </c>
      <c r="AK296" s="280">
        <f>PT!Y14</f>
        <v>0</v>
      </c>
      <c r="AL296" s="280">
        <f>PT!Z14</f>
        <v>0</v>
      </c>
      <c r="AM296" s="280">
        <f>PT!E14</f>
        <v>19139.908000000003</v>
      </c>
      <c r="AN296" s="280">
        <f>PT!F14</f>
        <v>19139.908000000003</v>
      </c>
      <c r="AO296" s="280">
        <f>PT!G14</f>
        <v>19139.908000000003</v>
      </c>
      <c r="AP296" s="280">
        <f>PT!H14</f>
        <v>22470.387999999999</v>
      </c>
      <c r="AQ296" s="280">
        <f>PT!I14</f>
        <v>22470.387999999999</v>
      </c>
      <c r="AR296" s="280">
        <f>PT!J14</f>
        <v>22470.387999999999</v>
      </c>
      <c r="AS296" s="280">
        <f>PT!K14</f>
        <v>22470.387999999999</v>
      </c>
      <c r="AT296" s="280">
        <f>PT!L14</f>
        <v>22470.387999999999</v>
      </c>
      <c r="AU296" s="280">
        <f>PT!M14</f>
        <v>22470.387999999999</v>
      </c>
      <c r="AV296" s="280">
        <f>PT!N14</f>
        <v>22470.387999999999</v>
      </c>
      <c r="AW296" s="280">
        <f>PT!O14</f>
        <v>22470.387999999999</v>
      </c>
      <c r="AX296" s="280">
        <f>PT!P14</f>
        <v>22470.387999999999</v>
      </c>
      <c r="AY296" s="281">
        <f>AX296-V296</f>
        <v>0</v>
      </c>
      <c r="AZ296" s="281">
        <f>AX296-P296</f>
        <v>-17971.895000000004</v>
      </c>
    </row>
    <row r="297" spans="2:52" x14ac:dyDescent="0.25">
      <c r="B297" s="313"/>
      <c r="C297" s="308" t="s">
        <v>740</v>
      </c>
      <c r="D297" s="293" t="e">
        <f t="shared" ref="D297:H297" si="739">SUM(D295:D296)</f>
        <v>#REF!</v>
      </c>
      <c r="E297" s="293" t="e">
        <f t="shared" si="739"/>
        <v>#REF!</v>
      </c>
      <c r="F297" s="293" t="e">
        <f t="shared" si="739"/>
        <v>#REF!</v>
      </c>
      <c r="G297" s="293" t="e">
        <f t="shared" si="739"/>
        <v>#REF!</v>
      </c>
      <c r="H297" s="293" t="e">
        <f t="shared" si="739"/>
        <v>#REF!</v>
      </c>
      <c r="I297" s="293" t="e">
        <f t="shared" ref="I297:O297" si="740">SUM(I295:I296)</f>
        <v>#REF!</v>
      </c>
      <c r="J297" s="293" t="e">
        <f t="shared" si="740"/>
        <v>#REF!</v>
      </c>
      <c r="K297" s="293" t="e">
        <f t="shared" si="740"/>
        <v>#REF!</v>
      </c>
      <c r="L297" s="293" t="e">
        <f t="shared" si="740"/>
        <v>#REF!</v>
      </c>
      <c r="M297" s="293" t="e">
        <f t="shared" si="740"/>
        <v>#REF!</v>
      </c>
      <c r="N297" s="293" t="e">
        <f t="shared" si="740"/>
        <v>#REF!</v>
      </c>
      <c r="O297" s="293" t="e">
        <f t="shared" si="740"/>
        <v>#REF!</v>
      </c>
      <c r="P297" s="293">
        <f t="shared" ref="P297:Q297" si="741">SUM(P295:P296)</f>
        <v>10618963.333000001</v>
      </c>
      <c r="Q297" s="293">
        <f t="shared" si="741"/>
        <v>10718393.906507457</v>
      </c>
      <c r="R297" s="293">
        <f t="shared" ref="R297" si="742">SUM(R295:R296)</f>
        <v>10803660.98628602</v>
      </c>
      <c r="S297" s="293">
        <f t="shared" ref="S297" si="743">SUM(S295:S296)</f>
        <v>11013267.733519284</v>
      </c>
      <c r="T297" s="293">
        <f t="shared" ref="T297" si="744">SUM(T295:T296)</f>
        <v>11254837.248676019</v>
      </c>
      <c r="U297" s="293">
        <f t="shared" ref="U297" si="745">SUM(U295:U296)</f>
        <v>11517416.120091991</v>
      </c>
      <c r="V297" s="293">
        <f t="shared" ref="V297" si="746">SUM(V295:V296)</f>
        <v>11799308.650094654</v>
      </c>
      <c r="W297" s="293">
        <f t="shared" ref="W297:AS297" si="747">SUM(W295:W296)</f>
        <v>12105729.449882384</v>
      </c>
      <c r="X297" s="293">
        <f t="shared" si="747"/>
        <v>12481072.004104652</v>
      </c>
      <c r="Y297" s="293">
        <f t="shared" si="747"/>
        <v>12818945.216990886</v>
      </c>
      <c r="Z297" s="293">
        <f t="shared" si="747"/>
        <v>13234446.770451145</v>
      </c>
      <c r="AA297" s="293">
        <f t="shared" si="747"/>
        <v>13667090.994549973</v>
      </c>
      <c r="AB297" s="293">
        <f t="shared" si="747"/>
        <v>14059709.3148022</v>
      </c>
      <c r="AC297" s="293">
        <f t="shared" ref="AC297:AL297" si="748">SUM(AC295:AC296)</f>
        <v>0</v>
      </c>
      <c r="AD297" s="293">
        <f t="shared" si="748"/>
        <v>0</v>
      </c>
      <c r="AE297" s="293">
        <f t="shared" si="748"/>
        <v>0</v>
      </c>
      <c r="AF297" s="293">
        <f t="shared" si="748"/>
        <v>0</v>
      </c>
      <c r="AG297" s="293">
        <f t="shared" si="748"/>
        <v>0</v>
      </c>
      <c r="AH297" s="293">
        <f t="shared" si="748"/>
        <v>0</v>
      </c>
      <c r="AI297" s="293">
        <f t="shared" si="748"/>
        <v>0</v>
      </c>
      <c r="AJ297" s="293">
        <f t="shared" si="748"/>
        <v>0</v>
      </c>
      <c r="AK297" s="293">
        <f t="shared" si="748"/>
        <v>0</v>
      </c>
      <c r="AL297" s="293">
        <f t="shared" si="748"/>
        <v>0</v>
      </c>
      <c r="AM297" s="293">
        <f t="shared" si="747"/>
        <v>10718393.906507457</v>
      </c>
      <c r="AN297" s="293">
        <f t="shared" si="747"/>
        <v>10803660.98628602</v>
      </c>
      <c r="AO297" s="293">
        <f t="shared" si="747"/>
        <v>11013267.733519284</v>
      </c>
      <c r="AP297" s="293">
        <f t="shared" si="747"/>
        <v>11254837.248676019</v>
      </c>
      <c r="AQ297" s="293">
        <f t="shared" si="747"/>
        <v>11517416.120091991</v>
      </c>
      <c r="AR297" s="293">
        <f t="shared" si="747"/>
        <v>11799308.650094654</v>
      </c>
      <c r="AS297" s="293">
        <f t="shared" si="747"/>
        <v>12105729.449882384</v>
      </c>
      <c r="AT297" s="293">
        <f t="shared" ref="AT297" si="749">SUM(AT295:AT296)</f>
        <v>12481072.004104652</v>
      </c>
      <c r="AU297" s="293">
        <f t="shared" ref="AU297" si="750">SUM(AU295:AU296)</f>
        <v>12818945.216990886</v>
      </c>
      <c r="AV297" s="293">
        <f t="shared" ref="AV297" si="751">SUM(AV295:AV296)</f>
        <v>13234446.770451145</v>
      </c>
      <c r="AW297" s="293">
        <f t="shared" ref="AW297" si="752">SUM(AW295:AW296)</f>
        <v>13667090.994549973</v>
      </c>
      <c r="AX297" s="293">
        <f t="shared" ref="AX297" si="753">SUM(AX295:AX296)</f>
        <v>14059709.3148022</v>
      </c>
      <c r="AY297" s="293">
        <f>AX297-V297</f>
        <v>2260400.6647075452</v>
      </c>
      <c r="AZ297" s="293">
        <f>AX297-P297</f>
        <v>3440745.981802199</v>
      </c>
    </row>
    <row r="298" spans="2:52" s="229" customFormat="1" x14ac:dyDescent="0.25">
      <c r="B298" s="302"/>
      <c r="C298" s="312" t="s">
        <v>741</v>
      </c>
      <c r="D298" s="201"/>
      <c r="E298" s="201"/>
      <c r="F298" s="201"/>
      <c r="G298" s="201"/>
      <c r="H298" s="201"/>
      <c r="I298" s="201"/>
      <c r="J298" s="201"/>
      <c r="K298" s="201"/>
      <c r="L298" s="201"/>
      <c r="M298" s="201"/>
      <c r="N298" s="201"/>
      <c r="O298" s="201"/>
      <c r="P298" s="201"/>
      <c r="Q298" s="201"/>
      <c r="R298" s="201"/>
      <c r="S298" s="201"/>
      <c r="T298" s="201"/>
      <c r="U298" s="201"/>
      <c r="V298" s="201"/>
      <c r="W298" s="201"/>
      <c r="X298" s="201"/>
      <c r="Y298" s="201"/>
      <c r="Z298" s="201"/>
      <c r="AA298" s="201"/>
      <c r="AB298" s="201"/>
      <c r="AC298" s="201"/>
      <c r="AD298" s="201"/>
      <c r="AE298" s="201"/>
      <c r="AF298" s="201"/>
      <c r="AG298" s="201"/>
      <c r="AH298" s="201"/>
      <c r="AI298" s="201"/>
      <c r="AJ298" s="201"/>
      <c r="AK298" s="201"/>
      <c r="AL298" s="201"/>
      <c r="AM298" s="201"/>
      <c r="AN298" s="201"/>
      <c r="AO298" s="201"/>
      <c r="AP298" s="201"/>
      <c r="AQ298" s="201"/>
      <c r="AR298" s="201"/>
      <c r="AS298" s="201"/>
      <c r="AT298" s="201"/>
      <c r="AU298" s="201"/>
      <c r="AV298" s="201"/>
      <c r="AW298" s="201"/>
      <c r="AX298" s="201"/>
      <c r="AY298" s="201"/>
      <c r="AZ298" s="201"/>
    </row>
    <row r="299" spans="2:52" x14ac:dyDescent="0.25">
      <c r="B299" s="313"/>
      <c r="C299" s="309" t="s">
        <v>742</v>
      </c>
      <c r="D299" s="293" t="e">
        <f t="shared" ref="D299:H299" si="754">D297-D298</f>
        <v>#REF!</v>
      </c>
      <c r="E299" s="293" t="e">
        <f t="shared" si="754"/>
        <v>#REF!</v>
      </c>
      <c r="F299" s="293" t="e">
        <f t="shared" si="754"/>
        <v>#REF!</v>
      </c>
      <c r="G299" s="293" t="e">
        <f t="shared" si="754"/>
        <v>#REF!</v>
      </c>
      <c r="H299" s="293" t="e">
        <f t="shared" si="754"/>
        <v>#REF!</v>
      </c>
      <c r="I299" s="293" t="e">
        <f t="shared" ref="I299:O299" si="755">I297-I298</f>
        <v>#REF!</v>
      </c>
      <c r="J299" s="293" t="e">
        <f t="shared" si="755"/>
        <v>#REF!</v>
      </c>
      <c r="K299" s="293" t="e">
        <f t="shared" si="755"/>
        <v>#REF!</v>
      </c>
      <c r="L299" s="293" t="e">
        <f t="shared" si="755"/>
        <v>#REF!</v>
      </c>
      <c r="M299" s="293" t="e">
        <f t="shared" si="755"/>
        <v>#REF!</v>
      </c>
      <c r="N299" s="293" t="e">
        <f t="shared" si="755"/>
        <v>#REF!</v>
      </c>
      <c r="O299" s="293" t="e">
        <f t="shared" si="755"/>
        <v>#REF!</v>
      </c>
      <c r="P299" s="293">
        <f t="shared" ref="P299:Q299" si="756">P297-P298</f>
        <v>10618963.333000001</v>
      </c>
      <c r="Q299" s="293">
        <f t="shared" si="756"/>
        <v>10718393.906507457</v>
      </c>
      <c r="R299" s="293">
        <f t="shared" ref="R299" si="757">R297-R298</f>
        <v>10803660.98628602</v>
      </c>
      <c r="S299" s="293">
        <f t="shared" ref="S299" si="758">S297-S298</f>
        <v>11013267.733519284</v>
      </c>
      <c r="T299" s="293">
        <f t="shared" ref="T299" si="759">T297-T298</f>
        <v>11254837.248676019</v>
      </c>
      <c r="U299" s="293">
        <f t="shared" ref="U299" si="760">U297-U298</f>
        <v>11517416.120091991</v>
      </c>
      <c r="V299" s="293">
        <f t="shared" ref="V299" si="761">V297-V298</f>
        <v>11799308.650094654</v>
      </c>
      <c r="W299" s="293">
        <f t="shared" ref="W299:AS299" si="762">W297-W298</f>
        <v>12105729.449882384</v>
      </c>
      <c r="X299" s="293">
        <f t="shared" si="762"/>
        <v>12481072.004104652</v>
      </c>
      <c r="Y299" s="293">
        <f t="shared" si="762"/>
        <v>12818945.216990886</v>
      </c>
      <c r="Z299" s="293">
        <f t="shared" si="762"/>
        <v>13234446.770451145</v>
      </c>
      <c r="AA299" s="293">
        <f t="shared" si="762"/>
        <v>13667090.994549973</v>
      </c>
      <c r="AB299" s="293">
        <f t="shared" si="762"/>
        <v>14059709.3148022</v>
      </c>
      <c r="AC299" s="293">
        <f t="shared" ref="AC299:AL299" si="763">AC297-AC298</f>
        <v>0</v>
      </c>
      <c r="AD299" s="293">
        <f t="shared" si="763"/>
        <v>0</v>
      </c>
      <c r="AE299" s="293">
        <f t="shared" si="763"/>
        <v>0</v>
      </c>
      <c r="AF299" s="293">
        <f t="shared" si="763"/>
        <v>0</v>
      </c>
      <c r="AG299" s="293">
        <f t="shared" si="763"/>
        <v>0</v>
      </c>
      <c r="AH299" s="293">
        <f t="shared" si="763"/>
        <v>0</v>
      </c>
      <c r="AI299" s="293">
        <f t="shared" si="763"/>
        <v>0</v>
      </c>
      <c r="AJ299" s="293">
        <f t="shared" si="763"/>
        <v>0</v>
      </c>
      <c r="AK299" s="293">
        <f t="shared" si="763"/>
        <v>0</v>
      </c>
      <c r="AL299" s="293">
        <f t="shared" si="763"/>
        <v>0</v>
      </c>
      <c r="AM299" s="293">
        <f t="shared" si="762"/>
        <v>10718393.906507457</v>
      </c>
      <c r="AN299" s="293">
        <f t="shared" si="762"/>
        <v>10803660.98628602</v>
      </c>
      <c r="AO299" s="293">
        <f t="shared" si="762"/>
        <v>11013267.733519284</v>
      </c>
      <c r="AP299" s="293">
        <f t="shared" si="762"/>
        <v>11254837.248676019</v>
      </c>
      <c r="AQ299" s="293">
        <f t="shared" si="762"/>
        <v>11517416.120091991</v>
      </c>
      <c r="AR299" s="293">
        <f t="shared" si="762"/>
        <v>11799308.650094654</v>
      </c>
      <c r="AS299" s="293">
        <f t="shared" si="762"/>
        <v>12105729.449882384</v>
      </c>
      <c r="AT299" s="293">
        <f t="shared" ref="AT299" si="764">AT297-AT298</f>
        <v>12481072.004104652</v>
      </c>
      <c r="AU299" s="293">
        <f t="shared" ref="AU299" si="765">AU297-AU298</f>
        <v>12818945.216990886</v>
      </c>
      <c r="AV299" s="293">
        <f t="shared" ref="AV299" si="766">AV297-AV298</f>
        <v>13234446.770451145</v>
      </c>
      <c r="AW299" s="293">
        <f t="shared" ref="AW299" si="767">AW297-AW298</f>
        <v>13667090.994549973</v>
      </c>
      <c r="AX299" s="293">
        <f t="shared" ref="AX299" si="768">AX297-AX298</f>
        <v>14059709.3148022</v>
      </c>
      <c r="AY299" s="293">
        <f>AX299-V299</f>
        <v>2260400.6647075452</v>
      </c>
      <c r="AZ299" s="293">
        <f>AX299-P299</f>
        <v>3440745.981802199</v>
      </c>
    </row>
    <row r="300" spans="2:52" s="229" customFormat="1" x14ac:dyDescent="0.25">
      <c r="B300" s="302"/>
      <c r="C300" s="314" t="s">
        <v>743</v>
      </c>
      <c r="D300" s="201"/>
      <c r="E300" s="201"/>
      <c r="F300" s="201"/>
      <c r="G300" s="201"/>
      <c r="H300" s="201"/>
      <c r="I300" s="201"/>
      <c r="J300" s="201"/>
      <c r="K300" s="201"/>
      <c r="L300" s="201"/>
      <c r="M300" s="201"/>
      <c r="N300" s="201"/>
      <c r="O300" s="201"/>
      <c r="P300" s="201"/>
      <c r="Q300" s="201"/>
      <c r="R300" s="201"/>
      <c r="S300" s="201"/>
      <c r="T300" s="201"/>
      <c r="U300" s="201"/>
      <c r="V300" s="201"/>
      <c r="W300" s="201"/>
      <c r="X300" s="201"/>
      <c r="Y300" s="201"/>
      <c r="Z300" s="201"/>
      <c r="AA300" s="201"/>
      <c r="AB300" s="201"/>
      <c r="AC300" s="201"/>
      <c r="AD300" s="201"/>
      <c r="AE300" s="201"/>
      <c r="AF300" s="201"/>
      <c r="AG300" s="201"/>
      <c r="AH300" s="201"/>
      <c r="AI300" s="201"/>
      <c r="AJ300" s="201"/>
      <c r="AK300" s="201"/>
      <c r="AL300" s="201"/>
      <c r="AM300" s="201"/>
      <c r="AN300" s="201"/>
      <c r="AO300" s="201"/>
      <c r="AP300" s="201"/>
      <c r="AQ300" s="201"/>
      <c r="AR300" s="201"/>
      <c r="AS300" s="201"/>
      <c r="AT300" s="201"/>
      <c r="AU300" s="201"/>
      <c r="AV300" s="201"/>
      <c r="AW300" s="201"/>
      <c r="AX300" s="201"/>
      <c r="AY300" s="201"/>
      <c r="AZ300" s="201"/>
    </row>
    <row r="301" spans="2:52" x14ac:dyDescent="0.25">
      <c r="B301" s="302"/>
      <c r="C301" s="312" t="s">
        <v>744</v>
      </c>
      <c r="D301" s="280" t="e">
        <f>PT!#REF!</f>
        <v>#REF!</v>
      </c>
      <c r="E301" s="280" t="e">
        <f>PT!#REF!</f>
        <v>#REF!</v>
      </c>
      <c r="F301" s="280" t="e">
        <f>PT!#REF!</f>
        <v>#REF!</v>
      </c>
      <c r="G301" s="280" t="e">
        <f>PT!#REF!</f>
        <v>#REF!</v>
      </c>
      <c r="H301" s="280" t="e">
        <f>PT!#REF!</f>
        <v>#REF!</v>
      </c>
      <c r="I301" s="280" t="e">
        <f>PT!#REF!</f>
        <v>#REF!</v>
      </c>
      <c r="J301" s="280" t="e">
        <f>PT!#REF!</f>
        <v>#REF!</v>
      </c>
      <c r="K301" s="280" t="e">
        <f>PT!#REF!</f>
        <v>#REF!</v>
      </c>
      <c r="L301" s="280" t="e">
        <f>PT!#REF!</f>
        <v>#REF!</v>
      </c>
      <c r="M301" s="280" t="e">
        <f>PT!#REF!</f>
        <v>#REF!</v>
      </c>
      <c r="N301" s="280" t="e">
        <f>PT!#REF!</f>
        <v>#REF!</v>
      </c>
      <c r="O301" s="280" t="e">
        <f>PT!#REF!</f>
        <v>#REF!</v>
      </c>
      <c r="P301" s="280">
        <f>PT!D30</f>
        <v>7432968.075526</v>
      </c>
      <c r="Q301" s="280">
        <f>PT!E30</f>
        <v>9232564.7838290576</v>
      </c>
      <c r="R301" s="280">
        <f>PT!F30</f>
        <v>8270488.3465993144</v>
      </c>
      <c r="S301" s="280">
        <f>PT!G30</f>
        <v>7929952.5865965048</v>
      </c>
      <c r="T301" s="280">
        <f>PT!H30</f>
        <v>7576401.0094611263</v>
      </c>
      <c r="U301" s="280">
        <f>PT!I30</f>
        <v>8100354.3677656734</v>
      </c>
      <c r="V301" s="280">
        <f>PT!J30</f>
        <v>8854550.3717837483</v>
      </c>
      <c r="W301" s="280">
        <f>PT!K30</f>
        <v>10387291.052572483</v>
      </c>
      <c r="X301" s="280">
        <f>PT!L30</f>
        <v>8699747.7506585587</v>
      </c>
      <c r="Y301" s="280">
        <f>PT!M30</f>
        <v>8560404.9053241722</v>
      </c>
      <c r="Z301" s="280">
        <f>PT!N30</f>
        <v>8696917.535316756</v>
      </c>
      <c r="AA301" s="280">
        <f>PT!O30</f>
        <v>11545696.119152308</v>
      </c>
      <c r="AB301" s="280">
        <f>PT!P30</f>
        <v>10617928.684599886</v>
      </c>
      <c r="AC301" s="280">
        <f>PT!Q30</f>
        <v>0</v>
      </c>
      <c r="AD301" s="280">
        <f>PT!R30</f>
        <v>0</v>
      </c>
      <c r="AE301" s="280">
        <f>PT!S30</f>
        <v>0</v>
      </c>
      <c r="AF301" s="280">
        <f>PT!T30</f>
        <v>0</v>
      </c>
      <c r="AG301" s="280">
        <f>PT!U30</f>
        <v>0</v>
      </c>
      <c r="AH301" s="280">
        <f>PT!V30</f>
        <v>0</v>
      </c>
      <c r="AI301" s="280">
        <f>PT!W30</f>
        <v>0</v>
      </c>
      <c r="AJ301" s="280">
        <f>PT!X30</f>
        <v>0</v>
      </c>
      <c r="AK301" s="280">
        <f>PT!Y30</f>
        <v>0</v>
      </c>
      <c r="AL301" s="280">
        <f>PT!Z30</f>
        <v>0</v>
      </c>
      <c r="AM301" s="280">
        <f>PT!E30</f>
        <v>9232564.7838290576</v>
      </c>
      <c r="AN301" s="280">
        <f>PT!F30</f>
        <v>8270488.3465993144</v>
      </c>
      <c r="AO301" s="280">
        <f>PT!G30</f>
        <v>7929952.5865965048</v>
      </c>
      <c r="AP301" s="280">
        <f>PT!H30</f>
        <v>7576401.0094611263</v>
      </c>
      <c r="AQ301" s="280">
        <f>PT!I30</f>
        <v>8100354.3677656734</v>
      </c>
      <c r="AR301" s="280">
        <f>PT!J30</f>
        <v>8854550.3717837483</v>
      </c>
      <c r="AS301" s="280">
        <f>PT!K30</f>
        <v>10387291.052572483</v>
      </c>
      <c r="AT301" s="280">
        <f>PT!L30</f>
        <v>8699747.7506585587</v>
      </c>
      <c r="AU301" s="280">
        <f>PT!M30</f>
        <v>8560404.9053241722</v>
      </c>
      <c r="AV301" s="280">
        <f>PT!N30</f>
        <v>8696917.535316756</v>
      </c>
      <c r="AW301" s="280">
        <f>PT!O30</f>
        <v>11545696.119152308</v>
      </c>
      <c r="AX301" s="280">
        <f>PT!P30</f>
        <v>10617928.684599886</v>
      </c>
      <c r="AY301" s="281">
        <f t="shared" ref="AY301:AY313" si="769">AX301-V301</f>
        <v>1763378.3128161374</v>
      </c>
      <c r="AZ301" s="281">
        <f t="shared" ref="AZ301:AZ313" si="770">AX301-P301</f>
        <v>3184960.6090738857</v>
      </c>
    </row>
    <row r="302" spans="2:52" x14ac:dyDescent="0.25">
      <c r="B302" s="302"/>
      <c r="C302" s="315" t="s">
        <v>745</v>
      </c>
      <c r="D302" s="280" t="e">
        <f>PT!#REF!</f>
        <v>#REF!</v>
      </c>
      <c r="E302" s="280" t="e">
        <f>PT!#REF!</f>
        <v>#REF!</v>
      </c>
      <c r="F302" s="280" t="e">
        <f>PT!#REF!</f>
        <v>#REF!</v>
      </c>
      <c r="G302" s="280" t="e">
        <f>PT!#REF!</f>
        <v>#REF!</v>
      </c>
      <c r="H302" s="280" t="e">
        <f>PT!#REF!</f>
        <v>#REF!</v>
      </c>
      <c r="I302" s="280" t="e">
        <f>PT!#REF!</f>
        <v>#REF!</v>
      </c>
      <c r="J302" s="280" t="e">
        <f>PT!#REF!</f>
        <v>#REF!</v>
      </c>
      <c r="K302" s="280" t="e">
        <f>PT!#REF!</f>
        <v>#REF!</v>
      </c>
      <c r="L302" s="280" t="e">
        <f>PT!#REF!</f>
        <v>#REF!</v>
      </c>
      <c r="M302" s="280" t="e">
        <f>PT!#REF!</f>
        <v>#REF!</v>
      </c>
      <c r="N302" s="280" t="e">
        <f>PT!#REF!</f>
        <v>#REF!</v>
      </c>
      <c r="O302" s="280" t="e">
        <f>PT!#REF!</f>
        <v>#REF!</v>
      </c>
      <c r="P302" s="280">
        <f>PT!D31</f>
        <v>0</v>
      </c>
      <c r="Q302" s="280">
        <f>PT!E31</f>
        <v>0</v>
      </c>
      <c r="R302" s="280">
        <f>PT!F31</f>
        <v>0</v>
      </c>
      <c r="S302" s="280">
        <f>PT!G31</f>
        <v>0</v>
      </c>
      <c r="T302" s="280">
        <f>PT!H31</f>
        <v>0</v>
      </c>
      <c r="U302" s="280">
        <f>PT!I31</f>
        <v>0</v>
      </c>
      <c r="V302" s="280">
        <f>PT!J31</f>
        <v>0</v>
      </c>
      <c r="W302" s="280">
        <f>PT!K31</f>
        <v>0</v>
      </c>
      <c r="X302" s="280">
        <f>PT!L31</f>
        <v>0</v>
      </c>
      <c r="Y302" s="280">
        <f>PT!M31</f>
        <v>0</v>
      </c>
      <c r="Z302" s="280">
        <f>PT!N31</f>
        <v>0</v>
      </c>
      <c r="AA302" s="280">
        <f>PT!O31</f>
        <v>0</v>
      </c>
      <c r="AB302" s="280">
        <f>PT!P31</f>
        <v>0</v>
      </c>
      <c r="AC302" s="280">
        <f>PT!Q31</f>
        <v>0</v>
      </c>
      <c r="AD302" s="280">
        <f>PT!R31</f>
        <v>0</v>
      </c>
      <c r="AE302" s="280">
        <f>PT!S31</f>
        <v>0</v>
      </c>
      <c r="AF302" s="280">
        <f>PT!T31</f>
        <v>0</v>
      </c>
      <c r="AG302" s="280">
        <f>PT!U31</f>
        <v>0</v>
      </c>
      <c r="AH302" s="280">
        <f>PT!V31</f>
        <v>0</v>
      </c>
      <c r="AI302" s="280">
        <f>PT!W31</f>
        <v>0</v>
      </c>
      <c r="AJ302" s="280">
        <f>PT!X31</f>
        <v>0</v>
      </c>
      <c r="AK302" s="280">
        <f>PT!Y31</f>
        <v>0</v>
      </c>
      <c r="AL302" s="280">
        <f>PT!Z31</f>
        <v>0</v>
      </c>
      <c r="AM302" s="280">
        <f>PT!E31</f>
        <v>0</v>
      </c>
      <c r="AN302" s="280">
        <f>PT!F31</f>
        <v>0</v>
      </c>
      <c r="AO302" s="280">
        <f>PT!G31</f>
        <v>0</v>
      </c>
      <c r="AP302" s="280">
        <f>PT!H31</f>
        <v>0</v>
      </c>
      <c r="AQ302" s="280">
        <f>PT!I31</f>
        <v>0</v>
      </c>
      <c r="AR302" s="280">
        <f>PT!J31</f>
        <v>0</v>
      </c>
      <c r="AS302" s="280">
        <f>PT!K31</f>
        <v>0</v>
      </c>
      <c r="AT302" s="280">
        <f>PT!L31</f>
        <v>0</v>
      </c>
      <c r="AU302" s="280">
        <f>PT!M31</f>
        <v>0</v>
      </c>
      <c r="AV302" s="280">
        <f>PT!N31</f>
        <v>0</v>
      </c>
      <c r="AW302" s="280">
        <f>PT!O31</f>
        <v>0</v>
      </c>
      <c r="AX302" s="280">
        <f>PT!P31</f>
        <v>0</v>
      </c>
      <c r="AY302" s="281">
        <f t="shared" si="769"/>
        <v>0</v>
      </c>
      <c r="AZ302" s="281">
        <f t="shared" si="770"/>
        <v>0</v>
      </c>
    </row>
    <row r="303" spans="2:52" x14ac:dyDescent="0.25">
      <c r="B303" s="302"/>
      <c r="C303" s="312" t="s">
        <v>746</v>
      </c>
      <c r="D303" s="280" t="e">
        <f>PT!#REF!</f>
        <v>#REF!</v>
      </c>
      <c r="E303" s="280" t="e">
        <f>PT!#REF!</f>
        <v>#REF!</v>
      </c>
      <c r="F303" s="280" t="e">
        <f>PT!#REF!</f>
        <v>#REF!</v>
      </c>
      <c r="G303" s="280" t="e">
        <f>PT!#REF!</f>
        <v>#REF!</v>
      </c>
      <c r="H303" s="280" t="e">
        <f>PT!#REF!</f>
        <v>#REF!</v>
      </c>
      <c r="I303" s="280" t="e">
        <f>PT!#REF!</f>
        <v>#REF!</v>
      </c>
      <c r="J303" s="280" t="e">
        <f>PT!#REF!</f>
        <v>#REF!</v>
      </c>
      <c r="K303" s="280" t="e">
        <f>PT!#REF!</f>
        <v>#REF!</v>
      </c>
      <c r="L303" s="280" t="e">
        <f>PT!#REF!</f>
        <v>#REF!</v>
      </c>
      <c r="M303" s="280" t="e">
        <f>PT!#REF!</f>
        <v>#REF!</v>
      </c>
      <c r="N303" s="280" t="e">
        <f>PT!#REF!</f>
        <v>#REF!</v>
      </c>
      <c r="O303" s="280" t="e">
        <f>PT!#REF!</f>
        <v>#REF!</v>
      </c>
      <c r="P303" s="280">
        <f>PT!D39</f>
        <v>1345585.81</v>
      </c>
      <c r="Q303" s="280">
        <f>PT!E39</f>
        <v>1543183.88</v>
      </c>
      <c r="R303" s="280">
        <f>PT!F39</f>
        <v>1543770.52</v>
      </c>
      <c r="S303" s="280">
        <f>PT!G39</f>
        <v>2544918.5299999998</v>
      </c>
      <c r="T303" s="280">
        <f>PT!H39</f>
        <v>2492200.6800000002</v>
      </c>
      <c r="U303" s="280">
        <f>PT!I39</f>
        <v>2292858.87</v>
      </c>
      <c r="V303" s="280">
        <f>PT!J39</f>
        <v>1694604.49</v>
      </c>
      <c r="W303" s="280">
        <f>PT!K39</f>
        <v>2050971.12</v>
      </c>
      <c r="X303" s="280">
        <f>PT!L39</f>
        <v>2352904.2000000002</v>
      </c>
      <c r="Y303" s="280">
        <f>PT!M39</f>
        <v>1954783.6800000002</v>
      </c>
      <c r="Z303" s="280">
        <f>PT!N39</f>
        <v>1050883.44</v>
      </c>
      <c r="AA303" s="280">
        <f>PT!O39</f>
        <v>3043183.88</v>
      </c>
      <c r="AB303" s="280">
        <f>PT!P39</f>
        <v>3243770.52</v>
      </c>
      <c r="AC303" s="280">
        <f>PT!Q39</f>
        <v>0</v>
      </c>
      <c r="AD303" s="280">
        <f>PT!R39</f>
        <v>0</v>
      </c>
      <c r="AE303" s="280">
        <f>PT!S39</f>
        <v>0</v>
      </c>
      <c r="AF303" s="280">
        <f>PT!T39</f>
        <v>0</v>
      </c>
      <c r="AG303" s="280">
        <f>PT!U39</f>
        <v>0</v>
      </c>
      <c r="AH303" s="280">
        <f>PT!V39</f>
        <v>0</v>
      </c>
      <c r="AI303" s="280">
        <f>PT!W39</f>
        <v>0</v>
      </c>
      <c r="AJ303" s="280">
        <f>PT!X39</f>
        <v>0</v>
      </c>
      <c r="AK303" s="280">
        <f>PT!Y39</f>
        <v>0</v>
      </c>
      <c r="AL303" s="280">
        <f>PT!Z39</f>
        <v>0</v>
      </c>
      <c r="AM303" s="280">
        <f>PT!E39</f>
        <v>1543183.88</v>
      </c>
      <c r="AN303" s="280">
        <f>PT!F39</f>
        <v>1543770.52</v>
      </c>
      <c r="AO303" s="280">
        <f>PT!G39</f>
        <v>2544918.5299999998</v>
      </c>
      <c r="AP303" s="280">
        <f>PT!H39</f>
        <v>2492200.6800000002</v>
      </c>
      <c r="AQ303" s="280">
        <f>PT!I39</f>
        <v>2292858.87</v>
      </c>
      <c r="AR303" s="280">
        <f>PT!J39</f>
        <v>1694604.49</v>
      </c>
      <c r="AS303" s="280">
        <f>PT!K39</f>
        <v>2050971.12</v>
      </c>
      <c r="AT303" s="280">
        <f>PT!L39</f>
        <v>2352904.2000000002</v>
      </c>
      <c r="AU303" s="280">
        <f>PT!M39</f>
        <v>1954783.6800000002</v>
      </c>
      <c r="AV303" s="280">
        <f>PT!N39</f>
        <v>1050883.44</v>
      </c>
      <c r="AW303" s="280">
        <f>PT!O39</f>
        <v>3043183.88</v>
      </c>
      <c r="AX303" s="280">
        <f>PT!P39</f>
        <v>3243770.52</v>
      </c>
      <c r="AY303" s="281">
        <f t="shared" si="769"/>
        <v>1549166.03</v>
      </c>
      <c r="AZ303" s="281">
        <f t="shared" si="770"/>
        <v>1898184.71</v>
      </c>
    </row>
    <row r="304" spans="2:52" x14ac:dyDescent="0.25">
      <c r="B304" s="302"/>
      <c r="C304" s="315" t="s">
        <v>747</v>
      </c>
      <c r="D304" s="280" t="e">
        <f>PT!#REF!</f>
        <v>#REF!</v>
      </c>
      <c r="E304" s="280" t="e">
        <f>PT!#REF!</f>
        <v>#REF!</v>
      </c>
      <c r="F304" s="280" t="e">
        <f>PT!#REF!</f>
        <v>#REF!</v>
      </c>
      <c r="G304" s="280" t="e">
        <f>PT!#REF!</f>
        <v>#REF!</v>
      </c>
      <c r="H304" s="280" t="e">
        <f>PT!#REF!</f>
        <v>#REF!</v>
      </c>
      <c r="I304" s="280" t="e">
        <f>PT!#REF!</f>
        <v>#REF!</v>
      </c>
      <c r="J304" s="280" t="e">
        <f>PT!#REF!</f>
        <v>#REF!</v>
      </c>
      <c r="K304" s="280" t="e">
        <f>PT!#REF!</f>
        <v>#REF!</v>
      </c>
      <c r="L304" s="280" t="e">
        <f>PT!#REF!</f>
        <v>#REF!</v>
      </c>
      <c r="M304" s="280" t="e">
        <f>PT!#REF!</f>
        <v>#REF!</v>
      </c>
      <c r="N304" s="280" t="e">
        <f>PT!#REF!</f>
        <v>#REF!</v>
      </c>
      <c r="O304" s="280" t="e">
        <f>PT!#REF!</f>
        <v>#REF!</v>
      </c>
      <c r="P304" s="280">
        <f>PT!D40</f>
        <v>134558.58100000001</v>
      </c>
      <c r="Q304" s="280">
        <f>PT!E40</f>
        <v>154318.38800000001</v>
      </c>
      <c r="R304" s="280">
        <f>PT!F40</f>
        <v>154377.052</v>
      </c>
      <c r="S304" s="280">
        <f>PT!G40</f>
        <v>254491.853</v>
      </c>
      <c r="T304" s="280">
        <f>PT!H40</f>
        <v>249220.06800000003</v>
      </c>
      <c r="U304" s="280">
        <f>PT!I40</f>
        <v>229285.88700000002</v>
      </c>
      <c r="V304" s="280">
        <f>PT!J40</f>
        <v>169460.44900000002</v>
      </c>
      <c r="W304" s="280">
        <f>PT!K40</f>
        <v>205097.11200000002</v>
      </c>
      <c r="X304" s="280">
        <f>PT!L40</f>
        <v>235290.42000000004</v>
      </c>
      <c r="Y304" s="280">
        <f>PT!M40</f>
        <v>195478.36800000002</v>
      </c>
      <c r="Z304" s="280">
        <f>PT!N40</f>
        <v>105088.344</v>
      </c>
      <c r="AA304" s="280">
        <f>PT!O40</f>
        <v>304318.38799999998</v>
      </c>
      <c r="AB304" s="280">
        <f>PT!P40</f>
        <v>324377.05200000003</v>
      </c>
      <c r="AC304" s="280">
        <f>PT!Q40</f>
        <v>0</v>
      </c>
      <c r="AD304" s="280">
        <f>PT!R40</f>
        <v>0</v>
      </c>
      <c r="AE304" s="280">
        <f>PT!S40</f>
        <v>0</v>
      </c>
      <c r="AF304" s="280">
        <f>PT!T40</f>
        <v>0</v>
      </c>
      <c r="AG304" s="280">
        <f>PT!U40</f>
        <v>0</v>
      </c>
      <c r="AH304" s="280">
        <f>PT!V40</f>
        <v>0</v>
      </c>
      <c r="AI304" s="280">
        <f>PT!W40</f>
        <v>0</v>
      </c>
      <c r="AJ304" s="280">
        <f>PT!X40</f>
        <v>0</v>
      </c>
      <c r="AK304" s="280">
        <f>PT!Y40</f>
        <v>0</v>
      </c>
      <c r="AL304" s="280">
        <f>PT!Z40</f>
        <v>0</v>
      </c>
      <c r="AM304" s="280">
        <f>PT!E40</f>
        <v>154318.38800000001</v>
      </c>
      <c r="AN304" s="280">
        <f>PT!F40</f>
        <v>154377.052</v>
      </c>
      <c r="AO304" s="280">
        <f>PT!G40</f>
        <v>254491.853</v>
      </c>
      <c r="AP304" s="280">
        <f>PT!H40</f>
        <v>249220.06800000003</v>
      </c>
      <c r="AQ304" s="280">
        <f>PT!I40</f>
        <v>229285.88700000002</v>
      </c>
      <c r="AR304" s="280">
        <f>PT!J40</f>
        <v>169460.44900000002</v>
      </c>
      <c r="AS304" s="280">
        <f>PT!K40</f>
        <v>205097.11200000002</v>
      </c>
      <c r="AT304" s="280">
        <f>PT!L40</f>
        <v>235290.42000000004</v>
      </c>
      <c r="AU304" s="280">
        <f>PT!M40</f>
        <v>195478.36800000002</v>
      </c>
      <c r="AV304" s="280">
        <f>PT!N40</f>
        <v>105088.344</v>
      </c>
      <c r="AW304" s="280">
        <f>PT!O40</f>
        <v>304318.38799999998</v>
      </c>
      <c r="AX304" s="280">
        <f>PT!P40</f>
        <v>324377.05200000003</v>
      </c>
      <c r="AY304" s="281">
        <f t="shared" si="769"/>
        <v>154916.603</v>
      </c>
      <c r="AZ304" s="281">
        <f t="shared" si="770"/>
        <v>189818.47100000002</v>
      </c>
    </row>
    <row r="305" spans="2:52" x14ac:dyDescent="0.25">
      <c r="B305" s="302"/>
      <c r="C305" s="312" t="s">
        <v>748</v>
      </c>
      <c r="D305" s="280" t="e">
        <f>PT!#REF!</f>
        <v>#REF!</v>
      </c>
      <c r="E305" s="280" t="e">
        <f>PT!#REF!</f>
        <v>#REF!</v>
      </c>
      <c r="F305" s="280" t="e">
        <f>PT!#REF!</f>
        <v>#REF!</v>
      </c>
      <c r="G305" s="280" t="e">
        <f>PT!#REF!</f>
        <v>#REF!</v>
      </c>
      <c r="H305" s="280" t="e">
        <f>PT!#REF!</f>
        <v>#REF!</v>
      </c>
      <c r="I305" s="280" t="e">
        <f>PT!#REF!</f>
        <v>#REF!</v>
      </c>
      <c r="J305" s="280" t="e">
        <f>PT!#REF!</f>
        <v>#REF!</v>
      </c>
      <c r="K305" s="280" t="e">
        <f>PT!#REF!</f>
        <v>#REF!</v>
      </c>
      <c r="L305" s="280" t="e">
        <f>PT!#REF!</f>
        <v>#REF!</v>
      </c>
      <c r="M305" s="280" t="e">
        <f>PT!#REF!</f>
        <v>#REF!</v>
      </c>
      <c r="N305" s="280" t="e">
        <f>PT!#REF!</f>
        <v>#REF!</v>
      </c>
      <c r="O305" s="280" t="e">
        <f>PT!#REF!</f>
        <v>#REF!</v>
      </c>
      <c r="P305" s="280">
        <f>PT!D45</f>
        <v>0</v>
      </c>
      <c r="Q305" s="280">
        <f>PT!E45</f>
        <v>0</v>
      </c>
      <c r="R305" s="280">
        <f>PT!F45</f>
        <v>0</v>
      </c>
      <c r="S305" s="280">
        <f>PT!G45</f>
        <v>0</v>
      </c>
      <c r="T305" s="280">
        <f>PT!H45</f>
        <v>0</v>
      </c>
      <c r="U305" s="280">
        <f>PT!I45</f>
        <v>0</v>
      </c>
      <c r="V305" s="280">
        <f>PT!J45</f>
        <v>0</v>
      </c>
      <c r="W305" s="280">
        <f>PT!K45</f>
        <v>0</v>
      </c>
      <c r="X305" s="280">
        <f>PT!L45</f>
        <v>0</v>
      </c>
      <c r="Y305" s="280">
        <f>PT!M45</f>
        <v>0</v>
      </c>
      <c r="Z305" s="280">
        <f>PT!N45</f>
        <v>0</v>
      </c>
      <c r="AA305" s="280">
        <f>PT!O45</f>
        <v>0</v>
      </c>
      <c r="AB305" s="280">
        <f>PT!P45</f>
        <v>0</v>
      </c>
      <c r="AC305" s="280">
        <f>PT!Q45</f>
        <v>0</v>
      </c>
      <c r="AD305" s="280">
        <f>PT!R45</f>
        <v>0</v>
      </c>
      <c r="AE305" s="280">
        <f>PT!S45</f>
        <v>0</v>
      </c>
      <c r="AF305" s="280">
        <f>PT!T45</f>
        <v>0</v>
      </c>
      <c r="AG305" s="280">
        <f>PT!U45</f>
        <v>0</v>
      </c>
      <c r="AH305" s="280">
        <f>PT!V45</f>
        <v>0</v>
      </c>
      <c r="AI305" s="280">
        <f>PT!W45</f>
        <v>0</v>
      </c>
      <c r="AJ305" s="280">
        <f>PT!X45</f>
        <v>0</v>
      </c>
      <c r="AK305" s="280">
        <f>PT!Y45</f>
        <v>0</v>
      </c>
      <c r="AL305" s="280">
        <f>PT!Z45</f>
        <v>0</v>
      </c>
      <c r="AM305" s="280">
        <f>PT!E45</f>
        <v>0</v>
      </c>
      <c r="AN305" s="280">
        <f>PT!F45</f>
        <v>0</v>
      </c>
      <c r="AO305" s="280">
        <f>PT!G45</f>
        <v>0</v>
      </c>
      <c r="AP305" s="280">
        <f>PT!H45</f>
        <v>0</v>
      </c>
      <c r="AQ305" s="280">
        <f>PT!I45</f>
        <v>0</v>
      </c>
      <c r="AR305" s="280">
        <f>PT!J45</f>
        <v>0</v>
      </c>
      <c r="AS305" s="280">
        <f>PT!K45</f>
        <v>0</v>
      </c>
      <c r="AT305" s="280">
        <f>PT!L45</f>
        <v>0</v>
      </c>
      <c r="AU305" s="280">
        <f>PT!M45</f>
        <v>0</v>
      </c>
      <c r="AV305" s="280">
        <f>PT!N45</f>
        <v>0</v>
      </c>
      <c r="AW305" s="280">
        <f>PT!O45</f>
        <v>0</v>
      </c>
      <c r="AX305" s="280">
        <f>PT!P45</f>
        <v>0</v>
      </c>
      <c r="AY305" s="281">
        <f t="shared" si="769"/>
        <v>0</v>
      </c>
      <c r="AZ305" s="281">
        <f t="shared" si="770"/>
        <v>0</v>
      </c>
    </row>
    <row r="306" spans="2:52" x14ac:dyDescent="0.25">
      <c r="B306" s="302"/>
      <c r="C306" s="315" t="s">
        <v>749</v>
      </c>
      <c r="D306" s="280" t="e">
        <f>PT!#REF!</f>
        <v>#REF!</v>
      </c>
      <c r="E306" s="280" t="e">
        <f>PT!#REF!</f>
        <v>#REF!</v>
      </c>
      <c r="F306" s="280" t="e">
        <f>PT!#REF!</f>
        <v>#REF!</v>
      </c>
      <c r="G306" s="280" t="e">
        <f>PT!#REF!</f>
        <v>#REF!</v>
      </c>
      <c r="H306" s="280" t="e">
        <f>PT!#REF!</f>
        <v>#REF!</v>
      </c>
      <c r="I306" s="280" t="e">
        <f>PT!#REF!</f>
        <v>#REF!</v>
      </c>
      <c r="J306" s="280" t="e">
        <f>PT!#REF!</f>
        <v>#REF!</v>
      </c>
      <c r="K306" s="280" t="e">
        <f>PT!#REF!</f>
        <v>#REF!</v>
      </c>
      <c r="L306" s="280" t="e">
        <f>PT!#REF!</f>
        <v>#REF!</v>
      </c>
      <c r="M306" s="280" t="e">
        <f>PT!#REF!</f>
        <v>#REF!</v>
      </c>
      <c r="N306" s="280" t="e">
        <f>PT!#REF!</f>
        <v>#REF!</v>
      </c>
      <c r="O306" s="280" t="e">
        <f>PT!#REF!</f>
        <v>#REF!</v>
      </c>
      <c r="P306" s="280">
        <f>PT!D46</f>
        <v>0</v>
      </c>
      <c r="Q306" s="280">
        <f>PT!E46</f>
        <v>0</v>
      </c>
      <c r="R306" s="280">
        <f>PT!F46</f>
        <v>0</v>
      </c>
      <c r="S306" s="280">
        <f>PT!G46</f>
        <v>0</v>
      </c>
      <c r="T306" s="280">
        <f>PT!H46</f>
        <v>0</v>
      </c>
      <c r="U306" s="280">
        <f>PT!I46</f>
        <v>0</v>
      </c>
      <c r="V306" s="280">
        <f>PT!J46</f>
        <v>0</v>
      </c>
      <c r="W306" s="280">
        <f>PT!K46</f>
        <v>0</v>
      </c>
      <c r="X306" s="280">
        <f>PT!L46</f>
        <v>0</v>
      </c>
      <c r="Y306" s="280">
        <f>PT!M46</f>
        <v>0</v>
      </c>
      <c r="Z306" s="280">
        <f>PT!N46</f>
        <v>0</v>
      </c>
      <c r="AA306" s="280">
        <f>PT!O46</f>
        <v>0</v>
      </c>
      <c r="AB306" s="280">
        <f>PT!P46</f>
        <v>0</v>
      </c>
      <c r="AC306" s="280">
        <f>PT!Q46</f>
        <v>0</v>
      </c>
      <c r="AD306" s="280">
        <f>PT!R46</f>
        <v>0</v>
      </c>
      <c r="AE306" s="280">
        <f>PT!S46</f>
        <v>0</v>
      </c>
      <c r="AF306" s="280">
        <f>PT!T46</f>
        <v>0</v>
      </c>
      <c r="AG306" s="280">
        <f>PT!U46</f>
        <v>0</v>
      </c>
      <c r="AH306" s="280">
        <f>PT!V46</f>
        <v>0</v>
      </c>
      <c r="AI306" s="280">
        <f>PT!W46</f>
        <v>0</v>
      </c>
      <c r="AJ306" s="280">
        <f>PT!X46</f>
        <v>0</v>
      </c>
      <c r="AK306" s="280">
        <f>PT!Y46</f>
        <v>0</v>
      </c>
      <c r="AL306" s="280">
        <f>PT!Z46</f>
        <v>0</v>
      </c>
      <c r="AM306" s="280">
        <f>PT!E46</f>
        <v>0</v>
      </c>
      <c r="AN306" s="280">
        <f>PT!F46</f>
        <v>0</v>
      </c>
      <c r="AO306" s="280">
        <f>PT!G46</f>
        <v>0</v>
      </c>
      <c r="AP306" s="280">
        <f>PT!H46</f>
        <v>0</v>
      </c>
      <c r="AQ306" s="280">
        <f>PT!I46</f>
        <v>0</v>
      </c>
      <c r="AR306" s="280">
        <f>PT!J46</f>
        <v>0</v>
      </c>
      <c r="AS306" s="280">
        <f>PT!K46</f>
        <v>0</v>
      </c>
      <c r="AT306" s="280">
        <f>PT!L46</f>
        <v>0</v>
      </c>
      <c r="AU306" s="280">
        <f>PT!M46</f>
        <v>0</v>
      </c>
      <c r="AV306" s="280">
        <f>PT!N46</f>
        <v>0</v>
      </c>
      <c r="AW306" s="280">
        <f>PT!O46</f>
        <v>0</v>
      </c>
      <c r="AX306" s="280">
        <f>PT!P46</f>
        <v>0</v>
      </c>
      <c r="AY306" s="281">
        <f t="shared" si="769"/>
        <v>0</v>
      </c>
      <c r="AZ306" s="281">
        <f t="shared" si="770"/>
        <v>0</v>
      </c>
    </row>
    <row r="307" spans="2:52" x14ac:dyDescent="0.25">
      <c r="B307" s="302"/>
      <c r="C307" s="312" t="s">
        <v>750</v>
      </c>
      <c r="D307" s="280" t="e">
        <f>PT!#REF!</f>
        <v>#REF!</v>
      </c>
      <c r="E307" s="280" t="e">
        <f>PT!#REF!</f>
        <v>#REF!</v>
      </c>
      <c r="F307" s="280" t="e">
        <f>PT!#REF!</f>
        <v>#REF!</v>
      </c>
      <c r="G307" s="280" t="e">
        <f>PT!#REF!</f>
        <v>#REF!</v>
      </c>
      <c r="H307" s="280" t="e">
        <f>PT!#REF!</f>
        <v>#REF!</v>
      </c>
      <c r="I307" s="280" t="e">
        <f>PT!#REF!</f>
        <v>#REF!</v>
      </c>
      <c r="J307" s="280" t="e">
        <f>PT!#REF!</f>
        <v>#REF!</v>
      </c>
      <c r="K307" s="280" t="e">
        <f>PT!#REF!</f>
        <v>#REF!</v>
      </c>
      <c r="L307" s="280" t="e">
        <f>PT!#REF!</f>
        <v>#REF!</v>
      </c>
      <c r="M307" s="280" t="e">
        <f>PT!#REF!</f>
        <v>#REF!</v>
      </c>
      <c r="N307" s="280" t="e">
        <f>PT!#REF!</f>
        <v>#REF!</v>
      </c>
      <c r="O307" s="280" t="e">
        <f>PT!#REF!</f>
        <v>#REF!</v>
      </c>
      <c r="P307" s="280">
        <f>PT!D52</f>
        <v>0</v>
      </c>
      <c r="Q307" s="280">
        <f>PT!E52</f>
        <v>0</v>
      </c>
      <c r="R307" s="280">
        <f>PT!F52</f>
        <v>0</v>
      </c>
      <c r="S307" s="280">
        <f>PT!G52</f>
        <v>0</v>
      </c>
      <c r="T307" s="280">
        <f>PT!H52</f>
        <v>0</v>
      </c>
      <c r="U307" s="280">
        <f>PT!I52</f>
        <v>0</v>
      </c>
      <c r="V307" s="280">
        <f>PT!J52</f>
        <v>0</v>
      </c>
      <c r="W307" s="280">
        <f>PT!K52</f>
        <v>0</v>
      </c>
      <c r="X307" s="280">
        <f>PT!L52</f>
        <v>0</v>
      </c>
      <c r="Y307" s="280">
        <f>PT!M52</f>
        <v>0</v>
      </c>
      <c r="Z307" s="280">
        <f>PT!N52</f>
        <v>0</v>
      </c>
      <c r="AA307" s="280">
        <f>PT!O52</f>
        <v>0</v>
      </c>
      <c r="AB307" s="280">
        <f>PT!P52</f>
        <v>0</v>
      </c>
      <c r="AC307" s="280">
        <f>PT!Q52</f>
        <v>0</v>
      </c>
      <c r="AD307" s="280">
        <f>PT!R52</f>
        <v>0</v>
      </c>
      <c r="AE307" s="280">
        <f>PT!S52</f>
        <v>0</v>
      </c>
      <c r="AF307" s="280">
        <f>PT!T52</f>
        <v>0</v>
      </c>
      <c r="AG307" s="280">
        <f>PT!U52</f>
        <v>0</v>
      </c>
      <c r="AH307" s="280">
        <f>PT!V52</f>
        <v>0</v>
      </c>
      <c r="AI307" s="280">
        <f>PT!W52</f>
        <v>0</v>
      </c>
      <c r="AJ307" s="280">
        <f>PT!X52</f>
        <v>0</v>
      </c>
      <c r="AK307" s="280">
        <f>PT!Y52</f>
        <v>0</v>
      </c>
      <c r="AL307" s="280">
        <f>PT!Z52</f>
        <v>0</v>
      </c>
      <c r="AM307" s="280">
        <f>PT!E52</f>
        <v>0</v>
      </c>
      <c r="AN307" s="280">
        <f>PT!F52</f>
        <v>0</v>
      </c>
      <c r="AO307" s="280">
        <f>PT!G52</f>
        <v>0</v>
      </c>
      <c r="AP307" s="280">
        <f>PT!H52</f>
        <v>0</v>
      </c>
      <c r="AQ307" s="280">
        <f>PT!I52</f>
        <v>0</v>
      </c>
      <c r="AR307" s="280">
        <f>PT!J52</f>
        <v>0</v>
      </c>
      <c r="AS307" s="280">
        <f>PT!K52</f>
        <v>0</v>
      </c>
      <c r="AT307" s="280">
        <f>PT!L52</f>
        <v>0</v>
      </c>
      <c r="AU307" s="280">
        <f>PT!M52</f>
        <v>0</v>
      </c>
      <c r="AV307" s="280">
        <f>PT!N52</f>
        <v>0</v>
      </c>
      <c r="AW307" s="280">
        <f>PT!O52</f>
        <v>0</v>
      </c>
      <c r="AX307" s="280">
        <f>PT!P52</f>
        <v>0</v>
      </c>
      <c r="AY307" s="281">
        <f t="shared" si="769"/>
        <v>0</v>
      </c>
      <c r="AZ307" s="281">
        <f t="shared" si="770"/>
        <v>0</v>
      </c>
    </row>
    <row r="308" spans="2:52" x14ac:dyDescent="0.25">
      <c r="B308" s="302"/>
      <c r="C308" s="315" t="s">
        <v>751</v>
      </c>
      <c r="D308" s="280" t="e">
        <f>PT!#REF!</f>
        <v>#REF!</v>
      </c>
      <c r="E308" s="280" t="e">
        <f>PT!#REF!</f>
        <v>#REF!</v>
      </c>
      <c r="F308" s="280" t="e">
        <f>PT!#REF!</f>
        <v>#REF!</v>
      </c>
      <c r="G308" s="280" t="e">
        <f>PT!#REF!</f>
        <v>#REF!</v>
      </c>
      <c r="H308" s="280" t="e">
        <f>PT!#REF!</f>
        <v>#REF!</v>
      </c>
      <c r="I308" s="280" t="e">
        <f>PT!#REF!</f>
        <v>#REF!</v>
      </c>
      <c r="J308" s="280" t="e">
        <f>PT!#REF!</f>
        <v>#REF!</v>
      </c>
      <c r="K308" s="280" t="e">
        <f>PT!#REF!</f>
        <v>#REF!</v>
      </c>
      <c r="L308" s="280" t="e">
        <f>PT!#REF!</f>
        <v>#REF!</v>
      </c>
      <c r="M308" s="280" t="e">
        <f>PT!#REF!</f>
        <v>#REF!</v>
      </c>
      <c r="N308" s="280" t="e">
        <f>PT!#REF!</f>
        <v>#REF!</v>
      </c>
      <c r="O308" s="280" t="e">
        <f>PT!#REF!</f>
        <v>#REF!</v>
      </c>
      <c r="P308" s="280">
        <f>PT!D53</f>
        <v>0</v>
      </c>
      <c r="Q308" s="280">
        <f>PT!E53</f>
        <v>0</v>
      </c>
      <c r="R308" s="280">
        <f>PT!F53</f>
        <v>0</v>
      </c>
      <c r="S308" s="280">
        <f>PT!G53</f>
        <v>0</v>
      </c>
      <c r="T308" s="280">
        <f>PT!H53</f>
        <v>0</v>
      </c>
      <c r="U308" s="280">
        <f>PT!I53</f>
        <v>0</v>
      </c>
      <c r="V308" s="280">
        <f>PT!J53</f>
        <v>0</v>
      </c>
      <c r="W308" s="280">
        <f>PT!K53</f>
        <v>0</v>
      </c>
      <c r="X308" s="280">
        <f>PT!L53</f>
        <v>0</v>
      </c>
      <c r="Y308" s="280">
        <f>PT!M53</f>
        <v>0</v>
      </c>
      <c r="Z308" s="280">
        <f>PT!N53</f>
        <v>0</v>
      </c>
      <c r="AA308" s="280">
        <f>PT!O53</f>
        <v>0</v>
      </c>
      <c r="AB308" s="280">
        <f>PT!P53</f>
        <v>0</v>
      </c>
      <c r="AC308" s="280">
        <f>PT!Q53</f>
        <v>0</v>
      </c>
      <c r="AD308" s="280">
        <f>PT!R53</f>
        <v>0</v>
      </c>
      <c r="AE308" s="280">
        <f>PT!S53</f>
        <v>0</v>
      </c>
      <c r="AF308" s="280">
        <f>PT!T53</f>
        <v>0</v>
      </c>
      <c r="AG308" s="280">
        <f>PT!U53</f>
        <v>0</v>
      </c>
      <c r="AH308" s="280">
        <f>PT!V53</f>
        <v>0</v>
      </c>
      <c r="AI308" s="280">
        <f>PT!W53</f>
        <v>0</v>
      </c>
      <c r="AJ308" s="280">
        <f>PT!X53</f>
        <v>0</v>
      </c>
      <c r="AK308" s="280">
        <f>PT!Y53</f>
        <v>0</v>
      </c>
      <c r="AL308" s="280">
        <f>PT!Z53</f>
        <v>0</v>
      </c>
      <c r="AM308" s="280">
        <f>PT!E53</f>
        <v>0</v>
      </c>
      <c r="AN308" s="280">
        <f>PT!F53</f>
        <v>0</v>
      </c>
      <c r="AO308" s="280">
        <f>PT!G53</f>
        <v>0</v>
      </c>
      <c r="AP308" s="280">
        <f>PT!H53</f>
        <v>0</v>
      </c>
      <c r="AQ308" s="280">
        <f>PT!I53</f>
        <v>0</v>
      </c>
      <c r="AR308" s="280">
        <f>PT!J53</f>
        <v>0</v>
      </c>
      <c r="AS308" s="280">
        <f>PT!K53</f>
        <v>0</v>
      </c>
      <c r="AT308" s="280">
        <f>PT!L53</f>
        <v>0</v>
      </c>
      <c r="AU308" s="280">
        <f>PT!M53</f>
        <v>0</v>
      </c>
      <c r="AV308" s="280">
        <f>PT!N53</f>
        <v>0</v>
      </c>
      <c r="AW308" s="280">
        <f>PT!O53</f>
        <v>0</v>
      </c>
      <c r="AX308" s="280">
        <f>PT!P53</f>
        <v>0</v>
      </c>
      <c r="AY308" s="281">
        <f t="shared" si="769"/>
        <v>0</v>
      </c>
      <c r="AZ308" s="281">
        <f t="shared" si="770"/>
        <v>0</v>
      </c>
    </row>
    <row r="309" spans="2:52" x14ac:dyDescent="0.25">
      <c r="B309" s="302"/>
      <c r="C309" s="312" t="s">
        <v>752</v>
      </c>
      <c r="D309" s="280" t="e">
        <f>PT!#REF!</f>
        <v>#REF!</v>
      </c>
      <c r="E309" s="280" t="e">
        <f>PT!#REF!</f>
        <v>#REF!</v>
      </c>
      <c r="F309" s="280" t="e">
        <f>PT!#REF!</f>
        <v>#REF!</v>
      </c>
      <c r="G309" s="280" t="e">
        <f>PT!#REF!</f>
        <v>#REF!</v>
      </c>
      <c r="H309" s="280" t="e">
        <f>PT!#REF!</f>
        <v>#REF!</v>
      </c>
      <c r="I309" s="280" t="e">
        <f>PT!#REF!</f>
        <v>#REF!</v>
      </c>
      <c r="J309" s="280" t="e">
        <f>PT!#REF!</f>
        <v>#REF!</v>
      </c>
      <c r="K309" s="280" t="e">
        <f>PT!#REF!</f>
        <v>#REF!</v>
      </c>
      <c r="L309" s="280" t="e">
        <f>PT!#REF!</f>
        <v>#REF!</v>
      </c>
      <c r="M309" s="280" t="e">
        <f>PT!#REF!</f>
        <v>#REF!</v>
      </c>
      <c r="N309" s="280" t="e">
        <f>PT!#REF!</f>
        <v>#REF!</v>
      </c>
      <c r="O309" s="280" t="e">
        <f>PT!#REF!</f>
        <v>#REF!</v>
      </c>
      <c r="P309" s="280">
        <f>PT!D61</f>
        <v>43076824.804473996</v>
      </c>
      <c r="Q309" s="280">
        <f>PT!E61</f>
        <v>66267477.698540971</v>
      </c>
      <c r="R309" s="280">
        <f>PT!F61</f>
        <v>72353847.685306206</v>
      </c>
      <c r="S309" s="280">
        <f>PT!G61</f>
        <v>76913138.110238135</v>
      </c>
      <c r="T309" s="280">
        <f>PT!H61</f>
        <v>82270178.711614773</v>
      </c>
      <c r="U309" s="280">
        <f>PT!I61</f>
        <v>86816454.935729116</v>
      </c>
      <c r="V309" s="280">
        <f>PT!J61</f>
        <v>91785526.183612213</v>
      </c>
      <c r="W309" s="280">
        <f>PT!K61</f>
        <v>96023048.456367835</v>
      </c>
      <c r="X309" s="280">
        <f>PT!L61</f>
        <v>102487054.71397471</v>
      </c>
      <c r="Y309" s="280">
        <f>PT!M61</f>
        <v>107796537.08975136</v>
      </c>
      <c r="Z309" s="280">
        <f>PT!N61</f>
        <v>113645525.64368574</v>
      </c>
      <c r="AA309" s="280">
        <f>PT!O61</f>
        <v>114450596.61108765</v>
      </c>
      <c r="AB309" s="280">
        <f>PT!P61</f>
        <v>119960865.04564904</v>
      </c>
      <c r="AC309" s="280">
        <f>PT!Q61</f>
        <v>0</v>
      </c>
      <c r="AD309" s="280">
        <f>PT!R61</f>
        <v>0</v>
      </c>
      <c r="AE309" s="280">
        <f>PT!S61</f>
        <v>0</v>
      </c>
      <c r="AF309" s="280">
        <f>PT!T61</f>
        <v>0</v>
      </c>
      <c r="AG309" s="280">
        <f>PT!U61</f>
        <v>0</v>
      </c>
      <c r="AH309" s="280">
        <f>PT!V61</f>
        <v>0</v>
      </c>
      <c r="AI309" s="280">
        <f>PT!W61</f>
        <v>0</v>
      </c>
      <c r="AJ309" s="280">
        <f>PT!X61</f>
        <v>0</v>
      </c>
      <c r="AK309" s="280">
        <f>PT!Y61</f>
        <v>0</v>
      </c>
      <c r="AL309" s="280">
        <f>PT!Z61</f>
        <v>0</v>
      </c>
      <c r="AM309" s="280">
        <f>PT!E61</f>
        <v>66267477.698540971</v>
      </c>
      <c r="AN309" s="280">
        <f>PT!F61</f>
        <v>72353847.685306206</v>
      </c>
      <c r="AO309" s="280">
        <f>PT!G61</f>
        <v>76913138.110238135</v>
      </c>
      <c r="AP309" s="280">
        <f>PT!H61</f>
        <v>82270178.711614773</v>
      </c>
      <c r="AQ309" s="280">
        <f>PT!I61</f>
        <v>86816454.935729116</v>
      </c>
      <c r="AR309" s="280">
        <f>PT!J61</f>
        <v>91785526.183612213</v>
      </c>
      <c r="AS309" s="280">
        <f>PT!K61</f>
        <v>96023048.456367835</v>
      </c>
      <c r="AT309" s="280">
        <f>PT!L61</f>
        <v>102487054.71397471</v>
      </c>
      <c r="AU309" s="280">
        <f>PT!M61</f>
        <v>107796537.08975136</v>
      </c>
      <c r="AV309" s="280">
        <f>PT!N61</f>
        <v>113645525.64368574</v>
      </c>
      <c r="AW309" s="280">
        <f>PT!O61</f>
        <v>114450596.61108765</v>
      </c>
      <c r="AX309" s="280">
        <f>PT!P61</f>
        <v>119960865.04564904</v>
      </c>
      <c r="AY309" s="281">
        <f t="shared" si="769"/>
        <v>28175338.862036824</v>
      </c>
      <c r="AZ309" s="281">
        <f t="shared" si="770"/>
        <v>76884040.241175041</v>
      </c>
    </row>
    <row r="310" spans="2:52" x14ac:dyDescent="0.25">
      <c r="B310" s="302"/>
      <c r="C310" s="315" t="s">
        <v>753</v>
      </c>
      <c r="D310" s="280" t="e">
        <f>PT!#REF!</f>
        <v>#REF!</v>
      </c>
      <c r="E310" s="280" t="e">
        <f>PT!#REF!</f>
        <v>#REF!</v>
      </c>
      <c r="F310" s="280" t="e">
        <f>PT!#REF!</f>
        <v>#REF!</v>
      </c>
      <c r="G310" s="280" t="e">
        <f>PT!#REF!</f>
        <v>#REF!</v>
      </c>
      <c r="H310" s="280" t="e">
        <f>PT!#REF!</f>
        <v>#REF!</v>
      </c>
      <c r="I310" s="280" t="e">
        <f>PT!#REF!</f>
        <v>#REF!</v>
      </c>
      <c r="J310" s="280" t="e">
        <f>PT!#REF!</f>
        <v>#REF!</v>
      </c>
      <c r="K310" s="280" t="e">
        <f>PT!#REF!</f>
        <v>#REF!</v>
      </c>
      <c r="L310" s="280" t="e">
        <f>PT!#REF!</f>
        <v>#REF!</v>
      </c>
      <c r="M310" s="280" t="e">
        <f>PT!#REF!</f>
        <v>#REF!</v>
      </c>
      <c r="N310" s="280" t="e">
        <f>PT!#REF!</f>
        <v>#REF!</v>
      </c>
      <c r="O310" s="280" t="e">
        <f>PT!#REF!</f>
        <v>#REF!</v>
      </c>
      <c r="P310" s="280">
        <f>PT!D62</f>
        <v>43076824.804473996</v>
      </c>
      <c r="Q310" s="280">
        <f>PT!E62</f>
        <v>66267477.698540971</v>
      </c>
      <c r="R310" s="280">
        <f>PT!F62</f>
        <v>72353847.685306206</v>
      </c>
      <c r="S310" s="280">
        <f>PT!G62</f>
        <v>76913138.110238135</v>
      </c>
      <c r="T310" s="280">
        <f>PT!H62</f>
        <v>82270178.711614773</v>
      </c>
      <c r="U310" s="280">
        <f>PT!I62</f>
        <v>86816454.935729116</v>
      </c>
      <c r="V310" s="280">
        <f>PT!J62</f>
        <v>91785526.183612213</v>
      </c>
      <c r="W310" s="280">
        <f>PT!K62</f>
        <v>96023048.456367835</v>
      </c>
      <c r="X310" s="280">
        <f>PT!L62</f>
        <v>102487054.71397471</v>
      </c>
      <c r="Y310" s="280">
        <f>PT!M62</f>
        <v>107796537.08975136</v>
      </c>
      <c r="Z310" s="280">
        <f>PT!N62</f>
        <v>113645525.64368574</v>
      </c>
      <c r="AA310" s="280">
        <f>PT!O62</f>
        <v>114450596.61108765</v>
      </c>
      <c r="AB310" s="280">
        <f>PT!P62</f>
        <v>119960865.04564904</v>
      </c>
      <c r="AC310" s="280">
        <f>PT!Q62</f>
        <v>0</v>
      </c>
      <c r="AD310" s="280">
        <f>PT!R62</f>
        <v>0</v>
      </c>
      <c r="AE310" s="280">
        <f>PT!S62</f>
        <v>0</v>
      </c>
      <c r="AF310" s="280">
        <f>PT!T62</f>
        <v>0</v>
      </c>
      <c r="AG310" s="280">
        <f>PT!U62</f>
        <v>0</v>
      </c>
      <c r="AH310" s="280">
        <f>PT!V62</f>
        <v>0</v>
      </c>
      <c r="AI310" s="280">
        <f>PT!W62</f>
        <v>0</v>
      </c>
      <c r="AJ310" s="280">
        <f>PT!X62</f>
        <v>0</v>
      </c>
      <c r="AK310" s="280">
        <f>PT!Y62</f>
        <v>0</v>
      </c>
      <c r="AL310" s="280">
        <f>PT!Z62</f>
        <v>0</v>
      </c>
      <c r="AM310" s="280">
        <f>PT!E62</f>
        <v>66267477.698540971</v>
      </c>
      <c r="AN310" s="280">
        <f>PT!F62</f>
        <v>72353847.685306206</v>
      </c>
      <c r="AO310" s="280">
        <f>PT!G62</f>
        <v>76913138.110238135</v>
      </c>
      <c r="AP310" s="280">
        <f>PT!H62</f>
        <v>82270178.711614773</v>
      </c>
      <c r="AQ310" s="280">
        <f>PT!I62</f>
        <v>86816454.935729116</v>
      </c>
      <c r="AR310" s="280">
        <f>PT!J62</f>
        <v>91785526.183612213</v>
      </c>
      <c r="AS310" s="280">
        <f>PT!K62</f>
        <v>96023048.456367835</v>
      </c>
      <c r="AT310" s="280">
        <f>PT!L62</f>
        <v>102487054.71397471</v>
      </c>
      <c r="AU310" s="280">
        <f>PT!M62</f>
        <v>107796537.08975136</v>
      </c>
      <c r="AV310" s="280">
        <f>PT!N62</f>
        <v>113645525.64368574</v>
      </c>
      <c r="AW310" s="280">
        <f>PT!O62</f>
        <v>114450596.61108765</v>
      </c>
      <c r="AX310" s="280">
        <f>PT!P62</f>
        <v>119960865.04564904</v>
      </c>
      <c r="AY310" s="281">
        <f t="shared" si="769"/>
        <v>28175338.862036824</v>
      </c>
      <c r="AZ310" s="281">
        <f t="shared" si="770"/>
        <v>76884040.241175041</v>
      </c>
    </row>
    <row r="311" spans="2:52" s="229" customFormat="1" x14ac:dyDescent="0.25">
      <c r="B311" s="313"/>
      <c r="C311" s="308" t="s">
        <v>754</v>
      </c>
      <c r="D311" s="293" t="e">
        <f t="shared" ref="D311" si="771">D301+D303+D305+D307+D309</f>
        <v>#REF!</v>
      </c>
      <c r="E311" s="293" t="e">
        <f t="shared" ref="E311:H311" si="772">E301+E303+E305+E307+E309</f>
        <v>#REF!</v>
      </c>
      <c r="F311" s="293" t="e">
        <f t="shared" si="772"/>
        <v>#REF!</v>
      </c>
      <c r="G311" s="293" t="e">
        <f t="shared" si="772"/>
        <v>#REF!</v>
      </c>
      <c r="H311" s="293" t="e">
        <f t="shared" si="772"/>
        <v>#REF!</v>
      </c>
      <c r="I311" s="293" t="e">
        <f t="shared" ref="I311:O311" si="773">I301+I303+I305+I307+I309</f>
        <v>#REF!</v>
      </c>
      <c r="J311" s="293" t="e">
        <f t="shared" si="773"/>
        <v>#REF!</v>
      </c>
      <c r="K311" s="293" t="e">
        <f t="shared" si="773"/>
        <v>#REF!</v>
      </c>
      <c r="L311" s="293" t="e">
        <f t="shared" si="773"/>
        <v>#REF!</v>
      </c>
      <c r="M311" s="293" t="e">
        <f t="shared" si="773"/>
        <v>#REF!</v>
      </c>
      <c r="N311" s="293" t="e">
        <f t="shared" si="773"/>
        <v>#REF!</v>
      </c>
      <c r="O311" s="293" t="e">
        <f t="shared" si="773"/>
        <v>#REF!</v>
      </c>
      <c r="P311" s="293">
        <f t="shared" ref="P311" si="774">P301+P303+P305+P307+P309</f>
        <v>51855378.689999998</v>
      </c>
      <c r="Q311" s="293">
        <f t="shared" ref="Q311:AX311" si="775">Q301+Q303+Q305+Q307+Q309</f>
        <v>77043226.362370029</v>
      </c>
      <c r="R311" s="293">
        <f t="shared" si="775"/>
        <v>82168106.551905513</v>
      </c>
      <c r="S311" s="293">
        <f t="shared" si="775"/>
        <v>87388009.22683464</v>
      </c>
      <c r="T311" s="293">
        <f t="shared" si="775"/>
        <v>92338780.4010759</v>
      </c>
      <c r="U311" s="293">
        <f t="shared" si="775"/>
        <v>97209668.173494786</v>
      </c>
      <c r="V311" s="293">
        <f t="shared" si="775"/>
        <v>102334681.04539596</v>
      </c>
      <c r="W311" s="293">
        <f t="shared" si="775"/>
        <v>108461310.62894031</v>
      </c>
      <c r="X311" s="293">
        <f t="shared" ref="X311:AS311" si="776">X301+X303+X305+X307+X309</f>
        <v>113539706.66463327</v>
      </c>
      <c r="Y311" s="293">
        <f t="shared" si="776"/>
        <v>118311725.67507553</v>
      </c>
      <c r="Z311" s="293">
        <f t="shared" si="776"/>
        <v>123393326.61900249</v>
      </c>
      <c r="AA311" s="293">
        <f t="shared" si="776"/>
        <v>129039476.61023995</v>
      </c>
      <c r="AB311" s="293">
        <f t="shared" si="776"/>
        <v>133822564.25024892</v>
      </c>
      <c r="AC311" s="293">
        <f t="shared" ref="AC311:AL311" si="777">AC301+AC303+AC305+AC307+AC309</f>
        <v>0</v>
      </c>
      <c r="AD311" s="293">
        <f t="shared" si="777"/>
        <v>0</v>
      </c>
      <c r="AE311" s="293">
        <f t="shared" si="777"/>
        <v>0</v>
      </c>
      <c r="AF311" s="293">
        <f t="shared" si="777"/>
        <v>0</v>
      </c>
      <c r="AG311" s="293">
        <f t="shared" si="777"/>
        <v>0</v>
      </c>
      <c r="AH311" s="293">
        <f t="shared" si="777"/>
        <v>0</v>
      </c>
      <c r="AI311" s="293">
        <f t="shared" si="777"/>
        <v>0</v>
      </c>
      <c r="AJ311" s="293">
        <f t="shared" si="777"/>
        <v>0</v>
      </c>
      <c r="AK311" s="293">
        <f t="shared" si="777"/>
        <v>0</v>
      </c>
      <c r="AL311" s="293">
        <f t="shared" si="777"/>
        <v>0</v>
      </c>
      <c r="AM311" s="293">
        <f t="shared" si="776"/>
        <v>77043226.362370029</v>
      </c>
      <c r="AN311" s="293">
        <f t="shared" si="776"/>
        <v>82168106.551905513</v>
      </c>
      <c r="AO311" s="293">
        <f t="shared" si="776"/>
        <v>87388009.22683464</v>
      </c>
      <c r="AP311" s="293">
        <f t="shared" si="776"/>
        <v>92338780.4010759</v>
      </c>
      <c r="AQ311" s="293">
        <f t="shared" si="776"/>
        <v>97209668.173494786</v>
      </c>
      <c r="AR311" s="293">
        <f t="shared" si="776"/>
        <v>102334681.04539596</v>
      </c>
      <c r="AS311" s="293">
        <f t="shared" si="776"/>
        <v>108461310.62894031</v>
      </c>
      <c r="AT311" s="293">
        <f t="shared" si="775"/>
        <v>113539706.66463327</v>
      </c>
      <c r="AU311" s="293">
        <f t="shared" si="775"/>
        <v>118311725.67507553</v>
      </c>
      <c r="AV311" s="293">
        <f t="shared" si="775"/>
        <v>123393326.61900249</v>
      </c>
      <c r="AW311" s="293">
        <f t="shared" si="775"/>
        <v>129039476.61023995</v>
      </c>
      <c r="AX311" s="293">
        <f t="shared" si="775"/>
        <v>133822564.25024892</v>
      </c>
      <c r="AY311" s="293">
        <f t="shared" si="769"/>
        <v>31487883.204852968</v>
      </c>
      <c r="AZ311" s="293">
        <f t="shared" si="770"/>
        <v>81967185.560248926</v>
      </c>
    </row>
    <row r="312" spans="2:52" s="229" customFormat="1" x14ac:dyDescent="0.25">
      <c r="B312" s="313"/>
      <c r="C312" s="316" t="s">
        <v>755</v>
      </c>
      <c r="D312" s="293" t="e">
        <f t="shared" ref="D312" si="778">D302+D304+D306+D308+D310</f>
        <v>#REF!</v>
      </c>
      <c r="E312" s="293" t="e">
        <f t="shared" ref="E312:H312" si="779">E302+E304+E306+E308+E310</f>
        <v>#REF!</v>
      </c>
      <c r="F312" s="293" t="e">
        <f t="shared" si="779"/>
        <v>#REF!</v>
      </c>
      <c r="G312" s="293" t="e">
        <f t="shared" si="779"/>
        <v>#REF!</v>
      </c>
      <c r="H312" s="293" t="e">
        <f t="shared" si="779"/>
        <v>#REF!</v>
      </c>
      <c r="I312" s="293" t="e">
        <f t="shared" ref="I312:O312" si="780">I302+I304+I306+I308+I310</f>
        <v>#REF!</v>
      </c>
      <c r="J312" s="293" t="e">
        <f t="shared" si="780"/>
        <v>#REF!</v>
      </c>
      <c r="K312" s="293" t="e">
        <f t="shared" si="780"/>
        <v>#REF!</v>
      </c>
      <c r="L312" s="293" t="e">
        <f t="shared" si="780"/>
        <v>#REF!</v>
      </c>
      <c r="M312" s="293" t="e">
        <f t="shared" si="780"/>
        <v>#REF!</v>
      </c>
      <c r="N312" s="293" t="e">
        <f t="shared" si="780"/>
        <v>#REF!</v>
      </c>
      <c r="O312" s="293" t="e">
        <f t="shared" si="780"/>
        <v>#REF!</v>
      </c>
      <c r="P312" s="293">
        <f t="shared" ref="P312" si="781">P302+P304+P306+P308+P310</f>
        <v>43211383.385473996</v>
      </c>
      <c r="Q312" s="293">
        <f t="shared" ref="Q312:AX312" si="782">Q302+Q304+Q306+Q308+Q310</f>
        <v>66421796.086540967</v>
      </c>
      <c r="R312" s="293">
        <f t="shared" si="782"/>
        <v>72508224.737306207</v>
      </c>
      <c r="S312" s="293">
        <f t="shared" si="782"/>
        <v>77167629.963238135</v>
      </c>
      <c r="T312" s="293">
        <f t="shared" si="782"/>
        <v>82519398.779614776</v>
      </c>
      <c r="U312" s="293">
        <f t="shared" si="782"/>
        <v>87045740.822729111</v>
      </c>
      <c r="V312" s="293">
        <f t="shared" si="782"/>
        <v>91954986.632612213</v>
      </c>
      <c r="W312" s="293">
        <f t="shared" si="782"/>
        <v>96228145.568367839</v>
      </c>
      <c r="X312" s="293">
        <f t="shared" ref="X312:AS312" si="783">X302+X304+X306+X308+X310</f>
        <v>102722345.13397472</v>
      </c>
      <c r="Y312" s="293">
        <f t="shared" si="783"/>
        <v>107992015.45775136</v>
      </c>
      <c r="Z312" s="293">
        <f t="shared" si="783"/>
        <v>113750613.98768574</v>
      </c>
      <c r="AA312" s="293">
        <f t="shared" si="783"/>
        <v>114754914.99908765</v>
      </c>
      <c r="AB312" s="293">
        <f t="shared" si="783"/>
        <v>120285242.09764904</v>
      </c>
      <c r="AC312" s="293">
        <f t="shared" ref="AC312:AL312" si="784">AC302+AC304+AC306+AC308+AC310</f>
        <v>0</v>
      </c>
      <c r="AD312" s="293">
        <f t="shared" si="784"/>
        <v>0</v>
      </c>
      <c r="AE312" s="293">
        <f t="shared" si="784"/>
        <v>0</v>
      </c>
      <c r="AF312" s="293">
        <f t="shared" si="784"/>
        <v>0</v>
      </c>
      <c r="AG312" s="293">
        <f t="shared" si="784"/>
        <v>0</v>
      </c>
      <c r="AH312" s="293">
        <f t="shared" si="784"/>
        <v>0</v>
      </c>
      <c r="AI312" s="293">
        <f t="shared" si="784"/>
        <v>0</v>
      </c>
      <c r="AJ312" s="293">
        <f t="shared" si="784"/>
        <v>0</v>
      </c>
      <c r="AK312" s="293">
        <f t="shared" si="784"/>
        <v>0</v>
      </c>
      <c r="AL312" s="293">
        <f t="shared" si="784"/>
        <v>0</v>
      </c>
      <c r="AM312" s="293">
        <f t="shared" si="783"/>
        <v>66421796.086540967</v>
      </c>
      <c r="AN312" s="293">
        <f t="shared" si="783"/>
        <v>72508224.737306207</v>
      </c>
      <c r="AO312" s="293">
        <f t="shared" si="783"/>
        <v>77167629.963238135</v>
      </c>
      <c r="AP312" s="293">
        <f t="shared" si="783"/>
        <v>82519398.779614776</v>
      </c>
      <c r="AQ312" s="293">
        <f t="shared" si="783"/>
        <v>87045740.822729111</v>
      </c>
      <c r="AR312" s="293">
        <f t="shared" si="783"/>
        <v>91954986.632612213</v>
      </c>
      <c r="AS312" s="293">
        <f t="shared" si="783"/>
        <v>96228145.568367839</v>
      </c>
      <c r="AT312" s="293">
        <f t="shared" si="782"/>
        <v>102722345.13397472</v>
      </c>
      <c r="AU312" s="293">
        <f t="shared" si="782"/>
        <v>107992015.45775136</v>
      </c>
      <c r="AV312" s="293">
        <f t="shared" si="782"/>
        <v>113750613.98768574</v>
      </c>
      <c r="AW312" s="293">
        <f t="shared" si="782"/>
        <v>114754914.99908765</v>
      </c>
      <c r="AX312" s="293">
        <f t="shared" si="782"/>
        <v>120285242.09764904</v>
      </c>
      <c r="AY312" s="293">
        <f t="shared" si="769"/>
        <v>28330255.465036824</v>
      </c>
      <c r="AZ312" s="293">
        <f t="shared" si="770"/>
        <v>77073858.712175041</v>
      </c>
    </row>
    <row r="313" spans="2:52" x14ac:dyDescent="0.25">
      <c r="B313" s="313"/>
      <c r="C313" s="317" t="s">
        <v>756</v>
      </c>
      <c r="D313" s="293" t="e">
        <f t="shared" ref="D313:H313" si="785">ROUND(D312*9%,2)</f>
        <v>#REF!</v>
      </c>
      <c r="E313" s="293" t="e">
        <f t="shared" si="785"/>
        <v>#REF!</v>
      </c>
      <c r="F313" s="293" t="e">
        <f t="shared" si="785"/>
        <v>#REF!</v>
      </c>
      <c r="G313" s="293" t="e">
        <f t="shared" si="785"/>
        <v>#REF!</v>
      </c>
      <c r="H313" s="293" t="e">
        <f t="shared" si="785"/>
        <v>#REF!</v>
      </c>
      <c r="I313" s="293" t="e">
        <f t="shared" ref="I313:O313" si="786">ROUND(I312*9%,2)</f>
        <v>#REF!</v>
      </c>
      <c r="J313" s="293" t="e">
        <f t="shared" si="786"/>
        <v>#REF!</v>
      </c>
      <c r="K313" s="293" t="e">
        <f t="shared" si="786"/>
        <v>#REF!</v>
      </c>
      <c r="L313" s="293" t="e">
        <f t="shared" si="786"/>
        <v>#REF!</v>
      </c>
      <c r="M313" s="293" t="e">
        <f t="shared" si="786"/>
        <v>#REF!</v>
      </c>
      <c r="N313" s="293" t="e">
        <f t="shared" si="786"/>
        <v>#REF!</v>
      </c>
      <c r="O313" s="293" t="e">
        <f t="shared" si="786"/>
        <v>#REF!</v>
      </c>
      <c r="P313" s="293">
        <f t="shared" ref="P313:Q313" si="787">ROUND(P312*9%,2)</f>
        <v>3889024.5</v>
      </c>
      <c r="Q313" s="293">
        <f t="shared" si="787"/>
        <v>5977961.6500000004</v>
      </c>
      <c r="R313" s="293">
        <f t="shared" ref="R313" si="788">ROUND(R312*9%,2)</f>
        <v>6525740.2300000004</v>
      </c>
      <c r="S313" s="293">
        <f t="shared" ref="S313" si="789">ROUND(S312*9%,2)</f>
        <v>6945086.7000000002</v>
      </c>
      <c r="T313" s="293">
        <f t="shared" ref="T313" si="790">ROUND(T312*9%,2)</f>
        <v>7426745.8899999997</v>
      </c>
      <c r="U313" s="293">
        <f t="shared" ref="U313" si="791">ROUND(U312*9%,2)</f>
        <v>7834116.6699999999</v>
      </c>
      <c r="V313" s="293">
        <f t="shared" ref="V313" si="792">ROUND(V312*9%,2)</f>
        <v>8275948.7999999998</v>
      </c>
      <c r="W313" s="293">
        <f t="shared" ref="W313:AS313" si="793">ROUND(W312*9%,2)</f>
        <v>8660533.0999999996</v>
      </c>
      <c r="X313" s="293">
        <f t="shared" si="793"/>
        <v>9245011.0600000005</v>
      </c>
      <c r="Y313" s="293">
        <f t="shared" si="793"/>
        <v>9719281.3900000006</v>
      </c>
      <c r="Z313" s="293">
        <f t="shared" si="793"/>
        <v>10237555.26</v>
      </c>
      <c r="AA313" s="293">
        <f t="shared" si="793"/>
        <v>10327942.35</v>
      </c>
      <c r="AB313" s="293">
        <f t="shared" si="793"/>
        <v>10825671.789999999</v>
      </c>
      <c r="AC313" s="293">
        <f t="shared" ref="AC313:AL313" si="794">ROUND(AC312*9%,2)</f>
        <v>0</v>
      </c>
      <c r="AD313" s="293">
        <f t="shared" si="794"/>
        <v>0</v>
      </c>
      <c r="AE313" s="293">
        <f t="shared" si="794"/>
        <v>0</v>
      </c>
      <c r="AF313" s="293">
        <f t="shared" si="794"/>
        <v>0</v>
      </c>
      <c r="AG313" s="293">
        <f t="shared" si="794"/>
        <v>0</v>
      </c>
      <c r="AH313" s="293">
        <f t="shared" si="794"/>
        <v>0</v>
      </c>
      <c r="AI313" s="293">
        <f t="shared" si="794"/>
        <v>0</v>
      </c>
      <c r="AJ313" s="293">
        <f t="shared" si="794"/>
        <v>0</v>
      </c>
      <c r="AK313" s="293">
        <f t="shared" si="794"/>
        <v>0</v>
      </c>
      <c r="AL313" s="293">
        <f t="shared" si="794"/>
        <v>0</v>
      </c>
      <c r="AM313" s="293">
        <f t="shared" si="793"/>
        <v>5977961.6500000004</v>
      </c>
      <c r="AN313" s="293">
        <f t="shared" si="793"/>
        <v>6525740.2300000004</v>
      </c>
      <c r="AO313" s="293">
        <f t="shared" si="793"/>
        <v>6945086.7000000002</v>
      </c>
      <c r="AP313" s="293">
        <f t="shared" si="793"/>
        <v>7426745.8899999997</v>
      </c>
      <c r="AQ313" s="293">
        <f t="shared" si="793"/>
        <v>7834116.6699999999</v>
      </c>
      <c r="AR313" s="293">
        <f t="shared" si="793"/>
        <v>8275948.7999999998</v>
      </c>
      <c r="AS313" s="293">
        <f t="shared" si="793"/>
        <v>8660533.0999999996</v>
      </c>
      <c r="AT313" s="293">
        <f t="shared" ref="AT313" si="795">ROUND(AT312*9%,2)</f>
        <v>9245011.0600000005</v>
      </c>
      <c r="AU313" s="293">
        <f t="shared" ref="AU313" si="796">ROUND(AU312*9%,2)</f>
        <v>9719281.3900000006</v>
      </c>
      <c r="AV313" s="293">
        <f t="shared" ref="AV313" si="797">ROUND(AV312*9%,2)</f>
        <v>10237555.26</v>
      </c>
      <c r="AW313" s="293">
        <f t="shared" ref="AW313" si="798">ROUND(AW312*9%,2)</f>
        <v>10327942.35</v>
      </c>
      <c r="AX313" s="293">
        <f t="shared" ref="AX313" si="799">ROUND(AX312*9%,2)</f>
        <v>10825671.789999999</v>
      </c>
      <c r="AY313" s="293">
        <f t="shared" si="769"/>
        <v>2549722.9899999993</v>
      </c>
      <c r="AZ313" s="293">
        <f t="shared" si="770"/>
        <v>6936647.2899999991</v>
      </c>
    </row>
    <row r="314" spans="2:52" s="229" customFormat="1" x14ac:dyDescent="0.25">
      <c r="B314" s="302"/>
      <c r="C314" s="303"/>
      <c r="D314" s="201"/>
      <c r="E314" s="201"/>
      <c r="F314" s="201"/>
      <c r="G314" s="201"/>
      <c r="H314" s="201"/>
      <c r="I314" s="201"/>
      <c r="J314" s="201"/>
      <c r="K314" s="201"/>
      <c r="L314" s="201"/>
      <c r="M314" s="201"/>
      <c r="N314" s="201"/>
      <c r="O314" s="201"/>
      <c r="P314" s="201"/>
      <c r="Q314" s="201"/>
      <c r="R314" s="201"/>
      <c r="S314" s="201"/>
      <c r="T314" s="201"/>
      <c r="U314" s="201"/>
      <c r="V314" s="201"/>
      <c r="W314" s="201"/>
      <c r="X314" s="201"/>
      <c r="Y314" s="201"/>
      <c r="Z314" s="201"/>
      <c r="AA314" s="201"/>
      <c r="AB314" s="201"/>
      <c r="AC314" s="201"/>
      <c r="AD314" s="201"/>
      <c r="AE314" s="201"/>
      <c r="AF314" s="201"/>
      <c r="AG314" s="201"/>
      <c r="AH314" s="201"/>
      <c r="AI314" s="201"/>
      <c r="AJ314" s="201"/>
      <c r="AK314" s="201"/>
      <c r="AL314" s="201"/>
      <c r="AM314" s="201"/>
      <c r="AN314" s="201"/>
      <c r="AO314" s="201"/>
      <c r="AP314" s="201"/>
      <c r="AQ314" s="201"/>
      <c r="AR314" s="201"/>
      <c r="AS314" s="201"/>
      <c r="AT314" s="201"/>
      <c r="AU314" s="201"/>
      <c r="AV314" s="201"/>
      <c r="AW314" s="201"/>
      <c r="AX314" s="201"/>
      <c r="AY314" s="201"/>
      <c r="AZ314" s="201"/>
    </row>
    <row r="315" spans="2:52" x14ac:dyDescent="0.25">
      <c r="B315" s="313"/>
      <c r="C315" s="318" t="s">
        <v>757</v>
      </c>
      <c r="D315" s="319" t="e">
        <f t="shared" ref="D315" si="800">D299-D313</f>
        <v>#REF!</v>
      </c>
      <c r="E315" s="293" t="e">
        <f t="shared" ref="E315:H315" si="801">E299-E313</f>
        <v>#REF!</v>
      </c>
      <c r="F315" s="293" t="e">
        <f t="shared" si="801"/>
        <v>#REF!</v>
      </c>
      <c r="G315" s="293" t="e">
        <f t="shared" si="801"/>
        <v>#REF!</v>
      </c>
      <c r="H315" s="293" t="e">
        <f t="shared" si="801"/>
        <v>#REF!</v>
      </c>
      <c r="I315" s="293" t="e">
        <f t="shared" ref="I315:O315" si="802">I299-I313</f>
        <v>#REF!</v>
      </c>
      <c r="J315" s="293" t="e">
        <f t="shared" si="802"/>
        <v>#REF!</v>
      </c>
      <c r="K315" s="293" t="e">
        <f t="shared" si="802"/>
        <v>#REF!</v>
      </c>
      <c r="L315" s="293" t="e">
        <f t="shared" si="802"/>
        <v>#REF!</v>
      </c>
      <c r="M315" s="293" t="e">
        <f t="shared" si="802"/>
        <v>#REF!</v>
      </c>
      <c r="N315" s="293" t="e">
        <f t="shared" si="802"/>
        <v>#REF!</v>
      </c>
      <c r="O315" s="293" t="e">
        <f t="shared" si="802"/>
        <v>#REF!</v>
      </c>
      <c r="P315" s="293">
        <f t="shared" ref="P315" si="803">P299-P313</f>
        <v>6729938.8330000006</v>
      </c>
      <c r="Q315" s="293">
        <f t="shared" ref="Q315:AX315" si="804">Q299-Q313</f>
        <v>4740432.2565074563</v>
      </c>
      <c r="R315" s="293">
        <f t="shared" si="804"/>
        <v>4277920.7562860195</v>
      </c>
      <c r="S315" s="293">
        <f t="shared" si="804"/>
        <v>4068181.0335192839</v>
      </c>
      <c r="T315" s="293">
        <f t="shared" si="804"/>
        <v>3828091.3586760191</v>
      </c>
      <c r="U315" s="293">
        <f t="shared" si="804"/>
        <v>3683299.4500919916</v>
      </c>
      <c r="V315" s="293">
        <f t="shared" si="804"/>
        <v>3523359.8500946546</v>
      </c>
      <c r="W315" s="293">
        <f t="shared" si="804"/>
        <v>3445196.3498823848</v>
      </c>
      <c r="X315" s="293">
        <f t="shared" ref="X315:AS315" si="805">X299-X313</f>
        <v>3236060.944104651</v>
      </c>
      <c r="Y315" s="293">
        <f t="shared" si="805"/>
        <v>3099663.8269908857</v>
      </c>
      <c r="Z315" s="293">
        <f t="shared" si="805"/>
        <v>2996891.5104511455</v>
      </c>
      <c r="AA315" s="293">
        <f t="shared" si="805"/>
        <v>3339148.6445499733</v>
      </c>
      <c r="AB315" s="293">
        <f t="shared" si="805"/>
        <v>3234037.5248022005</v>
      </c>
      <c r="AC315" s="293">
        <f t="shared" ref="AC315:AL315" si="806">AC299-AC313</f>
        <v>0</v>
      </c>
      <c r="AD315" s="293">
        <f t="shared" si="806"/>
        <v>0</v>
      </c>
      <c r="AE315" s="293">
        <f t="shared" si="806"/>
        <v>0</v>
      </c>
      <c r="AF315" s="293">
        <f t="shared" si="806"/>
        <v>0</v>
      </c>
      <c r="AG315" s="293">
        <f t="shared" si="806"/>
        <v>0</v>
      </c>
      <c r="AH315" s="293">
        <f t="shared" si="806"/>
        <v>0</v>
      </c>
      <c r="AI315" s="293">
        <f t="shared" si="806"/>
        <v>0</v>
      </c>
      <c r="AJ315" s="293">
        <f t="shared" si="806"/>
        <v>0</v>
      </c>
      <c r="AK315" s="293">
        <f t="shared" si="806"/>
        <v>0</v>
      </c>
      <c r="AL315" s="293">
        <f t="shared" si="806"/>
        <v>0</v>
      </c>
      <c r="AM315" s="293">
        <f t="shared" si="805"/>
        <v>4740432.2565074563</v>
      </c>
      <c r="AN315" s="293">
        <f t="shared" si="805"/>
        <v>4277920.7562860195</v>
      </c>
      <c r="AO315" s="293">
        <f t="shared" si="805"/>
        <v>4068181.0335192839</v>
      </c>
      <c r="AP315" s="293">
        <f t="shared" si="805"/>
        <v>3828091.3586760191</v>
      </c>
      <c r="AQ315" s="293">
        <f t="shared" si="805"/>
        <v>3683299.4500919916</v>
      </c>
      <c r="AR315" s="293">
        <f t="shared" si="805"/>
        <v>3523359.8500946546</v>
      </c>
      <c r="AS315" s="293">
        <f t="shared" si="805"/>
        <v>3445196.3498823848</v>
      </c>
      <c r="AT315" s="293">
        <f t="shared" si="804"/>
        <v>3236060.944104651</v>
      </c>
      <c r="AU315" s="293">
        <f t="shared" si="804"/>
        <v>3099663.8269908857</v>
      </c>
      <c r="AV315" s="293">
        <f t="shared" si="804"/>
        <v>2996891.5104511455</v>
      </c>
      <c r="AW315" s="293">
        <f t="shared" si="804"/>
        <v>3339148.6445499733</v>
      </c>
      <c r="AX315" s="293">
        <f t="shared" si="804"/>
        <v>3234037.5248022005</v>
      </c>
      <c r="AY315" s="293">
        <f>AX315-V315</f>
        <v>-289322.3252924541</v>
      </c>
      <c r="AZ315" s="293">
        <f>AX315-P315</f>
        <v>-3495901.3081978001</v>
      </c>
    </row>
    <row r="316" spans="2:52" x14ac:dyDescent="0.25">
      <c r="B316" s="302"/>
      <c r="C316" s="291" t="s">
        <v>758</v>
      </c>
      <c r="D316" s="320" t="e">
        <f>PT!#REF!</f>
        <v>#REF!</v>
      </c>
      <c r="E316" s="280" t="e">
        <f>PT!#REF!</f>
        <v>#REF!</v>
      </c>
      <c r="F316" s="280" t="e">
        <f>PT!#REF!</f>
        <v>#REF!</v>
      </c>
      <c r="G316" s="280" t="e">
        <f>PT!#REF!</f>
        <v>#REF!</v>
      </c>
      <c r="H316" s="280" t="e">
        <f>PT!#REF!</f>
        <v>#REF!</v>
      </c>
      <c r="I316" s="280" t="e">
        <f>PT!#REF!</f>
        <v>#REF!</v>
      </c>
      <c r="J316" s="280" t="e">
        <f>PT!#REF!</f>
        <v>#REF!</v>
      </c>
      <c r="K316" s="280" t="e">
        <f>PT!#REF!</f>
        <v>#REF!</v>
      </c>
      <c r="L316" s="280" t="e">
        <f>PT!#REF!</f>
        <v>#REF!</v>
      </c>
      <c r="M316" s="280" t="e">
        <f>PT!#REF!</f>
        <v>#REF!</v>
      </c>
      <c r="N316" s="280" t="e">
        <f>PT!#REF!</f>
        <v>#REF!</v>
      </c>
      <c r="O316" s="280" t="e">
        <f>PT!#REF!</f>
        <v>#REF!</v>
      </c>
      <c r="P316" s="280">
        <f>PT!D79</f>
        <v>2077598.1876000001</v>
      </c>
      <c r="Q316" s="280">
        <f>PT!E79</f>
        <v>3084266.5344948005</v>
      </c>
      <c r="R316" s="280">
        <f>PT!F79</f>
        <v>3288261.7420762205</v>
      </c>
      <c r="S316" s="280">
        <f>PT!G79</f>
        <v>3497057.8490733858</v>
      </c>
      <c r="T316" s="280">
        <f>PT!H79</f>
        <v>3695088.6960430359</v>
      </c>
      <c r="U316" s="280">
        <f>PT!I79</f>
        <v>3889924.2069397923</v>
      </c>
      <c r="V316" s="280">
        <f>PT!J79</f>
        <v>4094924.7218158385</v>
      </c>
      <c r="W316" s="280">
        <f>PT!K79</f>
        <v>4340835.4651576132</v>
      </c>
      <c r="X316" s="280">
        <f>PT!L79</f>
        <v>4543971.3065853314</v>
      </c>
      <c r="Y316" s="280">
        <f>PT!M79</f>
        <v>4734852.067003021</v>
      </c>
      <c r="Z316" s="280">
        <f>PT!N79</f>
        <v>4938116.1047601001</v>
      </c>
      <c r="AA316" s="280">
        <f>PT!O79</f>
        <v>5163962.1044095978</v>
      </c>
      <c r="AB316" s="280">
        <f>PT!P79</f>
        <v>5355285.6100099571</v>
      </c>
      <c r="AC316" s="280">
        <f>PT!Q79</f>
        <v>0</v>
      </c>
      <c r="AD316" s="280">
        <f>PT!R79</f>
        <v>0</v>
      </c>
      <c r="AE316" s="280">
        <f>PT!S79</f>
        <v>0</v>
      </c>
      <c r="AF316" s="280">
        <f>PT!T79</f>
        <v>0</v>
      </c>
      <c r="AG316" s="280">
        <f>PT!U79</f>
        <v>0</v>
      </c>
      <c r="AH316" s="280">
        <f>PT!V79</f>
        <v>0</v>
      </c>
      <c r="AI316" s="280">
        <f>PT!W79</f>
        <v>0</v>
      </c>
      <c r="AJ316" s="280">
        <f>PT!X79</f>
        <v>0</v>
      </c>
      <c r="AK316" s="280">
        <f>PT!Y79</f>
        <v>0</v>
      </c>
      <c r="AL316" s="280">
        <f>PT!Z79</f>
        <v>0</v>
      </c>
      <c r="AM316" s="280">
        <f>PT!E79</f>
        <v>3084266.5344948005</v>
      </c>
      <c r="AN316" s="280">
        <f>PT!F79</f>
        <v>3288261.7420762205</v>
      </c>
      <c r="AO316" s="280">
        <f>PT!G79</f>
        <v>3497057.8490733858</v>
      </c>
      <c r="AP316" s="280">
        <f>PT!H79</f>
        <v>3695088.6960430359</v>
      </c>
      <c r="AQ316" s="280">
        <f>PT!I79</f>
        <v>3889924.2069397923</v>
      </c>
      <c r="AR316" s="280">
        <f>PT!J79</f>
        <v>4094924.7218158385</v>
      </c>
      <c r="AS316" s="280">
        <f>PT!K79</f>
        <v>4340835.4651576132</v>
      </c>
      <c r="AT316" s="280">
        <f>PT!L79</f>
        <v>4543971.3065853314</v>
      </c>
      <c r="AU316" s="280">
        <f>PT!M79</f>
        <v>4734852.067003021</v>
      </c>
      <c r="AV316" s="280">
        <f>PT!N79</f>
        <v>4938116.1047601001</v>
      </c>
      <c r="AW316" s="280">
        <f>PT!O79</f>
        <v>5163962.1044095978</v>
      </c>
      <c r="AX316" s="280">
        <f>PT!P79</f>
        <v>5355285.6100099571</v>
      </c>
      <c r="AY316" s="281">
        <f>AX316-V316</f>
        <v>1260360.8881941186</v>
      </c>
      <c r="AZ316" s="281">
        <f>AX316-P316</f>
        <v>3277687.4224099573</v>
      </c>
    </row>
    <row r="317" spans="2:52" x14ac:dyDescent="0.25">
      <c r="B317" s="302"/>
      <c r="C317" s="291" t="s">
        <v>759</v>
      </c>
      <c r="D317" s="321" t="e">
        <f t="shared" ref="D317:H317" si="807">D299-D316</f>
        <v>#REF!</v>
      </c>
      <c r="E317" s="281" t="e">
        <f t="shared" si="807"/>
        <v>#REF!</v>
      </c>
      <c r="F317" s="281" t="e">
        <f t="shared" si="807"/>
        <v>#REF!</v>
      </c>
      <c r="G317" s="281" t="e">
        <f t="shared" si="807"/>
        <v>#REF!</v>
      </c>
      <c r="H317" s="281" t="e">
        <f t="shared" si="807"/>
        <v>#REF!</v>
      </c>
      <c r="I317" s="281" t="e">
        <f t="shared" ref="I317:O317" si="808">I299-I316</f>
        <v>#REF!</v>
      </c>
      <c r="J317" s="281" t="e">
        <f t="shared" si="808"/>
        <v>#REF!</v>
      </c>
      <c r="K317" s="281" t="e">
        <f t="shared" si="808"/>
        <v>#REF!</v>
      </c>
      <c r="L317" s="281" t="e">
        <f t="shared" si="808"/>
        <v>#REF!</v>
      </c>
      <c r="M317" s="281" t="e">
        <f t="shared" si="808"/>
        <v>#REF!</v>
      </c>
      <c r="N317" s="281" t="e">
        <f t="shared" si="808"/>
        <v>#REF!</v>
      </c>
      <c r="O317" s="281" t="e">
        <f t="shared" si="808"/>
        <v>#REF!</v>
      </c>
      <c r="P317" s="281">
        <f t="shared" ref="P317:Q317" si="809">P299-P316</f>
        <v>8541365.1454000007</v>
      </c>
      <c r="Q317" s="281">
        <f t="shared" si="809"/>
        <v>7634127.3720126562</v>
      </c>
      <c r="R317" s="281">
        <f t="shared" ref="R317" si="810">R299-R316</f>
        <v>7515399.2442097999</v>
      </c>
      <c r="S317" s="281">
        <f t="shared" ref="S317" si="811">S299-S316</f>
        <v>7516209.8844458982</v>
      </c>
      <c r="T317" s="281">
        <f t="shared" ref="T317" si="812">T299-T316</f>
        <v>7559748.5526329828</v>
      </c>
      <c r="U317" s="281">
        <f t="shared" ref="U317" si="813">U299-U316</f>
        <v>7627491.9131521992</v>
      </c>
      <c r="V317" s="281">
        <f t="shared" ref="V317" si="814">V299-V316</f>
        <v>7704383.9282788159</v>
      </c>
      <c r="W317" s="281">
        <f t="shared" ref="W317:AS317" si="815">W299-W316</f>
        <v>7764893.9847247712</v>
      </c>
      <c r="X317" s="281">
        <f t="shared" si="815"/>
        <v>7937100.6975193201</v>
      </c>
      <c r="Y317" s="281">
        <f t="shared" si="815"/>
        <v>8084093.1499878652</v>
      </c>
      <c r="Z317" s="281">
        <f t="shared" si="815"/>
        <v>8296330.6656910451</v>
      </c>
      <c r="AA317" s="281">
        <f t="shared" si="815"/>
        <v>8503128.8901403751</v>
      </c>
      <c r="AB317" s="281">
        <f t="shared" si="815"/>
        <v>8704423.7047922425</v>
      </c>
      <c r="AC317" s="281">
        <f t="shared" ref="AC317:AL317" si="816">AC299-AC316</f>
        <v>0</v>
      </c>
      <c r="AD317" s="281">
        <f t="shared" si="816"/>
        <v>0</v>
      </c>
      <c r="AE317" s="281">
        <f t="shared" si="816"/>
        <v>0</v>
      </c>
      <c r="AF317" s="281">
        <f t="shared" si="816"/>
        <v>0</v>
      </c>
      <c r="AG317" s="281">
        <f t="shared" si="816"/>
        <v>0</v>
      </c>
      <c r="AH317" s="281">
        <f t="shared" si="816"/>
        <v>0</v>
      </c>
      <c r="AI317" s="281">
        <f t="shared" si="816"/>
        <v>0</v>
      </c>
      <c r="AJ317" s="281">
        <f t="shared" si="816"/>
        <v>0</v>
      </c>
      <c r="AK317" s="281">
        <f t="shared" si="816"/>
        <v>0</v>
      </c>
      <c r="AL317" s="281">
        <f t="shared" si="816"/>
        <v>0</v>
      </c>
      <c r="AM317" s="281">
        <f t="shared" si="815"/>
        <v>7634127.3720126562</v>
      </c>
      <c r="AN317" s="281">
        <f t="shared" si="815"/>
        <v>7515399.2442097999</v>
      </c>
      <c r="AO317" s="281">
        <f t="shared" si="815"/>
        <v>7516209.8844458982</v>
      </c>
      <c r="AP317" s="281">
        <f t="shared" si="815"/>
        <v>7559748.5526329828</v>
      </c>
      <c r="AQ317" s="281">
        <f t="shared" si="815"/>
        <v>7627491.9131521992</v>
      </c>
      <c r="AR317" s="281">
        <f t="shared" si="815"/>
        <v>7704383.9282788159</v>
      </c>
      <c r="AS317" s="281">
        <f t="shared" si="815"/>
        <v>7764893.9847247712</v>
      </c>
      <c r="AT317" s="281">
        <f t="shared" ref="AT317" si="817">AT299-AT316</f>
        <v>7937100.6975193201</v>
      </c>
      <c r="AU317" s="281">
        <f t="shared" ref="AU317" si="818">AU299-AU316</f>
        <v>8084093.1499878652</v>
      </c>
      <c r="AV317" s="281">
        <f t="shared" ref="AV317" si="819">AV299-AV316</f>
        <v>8296330.6656910451</v>
      </c>
      <c r="AW317" s="281">
        <f t="shared" ref="AW317" si="820">AW299-AW316</f>
        <v>8503128.8901403751</v>
      </c>
      <c r="AX317" s="281">
        <f t="shared" ref="AX317" si="821">AX299-AX316</f>
        <v>8704423.7047922425</v>
      </c>
      <c r="AY317" s="281">
        <f>AX317-V317</f>
        <v>1000039.7765134266</v>
      </c>
      <c r="AZ317" s="281">
        <f>AX317-P317</f>
        <v>163058.55939224176</v>
      </c>
    </row>
    <row r="318" spans="2:52" s="229" customFormat="1" x14ac:dyDescent="0.25">
      <c r="B318" s="322" t="s">
        <v>760</v>
      </c>
      <c r="C318" s="318" t="s">
        <v>761</v>
      </c>
      <c r="D318" s="323" t="e">
        <f t="shared" ref="D318" si="822">D299/D312</f>
        <v>#REF!</v>
      </c>
      <c r="E318" s="324" t="e">
        <f t="shared" ref="E318:H318" si="823">E299/E312</f>
        <v>#REF!</v>
      </c>
      <c r="F318" s="324" t="e">
        <f t="shared" si="823"/>
        <v>#REF!</v>
      </c>
      <c r="G318" s="324" t="e">
        <f t="shared" si="823"/>
        <v>#REF!</v>
      </c>
      <c r="H318" s="324" t="e">
        <f t="shared" si="823"/>
        <v>#REF!</v>
      </c>
      <c r="I318" s="324" t="e">
        <f t="shared" ref="I318:O318" si="824">I299/I312</f>
        <v>#REF!</v>
      </c>
      <c r="J318" s="324" t="e">
        <f t="shared" si="824"/>
        <v>#REF!</v>
      </c>
      <c r="K318" s="324" t="e">
        <f t="shared" si="824"/>
        <v>#REF!</v>
      </c>
      <c r="L318" s="324" t="e">
        <f t="shared" si="824"/>
        <v>#REF!</v>
      </c>
      <c r="M318" s="324" t="e">
        <f t="shared" si="824"/>
        <v>#REF!</v>
      </c>
      <c r="N318" s="324" t="e">
        <f t="shared" si="824"/>
        <v>#REF!</v>
      </c>
      <c r="O318" s="324" t="e">
        <f t="shared" si="824"/>
        <v>#REF!</v>
      </c>
      <c r="P318" s="324">
        <f t="shared" ref="P318" si="825">P299/P312</f>
        <v>0.24574458165969496</v>
      </c>
      <c r="Q318" s="324">
        <f t="shared" ref="Q318:AX318" si="826">Q299/Q312</f>
        <v>0.16136862502998955</v>
      </c>
      <c r="R318" s="324">
        <f t="shared" si="826"/>
        <v>0.14899911045163719</v>
      </c>
      <c r="S318" s="324">
        <f t="shared" si="826"/>
        <v>0.14271875057930239</v>
      </c>
      <c r="T318" s="324">
        <f t="shared" si="826"/>
        <v>0.13639019933645424</v>
      </c>
      <c r="U318" s="324">
        <f t="shared" si="826"/>
        <v>0.13231452810020314</v>
      </c>
      <c r="V318" s="324">
        <f>V299/V312</f>
        <v>0.12831613686418591</v>
      </c>
      <c r="W318" s="324">
        <f t="shared" si="826"/>
        <v>0.12580237703200409</v>
      </c>
      <c r="X318" s="324">
        <f t="shared" ref="X318:AS318" si="827">X299/X312</f>
        <v>0.12150298932356268</v>
      </c>
      <c r="Y318" s="324">
        <f t="shared" si="827"/>
        <v>0.11870271299831342</v>
      </c>
      <c r="Z318" s="324">
        <f t="shared" si="827"/>
        <v>0.11634615679422937</v>
      </c>
      <c r="AA318" s="324">
        <f t="shared" si="827"/>
        <v>0.11909808825755858</v>
      </c>
      <c r="AB318" s="324">
        <f t="shared" si="827"/>
        <v>0.1168864032662324</v>
      </c>
      <c r="AC318" s="324" t="e">
        <f t="shared" ref="AC318:AL318" si="828">AC299/AC312</f>
        <v>#DIV/0!</v>
      </c>
      <c r="AD318" s="324" t="e">
        <f t="shared" si="828"/>
        <v>#DIV/0!</v>
      </c>
      <c r="AE318" s="324" t="e">
        <f t="shared" si="828"/>
        <v>#DIV/0!</v>
      </c>
      <c r="AF318" s="324" t="e">
        <f t="shared" si="828"/>
        <v>#DIV/0!</v>
      </c>
      <c r="AG318" s="324" t="e">
        <f t="shared" si="828"/>
        <v>#DIV/0!</v>
      </c>
      <c r="AH318" s="324" t="e">
        <f t="shared" si="828"/>
        <v>#DIV/0!</v>
      </c>
      <c r="AI318" s="324" t="e">
        <f t="shared" si="828"/>
        <v>#DIV/0!</v>
      </c>
      <c r="AJ318" s="324" t="e">
        <f t="shared" si="828"/>
        <v>#DIV/0!</v>
      </c>
      <c r="AK318" s="324" t="e">
        <f t="shared" si="828"/>
        <v>#DIV/0!</v>
      </c>
      <c r="AL318" s="324" t="e">
        <f t="shared" si="828"/>
        <v>#DIV/0!</v>
      </c>
      <c r="AM318" s="324">
        <f t="shared" si="827"/>
        <v>0.16136862502998955</v>
      </c>
      <c r="AN318" s="324">
        <f t="shared" si="827"/>
        <v>0.14899911045163719</v>
      </c>
      <c r="AO318" s="324">
        <f t="shared" si="827"/>
        <v>0.14271875057930239</v>
      </c>
      <c r="AP318" s="324">
        <f t="shared" si="827"/>
        <v>0.13639019933645424</v>
      </c>
      <c r="AQ318" s="324">
        <f t="shared" si="827"/>
        <v>0.13231452810020314</v>
      </c>
      <c r="AR318" s="324">
        <f t="shared" si="827"/>
        <v>0.12831613686418591</v>
      </c>
      <c r="AS318" s="324">
        <f t="shared" si="827"/>
        <v>0.12580237703200409</v>
      </c>
      <c r="AT318" s="324">
        <f t="shared" si="826"/>
        <v>0.12150298932356268</v>
      </c>
      <c r="AU318" s="324">
        <f t="shared" si="826"/>
        <v>0.11870271299831342</v>
      </c>
      <c r="AV318" s="324">
        <f t="shared" si="826"/>
        <v>0.11634615679422937</v>
      </c>
      <c r="AW318" s="324">
        <f t="shared" si="826"/>
        <v>0.11909808825755858</v>
      </c>
      <c r="AX318" s="324">
        <f t="shared" si="826"/>
        <v>0.1168864032662324</v>
      </c>
      <c r="AY318" s="325">
        <f>AX318-V318</f>
        <v>-1.1429733597953518E-2</v>
      </c>
      <c r="AZ318" s="325">
        <f>AX318-P318</f>
        <v>-0.12885817839346256</v>
      </c>
    </row>
    <row r="319" spans="2:52" x14ac:dyDescent="0.25">
      <c r="B319" s="326"/>
      <c r="C319" s="303"/>
      <c r="D319" s="327"/>
      <c r="E319" s="327"/>
      <c r="F319" s="327"/>
      <c r="G319" s="327"/>
      <c r="H319" s="327"/>
      <c r="I319" s="327"/>
      <c r="J319" s="327"/>
      <c r="K319" s="327"/>
      <c r="L319" s="327"/>
      <c r="M319" s="327"/>
      <c r="N319" s="327"/>
      <c r="O319" s="327"/>
      <c r="P319" s="327"/>
      <c r="Q319" s="327"/>
      <c r="R319" s="327"/>
      <c r="S319" s="327"/>
      <c r="T319" s="327"/>
      <c r="U319" s="327"/>
      <c r="V319" s="327"/>
      <c r="W319" s="327"/>
      <c r="X319" s="327"/>
      <c r="Y319" s="327"/>
      <c r="Z319" s="327"/>
      <c r="AA319" s="327"/>
      <c r="AB319" s="327"/>
      <c r="AC319" s="327"/>
      <c r="AD319" s="327"/>
      <c r="AE319" s="327"/>
      <c r="AF319" s="327"/>
      <c r="AG319" s="327"/>
      <c r="AH319" s="327"/>
      <c r="AI319" s="327"/>
      <c r="AJ319" s="327"/>
      <c r="AK319" s="327"/>
      <c r="AL319" s="327"/>
      <c r="AM319" s="327"/>
      <c r="AN319" s="327"/>
      <c r="AO319" s="327"/>
      <c r="AP319" s="327"/>
      <c r="AQ319" s="327"/>
      <c r="AR319" s="327"/>
      <c r="AS319" s="327"/>
      <c r="AT319" s="327"/>
      <c r="AU319" s="327"/>
      <c r="AV319" s="327"/>
      <c r="AW319" s="327"/>
      <c r="AX319" s="327"/>
      <c r="AY319" s="327"/>
      <c r="AZ319" s="327"/>
    </row>
    <row r="320" spans="2:52" x14ac:dyDescent="0.25">
      <c r="B320" s="326"/>
      <c r="C320" s="291" t="s">
        <v>762</v>
      </c>
      <c r="D320" s="238"/>
      <c r="E320" s="238"/>
      <c r="F320" s="238"/>
      <c r="G320" s="238"/>
      <c r="H320" s="238"/>
      <c r="I320" s="238"/>
      <c r="J320" s="238"/>
      <c r="K320" s="238"/>
      <c r="L320" s="238"/>
      <c r="M320" s="238"/>
      <c r="N320" s="238"/>
      <c r="O320" s="238"/>
      <c r="P320" s="236">
        <f t="shared" ref="P320:AX320" si="829">P6+P22+P23+P27+P36</f>
        <v>4347843.4400000004</v>
      </c>
      <c r="Q320" s="236">
        <f t="shared" si="829"/>
        <v>5005830.7</v>
      </c>
      <c r="R320" s="236">
        <f t="shared" si="829"/>
        <v>5227220.17</v>
      </c>
      <c r="S320" s="236">
        <f t="shared" si="829"/>
        <v>5369565.6399999997</v>
      </c>
      <c r="T320" s="236">
        <f t="shared" si="829"/>
        <v>5668239.5199999996</v>
      </c>
      <c r="U320" s="236">
        <f t="shared" si="829"/>
        <v>9219724.7799999993</v>
      </c>
      <c r="V320" s="236">
        <f t="shared" si="829"/>
        <v>8249373.9600000009</v>
      </c>
      <c r="W320" s="236">
        <f t="shared" si="829"/>
        <v>7800743.4299999997</v>
      </c>
      <c r="X320" s="236">
        <f t="shared" ref="X320:AS320" si="830">X6+X22+X23+X27+X36</f>
        <v>8358616.9100000001</v>
      </c>
      <c r="Y320" s="236">
        <f t="shared" si="830"/>
        <v>7905852.8999999994</v>
      </c>
      <c r="Z320" s="236">
        <f t="shared" si="830"/>
        <v>7858724.8300000001</v>
      </c>
      <c r="AA320" s="236">
        <f t="shared" si="830"/>
        <v>7726895.6999999993</v>
      </c>
      <c r="AB320" s="236">
        <f t="shared" si="830"/>
        <v>8492987.25</v>
      </c>
      <c r="AC320" s="236">
        <f t="shared" ref="AC320:AL320" si="831">AC6+AC22+AC23+AC27+AC36</f>
        <v>9255444.4800000004</v>
      </c>
      <c r="AD320" s="236">
        <f t="shared" si="831"/>
        <v>10462807.49</v>
      </c>
      <c r="AE320" s="236">
        <f t="shared" si="831"/>
        <v>15480509.58</v>
      </c>
      <c r="AF320" s="236">
        <f t="shared" si="831"/>
        <v>9896123.3300000001</v>
      </c>
      <c r="AG320" s="236">
        <f t="shared" si="831"/>
        <v>9643835.5</v>
      </c>
      <c r="AH320" s="236">
        <f t="shared" si="831"/>
        <v>9784740.7899999991</v>
      </c>
      <c r="AI320" s="236">
        <f t="shared" si="831"/>
        <v>10995464.98</v>
      </c>
      <c r="AJ320" s="236">
        <f t="shared" si="831"/>
        <v>11019844.74</v>
      </c>
      <c r="AK320" s="236">
        <f t="shared" si="831"/>
        <v>9838097.1600000001</v>
      </c>
      <c r="AL320" s="236">
        <f t="shared" si="831"/>
        <v>10300753.279999999</v>
      </c>
      <c r="AM320" s="236">
        <f t="shared" si="830"/>
        <v>10625588.258303056</v>
      </c>
      <c r="AN320" s="236">
        <f t="shared" si="830"/>
        <v>9775679.1210733131</v>
      </c>
      <c r="AO320" s="236">
        <f t="shared" si="830"/>
        <v>10775149.071070503</v>
      </c>
      <c r="AP320" s="236">
        <f t="shared" si="830"/>
        <v>10630079.083935125</v>
      </c>
      <c r="AQ320" s="236">
        <f t="shared" si="830"/>
        <v>10849848.862239672</v>
      </c>
      <c r="AR320" s="236">
        <f t="shared" si="830"/>
        <v>10769924.00625775</v>
      </c>
      <c r="AS320" s="236">
        <f t="shared" si="830"/>
        <v>12737128.647046482</v>
      </c>
      <c r="AT320" s="236">
        <f t="shared" si="829"/>
        <v>13246482.365132557</v>
      </c>
      <c r="AU320" s="236">
        <f t="shared" si="829"/>
        <v>14043345.289798172</v>
      </c>
      <c r="AV320" s="236">
        <f t="shared" si="829"/>
        <v>12957141.709790757</v>
      </c>
      <c r="AW320" s="236">
        <f t="shared" si="829"/>
        <v>16250344.593626309</v>
      </c>
      <c r="AX320" s="236">
        <f t="shared" si="829"/>
        <v>15095549.739073886</v>
      </c>
      <c r="AY320" s="236">
        <f t="shared" ref="AY320:AY328" si="832">AX320-V320</f>
        <v>6846175.7790738847</v>
      </c>
      <c r="AZ320" s="236">
        <f t="shared" ref="AZ320:AZ328" si="833">AX320-P320</f>
        <v>10747706.299073886</v>
      </c>
    </row>
    <row r="321" spans="2:54" x14ac:dyDescent="0.25">
      <c r="B321" s="326"/>
      <c r="C321" s="291" t="s">
        <v>763</v>
      </c>
      <c r="D321" s="238"/>
      <c r="E321" s="238"/>
      <c r="F321" s="238"/>
      <c r="G321" s="238"/>
      <c r="H321" s="238"/>
      <c r="I321" s="238"/>
      <c r="J321" s="238"/>
      <c r="K321" s="238"/>
      <c r="L321" s="238"/>
      <c r="M321" s="238"/>
      <c r="N321" s="238"/>
      <c r="O321" s="238"/>
      <c r="P321" s="236">
        <f t="shared" ref="P321:AX321" si="834">P154+P160+P166+P167+P189</f>
        <v>29682564.57</v>
      </c>
      <c r="Q321" s="236">
        <f t="shared" si="834"/>
        <v>29727972.620000001</v>
      </c>
      <c r="R321" s="236">
        <f t="shared" si="834"/>
        <v>29563366.800000001</v>
      </c>
      <c r="S321" s="236">
        <f t="shared" si="834"/>
        <v>29824950.200000003</v>
      </c>
      <c r="T321" s="236">
        <f t="shared" si="834"/>
        <v>30260016.750000004</v>
      </c>
      <c r="U321" s="236">
        <f t="shared" si="834"/>
        <v>33418290.880000003</v>
      </c>
      <c r="V321" s="236">
        <f t="shared" si="834"/>
        <v>33471595.450000003</v>
      </c>
      <c r="W321" s="236">
        <f t="shared" si="834"/>
        <v>32780369.879999999</v>
      </c>
      <c r="X321" s="236">
        <f t="shared" ref="X321:AS321" si="835">X154+X160+X166+X167+X189</f>
        <v>33437790.170000002</v>
      </c>
      <c r="Y321" s="236">
        <f t="shared" si="835"/>
        <v>33304558.900000002</v>
      </c>
      <c r="Z321" s="236">
        <f t="shared" si="835"/>
        <v>34614261.68</v>
      </c>
      <c r="AA321" s="236">
        <f t="shared" si="835"/>
        <v>35261140.780000001</v>
      </c>
      <c r="AB321" s="236">
        <f t="shared" si="835"/>
        <v>36946289.119999997</v>
      </c>
      <c r="AC321" s="236">
        <f t="shared" ref="AC321:AL321" si="836">AC154+AC160+AC166+AC167+AC189</f>
        <v>38673508.200000003</v>
      </c>
      <c r="AD321" s="236">
        <f t="shared" si="836"/>
        <v>40682247.159999996</v>
      </c>
      <c r="AE321" s="236">
        <f t="shared" si="836"/>
        <v>46076312.349999994</v>
      </c>
      <c r="AF321" s="236">
        <f t="shared" si="836"/>
        <v>43066481.449999996</v>
      </c>
      <c r="AG321" s="236">
        <f t="shared" si="836"/>
        <v>45640768.309999995</v>
      </c>
      <c r="AH321" s="236">
        <f t="shared" si="836"/>
        <v>47707647.069999993</v>
      </c>
      <c r="AI321" s="236">
        <f t="shared" si="836"/>
        <v>51132426.329999998</v>
      </c>
      <c r="AJ321" s="236">
        <f t="shared" si="836"/>
        <v>53021616.529999994</v>
      </c>
      <c r="AK321" s="236">
        <f t="shared" si="836"/>
        <v>54584776.659999996</v>
      </c>
      <c r="AL321" s="236">
        <f t="shared" si="836"/>
        <v>56450314.329999998</v>
      </c>
      <c r="AM321" s="236">
        <f t="shared" si="835"/>
        <v>62882790.388571411</v>
      </c>
      <c r="AN321" s="236">
        <f t="shared" si="835"/>
        <v>69279290.388571426</v>
      </c>
      <c r="AO321" s="236">
        <f t="shared" si="835"/>
        <v>75675790.388571426</v>
      </c>
      <c r="AP321" s="236">
        <f t="shared" si="835"/>
        <v>82072290.388571441</v>
      </c>
      <c r="AQ321" s="236">
        <f t="shared" si="835"/>
        <v>88468790.388571426</v>
      </c>
      <c r="AR321" s="236">
        <f t="shared" si="835"/>
        <v>94865290.388571441</v>
      </c>
      <c r="AS321" s="236">
        <f t="shared" si="835"/>
        <v>101261790.38857143</v>
      </c>
      <c r="AT321" s="236">
        <f t="shared" si="834"/>
        <v>107658290.38857144</v>
      </c>
      <c r="AU321" s="236">
        <f t="shared" si="834"/>
        <v>113854790.38857144</v>
      </c>
      <c r="AV321" s="236">
        <f t="shared" si="834"/>
        <v>120251290.38857143</v>
      </c>
      <c r="AW321" s="236">
        <f t="shared" si="834"/>
        <v>126647790.38857146</v>
      </c>
      <c r="AX321" s="236">
        <f t="shared" si="834"/>
        <v>133044290.38857144</v>
      </c>
      <c r="AY321" s="236">
        <f t="shared" si="832"/>
        <v>99572694.938571438</v>
      </c>
      <c r="AZ321" s="236">
        <f t="shared" si="833"/>
        <v>103361725.81857145</v>
      </c>
    </row>
    <row r="322" spans="2:54" x14ac:dyDescent="0.25">
      <c r="B322" s="326"/>
      <c r="C322" s="291" t="s">
        <v>764</v>
      </c>
      <c r="D322" s="236">
        <f t="shared" ref="D322:O322" si="837">D6-D14+D256+D266+D102-D109+D112-D120+D122+D134-D137-D139-D151</f>
        <v>14182166.279999999</v>
      </c>
      <c r="E322" s="236">
        <f t="shared" si="837"/>
        <v>15186921.34</v>
      </c>
      <c r="F322" s="236">
        <f t="shared" si="837"/>
        <v>14524215.27</v>
      </c>
      <c r="G322" s="236">
        <f t="shared" si="837"/>
        <v>14241450.639999999</v>
      </c>
      <c r="H322" s="236">
        <f t="shared" si="837"/>
        <v>14302207.449999999</v>
      </c>
      <c r="I322" s="236">
        <f t="shared" si="837"/>
        <v>13974930.74</v>
      </c>
      <c r="J322" s="236">
        <f t="shared" si="837"/>
        <v>14280946.68</v>
      </c>
      <c r="K322" s="236">
        <f t="shared" si="837"/>
        <v>14746506.000000002</v>
      </c>
      <c r="L322" s="236">
        <f t="shared" si="837"/>
        <v>14502769.180000002</v>
      </c>
      <c r="M322" s="236">
        <f t="shared" si="837"/>
        <v>14601922.620000001</v>
      </c>
      <c r="N322" s="236">
        <f t="shared" si="837"/>
        <v>18251580.520000003</v>
      </c>
      <c r="O322" s="236">
        <f t="shared" si="837"/>
        <v>15298173.32</v>
      </c>
      <c r="P322" s="236">
        <f t="shared" ref="P322:AX322" si="838">P6-P14+P256+P266+P102-P109+P112-P120+P122+P134-P136-P137-P139-P151</f>
        <v>15660372.019999998</v>
      </c>
      <c r="Q322" s="236">
        <f t="shared" si="838"/>
        <v>16103628.469999999</v>
      </c>
      <c r="R322" s="236">
        <f t="shared" si="838"/>
        <v>16500079.580000004</v>
      </c>
      <c r="S322" s="236">
        <f t="shared" si="838"/>
        <v>16894295.500000004</v>
      </c>
      <c r="T322" s="236">
        <f t="shared" si="838"/>
        <v>15956613.320000002</v>
      </c>
      <c r="U322" s="236">
        <f t="shared" si="838"/>
        <v>18477841.370000001</v>
      </c>
      <c r="V322" s="236">
        <f t="shared" si="838"/>
        <v>17791145.34</v>
      </c>
      <c r="W322" s="236">
        <f t="shared" si="838"/>
        <v>17570618.029999997</v>
      </c>
      <c r="X322" s="236">
        <f t="shared" ref="X322:AS322" si="839">X6-X14+X256+X266+X102-X109+X112-X120+X122+X134-X136-X137-X139-X151</f>
        <v>17561058.18</v>
      </c>
      <c r="Y322" s="236">
        <f t="shared" si="839"/>
        <v>18073518.330000002</v>
      </c>
      <c r="Z322" s="236">
        <f t="shared" si="839"/>
        <v>17614415.990000002</v>
      </c>
      <c r="AA322" s="236">
        <f t="shared" si="839"/>
        <v>17576304.850000001</v>
      </c>
      <c r="AB322" s="236">
        <f t="shared" si="839"/>
        <v>17402967.670000002</v>
      </c>
      <c r="AC322" s="236">
        <f t="shared" ref="AC322:AL322" si="840">AC6-AC14+AC256+AC266+AC102-AC109+AC112-AC120+AC122+AC134-AC136-AC137-AC139-AC151</f>
        <v>17758534.539999999</v>
      </c>
      <c r="AD322" s="236">
        <f t="shared" si="840"/>
        <v>18537535.610000003</v>
      </c>
      <c r="AE322" s="236">
        <f t="shared" si="840"/>
        <v>21395578.260000002</v>
      </c>
      <c r="AF322" s="236">
        <f t="shared" si="840"/>
        <v>17956431.530000001</v>
      </c>
      <c r="AG322" s="236">
        <f t="shared" si="840"/>
        <v>17965795.16</v>
      </c>
      <c r="AH322" s="236">
        <f t="shared" si="840"/>
        <v>17318272.819999997</v>
      </c>
      <c r="AI322" s="236">
        <f t="shared" si="840"/>
        <v>17395562.550000001</v>
      </c>
      <c r="AJ322" s="236">
        <f t="shared" si="840"/>
        <v>17695273.299999997</v>
      </c>
      <c r="AK322" s="236">
        <f t="shared" si="840"/>
        <v>18133853.389999997</v>
      </c>
      <c r="AL322" s="236">
        <f t="shared" si="840"/>
        <v>18460687.059999995</v>
      </c>
      <c r="AM322" s="236">
        <f t="shared" si="839"/>
        <v>19774404.438908514</v>
      </c>
      <c r="AN322" s="236">
        <f t="shared" si="839"/>
        <v>20667344.579310939</v>
      </c>
      <c r="AO322" s="236">
        <f t="shared" si="839"/>
        <v>20737237.238753788</v>
      </c>
      <c r="AP322" s="236">
        <f t="shared" si="839"/>
        <v>20837739.541260425</v>
      </c>
      <c r="AQ322" s="236">
        <f t="shared" si="839"/>
        <v>21689687.615557622</v>
      </c>
      <c r="AR322" s="236">
        <f t="shared" si="839"/>
        <v>21352263.729772232</v>
      </c>
      <c r="AS322" s="236">
        <f t="shared" si="839"/>
        <v>21391904.01750135</v>
      </c>
      <c r="AT322" s="236">
        <f t="shared" si="838"/>
        <v>21211205.907982428</v>
      </c>
      <c r="AU322" s="236">
        <f t="shared" si="838"/>
        <v>21329087.665591534</v>
      </c>
      <c r="AV322" s="236">
        <f t="shared" si="838"/>
        <v>21557644.264440212</v>
      </c>
      <c r="AW322" s="236">
        <f t="shared" si="838"/>
        <v>22560068.874263227</v>
      </c>
      <c r="AX322" s="236">
        <f t="shared" si="838"/>
        <v>23202977.549542028</v>
      </c>
      <c r="AY322" s="236">
        <f t="shared" si="832"/>
        <v>5411832.2095420286</v>
      </c>
      <c r="AZ322" s="236">
        <f t="shared" si="833"/>
        <v>7542605.5295420308</v>
      </c>
    </row>
    <row r="323" spans="2:54" x14ac:dyDescent="0.25">
      <c r="B323" s="326"/>
      <c r="C323" s="291" t="s">
        <v>442</v>
      </c>
      <c r="D323" s="236">
        <f t="shared" ref="D323:AX323" si="841">D91+D109+D120+D151</f>
        <v>-2166127.0500000003</v>
      </c>
      <c r="E323" s="236">
        <f t="shared" si="841"/>
        <v>-2165638.1100000003</v>
      </c>
      <c r="F323" s="236">
        <f t="shared" si="841"/>
        <v>-2156053.2800000003</v>
      </c>
      <c r="G323" s="236">
        <f t="shared" si="841"/>
        <v>-2165675.83</v>
      </c>
      <c r="H323" s="236">
        <f t="shared" si="841"/>
        <v>-2016418.24</v>
      </c>
      <c r="I323" s="236">
        <f t="shared" si="841"/>
        <v>-2153290.6800000002</v>
      </c>
      <c r="J323" s="236">
        <f t="shared" si="841"/>
        <v>-2247015.62</v>
      </c>
      <c r="K323" s="236">
        <f t="shared" si="841"/>
        <v>-2320935.35</v>
      </c>
      <c r="L323" s="236">
        <f t="shared" si="841"/>
        <v>-2331483.54</v>
      </c>
      <c r="M323" s="236">
        <f t="shared" si="841"/>
        <v>-2414399.27</v>
      </c>
      <c r="N323" s="236">
        <f t="shared" si="841"/>
        <v>-2623884.39</v>
      </c>
      <c r="O323" s="236">
        <f t="shared" si="841"/>
        <v>-2404760.27</v>
      </c>
      <c r="P323" s="236">
        <f t="shared" si="841"/>
        <v>-2375898.7700000005</v>
      </c>
      <c r="Q323" s="236">
        <f t="shared" si="841"/>
        <v>-2405430.41</v>
      </c>
      <c r="R323" s="236">
        <f t="shared" si="841"/>
        <v>-2526353.5100000002</v>
      </c>
      <c r="S323" s="236">
        <f t="shared" si="841"/>
        <v>-2453189.41</v>
      </c>
      <c r="T323" s="236">
        <f t="shared" si="841"/>
        <v>-2472580.9300000002</v>
      </c>
      <c r="U323" s="236">
        <f t="shared" si="841"/>
        <v>-2507725.0099999998</v>
      </c>
      <c r="V323" s="236">
        <f t="shared" si="841"/>
        <v>-2678014.2400000002</v>
      </c>
      <c r="W323" s="236">
        <f t="shared" si="841"/>
        <v>-2562812.87</v>
      </c>
      <c r="X323" s="236">
        <f t="shared" ref="X323:AS323" si="842">X91+X109+X120+X151</f>
        <v>-2838324.7</v>
      </c>
      <c r="Y323" s="236">
        <f t="shared" si="842"/>
        <v>-3107201.48</v>
      </c>
      <c r="Z323" s="236">
        <f t="shared" si="842"/>
        <v>-3313236.11</v>
      </c>
      <c r="AA323" s="236">
        <f t="shared" si="842"/>
        <v>-3288520.53</v>
      </c>
      <c r="AB323" s="236">
        <f t="shared" si="842"/>
        <v>-2870294.5400000005</v>
      </c>
      <c r="AC323" s="236">
        <f t="shared" ref="AC323:AL323" si="843">AC91+AC109+AC120+AC151</f>
        <v>-2766913.8700000006</v>
      </c>
      <c r="AD323" s="236">
        <f t="shared" si="843"/>
        <v>-2764181.25</v>
      </c>
      <c r="AE323" s="236">
        <f t="shared" si="843"/>
        <v>-2760239.42</v>
      </c>
      <c r="AF323" s="236">
        <f t="shared" si="843"/>
        <v>-2713076.02</v>
      </c>
      <c r="AG323" s="236">
        <f t="shared" si="843"/>
        <v>-2743052.39</v>
      </c>
      <c r="AH323" s="236">
        <f t="shared" si="843"/>
        <v>-2793957.8100000005</v>
      </c>
      <c r="AI323" s="236">
        <f t="shared" si="843"/>
        <v>-2868970.7800000003</v>
      </c>
      <c r="AJ323" s="236">
        <f t="shared" si="843"/>
        <v>-2910453.49</v>
      </c>
      <c r="AK323" s="236">
        <f t="shared" si="843"/>
        <v>-2950598.45</v>
      </c>
      <c r="AL323" s="236">
        <f t="shared" si="843"/>
        <v>-2968210.2</v>
      </c>
      <c r="AM323" s="236">
        <f t="shared" si="842"/>
        <v>-3051341.0375143783</v>
      </c>
      <c r="AN323" s="236">
        <f t="shared" si="842"/>
        <v>-3132348.6571207875</v>
      </c>
      <c r="AO323" s="236">
        <f t="shared" si="842"/>
        <v>-3210617.4201389132</v>
      </c>
      <c r="AP323" s="236">
        <f t="shared" si="842"/>
        <v>-3282690.1409962098</v>
      </c>
      <c r="AQ323" s="236">
        <f t="shared" si="842"/>
        <v>-3357846.4199124998</v>
      </c>
      <c r="AR323" s="236">
        <f t="shared" si="842"/>
        <v>-3432017.5411935393</v>
      </c>
      <c r="AS323" s="236">
        <f t="shared" si="842"/>
        <v>-3504595.6697566491</v>
      </c>
      <c r="AT323" s="236">
        <f t="shared" si="841"/>
        <v>-3548744.5734216841</v>
      </c>
      <c r="AU323" s="236">
        <f t="shared" si="841"/>
        <v>-3576740.4646329675</v>
      </c>
      <c r="AV323" s="236">
        <f t="shared" si="841"/>
        <v>-3577646.6178775132</v>
      </c>
      <c r="AW323" s="236">
        <f t="shared" si="841"/>
        <v>-3565964.2518976778</v>
      </c>
      <c r="AX323" s="236">
        <f t="shared" si="841"/>
        <v>-2394168.4793739463</v>
      </c>
      <c r="AY323" s="236">
        <f t="shared" si="832"/>
        <v>283845.7606260539</v>
      </c>
      <c r="AZ323" s="236">
        <f t="shared" si="833"/>
        <v>-18269.709373945836</v>
      </c>
    </row>
    <row r="324" spans="2:54" x14ac:dyDescent="0.25">
      <c r="B324" s="326"/>
      <c r="C324" s="291" t="s">
        <v>765</v>
      </c>
      <c r="D324" s="236">
        <f t="shared" ref="D324:H324" si="844">SUM(D322:D323)</f>
        <v>12016039.229999999</v>
      </c>
      <c r="E324" s="236">
        <f t="shared" si="844"/>
        <v>13021283.23</v>
      </c>
      <c r="F324" s="236">
        <f t="shared" si="844"/>
        <v>12368161.989999998</v>
      </c>
      <c r="G324" s="236">
        <f t="shared" si="844"/>
        <v>12075774.809999999</v>
      </c>
      <c r="H324" s="236">
        <f t="shared" si="844"/>
        <v>12285789.209999999</v>
      </c>
      <c r="I324" s="236">
        <f t="shared" ref="I324:O324" si="845">SUM(I322:I323)</f>
        <v>11821640.060000001</v>
      </c>
      <c r="J324" s="236">
        <f t="shared" si="845"/>
        <v>12033931.059999999</v>
      </c>
      <c r="K324" s="236">
        <f t="shared" si="845"/>
        <v>12425570.650000002</v>
      </c>
      <c r="L324" s="236">
        <f t="shared" si="845"/>
        <v>12171285.640000001</v>
      </c>
      <c r="M324" s="236">
        <f t="shared" si="845"/>
        <v>12187523.350000001</v>
      </c>
      <c r="N324" s="236">
        <f t="shared" si="845"/>
        <v>15627696.130000003</v>
      </c>
      <c r="O324" s="236">
        <f t="shared" si="845"/>
        <v>12893413.050000001</v>
      </c>
      <c r="P324" s="236">
        <f t="shared" ref="P324:Q324" si="846">SUM(P322:P323)</f>
        <v>13284473.249999996</v>
      </c>
      <c r="Q324" s="236">
        <f t="shared" si="846"/>
        <v>13698198.059999999</v>
      </c>
      <c r="R324" s="236">
        <f t="shared" ref="R324" si="847">SUM(R322:R323)</f>
        <v>13973726.070000004</v>
      </c>
      <c r="S324" s="236">
        <f t="shared" ref="S324" si="848">SUM(S322:S323)</f>
        <v>14441106.090000004</v>
      </c>
      <c r="T324" s="236">
        <f t="shared" ref="T324" si="849">SUM(T322:T323)</f>
        <v>13484032.390000002</v>
      </c>
      <c r="U324" s="236">
        <f t="shared" ref="U324" si="850">SUM(U322:U323)</f>
        <v>15970116.360000001</v>
      </c>
      <c r="V324" s="236">
        <f t="shared" ref="V324" si="851">SUM(V322:V323)</f>
        <v>15113131.1</v>
      </c>
      <c r="W324" s="236">
        <f t="shared" ref="W324:AS324" si="852">SUM(W322:W323)</f>
        <v>15007805.159999996</v>
      </c>
      <c r="X324" s="236">
        <f t="shared" si="852"/>
        <v>14722733.48</v>
      </c>
      <c r="Y324" s="236">
        <f t="shared" si="852"/>
        <v>14966316.850000001</v>
      </c>
      <c r="Z324" s="236">
        <f t="shared" si="852"/>
        <v>14301179.880000003</v>
      </c>
      <c r="AA324" s="236">
        <f t="shared" si="852"/>
        <v>14287784.320000002</v>
      </c>
      <c r="AB324" s="236">
        <f t="shared" si="852"/>
        <v>14532673.130000001</v>
      </c>
      <c r="AC324" s="236">
        <f t="shared" ref="AC324:AL324" si="853">SUM(AC322:AC323)</f>
        <v>14991620.669999998</v>
      </c>
      <c r="AD324" s="236">
        <f t="shared" si="853"/>
        <v>15773354.360000003</v>
      </c>
      <c r="AE324" s="236">
        <f t="shared" si="853"/>
        <v>18635338.840000004</v>
      </c>
      <c r="AF324" s="236">
        <f t="shared" si="853"/>
        <v>15243355.510000002</v>
      </c>
      <c r="AG324" s="236">
        <f t="shared" si="853"/>
        <v>15222742.77</v>
      </c>
      <c r="AH324" s="236">
        <f t="shared" si="853"/>
        <v>14524315.009999996</v>
      </c>
      <c r="AI324" s="236">
        <f t="shared" si="853"/>
        <v>14526591.77</v>
      </c>
      <c r="AJ324" s="236">
        <f t="shared" si="853"/>
        <v>14784819.809999997</v>
      </c>
      <c r="AK324" s="236">
        <f t="shared" si="853"/>
        <v>15183254.939999998</v>
      </c>
      <c r="AL324" s="236">
        <f t="shared" si="853"/>
        <v>15492476.859999996</v>
      </c>
      <c r="AM324" s="236">
        <f t="shared" si="852"/>
        <v>16723063.401394136</v>
      </c>
      <c r="AN324" s="236">
        <f t="shared" si="852"/>
        <v>17534995.922190152</v>
      </c>
      <c r="AO324" s="236">
        <f t="shared" si="852"/>
        <v>17526619.818614874</v>
      </c>
      <c r="AP324" s="236">
        <f t="shared" si="852"/>
        <v>17555049.400264215</v>
      </c>
      <c r="AQ324" s="236">
        <f t="shared" si="852"/>
        <v>18331841.195645124</v>
      </c>
      <c r="AR324" s="236">
        <f t="shared" si="852"/>
        <v>17920246.188578695</v>
      </c>
      <c r="AS324" s="236">
        <f t="shared" si="852"/>
        <v>17887308.347744703</v>
      </c>
      <c r="AT324" s="236">
        <f t="shared" ref="AT324" si="854">SUM(AT322:AT323)</f>
        <v>17662461.334560744</v>
      </c>
      <c r="AU324" s="236">
        <f t="shared" ref="AU324" si="855">SUM(AU322:AU323)</f>
        <v>17752347.200958565</v>
      </c>
      <c r="AV324" s="236">
        <f t="shared" ref="AV324" si="856">SUM(AV322:AV323)</f>
        <v>17979997.646562699</v>
      </c>
      <c r="AW324" s="236">
        <f t="shared" ref="AW324" si="857">SUM(AW322:AW323)</f>
        <v>18994104.622365549</v>
      </c>
      <c r="AX324" s="236">
        <f t="shared" ref="AX324" si="858">SUM(AX322:AX323)</f>
        <v>20808809.070168082</v>
      </c>
      <c r="AY324" s="236">
        <f t="shared" si="832"/>
        <v>5695677.970168082</v>
      </c>
      <c r="AZ324" s="236">
        <f t="shared" si="833"/>
        <v>7524335.8201680854</v>
      </c>
    </row>
    <row r="325" spans="2:54" x14ac:dyDescent="0.25">
      <c r="B325" s="326"/>
      <c r="C325" s="291" t="s">
        <v>766</v>
      </c>
      <c r="D325" s="236">
        <f t="shared" ref="D325:AX325" si="859">D6-D14</f>
        <v>1716879.7000000002</v>
      </c>
      <c r="E325" s="236">
        <f t="shared" si="859"/>
        <v>1962539.65</v>
      </c>
      <c r="F325" s="236">
        <f t="shared" si="859"/>
        <v>995366.72</v>
      </c>
      <c r="G325" s="236">
        <f t="shared" si="859"/>
        <v>948111.35</v>
      </c>
      <c r="H325" s="236">
        <f t="shared" si="859"/>
        <v>1085825.8899999999</v>
      </c>
      <c r="I325" s="236">
        <f t="shared" si="859"/>
        <v>541238.09</v>
      </c>
      <c r="J325" s="236">
        <f t="shared" si="859"/>
        <v>845383.76</v>
      </c>
      <c r="K325" s="236">
        <f t="shared" si="859"/>
        <v>1120402.8099999998</v>
      </c>
      <c r="L325" s="236">
        <f t="shared" si="859"/>
        <v>1172872.29</v>
      </c>
      <c r="M325" s="236">
        <f t="shared" si="859"/>
        <v>1253884.1200000001</v>
      </c>
      <c r="N325" s="236">
        <f t="shared" si="859"/>
        <v>2773458.0900000003</v>
      </c>
      <c r="O325" s="236">
        <f t="shared" si="859"/>
        <v>1588013.87</v>
      </c>
      <c r="P325" s="236">
        <f t="shared" si="859"/>
        <v>1786818.09</v>
      </c>
      <c r="Q325" s="236">
        <f t="shared" si="859"/>
        <v>2129288.0500000003</v>
      </c>
      <c r="R325" s="236">
        <f t="shared" si="859"/>
        <v>2303556.77</v>
      </c>
      <c r="S325" s="236">
        <f t="shared" si="859"/>
        <v>2310807.92</v>
      </c>
      <c r="T325" s="236">
        <f t="shared" si="859"/>
        <v>2172486.81</v>
      </c>
      <c r="U325" s="236">
        <f t="shared" si="859"/>
        <v>4179012.04</v>
      </c>
      <c r="V325" s="236">
        <f t="shared" si="859"/>
        <v>3474602.52</v>
      </c>
      <c r="W325" s="236">
        <f t="shared" si="859"/>
        <v>3092164.8000000003</v>
      </c>
      <c r="X325" s="236">
        <f t="shared" ref="X325:AS325" si="860">X6-X14</f>
        <v>2363644.2200000002</v>
      </c>
      <c r="Y325" s="236">
        <f t="shared" si="860"/>
        <v>2537458.92</v>
      </c>
      <c r="Z325" s="236">
        <f t="shared" si="860"/>
        <v>1978695.12</v>
      </c>
      <c r="AA325" s="236">
        <f t="shared" si="860"/>
        <v>1843918.36</v>
      </c>
      <c r="AB325" s="236">
        <f t="shared" si="860"/>
        <v>2374675.0300000003</v>
      </c>
      <c r="AC325" s="236">
        <f t="shared" ref="AC325:AL325" si="861">AC6-AC14</f>
        <v>3000345.6599999997</v>
      </c>
      <c r="AD325" s="236">
        <f t="shared" si="861"/>
        <v>3585660.7499999995</v>
      </c>
      <c r="AE325" s="236">
        <f t="shared" si="861"/>
        <v>6534857.0200000005</v>
      </c>
      <c r="AF325" s="236">
        <f t="shared" si="861"/>
        <v>3195052.1100000003</v>
      </c>
      <c r="AG325" s="236">
        <f t="shared" si="861"/>
        <v>2745760.9299999997</v>
      </c>
      <c r="AH325" s="236">
        <f t="shared" si="861"/>
        <v>2529491.0499999998</v>
      </c>
      <c r="AI325" s="236">
        <f t="shared" si="861"/>
        <v>2331866.3000000003</v>
      </c>
      <c r="AJ325" s="236">
        <f t="shared" si="861"/>
        <v>2207122.0500000003</v>
      </c>
      <c r="AK325" s="236">
        <f t="shared" si="861"/>
        <v>2521808.62</v>
      </c>
      <c r="AL325" s="236">
        <f t="shared" si="861"/>
        <v>1961326.88</v>
      </c>
      <c r="AM325" s="236">
        <f t="shared" si="860"/>
        <v>2573930.3433030569</v>
      </c>
      <c r="AN325" s="236">
        <f t="shared" si="860"/>
        <v>3490248.6065733139</v>
      </c>
      <c r="AO325" s="236">
        <f t="shared" si="860"/>
        <v>3625235.4011205039</v>
      </c>
      <c r="AP325" s="236">
        <f t="shared" si="860"/>
        <v>3786753.9999901257</v>
      </c>
      <c r="AQ325" s="236">
        <f t="shared" si="860"/>
        <v>4576836.1369001735</v>
      </c>
      <c r="AR325" s="236">
        <f t="shared" si="860"/>
        <v>4179045.1803842988</v>
      </c>
      <c r="AS325" s="236">
        <f t="shared" si="860"/>
        <v>4218472.1515856888</v>
      </c>
      <c r="AT325" s="236">
        <f t="shared" si="859"/>
        <v>4058102.7071256828</v>
      </c>
      <c r="AU325" s="236">
        <f t="shared" si="859"/>
        <v>4120296.8749906109</v>
      </c>
      <c r="AV325" s="236">
        <f t="shared" si="859"/>
        <v>4334051.067502439</v>
      </c>
      <c r="AW325" s="236">
        <f t="shared" si="859"/>
        <v>5218691.0171091575</v>
      </c>
      <c r="AX325" s="236">
        <f t="shared" si="859"/>
        <v>5892137.126405023</v>
      </c>
      <c r="AY325" s="236">
        <f t="shared" si="832"/>
        <v>2417534.606405023</v>
      </c>
      <c r="AZ325" s="236">
        <f t="shared" si="833"/>
        <v>4105319.0364050232</v>
      </c>
    </row>
    <row r="326" spans="2:54" x14ac:dyDescent="0.25">
      <c r="B326" s="326"/>
      <c r="C326" s="291" t="s">
        <v>767</v>
      </c>
      <c r="D326" s="236">
        <f t="shared" ref="D326:H326" si="862">D324-D325</f>
        <v>10299159.529999997</v>
      </c>
      <c r="E326" s="236">
        <f t="shared" si="862"/>
        <v>11058743.58</v>
      </c>
      <c r="F326" s="236">
        <f t="shared" si="862"/>
        <v>11372795.269999998</v>
      </c>
      <c r="G326" s="236">
        <f t="shared" si="862"/>
        <v>11127663.459999999</v>
      </c>
      <c r="H326" s="236">
        <f t="shared" si="862"/>
        <v>11199963.319999998</v>
      </c>
      <c r="I326" s="236">
        <f t="shared" ref="I326:O326" si="863">I324-I325</f>
        <v>11280401.970000001</v>
      </c>
      <c r="J326" s="236">
        <f t="shared" si="863"/>
        <v>11188547.299999999</v>
      </c>
      <c r="K326" s="236">
        <f t="shared" si="863"/>
        <v>11305167.840000002</v>
      </c>
      <c r="L326" s="236">
        <f t="shared" si="863"/>
        <v>10998413.350000001</v>
      </c>
      <c r="M326" s="236">
        <f t="shared" si="863"/>
        <v>10933639.23</v>
      </c>
      <c r="N326" s="236">
        <f t="shared" si="863"/>
        <v>12854238.040000003</v>
      </c>
      <c r="O326" s="236">
        <f t="shared" si="863"/>
        <v>11305399.18</v>
      </c>
      <c r="P326" s="236">
        <f t="shared" ref="P326:Q326" si="864">P324-P325</f>
        <v>11497655.159999996</v>
      </c>
      <c r="Q326" s="236">
        <f t="shared" si="864"/>
        <v>11568910.009999998</v>
      </c>
      <c r="R326" s="236">
        <f t="shared" ref="R326" si="865">R324-R325</f>
        <v>11670169.300000004</v>
      </c>
      <c r="S326" s="236">
        <f t="shared" ref="S326" si="866">S324-S325</f>
        <v>12130298.170000004</v>
      </c>
      <c r="T326" s="236">
        <f t="shared" ref="T326" si="867">T324-T325</f>
        <v>11311545.580000002</v>
      </c>
      <c r="U326" s="236">
        <f t="shared" ref="U326" si="868">U324-U325</f>
        <v>11791104.32</v>
      </c>
      <c r="V326" s="236">
        <f t="shared" ref="V326" si="869">V324-V325</f>
        <v>11638528.58</v>
      </c>
      <c r="W326" s="236">
        <f t="shared" ref="W326:AS326" si="870">W324-W325</f>
        <v>11915640.359999996</v>
      </c>
      <c r="X326" s="236">
        <f t="shared" si="870"/>
        <v>12359089.26</v>
      </c>
      <c r="Y326" s="236">
        <f t="shared" si="870"/>
        <v>12428857.930000002</v>
      </c>
      <c r="Z326" s="236">
        <f t="shared" si="870"/>
        <v>12322484.760000002</v>
      </c>
      <c r="AA326" s="236">
        <f t="shared" si="870"/>
        <v>12443865.960000003</v>
      </c>
      <c r="AB326" s="236">
        <f t="shared" si="870"/>
        <v>12157998.100000001</v>
      </c>
      <c r="AC326" s="236">
        <f t="shared" ref="AC326:AL326" si="871">AC324-AC325</f>
        <v>11991275.009999998</v>
      </c>
      <c r="AD326" s="236">
        <f t="shared" si="871"/>
        <v>12187693.610000003</v>
      </c>
      <c r="AE326" s="236">
        <f t="shared" si="871"/>
        <v>12100481.820000004</v>
      </c>
      <c r="AF326" s="236">
        <f t="shared" si="871"/>
        <v>12048303.400000002</v>
      </c>
      <c r="AG326" s="236">
        <f t="shared" si="871"/>
        <v>12476981.84</v>
      </c>
      <c r="AH326" s="236">
        <f t="shared" si="871"/>
        <v>11994823.959999997</v>
      </c>
      <c r="AI326" s="236">
        <f t="shared" si="871"/>
        <v>12194725.469999999</v>
      </c>
      <c r="AJ326" s="236">
        <f t="shared" si="871"/>
        <v>12577697.759999996</v>
      </c>
      <c r="AK326" s="236">
        <f t="shared" si="871"/>
        <v>12661446.319999997</v>
      </c>
      <c r="AL326" s="236">
        <f t="shared" si="871"/>
        <v>13531149.979999997</v>
      </c>
      <c r="AM326" s="236">
        <f t="shared" si="870"/>
        <v>14149133.05809108</v>
      </c>
      <c r="AN326" s="236">
        <f t="shared" si="870"/>
        <v>14044747.315616839</v>
      </c>
      <c r="AO326" s="236">
        <f t="shared" si="870"/>
        <v>13901384.41749437</v>
      </c>
      <c r="AP326" s="236">
        <f t="shared" si="870"/>
        <v>13768295.400274089</v>
      </c>
      <c r="AQ326" s="236">
        <f t="shared" si="870"/>
        <v>13755005.05874495</v>
      </c>
      <c r="AR326" s="236">
        <f t="shared" si="870"/>
        <v>13741201.008194396</v>
      </c>
      <c r="AS326" s="236">
        <f t="shared" si="870"/>
        <v>13668836.196159014</v>
      </c>
      <c r="AT326" s="236">
        <f t="shared" ref="AT326" si="872">AT324-AT325</f>
        <v>13604358.627435062</v>
      </c>
      <c r="AU326" s="236">
        <f t="shared" ref="AU326" si="873">AU324-AU325</f>
        <v>13632050.325967954</v>
      </c>
      <c r="AV326" s="236">
        <f t="shared" ref="AV326" si="874">AV324-AV325</f>
        <v>13645946.57906026</v>
      </c>
      <c r="AW326" s="236">
        <f t="shared" ref="AW326" si="875">AW324-AW325</f>
        <v>13775413.605256392</v>
      </c>
      <c r="AX326" s="236">
        <f t="shared" ref="AX326" si="876">AX324-AX325</f>
        <v>14916671.943763059</v>
      </c>
      <c r="AY326" s="236">
        <f t="shared" si="832"/>
        <v>3278143.3637630586</v>
      </c>
      <c r="AZ326" s="236">
        <f t="shared" si="833"/>
        <v>3419016.7837630622</v>
      </c>
    </row>
    <row r="327" spans="2:54" x14ac:dyDescent="0.25">
      <c r="B327" s="326"/>
      <c r="C327" s="291" t="s">
        <v>768</v>
      </c>
      <c r="D327" s="236">
        <f t="shared" ref="D327:O327" si="877">D14+D20+D51+D137+D139</f>
        <v>4029124.3600000003</v>
      </c>
      <c r="E327" s="236">
        <f t="shared" si="877"/>
        <v>3902787.1799999997</v>
      </c>
      <c r="F327" s="236">
        <f t="shared" si="877"/>
        <v>3695092.86</v>
      </c>
      <c r="G327" s="236">
        <f t="shared" si="877"/>
        <v>3591218.1999999997</v>
      </c>
      <c r="H327" s="236">
        <f t="shared" si="877"/>
        <v>3247285.34</v>
      </c>
      <c r="I327" s="236">
        <f t="shared" si="877"/>
        <v>2908815.7199999997</v>
      </c>
      <c r="J327" s="236">
        <f t="shared" si="877"/>
        <v>2523378.4000000004</v>
      </c>
      <c r="K327" s="236">
        <f t="shared" si="877"/>
        <v>1995502.5399999998</v>
      </c>
      <c r="L327" s="236">
        <f t="shared" si="877"/>
        <v>1875572.1399999997</v>
      </c>
      <c r="M327" s="236">
        <f t="shared" si="877"/>
        <v>1728078.27</v>
      </c>
      <c r="N327" s="236">
        <f t="shared" si="877"/>
        <v>1439011.81</v>
      </c>
      <c r="O327" s="236">
        <f t="shared" si="877"/>
        <v>2224870.41</v>
      </c>
      <c r="P327" s="236">
        <f t="shared" ref="P327:AX327" si="878">P14+P20+P52+P136+P139</f>
        <v>24879144.700000003</v>
      </c>
      <c r="Q327" s="236">
        <f t="shared" si="878"/>
        <v>24586643.600000005</v>
      </c>
      <c r="R327" s="236">
        <f t="shared" si="878"/>
        <v>23845845.219999999</v>
      </c>
      <c r="S327" s="236">
        <f t="shared" si="878"/>
        <v>23872216.34</v>
      </c>
      <c r="T327" s="236">
        <f t="shared" si="878"/>
        <v>25083007.52</v>
      </c>
      <c r="U327" s="236">
        <f t="shared" si="878"/>
        <v>25847007.949999999</v>
      </c>
      <c r="V327" s="236">
        <f t="shared" si="878"/>
        <v>31949409.060000002</v>
      </c>
      <c r="W327" s="236">
        <f t="shared" si="878"/>
        <v>32105535.629999999</v>
      </c>
      <c r="X327" s="236">
        <f t="shared" ref="X327:AS327" si="879">X14+X20+X52+X136+X139</f>
        <v>32988331.620000001</v>
      </c>
      <c r="Y327" s="236">
        <f t="shared" si="879"/>
        <v>33178019.240000002</v>
      </c>
      <c r="Z327" s="236">
        <f t="shared" si="879"/>
        <v>35010354.339999996</v>
      </c>
      <c r="AA327" s="236">
        <f t="shared" si="879"/>
        <v>36333981.980000004</v>
      </c>
      <c r="AB327" s="236">
        <f t="shared" si="879"/>
        <v>37267519.989999995</v>
      </c>
      <c r="AC327" s="236">
        <f t="shared" ref="AC327:AL327" si="880">AC14+AC20+AC52+AC136+AC139</f>
        <v>39256578.679999992</v>
      </c>
      <c r="AD327" s="236">
        <f t="shared" si="880"/>
        <v>40595896.890000001</v>
      </c>
      <c r="AE327" s="236">
        <f t="shared" si="880"/>
        <v>43289854.479999997</v>
      </c>
      <c r="AF327" s="236">
        <f t="shared" si="880"/>
        <v>44152013.100000001</v>
      </c>
      <c r="AG327" s="236">
        <f t="shared" si="880"/>
        <v>46478307.880000003</v>
      </c>
      <c r="AH327" s="236">
        <f t="shared" si="880"/>
        <v>48856738.340000004</v>
      </c>
      <c r="AI327" s="236">
        <f t="shared" si="880"/>
        <v>51999356.659999989</v>
      </c>
      <c r="AJ327" s="236">
        <f t="shared" si="880"/>
        <v>53829164.350000001</v>
      </c>
      <c r="AK327" s="236">
        <f t="shared" si="880"/>
        <v>54518375.25999999</v>
      </c>
      <c r="AL327" s="236">
        <f t="shared" si="880"/>
        <v>56751097.409999996</v>
      </c>
      <c r="AM327" s="236">
        <f t="shared" si="879"/>
        <v>60264977.390975885</v>
      </c>
      <c r="AN327" s="236">
        <f t="shared" si="879"/>
        <v>64552925.059715383</v>
      </c>
      <c r="AO327" s="236">
        <f t="shared" si="879"/>
        <v>69781203.838219777</v>
      </c>
      <c r="AP327" s="236">
        <f t="shared" si="879"/>
        <v>74703545.430811688</v>
      </c>
      <c r="AQ327" s="236">
        <f t="shared" si="879"/>
        <v>78797641.407849655</v>
      </c>
      <c r="AR327" s="236">
        <f t="shared" si="879"/>
        <v>84324249.286817297</v>
      </c>
      <c r="AS327" s="236">
        <f t="shared" si="879"/>
        <v>90493816.711195648</v>
      </c>
      <c r="AT327" s="236">
        <f t="shared" si="878"/>
        <v>95797059.760072529</v>
      </c>
      <c r="AU327" s="236">
        <f t="shared" si="878"/>
        <v>100479192.90411696</v>
      </c>
      <c r="AV327" s="236">
        <f t="shared" si="878"/>
        <v>105333143.4024398</v>
      </c>
      <c r="AW327" s="236">
        <f t="shared" si="878"/>
        <v>109965186.41787443</v>
      </c>
      <c r="AX327" s="236">
        <f t="shared" si="878"/>
        <v>112933569.61008088</v>
      </c>
      <c r="AY327" s="236">
        <f t="shared" si="832"/>
        <v>80984160.550080881</v>
      </c>
      <c r="AZ327" s="236">
        <f t="shared" si="833"/>
        <v>88054424.91008088</v>
      </c>
    </row>
    <row r="328" spans="2:54" x14ac:dyDescent="0.25">
      <c r="B328" s="326"/>
      <c r="C328" s="291" t="s">
        <v>769</v>
      </c>
      <c r="D328" s="236">
        <f t="shared" ref="D328:AX328" si="881">D154-D156-D157+D160+D166+D189</f>
        <v>33384759.080000002</v>
      </c>
      <c r="E328" s="236">
        <f t="shared" si="881"/>
        <v>32999113.469999999</v>
      </c>
      <c r="F328" s="236">
        <f t="shared" si="881"/>
        <v>32465992.010000002</v>
      </c>
      <c r="G328" s="236">
        <f t="shared" si="881"/>
        <v>32613843.079999998</v>
      </c>
      <c r="H328" s="236">
        <f t="shared" si="881"/>
        <v>32652563.149999999</v>
      </c>
      <c r="I328" s="236">
        <f t="shared" si="881"/>
        <v>31976035.810000002</v>
      </c>
      <c r="J328" s="236">
        <f t="shared" si="881"/>
        <v>31504690.870000001</v>
      </c>
      <c r="K328" s="236">
        <f t="shared" si="881"/>
        <v>30617850.580000002</v>
      </c>
      <c r="L328" s="236">
        <f t="shared" si="881"/>
        <v>30241244.829999998</v>
      </c>
      <c r="M328" s="236">
        <f t="shared" si="881"/>
        <v>29668098.59</v>
      </c>
      <c r="N328" s="236">
        <f t="shared" si="881"/>
        <v>30911743.150000002</v>
      </c>
      <c r="O328" s="236">
        <f t="shared" si="881"/>
        <v>29875137.520000003</v>
      </c>
      <c r="P328" s="236">
        <f t="shared" si="881"/>
        <v>29599851.200000003</v>
      </c>
      <c r="Q328" s="236">
        <f t="shared" si="881"/>
        <v>29656849.25</v>
      </c>
      <c r="R328" s="236">
        <f t="shared" si="881"/>
        <v>29492243.430000003</v>
      </c>
      <c r="S328" s="236">
        <f t="shared" si="881"/>
        <v>29736278.82</v>
      </c>
      <c r="T328" s="236">
        <f t="shared" si="881"/>
        <v>30185893.430000003</v>
      </c>
      <c r="U328" s="236">
        <f t="shared" si="881"/>
        <v>33344855.540000003</v>
      </c>
      <c r="V328" s="236">
        <f t="shared" si="881"/>
        <v>33329346.68</v>
      </c>
      <c r="W328" s="236">
        <f t="shared" si="881"/>
        <v>32647728.559999999</v>
      </c>
      <c r="X328" s="236">
        <f t="shared" ref="X328:AS328" si="882">X154-X156-X157+X160+X166+X189</f>
        <v>33308647.75</v>
      </c>
      <c r="Y328" s="236">
        <f t="shared" si="882"/>
        <v>33177323.390000001</v>
      </c>
      <c r="Z328" s="236">
        <f t="shared" si="882"/>
        <v>34468202.129999995</v>
      </c>
      <c r="AA328" s="236">
        <f t="shared" si="882"/>
        <v>35186224.689999998</v>
      </c>
      <c r="AB328" s="236">
        <f t="shared" si="882"/>
        <v>36581665.640000001</v>
      </c>
      <c r="AC328" s="236">
        <f t="shared" ref="AC328:AL328" si="883">AC154-AC156-AC157+AC160+AC166+AC189</f>
        <v>38505889.729999997</v>
      </c>
      <c r="AD328" s="236">
        <f t="shared" si="883"/>
        <v>40620585.140000001</v>
      </c>
      <c r="AE328" s="236">
        <f t="shared" si="883"/>
        <v>41816558.859999999</v>
      </c>
      <c r="AF328" s="236">
        <f t="shared" si="883"/>
        <v>42949267.189999998</v>
      </c>
      <c r="AG328" s="236">
        <f t="shared" si="883"/>
        <v>45572633.409999996</v>
      </c>
      <c r="AH328" s="236">
        <f t="shared" si="883"/>
        <v>47621226.649999999</v>
      </c>
      <c r="AI328" s="236">
        <f t="shared" si="883"/>
        <v>51070280.420000002</v>
      </c>
      <c r="AJ328" s="236">
        <f t="shared" si="883"/>
        <v>52869742.619999997</v>
      </c>
      <c r="AK328" s="236">
        <f t="shared" si="883"/>
        <v>54530318.709999993</v>
      </c>
      <c r="AL328" s="236">
        <f t="shared" si="883"/>
        <v>56401253.059999995</v>
      </c>
      <c r="AM328" s="236">
        <f t="shared" si="882"/>
        <v>62705860.325180076</v>
      </c>
      <c r="AN328" s="236">
        <f t="shared" si="882"/>
        <v>69189369.619764015</v>
      </c>
      <c r="AO328" s="236">
        <f t="shared" si="882"/>
        <v>75587445.572720021</v>
      </c>
      <c r="AP328" s="236">
        <f t="shared" si="882"/>
        <v>81977806.224169523</v>
      </c>
      <c r="AQ328" s="236">
        <f t="shared" si="882"/>
        <v>88373859.840176642</v>
      </c>
      <c r="AR328" s="236">
        <f t="shared" si="882"/>
        <v>94777194.635927916</v>
      </c>
      <c r="AS328" s="236">
        <f t="shared" si="882"/>
        <v>101173519.42914458</v>
      </c>
      <c r="AT328" s="236">
        <f t="shared" si="881"/>
        <v>107566811.75280452</v>
      </c>
      <c r="AU328" s="236">
        <f t="shared" si="881"/>
        <v>113754553.66572957</v>
      </c>
      <c r="AV328" s="236">
        <f t="shared" si="881"/>
        <v>120140439.74152862</v>
      </c>
      <c r="AW328" s="236">
        <f t="shared" si="881"/>
        <v>126398785.59798214</v>
      </c>
      <c r="AX328" s="236">
        <f t="shared" si="881"/>
        <v>132928975.29218005</v>
      </c>
      <c r="AY328" s="236">
        <f t="shared" si="832"/>
        <v>99599628.612180054</v>
      </c>
      <c r="AZ328" s="236">
        <f t="shared" si="833"/>
        <v>103329124.09218004</v>
      </c>
    </row>
    <row r="329" spans="2:54" x14ac:dyDescent="0.25">
      <c r="B329" s="302"/>
      <c r="C329" s="303"/>
    </row>
    <row r="330" spans="2:54" s="214" customFormat="1" ht="15.75" customHeight="1" x14ac:dyDescent="0.25">
      <c r="B330" s="216"/>
      <c r="C330" s="328" t="s">
        <v>770</v>
      </c>
      <c r="D330" s="276">
        <f t="shared" ref="D330:AY330" si="884">D4</f>
        <v>44926</v>
      </c>
      <c r="E330" s="276">
        <f t="shared" si="884"/>
        <v>44957</v>
      </c>
      <c r="F330" s="276">
        <f t="shared" si="884"/>
        <v>44985</v>
      </c>
      <c r="G330" s="276">
        <f t="shared" si="884"/>
        <v>45016</v>
      </c>
      <c r="H330" s="276">
        <f t="shared" si="884"/>
        <v>45046</v>
      </c>
      <c r="I330" s="276">
        <f t="shared" si="884"/>
        <v>45077</v>
      </c>
      <c r="J330" s="276">
        <f t="shared" si="884"/>
        <v>45107</v>
      </c>
      <c r="K330" s="276">
        <f t="shared" si="884"/>
        <v>45138</v>
      </c>
      <c r="L330" s="276">
        <f t="shared" si="884"/>
        <v>45169</v>
      </c>
      <c r="M330" s="276">
        <f t="shared" si="884"/>
        <v>45199</v>
      </c>
      <c r="N330" s="276">
        <f t="shared" si="884"/>
        <v>45230</v>
      </c>
      <c r="O330" s="276">
        <f t="shared" si="884"/>
        <v>45260</v>
      </c>
      <c r="P330" s="276">
        <f t="shared" si="884"/>
        <v>45291</v>
      </c>
      <c r="Q330" s="276">
        <f t="shared" si="884"/>
        <v>45322</v>
      </c>
      <c r="R330" s="276">
        <f t="shared" si="884"/>
        <v>45351</v>
      </c>
      <c r="S330" s="276">
        <f t="shared" si="884"/>
        <v>45382</v>
      </c>
      <c r="T330" s="276">
        <f t="shared" si="884"/>
        <v>45412</v>
      </c>
      <c r="U330" s="276">
        <f t="shared" si="884"/>
        <v>45443</v>
      </c>
      <c r="V330" s="276">
        <f t="shared" si="884"/>
        <v>45473</v>
      </c>
      <c r="W330" s="276">
        <f t="shared" si="884"/>
        <v>45504</v>
      </c>
      <c r="X330" s="276">
        <f t="shared" ref="X330:AS330" si="885">X4</f>
        <v>45535</v>
      </c>
      <c r="Y330" s="276">
        <f t="shared" si="885"/>
        <v>45565</v>
      </c>
      <c r="Z330" s="276">
        <f t="shared" si="885"/>
        <v>45596</v>
      </c>
      <c r="AA330" s="276">
        <f t="shared" si="885"/>
        <v>45626</v>
      </c>
      <c r="AB330" s="276">
        <f t="shared" si="885"/>
        <v>45657</v>
      </c>
      <c r="AC330" s="220" t="s">
        <v>687</v>
      </c>
      <c r="AD330" s="220" t="s">
        <v>688</v>
      </c>
      <c r="AE330" s="220" t="s">
        <v>689</v>
      </c>
      <c r="AF330" s="220" t="s">
        <v>690</v>
      </c>
      <c r="AG330" s="220" t="s">
        <v>691</v>
      </c>
      <c r="AH330" s="220" t="s">
        <v>692</v>
      </c>
      <c r="AI330" s="220" t="s">
        <v>693</v>
      </c>
      <c r="AJ330" s="220" t="s">
        <v>694</v>
      </c>
      <c r="AK330" s="220" t="s">
        <v>695</v>
      </c>
      <c r="AL330" s="220" t="s">
        <v>696</v>
      </c>
      <c r="AM330" s="276">
        <f t="shared" si="885"/>
        <v>45688</v>
      </c>
      <c r="AN330" s="276">
        <f t="shared" si="885"/>
        <v>45716</v>
      </c>
      <c r="AO330" s="276">
        <f t="shared" si="885"/>
        <v>45747</v>
      </c>
      <c r="AP330" s="276">
        <f t="shared" si="885"/>
        <v>45777</v>
      </c>
      <c r="AQ330" s="276">
        <f t="shared" si="885"/>
        <v>45808</v>
      </c>
      <c r="AR330" s="276">
        <f t="shared" si="885"/>
        <v>45838</v>
      </c>
      <c r="AS330" s="276">
        <f t="shared" si="885"/>
        <v>45869</v>
      </c>
      <c r="AT330" s="276">
        <f t="shared" si="884"/>
        <v>45900</v>
      </c>
      <c r="AU330" s="276">
        <f t="shared" si="884"/>
        <v>45930</v>
      </c>
      <c r="AV330" s="276">
        <f t="shared" si="884"/>
        <v>45961</v>
      </c>
      <c r="AW330" s="276">
        <f t="shared" si="884"/>
        <v>45991</v>
      </c>
      <c r="AX330" s="276">
        <f t="shared" si="884"/>
        <v>46022</v>
      </c>
      <c r="AY330" s="276" t="str">
        <f t="shared" si="884"/>
        <v>Comportam</v>
      </c>
      <c r="AZ330" s="220" t="s">
        <v>697</v>
      </c>
      <c r="BA330" s="220">
        <v>44926</v>
      </c>
      <c r="BB330" s="220">
        <v>45291</v>
      </c>
    </row>
    <row r="331" spans="2:54" x14ac:dyDescent="0.25">
      <c r="B331" s="302"/>
      <c r="C331" s="284" t="s">
        <v>771</v>
      </c>
      <c r="D331" s="329"/>
      <c r="E331" s="329"/>
      <c r="F331" s="329"/>
      <c r="G331" s="329"/>
      <c r="H331" s="329"/>
      <c r="I331" s="329"/>
      <c r="J331" s="329"/>
      <c r="K331" s="329"/>
      <c r="L331" s="329"/>
      <c r="M331" s="329"/>
      <c r="N331" s="329"/>
      <c r="O331" s="329"/>
      <c r="P331" s="329"/>
      <c r="Q331" s="329"/>
      <c r="R331" s="329"/>
      <c r="S331" s="329"/>
      <c r="T331" s="329"/>
      <c r="U331" s="329"/>
      <c r="V331" s="329"/>
      <c r="W331" s="329"/>
      <c r="X331" s="329"/>
      <c r="Y331" s="329"/>
      <c r="Z331" s="329"/>
      <c r="AA331" s="329"/>
      <c r="AB331" s="329"/>
      <c r="AC331" s="329"/>
      <c r="AD331" s="329"/>
      <c r="AE331" s="329"/>
      <c r="AF331" s="329"/>
      <c r="AG331" s="329"/>
      <c r="AH331" s="329"/>
      <c r="AI331" s="329"/>
      <c r="AJ331" s="329"/>
      <c r="AK331" s="329"/>
      <c r="AL331" s="329"/>
      <c r="AM331" s="329"/>
      <c r="AN331" s="329"/>
      <c r="AO331" s="329"/>
      <c r="AP331" s="329"/>
      <c r="AQ331" s="329"/>
      <c r="AR331" s="329"/>
      <c r="AS331" s="329"/>
      <c r="AT331" s="329"/>
      <c r="AU331" s="329"/>
      <c r="AV331" s="329"/>
      <c r="AW331" s="329"/>
      <c r="AX331" s="329"/>
      <c r="AY331" s="329"/>
      <c r="AZ331" s="329"/>
      <c r="BA331" s="330"/>
      <c r="BB331" s="330"/>
    </row>
    <row r="332" spans="2:54" x14ac:dyDescent="0.25">
      <c r="B332" s="302"/>
      <c r="C332" s="291" t="s">
        <v>772</v>
      </c>
      <c r="D332" s="331">
        <f t="shared" ref="D332:AX332" si="886">(D212+D228)/D326</f>
        <v>0.45497795100179411</v>
      </c>
      <c r="E332" s="331">
        <f t="shared" si="886"/>
        <v>0.51705859970758083</v>
      </c>
      <c r="F332" s="331">
        <f t="shared" si="886"/>
        <v>0.50338943980656059</v>
      </c>
      <c r="G332" s="331">
        <f t="shared" si="886"/>
        <v>0.50973408122822583</v>
      </c>
      <c r="H332" s="331">
        <f t="shared" si="886"/>
        <v>0.52678092342180993</v>
      </c>
      <c r="I332" s="331">
        <f t="shared" si="886"/>
        <v>0.51579606431347769</v>
      </c>
      <c r="J332" s="331">
        <f t="shared" si="886"/>
        <v>0.51281671660806227</v>
      </c>
      <c r="K332" s="331">
        <f t="shared" si="886"/>
        <v>0.50115605802452201</v>
      </c>
      <c r="L332" s="331">
        <f t="shared" si="886"/>
        <v>0.51475983124420388</v>
      </c>
      <c r="M332" s="331">
        <f t="shared" si="886"/>
        <v>0.51129067023368391</v>
      </c>
      <c r="N332" s="331">
        <f t="shared" si="886"/>
        <v>0.40939180553715632</v>
      </c>
      <c r="O332" s="331">
        <f t="shared" si="886"/>
        <v>0.49058840043541047</v>
      </c>
      <c r="P332" s="331">
        <f t="shared" si="886"/>
        <v>0.5058559905531208</v>
      </c>
      <c r="Q332" s="331">
        <f t="shared" si="886"/>
        <v>0.50192435026123972</v>
      </c>
      <c r="R332" s="331">
        <f t="shared" si="886"/>
        <v>0.4859869367961952</v>
      </c>
      <c r="S332" s="331">
        <f t="shared" si="886"/>
        <v>0.46950378549515887</v>
      </c>
      <c r="T332" s="331">
        <f t="shared" si="886"/>
        <v>0.49984334501527944</v>
      </c>
      <c r="U332" s="331">
        <f t="shared" si="886"/>
        <v>0.47444533253014254</v>
      </c>
      <c r="V332" s="331">
        <f t="shared" si="886"/>
        <v>0.46122435521827793</v>
      </c>
      <c r="W332" s="331">
        <f t="shared" si="886"/>
        <v>0.45617390301967808</v>
      </c>
      <c r="X332" s="331">
        <f t="shared" ref="X332:AS332" si="887">(X212+X228)/X326</f>
        <v>0.89901095754364668</v>
      </c>
      <c r="Y332" s="331">
        <f t="shared" si="887"/>
        <v>0.85743191369796279</v>
      </c>
      <c r="Z332" s="331">
        <f t="shared" si="887"/>
        <v>0.82749358174089549</v>
      </c>
      <c r="AA332" s="331">
        <f t="shared" si="887"/>
        <v>0.8223614833922559</v>
      </c>
      <c r="AB332" s="331">
        <f t="shared" si="887"/>
        <v>0.7938895886157441</v>
      </c>
      <c r="AC332" s="331">
        <f t="shared" ref="AC332:AL332" si="888">(AC212+AC228)/AC326</f>
        <v>0.89765617176017065</v>
      </c>
      <c r="AD332" s="331">
        <f t="shared" si="888"/>
        <v>0.89610482914002287</v>
      </c>
      <c r="AE332" s="331">
        <f t="shared" si="888"/>
        <v>0.90778407946072981</v>
      </c>
      <c r="AF332" s="331">
        <f t="shared" si="888"/>
        <v>0.91007289706864425</v>
      </c>
      <c r="AG332" s="331">
        <f t="shared" si="888"/>
        <v>0.88144427001907044</v>
      </c>
      <c r="AH332" s="331">
        <f t="shared" si="888"/>
        <v>0.90717428169741987</v>
      </c>
      <c r="AI332" s="331">
        <f t="shared" si="888"/>
        <v>0.89330727672379495</v>
      </c>
      <c r="AJ332" s="331">
        <f t="shared" si="888"/>
        <v>0.86654768288851003</v>
      </c>
      <c r="AK332" s="331">
        <f t="shared" si="888"/>
        <v>0.86157088963593242</v>
      </c>
      <c r="AL332" s="331">
        <f t="shared" si="888"/>
        <v>0.80461553497613392</v>
      </c>
      <c r="AM332" s="331">
        <f t="shared" si="887"/>
        <v>0.75695060570392392</v>
      </c>
      <c r="AN332" s="331">
        <f t="shared" si="887"/>
        <v>0.76864764282958464</v>
      </c>
      <c r="AO332" s="331">
        <f t="shared" si="887"/>
        <v>0.7916527113421753</v>
      </c>
      <c r="AP332" s="331">
        <f t="shared" si="887"/>
        <v>0.81660854694127172</v>
      </c>
      <c r="AQ332" s="331">
        <f t="shared" si="887"/>
        <v>0.83648726575908827</v>
      </c>
      <c r="AR332" s="331">
        <f t="shared" si="887"/>
        <v>0.85784198157534819</v>
      </c>
      <c r="AS332" s="331">
        <f t="shared" si="887"/>
        <v>0.88480099756268149</v>
      </c>
      <c r="AT332" s="331">
        <f t="shared" si="886"/>
        <v>0.9165843681125917</v>
      </c>
      <c r="AU332" s="331">
        <f t="shared" si="886"/>
        <v>0.93950765752337295</v>
      </c>
      <c r="AV332" s="331">
        <f t="shared" si="886"/>
        <v>0.96899963266320743</v>
      </c>
      <c r="AW332" s="331">
        <f t="shared" si="886"/>
        <v>0.99129956006107245</v>
      </c>
      <c r="AX332" s="331">
        <f t="shared" si="886"/>
        <v>1.0560357407196135</v>
      </c>
      <c r="AY332" s="332">
        <f>AX332-V332</f>
        <v>0.5948113855013355</v>
      </c>
      <c r="AZ332" s="332">
        <f>AX332-P332</f>
        <v>0.55017975016649268</v>
      </c>
      <c r="BA332" s="333"/>
      <c r="BB332" s="333"/>
    </row>
    <row r="333" spans="2:54" x14ac:dyDescent="0.25">
      <c r="B333" s="302"/>
      <c r="C333" s="284" t="s">
        <v>773</v>
      </c>
      <c r="D333" s="329"/>
      <c r="E333" s="329"/>
      <c r="F333" s="329"/>
      <c r="G333" s="329"/>
      <c r="H333" s="329"/>
      <c r="I333" s="329"/>
      <c r="J333" s="329"/>
      <c r="K333" s="329"/>
      <c r="L333" s="329"/>
      <c r="M333" s="329"/>
      <c r="N333" s="329"/>
      <c r="O333" s="329"/>
      <c r="P333" s="329"/>
      <c r="Q333" s="329"/>
      <c r="R333" s="329"/>
      <c r="S333" s="329"/>
      <c r="T333" s="329"/>
      <c r="U333" s="329"/>
      <c r="V333" s="329"/>
      <c r="W333" s="329"/>
      <c r="X333" s="329"/>
      <c r="Y333" s="329"/>
      <c r="Z333" s="329"/>
      <c r="AA333" s="329"/>
      <c r="AB333" s="329"/>
      <c r="AC333" s="329"/>
      <c r="AD333" s="329"/>
      <c r="AE333" s="329"/>
      <c r="AF333" s="329"/>
      <c r="AG333" s="329"/>
      <c r="AH333" s="329"/>
      <c r="AI333" s="329"/>
      <c r="AJ333" s="329"/>
      <c r="AK333" s="329"/>
      <c r="AL333" s="329"/>
      <c r="AM333" s="329"/>
      <c r="AN333" s="329"/>
      <c r="AO333" s="329"/>
      <c r="AP333" s="329"/>
      <c r="AQ333" s="329"/>
      <c r="AR333" s="329"/>
      <c r="AS333" s="329"/>
      <c r="AT333" s="329"/>
      <c r="AU333" s="329"/>
      <c r="AV333" s="329"/>
      <c r="AW333" s="329"/>
      <c r="AX333" s="329"/>
      <c r="AY333" s="329"/>
      <c r="AZ333" s="329"/>
      <c r="BA333" s="330"/>
      <c r="BB333" s="330"/>
    </row>
    <row r="334" spans="2:54" x14ac:dyDescent="0.25">
      <c r="B334" s="326"/>
      <c r="C334" s="291" t="s">
        <v>774</v>
      </c>
      <c r="D334" s="331">
        <f t="shared" ref="D334:AX334" si="889">D324/D5</f>
        <v>0.28697078585225805</v>
      </c>
      <c r="E334" s="331">
        <f t="shared" si="889"/>
        <v>0.31430749146212267</v>
      </c>
      <c r="F334" s="331">
        <f t="shared" si="889"/>
        <v>0.29916285501846585</v>
      </c>
      <c r="G334" s="331">
        <f t="shared" si="889"/>
        <v>0.29022139873432912</v>
      </c>
      <c r="H334" s="331">
        <f t="shared" si="889"/>
        <v>0.29673721129039637</v>
      </c>
      <c r="I334" s="331">
        <f t="shared" si="889"/>
        <v>0.28964103313343148</v>
      </c>
      <c r="J334" s="331">
        <f t="shared" si="889"/>
        <v>0.30146063884661545</v>
      </c>
      <c r="K334" s="331">
        <f t="shared" si="889"/>
        <v>0.31975480727813638</v>
      </c>
      <c r="L334" s="331">
        <f t="shared" si="889"/>
        <v>0.31568917496257071</v>
      </c>
      <c r="M334" s="331">
        <f t="shared" si="889"/>
        <v>0.31700232162015529</v>
      </c>
      <c r="N334" s="331">
        <f t="shared" si="889"/>
        <v>0.39981283498792769</v>
      </c>
      <c r="O334" s="331">
        <f t="shared" si="889"/>
        <v>0.33413875652282304</v>
      </c>
      <c r="P334" s="331">
        <f t="shared" si="889"/>
        <v>0.34809260661304769</v>
      </c>
      <c r="Q334" s="331">
        <f t="shared" si="889"/>
        <v>0.35779691037123645</v>
      </c>
      <c r="R334" s="331">
        <f t="shared" si="889"/>
        <v>0.36948398919833458</v>
      </c>
      <c r="S334" s="331">
        <f t="shared" si="889"/>
        <v>0.37692126848003049</v>
      </c>
      <c r="T334" s="331">
        <f t="shared" si="889"/>
        <v>0.34962580538891047</v>
      </c>
      <c r="U334" s="331">
        <f t="shared" si="889"/>
        <v>0.38190374454278203</v>
      </c>
      <c r="V334" s="331">
        <f t="shared" si="889"/>
        <v>0.32112867364616132</v>
      </c>
      <c r="W334" s="331">
        <f t="shared" si="889"/>
        <v>0.31854682576841303</v>
      </c>
      <c r="X334" s="331">
        <f t="shared" ref="X334:AS334" si="890">X324/X5</f>
        <v>0.30858111109324199</v>
      </c>
      <c r="Y334" s="331">
        <f t="shared" si="890"/>
        <v>0.31086350057922257</v>
      </c>
      <c r="Z334" s="331">
        <f t="shared" si="890"/>
        <v>0.29001693226976627</v>
      </c>
      <c r="AA334" s="331">
        <f t="shared" si="890"/>
        <v>0.28224586703131305</v>
      </c>
      <c r="AB334" s="331">
        <f t="shared" si="890"/>
        <v>0.28055248937651067</v>
      </c>
      <c r="AC334" s="331">
        <f t="shared" ref="AC334:AL334" si="891">AC324/AC5</f>
        <v>0.27635241076439521</v>
      </c>
      <c r="AD334" s="331">
        <f t="shared" si="891"/>
        <v>0.27982195984907648</v>
      </c>
      <c r="AE334" s="331">
        <f t="shared" si="891"/>
        <v>0.30093307490703208</v>
      </c>
      <c r="AF334" s="331">
        <f t="shared" si="891"/>
        <v>0.25664215690099412</v>
      </c>
      <c r="AG334" s="331">
        <f t="shared" si="891"/>
        <v>0.24671772376051104</v>
      </c>
      <c r="AH334" s="331">
        <f t="shared" si="891"/>
        <v>0.22915862457814445</v>
      </c>
      <c r="AI334" s="331">
        <f t="shared" si="891"/>
        <v>0.2183597846077337</v>
      </c>
      <c r="AJ334" s="331">
        <f t="shared" si="891"/>
        <v>0.21547822927063207</v>
      </c>
      <c r="AK334" s="331">
        <f t="shared" si="891"/>
        <v>0.2178321352948786</v>
      </c>
      <c r="AL334" s="331">
        <f t="shared" si="891"/>
        <v>0.21444781790694747</v>
      </c>
      <c r="AM334" s="331">
        <f t="shared" si="890"/>
        <v>0.21721637840472871</v>
      </c>
      <c r="AN334" s="331">
        <f t="shared" si="890"/>
        <v>0.21361237697876836</v>
      </c>
      <c r="AO334" s="331">
        <f t="shared" si="890"/>
        <v>0.20074512322634047</v>
      </c>
      <c r="AP334" s="331">
        <f t="shared" si="890"/>
        <v>0.19028091022204754</v>
      </c>
      <c r="AQ334" s="331">
        <f t="shared" si="890"/>
        <v>0.18873611497015766</v>
      </c>
      <c r="AR334" s="331">
        <f t="shared" si="890"/>
        <v>0.17525142640687702</v>
      </c>
      <c r="AS334" s="331">
        <f t="shared" si="890"/>
        <v>0.16504080704105206</v>
      </c>
      <c r="AT334" s="331">
        <f t="shared" si="889"/>
        <v>0.15567191862046553</v>
      </c>
      <c r="AU334" s="331">
        <f t="shared" si="889"/>
        <v>0.1501489973418394</v>
      </c>
      <c r="AV334" s="331">
        <f t="shared" si="889"/>
        <v>0.14580763650662146</v>
      </c>
      <c r="AW334" s="331">
        <f t="shared" si="889"/>
        <v>0.14728760114258616</v>
      </c>
      <c r="AX334" s="331">
        <f t="shared" si="889"/>
        <v>0.15558874662995004</v>
      </c>
      <c r="AY334" s="332">
        <f>AX334-V334</f>
        <v>-0.16553992701621129</v>
      </c>
      <c r="AZ334" s="332">
        <f>AX334-P334</f>
        <v>-0.19250385998309766</v>
      </c>
      <c r="BA334" s="333"/>
      <c r="BB334" s="333"/>
    </row>
    <row r="335" spans="2:54" x14ac:dyDescent="0.25">
      <c r="B335" s="326"/>
      <c r="C335" s="291" t="s">
        <v>775</v>
      </c>
      <c r="D335" s="331">
        <f t="shared" ref="D335:AX335" si="892">D327/D5</f>
        <v>9.6224801014208772E-2</v>
      </c>
      <c r="E335" s="331">
        <f t="shared" si="892"/>
        <v>9.4205404074935523E-2</v>
      </c>
      <c r="F335" s="331">
        <f t="shared" si="892"/>
        <v>8.9377429762783081E-2</v>
      </c>
      <c r="G335" s="331">
        <f t="shared" si="892"/>
        <v>8.6309026589423438E-2</v>
      </c>
      <c r="H335" s="331">
        <f t="shared" si="892"/>
        <v>7.8431298110785891E-2</v>
      </c>
      <c r="I335" s="331">
        <f t="shared" si="892"/>
        <v>7.1268655284668359E-2</v>
      </c>
      <c r="J335" s="331">
        <f t="shared" si="892"/>
        <v>6.3212865415546979E-2</v>
      </c>
      <c r="K335" s="331">
        <f t="shared" si="892"/>
        <v>5.1351487032165521E-2</v>
      </c>
      <c r="L335" s="331">
        <f t="shared" si="892"/>
        <v>4.8647105899273187E-2</v>
      </c>
      <c r="M335" s="331">
        <f t="shared" si="892"/>
        <v>4.4948001968861173E-2</v>
      </c>
      <c r="N335" s="331">
        <f t="shared" si="892"/>
        <v>3.6815112512506284E-2</v>
      </c>
      <c r="O335" s="331">
        <f t="shared" si="892"/>
        <v>5.765854466454276E-2</v>
      </c>
      <c r="P335" s="331">
        <f t="shared" si="892"/>
        <v>0.65190739338695225</v>
      </c>
      <c r="Q335" s="331">
        <f t="shared" si="892"/>
        <v>0.64220308962876371</v>
      </c>
      <c r="R335" s="331">
        <f t="shared" si="892"/>
        <v>0.63051601080166553</v>
      </c>
      <c r="S335" s="331">
        <f t="shared" si="892"/>
        <v>0.62307873151996962</v>
      </c>
      <c r="T335" s="331">
        <f t="shared" si="892"/>
        <v>0.6503741946110897</v>
      </c>
      <c r="U335" s="331">
        <f t="shared" si="892"/>
        <v>0.61809625545721791</v>
      </c>
      <c r="V335" s="331">
        <f t="shared" si="892"/>
        <v>0.67887132635383884</v>
      </c>
      <c r="W335" s="331">
        <f t="shared" si="892"/>
        <v>0.68145317423158691</v>
      </c>
      <c r="X335" s="331">
        <f t="shared" ref="X335:AS335" si="893">X327/X5</f>
        <v>0.69141888890675807</v>
      </c>
      <c r="Y335" s="331">
        <f t="shared" si="893"/>
        <v>0.68913649942077748</v>
      </c>
      <c r="Z335" s="331">
        <f t="shared" si="893"/>
        <v>0.70998306773023367</v>
      </c>
      <c r="AA335" s="331">
        <f t="shared" si="893"/>
        <v>0.71775413296868718</v>
      </c>
      <c r="AB335" s="331">
        <f t="shared" si="893"/>
        <v>0.71944751062348933</v>
      </c>
      <c r="AC335" s="331">
        <f t="shared" ref="AC335:AL335" si="894">AC327/AC5</f>
        <v>0.72364758923560457</v>
      </c>
      <c r="AD335" s="331">
        <f t="shared" si="894"/>
        <v>0.72017804015092357</v>
      </c>
      <c r="AE335" s="331">
        <f t="shared" si="894"/>
        <v>0.69906692509296786</v>
      </c>
      <c r="AF335" s="331">
        <f t="shared" si="894"/>
        <v>0.74335784309900588</v>
      </c>
      <c r="AG335" s="331">
        <f t="shared" si="894"/>
        <v>0.75328227623948907</v>
      </c>
      <c r="AH335" s="331">
        <f t="shared" si="894"/>
        <v>0.77084137542185549</v>
      </c>
      <c r="AI335" s="331">
        <f t="shared" si="894"/>
        <v>0.78164021539226614</v>
      </c>
      <c r="AJ335" s="331">
        <f t="shared" si="894"/>
        <v>0.78452177072936791</v>
      </c>
      <c r="AK335" s="331">
        <f t="shared" si="894"/>
        <v>0.78216786470512123</v>
      </c>
      <c r="AL335" s="331">
        <f t="shared" si="894"/>
        <v>0.78555218209305244</v>
      </c>
      <c r="AM335" s="331">
        <f t="shared" si="893"/>
        <v>0.78278362159527126</v>
      </c>
      <c r="AN335" s="331">
        <f t="shared" si="893"/>
        <v>0.78638762302123177</v>
      </c>
      <c r="AO335" s="331">
        <f t="shared" si="893"/>
        <v>0.79925487677365958</v>
      </c>
      <c r="AP335" s="331">
        <f t="shared" si="893"/>
        <v>0.80971908977795237</v>
      </c>
      <c r="AQ335" s="331">
        <f t="shared" si="893"/>
        <v>0.81126388502984204</v>
      </c>
      <c r="AR335" s="331">
        <f t="shared" si="893"/>
        <v>0.82465077838173906</v>
      </c>
      <c r="AS335" s="331">
        <f t="shared" si="893"/>
        <v>0.83495919295894805</v>
      </c>
      <c r="AT335" s="331">
        <f t="shared" si="892"/>
        <v>0.84432808137953441</v>
      </c>
      <c r="AU335" s="331">
        <f t="shared" si="892"/>
        <v>0.84985100265816049</v>
      </c>
      <c r="AV335" s="331">
        <f t="shared" si="892"/>
        <v>0.85419236349337846</v>
      </c>
      <c r="AW335" s="331">
        <f t="shared" si="892"/>
        <v>0.8527123988574139</v>
      </c>
      <c r="AX335" s="331">
        <f t="shared" si="892"/>
        <v>0.84441125337005019</v>
      </c>
      <c r="AY335" s="332">
        <f>AX335-V335</f>
        <v>0.16553992701621134</v>
      </c>
      <c r="AZ335" s="332">
        <f>AX335-P335</f>
        <v>0.19250385998309794</v>
      </c>
      <c r="BA335" s="333"/>
      <c r="BB335" s="333"/>
    </row>
    <row r="336" spans="2:54" x14ac:dyDescent="0.25">
      <c r="C336" s="291" t="s">
        <v>776</v>
      </c>
      <c r="D336" s="331">
        <f t="shared" ref="D336:H336" si="895">D327/D328</f>
        <v>0.12068753739827798</v>
      </c>
      <c r="E336" s="331">
        <f t="shared" si="895"/>
        <v>0.11826945543697964</v>
      </c>
      <c r="F336" s="331">
        <f t="shared" si="895"/>
        <v>0.11381426012985703</v>
      </c>
      <c r="G336" s="331">
        <f t="shared" si="895"/>
        <v>0.11011330959037655</v>
      </c>
      <c r="H336" s="331">
        <f t="shared" si="895"/>
        <v>9.9449630495546559E-2</v>
      </c>
      <c r="I336" s="331">
        <f t="shared" ref="I336:O336" si="896">I327/I328</f>
        <v>9.0968615912367518E-2</v>
      </c>
      <c r="J336" s="331">
        <f t="shared" si="896"/>
        <v>8.0095323277806232E-2</v>
      </c>
      <c r="K336" s="331">
        <f t="shared" si="896"/>
        <v>6.5174481624242081E-2</v>
      </c>
      <c r="L336" s="331">
        <f t="shared" si="896"/>
        <v>6.2020335159595999E-2</v>
      </c>
      <c r="M336" s="331">
        <f t="shared" si="896"/>
        <v>5.8247017912447893E-2</v>
      </c>
      <c r="N336" s="331">
        <f t="shared" si="896"/>
        <v>4.6552269893585733E-2</v>
      </c>
      <c r="O336" s="331">
        <f t="shared" si="896"/>
        <v>7.4472306897685539E-2</v>
      </c>
      <c r="P336" s="331">
        <f t="shared" ref="P336" si="897">P327/P328</f>
        <v>0.84051587056626831</v>
      </c>
      <c r="Q336" s="331">
        <f t="shared" ref="Q336:AX336" si="898">Q327/Q328</f>
        <v>0.82903761599017489</v>
      </c>
      <c r="R336" s="331">
        <f t="shared" si="898"/>
        <v>0.80854633105813867</v>
      </c>
      <c r="S336" s="331">
        <f t="shared" si="898"/>
        <v>0.80279770325344291</v>
      </c>
      <c r="T336" s="331">
        <f t="shared" si="898"/>
        <v>0.83095130439543186</v>
      </c>
      <c r="U336" s="331">
        <f t="shared" si="898"/>
        <v>0.77514229800738843</v>
      </c>
      <c r="V336" s="331">
        <f t="shared" si="898"/>
        <v>0.95859691960814641</v>
      </c>
      <c r="W336" s="331">
        <f t="shared" si="898"/>
        <v>0.98339262932171356</v>
      </c>
      <c r="X336" s="331">
        <f t="shared" ref="X336:AS336" si="899">X327/X328</f>
        <v>0.99038339435439859</v>
      </c>
      <c r="Y336" s="331">
        <f t="shared" si="899"/>
        <v>1.0000209736629992</v>
      </c>
      <c r="Z336" s="331">
        <f t="shared" si="899"/>
        <v>1.0157290539249835</v>
      </c>
      <c r="AA336" s="331">
        <f t="shared" si="899"/>
        <v>1.0326195066425015</v>
      </c>
      <c r="AB336" s="331">
        <f t="shared" si="899"/>
        <v>1.0187485817827291</v>
      </c>
      <c r="AC336" s="331">
        <f t="shared" ref="AC336:AL336" si="900">AC327/AC328</f>
        <v>1.0194954318745459</v>
      </c>
      <c r="AD336" s="331">
        <f t="shared" si="900"/>
        <v>0.99939222318154919</v>
      </c>
      <c r="AE336" s="331">
        <f t="shared" si="900"/>
        <v>1.0352323495802829</v>
      </c>
      <c r="AF336" s="331">
        <f t="shared" si="900"/>
        <v>1.0280038750062781</v>
      </c>
      <c r="AG336" s="331">
        <f t="shared" si="900"/>
        <v>1.0198732090342901</v>
      </c>
      <c r="AH336" s="331">
        <f t="shared" si="900"/>
        <v>1.025944558276094</v>
      </c>
      <c r="AI336" s="331">
        <f t="shared" si="900"/>
        <v>1.0181921115834747</v>
      </c>
      <c r="AJ336" s="331">
        <f t="shared" si="900"/>
        <v>1.0181468961726525</v>
      </c>
      <c r="AK336" s="331">
        <f t="shared" si="900"/>
        <v>0.99978097597295335</v>
      </c>
      <c r="AL336" s="331">
        <f t="shared" si="900"/>
        <v>1.0062027761976819</v>
      </c>
      <c r="AM336" s="331">
        <f t="shared" si="899"/>
        <v>0.96107408587417098</v>
      </c>
      <c r="AN336" s="331">
        <f t="shared" si="899"/>
        <v>0.93298906196820985</v>
      </c>
      <c r="AO336" s="331">
        <f t="shared" si="899"/>
        <v>0.92318510447724733</v>
      </c>
      <c r="AP336" s="331">
        <f t="shared" si="899"/>
        <v>0.91126548600890511</v>
      </c>
      <c r="AQ336" s="331">
        <f t="shared" si="899"/>
        <v>0.89163969470558946</v>
      </c>
      <c r="AR336" s="331">
        <f t="shared" si="899"/>
        <v>0.88971033180224413</v>
      </c>
      <c r="AS336" s="331">
        <f t="shared" si="899"/>
        <v>0.89444171974833486</v>
      </c>
      <c r="AT336" s="331">
        <f t="shared" si="898"/>
        <v>0.89058193878814929</v>
      </c>
      <c r="AU336" s="331">
        <f t="shared" si="898"/>
        <v>0.88329820359875377</v>
      </c>
      <c r="AV336" s="331">
        <f t="shared" si="898"/>
        <v>0.87675010703352363</v>
      </c>
      <c r="AW336" s="331">
        <f t="shared" si="898"/>
        <v>0.86998609913567027</v>
      </c>
      <c r="AX336" s="331">
        <f t="shared" si="898"/>
        <v>0.84957827563065957</v>
      </c>
      <c r="AY336" s="332">
        <f>AX336-V336</f>
        <v>-0.10901864397748684</v>
      </c>
      <c r="AZ336" s="332">
        <f>AX336-P336</f>
        <v>9.0624050643912657E-3</v>
      </c>
      <c r="BA336" s="333"/>
      <c r="BB336" s="333"/>
    </row>
    <row r="337" spans="3:54" x14ac:dyDescent="0.25">
      <c r="C337" s="284" t="s">
        <v>777</v>
      </c>
      <c r="D337" s="329"/>
      <c r="E337" s="329"/>
      <c r="F337" s="329"/>
      <c r="G337" s="329"/>
      <c r="H337" s="329"/>
      <c r="I337" s="329"/>
      <c r="J337" s="329"/>
      <c r="K337" s="329"/>
      <c r="L337" s="329"/>
      <c r="M337" s="329"/>
      <c r="N337" s="329"/>
      <c r="O337" s="329"/>
      <c r="P337" s="329"/>
      <c r="Q337" s="329"/>
      <c r="R337" s="329"/>
      <c r="S337" s="329"/>
      <c r="T337" s="329"/>
      <c r="U337" s="329"/>
      <c r="V337" s="329"/>
      <c r="W337" s="329"/>
      <c r="X337" s="329"/>
      <c r="Y337" s="329"/>
      <c r="Z337" s="329"/>
      <c r="AA337" s="329"/>
      <c r="AB337" s="329"/>
      <c r="AC337" s="329"/>
      <c r="AD337" s="329"/>
      <c r="AE337" s="329"/>
      <c r="AF337" s="329"/>
      <c r="AG337" s="329"/>
      <c r="AH337" s="329"/>
      <c r="AI337" s="329"/>
      <c r="AJ337" s="329"/>
      <c r="AK337" s="329"/>
      <c r="AL337" s="329"/>
      <c r="AM337" s="329"/>
      <c r="AN337" s="329"/>
      <c r="AO337" s="329"/>
      <c r="AP337" s="329"/>
      <c r="AQ337" s="329"/>
      <c r="AR337" s="329"/>
      <c r="AS337" s="329"/>
      <c r="AT337" s="329"/>
      <c r="AU337" s="329"/>
      <c r="AV337" s="329"/>
      <c r="AW337" s="329"/>
      <c r="AX337" s="329"/>
      <c r="AY337" s="329"/>
      <c r="AZ337" s="329"/>
      <c r="BA337" s="330"/>
      <c r="BB337" s="330"/>
    </row>
    <row r="338" spans="3:54" x14ac:dyDescent="0.25">
      <c r="C338" s="291" t="s">
        <v>778</v>
      </c>
      <c r="D338" s="331">
        <f t="shared" ref="D338:AX338" si="901">(D61+D68)/D41</f>
        <v>4.103487841868976E-2</v>
      </c>
      <c r="E338" s="331">
        <f t="shared" si="901"/>
        <v>6.4278215726025809E-2</v>
      </c>
      <c r="F338" s="331">
        <f t="shared" si="901"/>
        <v>4.9132716589664588E-2</v>
      </c>
      <c r="G338" s="331">
        <f t="shared" si="901"/>
        <v>5.3126717748716773E-2</v>
      </c>
      <c r="H338" s="331">
        <f t="shared" si="901"/>
        <v>5.9436513407887671E-2</v>
      </c>
      <c r="I338" s="331">
        <f t="shared" si="901"/>
        <v>5.4942548669702371E-2</v>
      </c>
      <c r="J338" s="331">
        <f t="shared" si="901"/>
        <v>5.9238479724889812E-2</v>
      </c>
      <c r="K338" s="331">
        <f t="shared" si="901"/>
        <v>7.0202367943978383E-2</v>
      </c>
      <c r="L338" s="331">
        <f t="shared" si="901"/>
        <v>6.8445993669200345E-2</v>
      </c>
      <c r="M338" s="331">
        <f t="shared" si="901"/>
        <v>8.1591806499724306E-2</v>
      </c>
      <c r="N338" s="331">
        <f t="shared" si="901"/>
        <v>0.12267695049511569</v>
      </c>
      <c r="O338" s="331">
        <f t="shared" si="901"/>
        <v>0.10081120315742635</v>
      </c>
      <c r="P338" s="331">
        <f t="shared" si="901"/>
        <v>0.13399337627912677</v>
      </c>
      <c r="Q338" s="331">
        <f t="shared" si="901"/>
        <v>0.1356706443893029</v>
      </c>
      <c r="R338" s="331">
        <f t="shared" si="901"/>
        <v>0.10014261486590262</v>
      </c>
      <c r="S338" s="331">
        <f t="shared" si="901"/>
        <v>0.10919816421887299</v>
      </c>
      <c r="T338" s="331">
        <f t="shared" si="901"/>
        <v>0.15017738386894408</v>
      </c>
      <c r="U338" s="331">
        <f t="shared" si="901"/>
        <v>0.11848029874445236</v>
      </c>
      <c r="V338" s="331">
        <f t="shared" si="901"/>
        <v>0.10561427287730039</v>
      </c>
      <c r="W338" s="331">
        <f t="shared" si="901"/>
        <v>0.13598163685678855</v>
      </c>
      <c r="X338" s="331">
        <f t="shared" ref="X338:AS338" si="902">(X61+X68)/X41</f>
        <v>0.13897271796172495</v>
      </c>
      <c r="Y338" s="331">
        <f t="shared" si="902"/>
        <v>0.11413859555566831</v>
      </c>
      <c r="Z338" s="331">
        <f t="shared" si="902"/>
        <v>0.1155298968937082</v>
      </c>
      <c r="AA338" s="331">
        <f t="shared" si="902"/>
        <v>1.182934159679469E-4</v>
      </c>
      <c r="AB338" s="331">
        <f t="shared" si="902"/>
        <v>1.1325937973175232E-4</v>
      </c>
      <c r="AC338" s="331">
        <f t="shared" ref="AC338:AL338" si="903">(AC61+AC68)/AC41</f>
        <v>9.1800184590809908E-2</v>
      </c>
      <c r="AD338" s="331">
        <f t="shared" si="903"/>
        <v>9.810658113662252E-5</v>
      </c>
      <c r="AE338" s="331">
        <f t="shared" si="903"/>
        <v>1.3395922659417173E-2</v>
      </c>
      <c r="AF338" s="331">
        <f t="shared" si="903"/>
        <v>9.9253950786279454E-5</v>
      </c>
      <c r="AG338" s="331">
        <f t="shared" si="903"/>
        <v>9.8084387393115597E-5</v>
      </c>
      <c r="AH338" s="331">
        <f t="shared" si="903"/>
        <v>9.3377706246419959E-5</v>
      </c>
      <c r="AI338" s="331">
        <f t="shared" si="903"/>
        <v>9.4087207391766638E-5</v>
      </c>
      <c r="AJ338" s="331">
        <f t="shared" si="903"/>
        <v>1.198606472101855E-2</v>
      </c>
      <c r="AK338" s="331">
        <f t="shared" si="903"/>
        <v>9.362012474024537E-5</v>
      </c>
      <c r="AL338" s="331">
        <f t="shared" si="903"/>
        <v>1.1025601104125436E-4</v>
      </c>
      <c r="AM338" s="331">
        <f t="shared" si="902"/>
        <v>2.0000000000000004E-2</v>
      </c>
      <c r="AN338" s="331">
        <f t="shared" si="902"/>
        <v>2.0000000000000004E-2</v>
      </c>
      <c r="AO338" s="331">
        <f t="shared" si="902"/>
        <v>2.0000000000000004E-2</v>
      </c>
      <c r="AP338" s="331">
        <f t="shared" si="902"/>
        <v>2.0000000000000007E-2</v>
      </c>
      <c r="AQ338" s="331">
        <f t="shared" si="902"/>
        <v>2.0000000000000004E-2</v>
      </c>
      <c r="AR338" s="331">
        <f t="shared" si="902"/>
        <v>2.0000000000000004E-2</v>
      </c>
      <c r="AS338" s="331">
        <f t="shared" si="902"/>
        <v>0.02</v>
      </c>
      <c r="AT338" s="331">
        <f t="shared" si="901"/>
        <v>2.0000000000000004E-2</v>
      </c>
      <c r="AU338" s="331">
        <f t="shared" si="901"/>
        <v>2.0000000000000004E-2</v>
      </c>
      <c r="AV338" s="331">
        <f t="shared" si="901"/>
        <v>0.02</v>
      </c>
      <c r="AW338" s="331">
        <f t="shared" si="901"/>
        <v>2.0000000000000004E-2</v>
      </c>
      <c r="AX338" s="331">
        <f t="shared" si="901"/>
        <v>0.02</v>
      </c>
      <c r="AY338" s="332">
        <f>AX338-V338</f>
        <v>-8.561427287730039E-2</v>
      </c>
      <c r="AZ338" s="332">
        <f t="shared" ref="AZ338:AZ345" si="904">AX338-P338</f>
        <v>-0.11399337627912677</v>
      </c>
      <c r="BA338" s="333"/>
      <c r="BB338" s="333"/>
    </row>
    <row r="339" spans="3:54" x14ac:dyDescent="0.25">
      <c r="C339" s="291" t="s">
        <v>779</v>
      </c>
      <c r="D339" s="331">
        <f t="shared" ref="D339:O339" si="905">(D62+D69+D79+D81+D86+D89)/(D42+D45+D47+D48+D77+D79+D81+D83+D86+D89)</f>
        <v>5.6795644230866332E-2</v>
      </c>
      <c r="E339" s="331">
        <f t="shared" si="905"/>
        <v>9.4361143460277339E-2</v>
      </c>
      <c r="F339" s="331">
        <f t="shared" si="905"/>
        <v>0.10125846522646216</v>
      </c>
      <c r="G339" s="331">
        <f t="shared" si="905"/>
        <v>9.7339942196789569E-2</v>
      </c>
      <c r="H339" s="331">
        <f t="shared" si="905"/>
        <v>9.3929727132974025E-2</v>
      </c>
      <c r="I339" s="331">
        <f t="shared" si="905"/>
        <v>0.10073878577320441</v>
      </c>
      <c r="J339" s="331">
        <f t="shared" si="905"/>
        <v>0.10240600744585414</v>
      </c>
      <c r="K339" s="331">
        <f t="shared" si="905"/>
        <v>0.10902653145622213</v>
      </c>
      <c r="L339" s="331">
        <f t="shared" si="905"/>
        <v>0.10226139605535479</v>
      </c>
      <c r="M339" s="331">
        <f t="shared" si="905"/>
        <v>0.10447355210718294</v>
      </c>
      <c r="N339" s="331">
        <f t="shared" si="905"/>
        <v>0.22791675556102181</v>
      </c>
      <c r="O339" s="331">
        <f t="shared" si="905"/>
        <v>0.1097934717910006</v>
      </c>
      <c r="P339" s="331">
        <f t="shared" ref="P339:AX339" si="906">(P62+P64+P66+P69+P72+P74+P79+P81+P86+P89)/(P42+P45+P47+P77+P79+P81+P83+P86+P89)</f>
        <v>0.14235837360580469</v>
      </c>
      <c r="Q339" s="331">
        <f t="shared" si="906"/>
        <v>0.14968597877033146</v>
      </c>
      <c r="R339" s="331">
        <f t="shared" si="906"/>
        <v>0.17153818937546189</v>
      </c>
      <c r="S339" s="331">
        <f t="shared" si="906"/>
        <v>0.18292073907996284</v>
      </c>
      <c r="T339" s="331">
        <f t="shared" si="906"/>
        <v>0.13891736013667755</v>
      </c>
      <c r="U339" s="331">
        <f t="shared" si="906"/>
        <v>0.16440751939178333</v>
      </c>
      <c r="V339" s="331">
        <f t="shared" si="906"/>
        <v>0.11567776431895868</v>
      </c>
      <c r="W339" s="331">
        <f t="shared" si="906"/>
        <v>0.10967604711793971</v>
      </c>
      <c r="X339" s="331">
        <f t="shared" ref="X339:AS339" si="907">(X62+X64+X66+X69+X72+X74+X79+X81+X86+X89)/(X42+X45+X47+X77+X79+X81+X83+X86+X89)</f>
        <v>0.12166587384701424</v>
      </c>
      <c r="Y339" s="331">
        <f t="shared" si="907"/>
        <v>0.11686939820978666</v>
      </c>
      <c r="Z339" s="331">
        <f t="shared" si="907"/>
        <v>0.11805377880563842</v>
      </c>
      <c r="AA339" s="331">
        <f t="shared" si="907"/>
        <v>3.5562758377482871E-2</v>
      </c>
      <c r="AB339" s="331">
        <f t="shared" si="907"/>
        <v>2.2032930118358551E-2</v>
      </c>
      <c r="AC339" s="331">
        <f t="shared" ref="AC339:AL339" si="908">(AC62+AC64+AC66+AC69+AC72+AC74+AC79+AC81+AC86+AC89)/(AC42+AC45+AC47+AC77+AC79+AC81+AC83+AC86+AC89)</f>
        <v>1.6180133828899997E-2</v>
      </c>
      <c r="AD339" s="331">
        <f t="shared" si="908"/>
        <v>2.1022850105306079E-2</v>
      </c>
      <c r="AE339" s="331">
        <f t="shared" si="908"/>
        <v>2.2794899892076708E-2</v>
      </c>
      <c r="AF339" s="331">
        <f t="shared" si="908"/>
        <v>2.2719974939595679E-2</v>
      </c>
      <c r="AG339" s="331">
        <f t="shared" si="908"/>
        <v>1.7077397837540229E-2</v>
      </c>
      <c r="AH339" s="331">
        <f t="shared" si="908"/>
        <v>1.6034953572045169E-2</v>
      </c>
      <c r="AI339" s="331">
        <f t="shared" si="908"/>
        <v>1.7203775032877466E-2</v>
      </c>
      <c r="AJ339" s="331">
        <f t="shared" si="908"/>
        <v>1.470512014589547E-2</v>
      </c>
      <c r="AK339" s="331">
        <f t="shared" si="908"/>
        <v>1.3771465056049308E-2</v>
      </c>
      <c r="AL339" s="331">
        <f t="shared" si="908"/>
        <v>1.9921412280251263E-2</v>
      </c>
      <c r="AM339" s="331">
        <f t="shared" si="907"/>
        <v>2.6504639449422905E-2</v>
      </c>
      <c r="AN339" s="331">
        <f t="shared" si="907"/>
        <v>2.5939197658304946E-2</v>
      </c>
      <c r="AO339" s="331">
        <f t="shared" si="907"/>
        <v>2.5463686533910138E-2</v>
      </c>
      <c r="AP339" s="331">
        <f t="shared" si="907"/>
        <v>2.5105519493213629E-2</v>
      </c>
      <c r="AQ339" s="331">
        <f t="shared" si="907"/>
        <v>2.4765235014555114E-2</v>
      </c>
      <c r="AR339" s="331">
        <f t="shared" si="907"/>
        <v>2.4472936304667459E-2</v>
      </c>
      <c r="AS339" s="331">
        <f t="shared" si="907"/>
        <v>2.4214508333848871E-2</v>
      </c>
      <c r="AT339" s="331">
        <f t="shared" si="906"/>
        <v>2.3987277664267774E-2</v>
      </c>
      <c r="AU339" s="331">
        <f t="shared" si="906"/>
        <v>2.3785605351418722E-2</v>
      </c>
      <c r="AV339" s="331">
        <f t="shared" si="906"/>
        <v>2.3606302276537487E-2</v>
      </c>
      <c r="AW339" s="331">
        <f t="shared" si="906"/>
        <v>2.3445554717460196E-2</v>
      </c>
      <c r="AX339" s="331">
        <f t="shared" si="906"/>
        <v>2.3296152445971465E-2</v>
      </c>
      <c r="AY339" s="332">
        <f>AX339-V339</f>
        <v>-9.2381611872987213E-2</v>
      </c>
      <c r="AZ339" s="332">
        <f t="shared" si="904"/>
        <v>-0.11906222115983323</v>
      </c>
      <c r="BA339" s="333"/>
      <c r="BB339" s="333"/>
    </row>
    <row r="340" spans="3:54" x14ac:dyDescent="0.25">
      <c r="C340" s="291" t="s">
        <v>780</v>
      </c>
      <c r="D340" s="331">
        <f t="shared" ref="D340:P340" si="909">D70/D44</f>
        <v>1</v>
      </c>
      <c r="E340" s="331">
        <f t="shared" si="909"/>
        <v>1</v>
      </c>
      <c r="F340" s="331">
        <f t="shared" si="909"/>
        <v>1</v>
      </c>
      <c r="G340" s="331">
        <f t="shared" si="909"/>
        <v>1</v>
      </c>
      <c r="H340" s="331">
        <f t="shared" si="909"/>
        <v>1</v>
      </c>
      <c r="I340" s="331">
        <f t="shared" si="909"/>
        <v>1</v>
      </c>
      <c r="J340" s="331">
        <f t="shared" si="909"/>
        <v>1</v>
      </c>
      <c r="K340" s="331">
        <f t="shared" si="909"/>
        <v>1</v>
      </c>
      <c r="L340" s="331">
        <f t="shared" si="909"/>
        <v>1</v>
      </c>
      <c r="M340" s="331">
        <f t="shared" si="909"/>
        <v>1</v>
      </c>
      <c r="N340" s="331">
        <f t="shared" si="909"/>
        <v>1</v>
      </c>
      <c r="O340" s="331">
        <f t="shared" si="909"/>
        <v>1</v>
      </c>
      <c r="P340" s="331">
        <f t="shared" si="909"/>
        <v>1</v>
      </c>
      <c r="Q340" s="334"/>
      <c r="R340" s="334"/>
      <c r="S340" s="334"/>
      <c r="T340" s="334"/>
      <c r="U340" s="334"/>
      <c r="V340" s="334"/>
      <c r="W340" s="334"/>
      <c r="X340" s="334"/>
      <c r="Y340" s="334"/>
      <c r="Z340" s="334"/>
      <c r="AA340" s="334"/>
      <c r="AB340" s="334"/>
      <c r="AC340" s="334"/>
      <c r="AD340" s="334"/>
      <c r="AE340" s="334"/>
      <c r="AF340" s="334"/>
      <c r="AG340" s="334"/>
      <c r="AH340" s="334"/>
      <c r="AI340" s="334"/>
      <c r="AJ340" s="334"/>
      <c r="AK340" s="334"/>
      <c r="AL340" s="334"/>
      <c r="AM340" s="334"/>
      <c r="AN340" s="334"/>
      <c r="AO340" s="334"/>
      <c r="AP340" s="334"/>
      <c r="AQ340" s="334"/>
      <c r="AR340" s="334"/>
      <c r="AS340" s="334"/>
      <c r="AT340" s="334"/>
      <c r="AU340" s="334"/>
      <c r="AV340" s="334"/>
      <c r="AW340" s="334"/>
      <c r="AX340" s="334"/>
      <c r="AY340" s="335"/>
      <c r="AZ340" s="332">
        <f t="shared" si="904"/>
        <v>-1</v>
      </c>
      <c r="BA340" s="333"/>
      <c r="BB340" s="333"/>
    </row>
    <row r="341" spans="3:54" x14ac:dyDescent="0.25">
      <c r="C341" s="291" t="s">
        <v>781</v>
      </c>
      <c r="D341" s="331">
        <f t="shared" ref="D341:O341" si="910">(D63+D71+D67+D75+D84+D87+D90)/(D43+D48+D84+D87+D90)</f>
        <v>3.0068958784851621E-2</v>
      </c>
      <c r="E341" s="331">
        <f t="shared" si="910"/>
        <v>5.4808336575301077E-2</v>
      </c>
      <c r="F341" s="331">
        <f t="shared" si="910"/>
        <v>7.4445725027258297E-2</v>
      </c>
      <c r="G341" s="331">
        <f t="shared" si="910"/>
        <v>5.6763692966760884E-2</v>
      </c>
      <c r="H341" s="331">
        <f t="shared" si="910"/>
        <v>7.3836105434973709E-2</v>
      </c>
      <c r="I341" s="331">
        <f t="shared" si="910"/>
        <v>8.3575934889342146E-2</v>
      </c>
      <c r="J341" s="331">
        <f t="shared" si="910"/>
        <v>0.10354078013795844</v>
      </c>
      <c r="K341" s="331">
        <f t="shared" si="910"/>
        <v>0.12469342898458105</v>
      </c>
      <c r="L341" s="331">
        <f t="shared" si="910"/>
        <v>0.1058860181215939</v>
      </c>
      <c r="M341" s="331">
        <f t="shared" si="910"/>
        <v>0.10445205835200948</v>
      </c>
      <c r="N341" s="331">
        <f t="shared" si="910"/>
        <v>0.12268973547195205</v>
      </c>
      <c r="O341" s="331">
        <f t="shared" si="910"/>
        <v>0.14141435315488363</v>
      </c>
      <c r="P341" s="331">
        <f t="shared" ref="P341:AX341" si="911">(P63+P65+P67+P71+P73+P75+P87+P90)/(P43+P46+P48+P84+P87+P90)</f>
        <v>0.14383483294671101</v>
      </c>
      <c r="Q341" s="331">
        <f t="shared" si="911"/>
        <v>0.15862945933073069</v>
      </c>
      <c r="R341" s="331">
        <f t="shared" si="911"/>
        <v>0.15996972484224803</v>
      </c>
      <c r="S341" s="331">
        <f t="shared" si="911"/>
        <v>0.18377499614198853</v>
      </c>
      <c r="T341" s="331">
        <f t="shared" si="911"/>
        <v>0.14875519895354622</v>
      </c>
      <c r="U341" s="331">
        <f t="shared" si="911"/>
        <v>0.1821651545167268</v>
      </c>
      <c r="V341" s="331">
        <f t="shared" si="911"/>
        <v>0.16529586873434979</v>
      </c>
      <c r="W341" s="331">
        <f t="shared" si="911"/>
        <v>0.18016420760800977</v>
      </c>
      <c r="X341" s="331">
        <f t="shared" ref="X341:AS341" si="912">(X63+X65+X67+X71+X73+X75+X87+X90)/(X43+X46+X48+X84+X87+X90)</f>
        <v>0.2399582606692077</v>
      </c>
      <c r="Y341" s="331">
        <f t="shared" si="912"/>
        <v>0.23490569513111753</v>
      </c>
      <c r="Z341" s="331">
        <f t="shared" si="912"/>
        <v>0.2399116346710605</v>
      </c>
      <c r="AA341" s="331">
        <f t="shared" si="912"/>
        <v>0.10959161824052874</v>
      </c>
      <c r="AB341" s="331">
        <f t="shared" si="912"/>
        <v>7.999442860338736E-2</v>
      </c>
      <c r="AC341" s="331">
        <f t="shared" ref="AC341:AL341" si="913">(AC63+AC65+AC67+AC71+AC73+AC75+AC87+AC90)/(AC43+AC46+AC48+AC84+AC87+AC90)</f>
        <v>5.6068414400211458E-2</v>
      </c>
      <c r="AD341" s="331">
        <f t="shared" si="913"/>
        <v>5.1949502261693703E-2</v>
      </c>
      <c r="AE341" s="331">
        <f t="shared" si="913"/>
        <v>3.8461418549341202E-2</v>
      </c>
      <c r="AF341" s="331">
        <f t="shared" si="913"/>
        <v>2.0404992189768486E-2</v>
      </c>
      <c r="AG341" s="331">
        <f t="shared" si="913"/>
        <v>1.4392577708133791E-2</v>
      </c>
      <c r="AH341" s="331">
        <f t="shared" si="913"/>
        <v>1.9751529854973457E-2</v>
      </c>
      <c r="AI341" s="331">
        <f t="shared" si="913"/>
        <v>2.3087540260992061E-2</v>
      </c>
      <c r="AJ341" s="331">
        <f t="shared" si="913"/>
        <v>2.6076548403028321E-2</v>
      </c>
      <c r="AK341" s="331">
        <f t="shared" si="913"/>
        <v>2.1130628279332851E-2</v>
      </c>
      <c r="AL341" s="331">
        <f t="shared" si="913"/>
        <v>1.3546980808840432E-2</v>
      </c>
      <c r="AM341" s="331">
        <f t="shared" si="912"/>
        <v>2.4977704233829928E-2</v>
      </c>
      <c r="AN341" s="331">
        <f t="shared" si="912"/>
        <v>2.4600217464804078E-2</v>
      </c>
      <c r="AO341" s="331">
        <f t="shared" si="912"/>
        <v>2.4266610380675593E-2</v>
      </c>
      <c r="AP341" s="331">
        <f t="shared" si="912"/>
        <v>2.3986289658924041E-2</v>
      </c>
      <c r="AQ341" s="331">
        <f t="shared" si="912"/>
        <v>2.3739336141156808E-2</v>
      </c>
      <c r="AR341" s="331">
        <f t="shared" si="912"/>
        <v>2.3523178998616293E-2</v>
      </c>
      <c r="AS341" s="331">
        <f t="shared" si="912"/>
        <v>2.3328741682125502E-2</v>
      </c>
      <c r="AT341" s="331">
        <f t="shared" si="911"/>
        <v>2.315496260548584E-2</v>
      </c>
      <c r="AU341" s="331">
        <f t="shared" si="911"/>
        <v>2.3000348250089578E-2</v>
      </c>
      <c r="AV341" s="331">
        <f t="shared" si="911"/>
        <v>2.2856042800306068E-2</v>
      </c>
      <c r="AW341" s="331">
        <f t="shared" si="911"/>
        <v>2.27278939774028E-2</v>
      </c>
      <c r="AX341" s="331">
        <f t="shared" si="911"/>
        <v>2.2608065789976255E-2</v>
      </c>
      <c r="AY341" s="332">
        <f>AX341-V341</f>
        <v>-0.14268780294437353</v>
      </c>
      <c r="AZ341" s="332">
        <f t="shared" si="904"/>
        <v>-0.12122676715673475</v>
      </c>
      <c r="BA341" s="333"/>
      <c r="BB341" s="333"/>
    </row>
    <row r="342" spans="3:54" x14ac:dyDescent="0.25">
      <c r="C342" s="291" t="s">
        <v>782</v>
      </c>
      <c r="D342" s="336">
        <v>0</v>
      </c>
      <c r="E342" s="336">
        <v>0</v>
      </c>
      <c r="F342" s="336">
        <v>0</v>
      </c>
      <c r="G342" s="336">
        <v>0</v>
      </c>
      <c r="H342" s="336">
        <v>0</v>
      </c>
      <c r="I342" s="336">
        <v>0</v>
      </c>
      <c r="J342" s="336">
        <v>0</v>
      </c>
      <c r="K342" s="336">
        <v>0</v>
      </c>
      <c r="L342" s="336">
        <v>0</v>
      </c>
      <c r="M342" s="336">
        <v>0</v>
      </c>
      <c r="N342" s="336">
        <v>0</v>
      </c>
      <c r="O342" s="336">
        <v>0</v>
      </c>
      <c r="P342" s="336">
        <v>0</v>
      </c>
      <c r="Q342" s="336">
        <v>0</v>
      </c>
      <c r="R342" s="336">
        <v>0</v>
      </c>
      <c r="S342" s="336">
        <v>0</v>
      </c>
      <c r="T342" s="336">
        <v>0</v>
      </c>
      <c r="U342" s="336">
        <v>0</v>
      </c>
      <c r="V342" s="336">
        <v>0</v>
      </c>
      <c r="W342" s="336">
        <v>0</v>
      </c>
      <c r="X342" s="336">
        <v>0</v>
      </c>
      <c r="Y342" s="336">
        <v>0</v>
      </c>
      <c r="Z342" s="336">
        <v>0</v>
      </c>
      <c r="AA342" s="336">
        <v>0</v>
      </c>
      <c r="AB342" s="336">
        <v>0</v>
      </c>
      <c r="AC342" s="336">
        <v>0</v>
      </c>
      <c r="AD342" s="336">
        <v>0</v>
      </c>
      <c r="AE342" s="336">
        <v>0</v>
      </c>
      <c r="AF342" s="336">
        <v>0</v>
      </c>
      <c r="AG342" s="336">
        <v>0</v>
      </c>
      <c r="AH342" s="336">
        <v>0</v>
      </c>
      <c r="AI342" s="336">
        <v>0</v>
      </c>
      <c r="AJ342" s="336">
        <v>0</v>
      </c>
      <c r="AK342" s="336">
        <v>0</v>
      </c>
      <c r="AL342" s="336">
        <v>0</v>
      </c>
      <c r="AM342" s="336">
        <v>0</v>
      </c>
      <c r="AN342" s="336">
        <v>0</v>
      </c>
      <c r="AO342" s="336">
        <v>0</v>
      </c>
      <c r="AP342" s="336">
        <v>0</v>
      </c>
      <c r="AQ342" s="336">
        <v>0</v>
      </c>
      <c r="AR342" s="336">
        <v>0</v>
      </c>
      <c r="AS342" s="336">
        <v>0</v>
      </c>
      <c r="AT342" s="336">
        <v>0</v>
      </c>
      <c r="AU342" s="336">
        <v>0</v>
      </c>
      <c r="AV342" s="336">
        <v>0</v>
      </c>
      <c r="AW342" s="336">
        <v>0</v>
      </c>
      <c r="AX342" s="336">
        <v>0</v>
      </c>
      <c r="AY342" s="332">
        <f>AX342-V342</f>
        <v>0</v>
      </c>
      <c r="AZ342" s="332">
        <f t="shared" si="904"/>
        <v>0</v>
      </c>
      <c r="BA342" s="333"/>
      <c r="BB342" s="333"/>
    </row>
    <row r="343" spans="3:54" x14ac:dyDescent="0.25">
      <c r="C343" s="291" t="s">
        <v>783</v>
      </c>
      <c r="D343" s="336">
        <v>0</v>
      </c>
      <c r="E343" s="336">
        <v>0</v>
      </c>
      <c r="F343" s="336">
        <v>0</v>
      </c>
      <c r="G343" s="336">
        <v>0</v>
      </c>
      <c r="H343" s="336">
        <v>0</v>
      </c>
      <c r="I343" s="336">
        <v>0</v>
      </c>
      <c r="J343" s="336">
        <v>0</v>
      </c>
      <c r="K343" s="336">
        <v>0</v>
      </c>
      <c r="L343" s="336">
        <v>0</v>
      </c>
      <c r="M343" s="336">
        <v>0</v>
      </c>
      <c r="N343" s="336">
        <v>0</v>
      </c>
      <c r="O343" s="336">
        <v>0</v>
      </c>
      <c r="P343" s="336">
        <v>0</v>
      </c>
      <c r="Q343" s="336">
        <v>0</v>
      </c>
      <c r="R343" s="336">
        <v>0</v>
      </c>
      <c r="S343" s="336">
        <v>0</v>
      </c>
      <c r="T343" s="336">
        <v>0</v>
      </c>
      <c r="U343" s="336">
        <v>0</v>
      </c>
      <c r="V343" s="336">
        <v>0</v>
      </c>
      <c r="W343" s="336">
        <v>0</v>
      </c>
      <c r="X343" s="336">
        <v>0</v>
      </c>
      <c r="Y343" s="336">
        <v>0</v>
      </c>
      <c r="Z343" s="336">
        <v>0</v>
      </c>
      <c r="AA343" s="336">
        <v>0</v>
      </c>
      <c r="AB343" s="336">
        <v>0</v>
      </c>
      <c r="AC343" s="336">
        <v>0</v>
      </c>
      <c r="AD343" s="336">
        <v>0</v>
      </c>
      <c r="AE343" s="336">
        <v>0</v>
      </c>
      <c r="AF343" s="336">
        <v>0</v>
      </c>
      <c r="AG343" s="336">
        <v>0</v>
      </c>
      <c r="AH343" s="336">
        <v>0</v>
      </c>
      <c r="AI343" s="336">
        <v>0</v>
      </c>
      <c r="AJ343" s="336">
        <v>0</v>
      </c>
      <c r="AK343" s="336">
        <v>0</v>
      </c>
      <c r="AL343" s="336">
        <v>0</v>
      </c>
      <c r="AM343" s="336">
        <v>0</v>
      </c>
      <c r="AN343" s="336">
        <v>0</v>
      </c>
      <c r="AO343" s="336">
        <v>0</v>
      </c>
      <c r="AP343" s="336">
        <v>0</v>
      </c>
      <c r="AQ343" s="336">
        <v>0</v>
      </c>
      <c r="AR343" s="336">
        <v>0</v>
      </c>
      <c r="AS343" s="336">
        <v>0</v>
      </c>
      <c r="AT343" s="336">
        <v>0</v>
      </c>
      <c r="AU343" s="336">
        <v>0</v>
      </c>
      <c r="AV343" s="336">
        <v>0</v>
      </c>
      <c r="AW343" s="336">
        <v>0</v>
      </c>
      <c r="AX343" s="336">
        <v>0</v>
      </c>
      <c r="AY343" s="332">
        <f>AX343-V343</f>
        <v>0</v>
      </c>
      <c r="AZ343" s="332">
        <f t="shared" si="904"/>
        <v>0</v>
      </c>
      <c r="BA343" s="333"/>
      <c r="BB343" s="333"/>
    </row>
    <row r="344" spans="3:54" x14ac:dyDescent="0.25">
      <c r="C344" s="291" t="s">
        <v>784</v>
      </c>
      <c r="D344" s="336">
        <v>0</v>
      </c>
      <c r="E344" s="336">
        <v>0</v>
      </c>
      <c r="F344" s="336">
        <v>0</v>
      </c>
      <c r="G344" s="336">
        <v>0</v>
      </c>
      <c r="H344" s="336">
        <v>0</v>
      </c>
      <c r="I344" s="336">
        <v>0</v>
      </c>
      <c r="J344" s="336">
        <v>0</v>
      </c>
      <c r="K344" s="336">
        <v>0</v>
      </c>
      <c r="L344" s="336">
        <v>0</v>
      </c>
      <c r="M344" s="336">
        <v>0</v>
      </c>
      <c r="N344" s="336">
        <v>0</v>
      </c>
      <c r="O344" s="336">
        <v>0</v>
      </c>
      <c r="P344" s="336">
        <v>0</v>
      </c>
      <c r="Q344" s="336">
        <v>0</v>
      </c>
      <c r="R344" s="336">
        <v>0</v>
      </c>
      <c r="S344" s="336">
        <v>0</v>
      </c>
      <c r="T344" s="336">
        <v>0</v>
      </c>
      <c r="U344" s="336">
        <v>0</v>
      </c>
      <c r="V344" s="336">
        <v>0</v>
      </c>
      <c r="W344" s="336">
        <v>0</v>
      </c>
      <c r="X344" s="336">
        <v>0</v>
      </c>
      <c r="Y344" s="336">
        <v>0</v>
      </c>
      <c r="Z344" s="336">
        <v>0</v>
      </c>
      <c r="AA344" s="336">
        <v>0</v>
      </c>
      <c r="AB344" s="336">
        <v>0</v>
      </c>
      <c r="AC344" s="336">
        <v>0</v>
      </c>
      <c r="AD344" s="336">
        <v>0</v>
      </c>
      <c r="AE344" s="336">
        <v>0</v>
      </c>
      <c r="AF344" s="336">
        <v>0</v>
      </c>
      <c r="AG344" s="336">
        <v>0</v>
      </c>
      <c r="AH344" s="336">
        <v>0</v>
      </c>
      <c r="AI344" s="336">
        <v>0</v>
      </c>
      <c r="AJ344" s="336">
        <v>0</v>
      </c>
      <c r="AK344" s="336">
        <v>0</v>
      </c>
      <c r="AL344" s="336">
        <v>0</v>
      </c>
      <c r="AM344" s="336">
        <v>0</v>
      </c>
      <c r="AN344" s="336">
        <v>0</v>
      </c>
      <c r="AO344" s="336">
        <v>0</v>
      </c>
      <c r="AP344" s="336">
        <v>0</v>
      </c>
      <c r="AQ344" s="336">
        <v>0</v>
      </c>
      <c r="AR344" s="336">
        <v>0</v>
      </c>
      <c r="AS344" s="336">
        <v>0</v>
      </c>
      <c r="AT344" s="336">
        <v>0</v>
      </c>
      <c r="AU344" s="336">
        <v>0</v>
      </c>
      <c r="AV344" s="336">
        <v>0</v>
      </c>
      <c r="AW344" s="336">
        <v>0</v>
      </c>
      <c r="AX344" s="336">
        <v>0</v>
      </c>
      <c r="AY344" s="332">
        <f>AX344-V344</f>
        <v>0</v>
      </c>
      <c r="AZ344" s="332">
        <f t="shared" si="904"/>
        <v>0</v>
      </c>
      <c r="BA344" s="333"/>
      <c r="BB344" s="333"/>
    </row>
    <row r="345" spans="3:54" x14ac:dyDescent="0.25">
      <c r="C345" s="291" t="s">
        <v>785</v>
      </c>
      <c r="D345" s="331">
        <f t="shared" ref="D345:AX345" si="914">D53/D40</f>
        <v>4.8739422691543445E-2</v>
      </c>
      <c r="E345" s="331">
        <f t="shared" si="914"/>
        <v>8.2396709603266685E-2</v>
      </c>
      <c r="F345" s="331">
        <f t="shared" si="914"/>
        <v>9.0779085641051208E-2</v>
      </c>
      <c r="G345" s="331">
        <f t="shared" si="914"/>
        <v>8.3445981845472889E-2</v>
      </c>
      <c r="H345" s="331">
        <f t="shared" si="914"/>
        <v>8.6356021376500211E-2</v>
      </c>
      <c r="I345" s="331">
        <f t="shared" si="914"/>
        <v>9.3836085720863993E-2</v>
      </c>
      <c r="J345" s="331">
        <f t="shared" si="914"/>
        <v>0.10060803888128554</v>
      </c>
      <c r="K345" s="331">
        <f t="shared" si="914"/>
        <v>0.11184505696468883</v>
      </c>
      <c r="L345" s="331">
        <f t="shared" si="914"/>
        <v>0.10160730329885408</v>
      </c>
      <c r="M345" s="331">
        <f t="shared" si="914"/>
        <v>0.10333180042890061</v>
      </c>
      <c r="N345" s="331">
        <f t="shared" si="914"/>
        <v>0.19507891367980343</v>
      </c>
      <c r="O345" s="331">
        <f t="shared" si="914"/>
        <v>0.12236883109021029</v>
      </c>
      <c r="P345" s="331">
        <f t="shared" si="914"/>
        <v>0.14254025446293406</v>
      </c>
      <c r="Q345" s="331">
        <f t="shared" si="914"/>
        <v>0.1520986347600729</v>
      </c>
      <c r="R345" s="331">
        <f t="shared" si="914"/>
        <v>0.16513823572153163</v>
      </c>
      <c r="S345" s="331">
        <f t="shared" si="914"/>
        <v>0.17998856727552964</v>
      </c>
      <c r="T345" s="331">
        <f t="shared" si="914"/>
        <v>0.1425929198826292</v>
      </c>
      <c r="U345" s="331">
        <f t="shared" si="914"/>
        <v>0.16806980352859011</v>
      </c>
      <c r="V345" s="331">
        <f t="shared" si="914"/>
        <v>0.12772250927015369</v>
      </c>
      <c r="W345" s="331">
        <f t="shared" si="914"/>
        <v>0.12749087883577775</v>
      </c>
      <c r="X345" s="331">
        <f t="shared" ref="X345:AS345" si="915">X53/X40</f>
        <v>0.15072125766044711</v>
      </c>
      <c r="Y345" s="331">
        <f t="shared" si="915"/>
        <v>0.1444482867759036</v>
      </c>
      <c r="Z345" s="331">
        <f t="shared" si="915"/>
        <v>0.14526487643004199</v>
      </c>
      <c r="AA345" s="331">
        <f t="shared" si="915"/>
        <v>4.9524908303785101E-2</v>
      </c>
      <c r="AB345" s="331">
        <f t="shared" si="915"/>
        <v>3.2732118186396875E-2</v>
      </c>
      <c r="AC345" s="331">
        <f t="shared" ref="AC345:AL345" si="916">AC53/AC40</f>
        <v>2.6486323585885787E-2</v>
      </c>
      <c r="AD345" s="331">
        <f t="shared" si="916"/>
        <v>2.8280049116600009E-2</v>
      </c>
      <c r="AE345" s="331">
        <f t="shared" si="916"/>
        <v>2.7473144554747149E-2</v>
      </c>
      <c r="AF345" s="331">
        <f t="shared" si="916"/>
        <v>2.1565685717389007E-2</v>
      </c>
      <c r="AG345" s="331">
        <f t="shared" si="916"/>
        <v>1.5906223063165022E-2</v>
      </c>
      <c r="AH345" s="331">
        <f t="shared" si="916"/>
        <v>1.7088345212067001E-2</v>
      </c>
      <c r="AI345" s="331">
        <f t="shared" si="916"/>
        <v>1.8822200921592362E-2</v>
      </c>
      <c r="AJ345" s="331">
        <f t="shared" si="916"/>
        <v>1.8679099014881833E-2</v>
      </c>
      <c r="AK345" s="331">
        <f t="shared" si="916"/>
        <v>1.6190585980740628E-2</v>
      </c>
      <c r="AL345" s="331">
        <f t="shared" si="916"/>
        <v>1.781718061277951E-2</v>
      </c>
      <c r="AM345" s="331">
        <f t="shared" si="915"/>
        <v>2.5907180925332094E-2</v>
      </c>
      <c r="AN345" s="331">
        <f t="shared" si="915"/>
        <v>2.5421811780382813E-2</v>
      </c>
      <c r="AO345" s="331">
        <f t="shared" si="915"/>
        <v>2.5006057896741204E-2</v>
      </c>
      <c r="AP345" s="331">
        <f t="shared" si="915"/>
        <v>2.4680995381300114E-2</v>
      </c>
      <c r="AQ345" s="331">
        <f t="shared" si="915"/>
        <v>2.4379252373953112E-2</v>
      </c>
      <c r="AR345" s="331">
        <f t="shared" si="915"/>
        <v>2.4118139099881246E-2</v>
      </c>
      <c r="AS345" s="331">
        <f t="shared" si="915"/>
        <v>2.3885642408748076E-2</v>
      </c>
      <c r="AT345" s="331">
        <f t="shared" si="914"/>
        <v>2.3679924447243199E-2</v>
      </c>
      <c r="AU345" s="331">
        <f t="shared" si="914"/>
        <v>2.3497047151255893E-2</v>
      </c>
      <c r="AV345" s="331">
        <f t="shared" si="914"/>
        <v>2.3331627571792499E-2</v>
      </c>
      <c r="AW345" s="331">
        <f t="shared" si="914"/>
        <v>2.3183706037393149E-2</v>
      </c>
      <c r="AX345" s="331">
        <f t="shared" si="914"/>
        <v>2.3045912722217086E-2</v>
      </c>
      <c r="AY345" s="332">
        <f>AX345-V345</f>
        <v>-0.1046765965479366</v>
      </c>
      <c r="AZ345" s="332">
        <f t="shared" si="904"/>
        <v>-0.11949434174071696</v>
      </c>
      <c r="BA345" s="333"/>
      <c r="BB345" s="333"/>
    </row>
    <row r="346" spans="3:54" x14ac:dyDescent="0.25">
      <c r="C346" s="284" t="s">
        <v>786</v>
      </c>
      <c r="D346" s="329"/>
      <c r="E346" s="329"/>
      <c r="F346" s="329"/>
      <c r="G346" s="329"/>
      <c r="H346" s="329"/>
      <c r="I346" s="329"/>
      <c r="J346" s="329"/>
      <c r="K346" s="329"/>
      <c r="L346" s="329"/>
      <c r="M346" s="329"/>
      <c r="N346" s="329"/>
      <c r="O346" s="329"/>
      <c r="P346" s="329"/>
      <c r="Q346" s="329"/>
      <c r="R346" s="329"/>
      <c r="S346" s="329"/>
      <c r="T346" s="329"/>
      <c r="U346" s="329"/>
      <c r="V346" s="329"/>
      <c r="W346" s="329"/>
      <c r="X346" s="329"/>
      <c r="Y346" s="329"/>
      <c r="Z346" s="329"/>
      <c r="AA346" s="329"/>
      <c r="AB346" s="329"/>
      <c r="AC346" s="329"/>
      <c r="AD346" s="329"/>
      <c r="AE346" s="329"/>
      <c r="AF346" s="329"/>
      <c r="AG346" s="329"/>
      <c r="AH346" s="329"/>
      <c r="AI346" s="329"/>
      <c r="AJ346" s="329"/>
      <c r="AK346" s="329"/>
      <c r="AL346" s="329"/>
      <c r="AM346" s="329"/>
      <c r="AN346" s="329"/>
      <c r="AO346" s="329"/>
      <c r="AP346" s="329"/>
      <c r="AQ346" s="329"/>
      <c r="AR346" s="329"/>
      <c r="AS346" s="329"/>
      <c r="AT346" s="329"/>
      <c r="AU346" s="329"/>
      <c r="AV346" s="329"/>
      <c r="AW346" s="329"/>
      <c r="AX346" s="329"/>
      <c r="AY346" s="329"/>
      <c r="AZ346" s="329"/>
      <c r="BA346" s="330"/>
      <c r="BB346" s="330"/>
    </row>
    <row r="347" spans="3:54" x14ac:dyDescent="0.25">
      <c r="C347" s="291" t="s">
        <v>787</v>
      </c>
      <c r="D347" s="331">
        <f t="shared" ref="D347:AX347" si="917">-D92/(D61+D68)</f>
        <v>1.4241319645892521</v>
      </c>
      <c r="E347" s="331">
        <f t="shared" si="917"/>
        <v>1.1358943849876411</v>
      </c>
      <c r="F347" s="331">
        <f t="shared" si="917"/>
        <v>1.1594266649039189</v>
      </c>
      <c r="G347" s="331">
        <f t="shared" si="917"/>
        <v>1.013608063250844</v>
      </c>
      <c r="H347" s="331">
        <f t="shared" si="917"/>
        <v>0.82461238077025345</v>
      </c>
      <c r="I347" s="331">
        <f t="shared" si="917"/>
        <v>1.2983992551177301</v>
      </c>
      <c r="J347" s="331">
        <f t="shared" si="917"/>
        <v>1.2330971278125631</v>
      </c>
      <c r="K347" s="331">
        <f t="shared" si="917"/>
        <v>1.1161999387342516</v>
      </c>
      <c r="L347" s="331">
        <f t="shared" si="917"/>
        <v>1.0887428654802838</v>
      </c>
      <c r="M347" s="331">
        <f t="shared" si="917"/>
        <v>1.0847011771891422</v>
      </c>
      <c r="N347" s="331">
        <f t="shared" si="917"/>
        <v>0.81962935627763001</v>
      </c>
      <c r="O347" s="331">
        <f t="shared" si="917"/>
        <v>1.0716189318978515</v>
      </c>
      <c r="P347" s="331">
        <f t="shared" si="917"/>
        <v>0.81751324186519148</v>
      </c>
      <c r="Q347" s="331">
        <f t="shared" si="917"/>
        <v>0.80996841093116878</v>
      </c>
      <c r="R347" s="331">
        <f t="shared" si="917"/>
        <v>1.0670812380484023</v>
      </c>
      <c r="S347" s="331">
        <f t="shared" si="917"/>
        <v>0.8465948321447706</v>
      </c>
      <c r="T347" s="331">
        <f t="shared" si="917"/>
        <v>0.61007601869981187</v>
      </c>
      <c r="U347" s="331">
        <f t="shared" si="917"/>
        <v>0.77631742763922118</v>
      </c>
      <c r="V347" s="331">
        <f t="shared" si="917"/>
        <v>0.96672164618437917</v>
      </c>
      <c r="W347" s="331">
        <f t="shared" si="917"/>
        <v>0.77053535429417608</v>
      </c>
      <c r="X347" s="331">
        <f t="shared" ref="X347:AS347" si="918">-X92/(X61+X68)</f>
        <v>0.71965061110392392</v>
      </c>
      <c r="Y347" s="331">
        <f t="shared" si="918"/>
        <v>0.86873555027753468</v>
      </c>
      <c r="Z347" s="331">
        <f t="shared" si="918"/>
        <v>0.8843729372430994</v>
      </c>
      <c r="AA347" s="331">
        <f t="shared" si="918"/>
        <v>954.83206896551724</v>
      </c>
      <c r="AB347" s="331">
        <f t="shared" si="918"/>
        <v>88.237126436781608</v>
      </c>
      <c r="AC347" s="331">
        <f t="shared" ref="AC347:AL347" si="919">-AC92/(AC61+AC68)</f>
        <v>0.13894993055738061</v>
      </c>
      <c r="AD347" s="331">
        <f t="shared" si="919"/>
        <v>78.503194444444432</v>
      </c>
      <c r="AE347" s="331">
        <f t="shared" si="919"/>
        <v>0.78865118365886855</v>
      </c>
      <c r="AF347" s="331">
        <f t="shared" si="919"/>
        <v>97.479444444444454</v>
      </c>
      <c r="AG347" s="331">
        <f t="shared" si="919"/>
        <v>78.186250000000001</v>
      </c>
      <c r="AH347" s="331">
        <f t="shared" si="919"/>
        <v>104.54652777777778</v>
      </c>
      <c r="AI347" s="331">
        <f t="shared" si="919"/>
        <v>84.101408450704227</v>
      </c>
      <c r="AJ347" s="331">
        <f t="shared" si="919"/>
        <v>0.66095431679303285</v>
      </c>
      <c r="AK347" s="331">
        <f t="shared" si="919"/>
        <v>102.10774647887324</v>
      </c>
      <c r="AL347" s="331">
        <f t="shared" si="919"/>
        <v>66.181126760563373</v>
      </c>
      <c r="AM347" s="331">
        <f t="shared" si="918"/>
        <v>0.36484335214176644</v>
      </c>
      <c r="AN347" s="331">
        <f t="shared" si="918"/>
        <v>0.3648433521417665</v>
      </c>
      <c r="AO347" s="331">
        <f t="shared" si="918"/>
        <v>0.36484335214176644</v>
      </c>
      <c r="AP347" s="331">
        <f t="shared" si="918"/>
        <v>0.36484335214176639</v>
      </c>
      <c r="AQ347" s="331">
        <f t="shared" si="918"/>
        <v>0.36484335214176644</v>
      </c>
      <c r="AR347" s="331">
        <f t="shared" si="918"/>
        <v>0.36484335214176639</v>
      </c>
      <c r="AS347" s="331">
        <f t="shared" si="918"/>
        <v>0.36484335214176639</v>
      </c>
      <c r="AT347" s="331">
        <f t="shared" si="917"/>
        <v>0.36484335214176633</v>
      </c>
      <c r="AU347" s="331">
        <f t="shared" si="917"/>
        <v>0.36484335214176639</v>
      </c>
      <c r="AV347" s="331">
        <f t="shared" si="917"/>
        <v>0.36484335214176639</v>
      </c>
      <c r="AW347" s="331">
        <f t="shared" si="917"/>
        <v>0.36484335214176639</v>
      </c>
      <c r="AX347" s="331">
        <f t="shared" si="917"/>
        <v>0.36484335214176639</v>
      </c>
      <c r="AY347" s="332">
        <f>AX347-V347</f>
        <v>-0.60187829404261284</v>
      </c>
      <c r="AZ347" s="332">
        <f t="shared" ref="AZ347:AZ355" si="920">AX347-P347</f>
        <v>-0.45266988972342509</v>
      </c>
      <c r="BA347" s="333"/>
      <c r="BB347" s="333"/>
    </row>
    <row r="348" spans="3:54" x14ac:dyDescent="0.25">
      <c r="C348" s="291" t="s">
        <v>788</v>
      </c>
      <c r="D348" s="331">
        <f t="shared" ref="D348:AX348" si="921">-D93/(D62+D69)</f>
        <v>0.9450871526244804</v>
      </c>
      <c r="E348" s="331">
        <f t="shared" si="921"/>
        <v>0.67325664130179064</v>
      </c>
      <c r="F348" s="331">
        <f t="shared" si="921"/>
        <v>0.63504540627613404</v>
      </c>
      <c r="G348" s="331">
        <f t="shared" si="921"/>
        <v>0.70401959589028817</v>
      </c>
      <c r="H348" s="331">
        <f t="shared" si="921"/>
        <v>0.73239672748439666</v>
      </c>
      <c r="I348" s="331">
        <f t="shared" si="921"/>
        <v>0.73150705393602533</v>
      </c>
      <c r="J348" s="331">
        <f t="shared" si="921"/>
        <v>0.75171975443069183</v>
      </c>
      <c r="K348" s="331">
        <f t="shared" si="921"/>
        <v>0.74508372259536471</v>
      </c>
      <c r="L348" s="331">
        <f t="shared" si="921"/>
        <v>0.82582670416677018</v>
      </c>
      <c r="M348" s="331">
        <f t="shared" si="921"/>
        <v>0.7777175798305247</v>
      </c>
      <c r="N348" s="331">
        <f t="shared" si="921"/>
        <v>0.39168467219871078</v>
      </c>
      <c r="O348" s="331">
        <f t="shared" si="921"/>
        <v>0.71023635033391597</v>
      </c>
      <c r="P348" s="331">
        <f t="shared" si="921"/>
        <v>0.71538593968603437</v>
      </c>
      <c r="Q348" s="331">
        <f t="shared" si="921"/>
        <v>0.72408718151722329</v>
      </c>
      <c r="R348" s="331">
        <f t="shared" si="921"/>
        <v>0.6843176259811119</v>
      </c>
      <c r="S348" s="331">
        <f t="shared" si="921"/>
        <v>0.59066970822562537</v>
      </c>
      <c r="T348" s="331">
        <f t="shared" si="921"/>
        <v>0.76902826522003587</v>
      </c>
      <c r="U348" s="331">
        <f t="shared" si="921"/>
        <v>0.69546792226177812</v>
      </c>
      <c r="V348" s="331">
        <f t="shared" si="921"/>
        <v>0.73348808540429966</v>
      </c>
      <c r="W348" s="331">
        <f t="shared" si="921"/>
        <v>0.73342875326895596</v>
      </c>
      <c r="X348" s="331">
        <f t="shared" ref="X348:AS348" si="922">-X93/(X62+X69)</f>
        <v>0.69467106252310817</v>
      </c>
      <c r="Y348" s="331">
        <f t="shared" si="922"/>
        <v>0.80713558330158008</v>
      </c>
      <c r="Z348" s="331">
        <f t="shared" si="922"/>
        <v>0.79271455688482406</v>
      </c>
      <c r="AA348" s="331">
        <f t="shared" si="922"/>
        <v>2.6045137333545356</v>
      </c>
      <c r="AB348" s="331">
        <f t="shared" si="922"/>
        <v>0.91094872808968619</v>
      </c>
      <c r="AC348" s="331">
        <f t="shared" ref="AC348:AL348" si="923">-AC93/(AC62+AC69)</f>
        <v>1.0774955453515207</v>
      </c>
      <c r="AD348" s="331">
        <f t="shared" si="923"/>
        <v>0.80611374769350352</v>
      </c>
      <c r="AE348" s="331">
        <f t="shared" si="923"/>
        <v>0.87324349030645754</v>
      </c>
      <c r="AF348" s="331">
        <f t="shared" si="923"/>
        <v>0.78104219203674807</v>
      </c>
      <c r="AG348" s="331">
        <f t="shared" si="923"/>
        <v>1.1028133547596657</v>
      </c>
      <c r="AH348" s="331">
        <f t="shared" si="923"/>
        <v>1.1684240097528462</v>
      </c>
      <c r="AI348" s="331">
        <f t="shared" si="923"/>
        <v>1.2533009021239747</v>
      </c>
      <c r="AJ348" s="331">
        <f t="shared" si="923"/>
        <v>1.2367069121084788</v>
      </c>
      <c r="AK348" s="331">
        <f t="shared" si="923"/>
        <v>1.2324340390251882</v>
      </c>
      <c r="AL348" s="331">
        <f t="shared" si="923"/>
        <v>0.89620078784068069</v>
      </c>
      <c r="AM348" s="331">
        <f t="shared" si="922"/>
        <v>0.86198916509435453</v>
      </c>
      <c r="AN348" s="331">
        <f t="shared" si="922"/>
        <v>0.86198916509435441</v>
      </c>
      <c r="AO348" s="331">
        <f t="shared" si="922"/>
        <v>0.86198916509435453</v>
      </c>
      <c r="AP348" s="331">
        <f t="shared" si="922"/>
        <v>0.86198916509435441</v>
      </c>
      <c r="AQ348" s="331">
        <f t="shared" si="922"/>
        <v>0.86198916509435441</v>
      </c>
      <c r="AR348" s="331">
        <f t="shared" si="922"/>
        <v>0.86198916509435441</v>
      </c>
      <c r="AS348" s="331">
        <f t="shared" si="922"/>
        <v>0.86198916509435453</v>
      </c>
      <c r="AT348" s="331">
        <f t="shared" si="921"/>
        <v>0.8447493817924675</v>
      </c>
      <c r="AU348" s="331">
        <f t="shared" si="921"/>
        <v>0.8278543941566181</v>
      </c>
      <c r="AV348" s="331">
        <f t="shared" si="921"/>
        <v>0.80301876233191949</v>
      </c>
      <c r="AW348" s="331">
        <f t="shared" si="921"/>
        <v>0.7708980118386427</v>
      </c>
      <c r="AX348" s="331">
        <f t="shared" si="921"/>
        <v>0.74777107148348332</v>
      </c>
      <c r="AY348" s="332">
        <f>AX348-V348</f>
        <v>1.4282986079183657E-2</v>
      </c>
      <c r="AZ348" s="332">
        <f t="shared" si="920"/>
        <v>3.2385131797448952E-2</v>
      </c>
      <c r="BA348" s="333"/>
      <c r="BB348" s="333"/>
    </row>
    <row r="349" spans="3:54" x14ac:dyDescent="0.25">
      <c r="C349" s="291" t="s">
        <v>789</v>
      </c>
      <c r="D349" s="331">
        <f t="shared" ref="D349:P349" si="924">-D94/D70</f>
        <v>1</v>
      </c>
      <c r="E349" s="331">
        <f t="shared" si="924"/>
        <v>1</v>
      </c>
      <c r="F349" s="331">
        <f t="shared" si="924"/>
        <v>1</v>
      </c>
      <c r="G349" s="331">
        <f t="shared" si="924"/>
        <v>1</v>
      </c>
      <c r="H349" s="331">
        <f t="shared" si="924"/>
        <v>1</v>
      </c>
      <c r="I349" s="331">
        <f t="shared" si="924"/>
        <v>1</v>
      </c>
      <c r="J349" s="331">
        <f t="shared" si="924"/>
        <v>1</v>
      </c>
      <c r="K349" s="331">
        <f t="shared" si="924"/>
        <v>1</v>
      </c>
      <c r="L349" s="331">
        <f t="shared" si="924"/>
        <v>1</v>
      </c>
      <c r="M349" s="331">
        <f t="shared" si="924"/>
        <v>1</v>
      </c>
      <c r="N349" s="331">
        <f t="shared" si="924"/>
        <v>1</v>
      </c>
      <c r="O349" s="331">
        <f t="shared" si="924"/>
        <v>1</v>
      </c>
      <c r="P349" s="331">
        <f t="shared" si="924"/>
        <v>1</v>
      </c>
      <c r="Q349" s="334"/>
      <c r="R349" s="334"/>
      <c r="S349" s="334"/>
      <c r="T349" s="334"/>
      <c r="U349" s="334"/>
      <c r="V349" s="334"/>
      <c r="W349" s="334"/>
      <c r="X349" s="334"/>
      <c r="Y349" s="334"/>
      <c r="Z349" s="334"/>
      <c r="AA349" s="334"/>
      <c r="AB349" s="334"/>
      <c r="AC349" s="334"/>
      <c r="AD349" s="334"/>
      <c r="AE349" s="334"/>
      <c r="AF349" s="334"/>
      <c r="AG349" s="334"/>
      <c r="AH349" s="334"/>
      <c r="AI349" s="334"/>
      <c r="AJ349" s="334"/>
      <c r="AK349" s="334"/>
      <c r="AL349" s="334"/>
      <c r="AM349" s="334"/>
      <c r="AN349" s="334"/>
      <c r="AO349" s="334"/>
      <c r="AP349" s="334"/>
      <c r="AQ349" s="334"/>
      <c r="AR349" s="334"/>
      <c r="AS349" s="334"/>
      <c r="AT349" s="334"/>
      <c r="AU349" s="334"/>
      <c r="AV349" s="334"/>
      <c r="AW349" s="334"/>
      <c r="AX349" s="334"/>
      <c r="AY349" s="335"/>
      <c r="AZ349" s="332">
        <f t="shared" si="920"/>
        <v>-1</v>
      </c>
      <c r="BA349" s="333"/>
      <c r="BB349" s="333"/>
    </row>
    <row r="350" spans="3:54" x14ac:dyDescent="0.25">
      <c r="C350" s="291" t="s">
        <v>790</v>
      </c>
      <c r="D350" s="331">
        <f t="shared" ref="D350:AX350" si="925">-D95/(D63+D71)</f>
        <v>0.88515193234798595</v>
      </c>
      <c r="E350" s="331">
        <f t="shared" si="925"/>
        <v>0.69726532999431745</v>
      </c>
      <c r="F350" s="331">
        <f t="shared" si="925"/>
        <v>0.54809486109561267</v>
      </c>
      <c r="G350" s="331">
        <f t="shared" si="925"/>
        <v>0.76295051328024532</v>
      </c>
      <c r="H350" s="331">
        <f t="shared" si="925"/>
        <v>0.62403762777761207</v>
      </c>
      <c r="I350" s="331">
        <f t="shared" si="925"/>
        <v>0.58651822529316944</v>
      </c>
      <c r="J350" s="331">
        <f t="shared" si="925"/>
        <v>0.54118323812816593</v>
      </c>
      <c r="K350" s="331">
        <f t="shared" si="925"/>
        <v>0.50974530303892895</v>
      </c>
      <c r="L350" s="331">
        <f t="shared" si="925"/>
        <v>0.56077533373225696</v>
      </c>
      <c r="M350" s="331">
        <f t="shared" si="925"/>
        <v>0.62248231202874249</v>
      </c>
      <c r="N350" s="331">
        <f t="shared" si="925"/>
        <v>0.58970825115429215</v>
      </c>
      <c r="O350" s="331">
        <f t="shared" si="925"/>
        <v>0.5089907728321249</v>
      </c>
      <c r="P350" s="331">
        <f t="shared" si="925"/>
        <v>0.5294860263624187</v>
      </c>
      <c r="Q350" s="331">
        <f t="shared" si="925"/>
        <v>0.53026726439557303</v>
      </c>
      <c r="R350" s="331">
        <f t="shared" si="925"/>
        <v>0.56039713037633787</v>
      </c>
      <c r="S350" s="331">
        <f t="shared" si="925"/>
        <v>0.49180277382864135</v>
      </c>
      <c r="T350" s="331">
        <f t="shared" si="925"/>
        <v>0.66266770371390715</v>
      </c>
      <c r="U350" s="331">
        <f t="shared" si="925"/>
        <v>0.55407789207498814</v>
      </c>
      <c r="V350" s="331">
        <f t="shared" si="925"/>
        <v>0.6212770887602036</v>
      </c>
      <c r="W350" s="331">
        <f t="shared" si="925"/>
        <v>0.57951621412020249</v>
      </c>
      <c r="X350" s="331">
        <f t="shared" ref="X350:AS350" si="926">-X95/(X63+X71)</f>
        <v>0.48581655825986153</v>
      </c>
      <c r="Y350" s="331">
        <f t="shared" si="926"/>
        <v>0.55529845167472835</v>
      </c>
      <c r="Z350" s="331">
        <f t="shared" si="926"/>
        <v>0.61581708682912339</v>
      </c>
      <c r="AA350" s="331">
        <f t="shared" si="926"/>
        <v>1.4964498570841804</v>
      </c>
      <c r="AB350" s="331">
        <f t="shared" si="926"/>
        <v>0.34917581227739958</v>
      </c>
      <c r="AC350" s="331">
        <f t="shared" ref="AC350:AL350" si="927">-AC95/(AC63+AC71)</f>
        <v>0.48592106899624682</v>
      </c>
      <c r="AD350" s="331">
        <f t="shared" si="927"/>
        <v>0.44680017124542742</v>
      </c>
      <c r="AE350" s="331">
        <f t="shared" si="927"/>
        <v>0.53337322154395994</v>
      </c>
      <c r="AF350" s="331">
        <f t="shared" si="927"/>
        <v>0.81033422912814346</v>
      </c>
      <c r="AG350" s="331">
        <f t="shared" si="927"/>
        <v>1.2715725233580943</v>
      </c>
      <c r="AH350" s="331">
        <f t="shared" si="927"/>
        <v>0.96952694102320125</v>
      </c>
      <c r="AI350" s="331">
        <f t="shared" si="927"/>
        <v>0.90050469635885277</v>
      </c>
      <c r="AJ350" s="331">
        <f t="shared" si="927"/>
        <v>0.81001755259577346</v>
      </c>
      <c r="AK350" s="331">
        <f t="shared" si="927"/>
        <v>0.92344682108105169</v>
      </c>
      <c r="AL350" s="331">
        <f t="shared" si="927"/>
        <v>1.1111932381157252</v>
      </c>
      <c r="AM350" s="331">
        <f t="shared" si="926"/>
        <v>0.70927062020889797</v>
      </c>
      <c r="AN350" s="331">
        <f t="shared" si="926"/>
        <v>0.70927062020889808</v>
      </c>
      <c r="AO350" s="331">
        <f t="shared" si="926"/>
        <v>0.70927062020889797</v>
      </c>
      <c r="AP350" s="331">
        <f t="shared" si="926"/>
        <v>0.70927062020889808</v>
      </c>
      <c r="AQ350" s="331">
        <f t="shared" si="926"/>
        <v>0.70927062020889819</v>
      </c>
      <c r="AR350" s="331">
        <f t="shared" si="926"/>
        <v>0.70927062020889808</v>
      </c>
      <c r="AS350" s="331">
        <f t="shared" si="926"/>
        <v>0.70927062020889808</v>
      </c>
      <c r="AT350" s="331">
        <f t="shared" si="925"/>
        <v>0.69508520780472005</v>
      </c>
      <c r="AU350" s="331">
        <f t="shared" si="925"/>
        <v>0.66033094741448395</v>
      </c>
      <c r="AV350" s="331">
        <f t="shared" si="925"/>
        <v>0.60750447162132526</v>
      </c>
      <c r="AW350" s="331">
        <f t="shared" si="925"/>
        <v>0.5589041138916192</v>
      </c>
      <c r="AX350" s="331">
        <f t="shared" si="925"/>
        <v>0.51419178478028971</v>
      </c>
      <c r="AY350" s="332">
        <f t="shared" ref="AY350:AY355" si="928">AX350-V350</f>
        <v>-0.10708530397991389</v>
      </c>
      <c r="AZ350" s="332">
        <f t="shared" si="920"/>
        <v>-1.5294241582128998E-2</v>
      </c>
      <c r="BA350" s="333"/>
      <c r="BB350" s="333"/>
    </row>
    <row r="351" spans="3:54" x14ac:dyDescent="0.25">
      <c r="C351" s="291" t="s">
        <v>791</v>
      </c>
      <c r="D351" s="336">
        <v>0</v>
      </c>
      <c r="E351" s="336">
        <v>0</v>
      </c>
      <c r="F351" s="336">
        <v>0</v>
      </c>
      <c r="G351" s="336">
        <v>0</v>
      </c>
      <c r="H351" s="336">
        <v>0</v>
      </c>
      <c r="I351" s="336">
        <v>0</v>
      </c>
      <c r="J351" s="336">
        <v>0</v>
      </c>
      <c r="K351" s="336">
        <v>0</v>
      </c>
      <c r="L351" s="336">
        <v>0</v>
      </c>
      <c r="M351" s="336">
        <v>0</v>
      </c>
      <c r="N351" s="336">
        <v>0</v>
      </c>
      <c r="O351" s="336">
        <v>0</v>
      </c>
      <c r="P351" s="336">
        <v>0</v>
      </c>
      <c r="Q351" s="336">
        <v>0</v>
      </c>
      <c r="R351" s="336">
        <v>0</v>
      </c>
      <c r="S351" s="336">
        <v>0</v>
      </c>
      <c r="T351" s="336">
        <v>0</v>
      </c>
      <c r="U351" s="336">
        <v>0</v>
      </c>
      <c r="V351" s="336">
        <v>0</v>
      </c>
      <c r="W351" s="336">
        <v>0</v>
      </c>
      <c r="X351" s="336">
        <v>0</v>
      </c>
      <c r="Y351" s="336">
        <v>0</v>
      </c>
      <c r="Z351" s="336">
        <v>0</v>
      </c>
      <c r="AA351" s="336">
        <v>0</v>
      </c>
      <c r="AB351" s="336">
        <v>0</v>
      </c>
      <c r="AC351" s="336">
        <v>0</v>
      </c>
      <c r="AD351" s="336">
        <v>0</v>
      </c>
      <c r="AE351" s="336">
        <v>0</v>
      </c>
      <c r="AF351" s="336">
        <v>0</v>
      </c>
      <c r="AG351" s="336">
        <v>0</v>
      </c>
      <c r="AH351" s="336">
        <v>0</v>
      </c>
      <c r="AI351" s="336">
        <v>0</v>
      </c>
      <c r="AJ351" s="336">
        <v>0</v>
      </c>
      <c r="AK351" s="336">
        <v>0</v>
      </c>
      <c r="AL351" s="336">
        <v>0</v>
      </c>
      <c r="AM351" s="336">
        <v>0</v>
      </c>
      <c r="AN351" s="336">
        <v>0</v>
      </c>
      <c r="AO351" s="336">
        <v>0</v>
      </c>
      <c r="AP351" s="336">
        <v>0</v>
      </c>
      <c r="AQ351" s="336">
        <v>0</v>
      </c>
      <c r="AR351" s="336">
        <v>0</v>
      </c>
      <c r="AS351" s="336">
        <v>0</v>
      </c>
      <c r="AT351" s="336">
        <v>0</v>
      </c>
      <c r="AU351" s="336">
        <v>0</v>
      </c>
      <c r="AV351" s="336">
        <v>0</v>
      </c>
      <c r="AW351" s="336">
        <v>0</v>
      </c>
      <c r="AX351" s="336">
        <v>0</v>
      </c>
      <c r="AY351" s="332">
        <f t="shared" si="928"/>
        <v>0</v>
      </c>
      <c r="AZ351" s="332">
        <f t="shared" si="920"/>
        <v>0</v>
      </c>
      <c r="BA351" s="333"/>
      <c r="BB351" s="333"/>
    </row>
    <row r="352" spans="3:54" x14ac:dyDescent="0.25">
      <c r="C352" s="291" t="s">
        <v>792</v>
      </c>
      <c r="D352" s="336">
        <v>0</v>
      </c>
      <c r="E352" s="336">
        <v>0</v>
      </c>
      <c r="F352" s="336">
        <v>0</v>
      </c>
      <c r="G352" s="336">
        <v>0</v>
      </c>
      <c r="H352" s="336">
        <v>0</v>
      </c>
      <c r="I352" s="336">
        <v>0</v>
      </c>
      <c r="J352" s="336">
        <v>0</v>
      </c>
      <c r="K352" s="336">
        <v>0</v>
      </c>
      <c r="L352" s="336">
        <v>0</v>
      </c>
      <c r="M352" s="336">
        <v>0</v>
      </c>
      <c r="N352" s="336">
        <v>0</v>
      </c>
      <c r="O352" s="336">
        <v>0</v>
      </c>
      <c r="P352" s="336">
        <v>0</v>
      </c>
      <c r="Q352" s="336">
        <v>0</v>
      </c>
      <c r="R352" s="336">
        <v>0</v>
      </c>
      <c r="S352" s="336">
        <v>0</v>
      </c>
      <c r="T352" s="336">
        <v>0</v>
      </c>
      <c r="U352" s="336">
        <v>0</v>
      </c>
      <c r="V352" s="336">
        <v>0</v>
      </c>
      <c r="W352" s="336">
        <v>0</v>
      </c>
      <c r="X352" s="336">
        <v>0</v>
      </c>
      <c r="Y352" s="336">
        <v>0</v>
      </c>
      <c r="Z352" s="336">
        <v>0</v>
      </c>
      <c r="AA352" s="336">
        <v>0</v>
      </c>
      <c r="AB352" s="336">
        <v>0</v>
      </c>
      <c r="AC352" s="336">
        <v>0</v>
      </c>
      <c r="AD352" s="336">
        <v>0</v>
      </c>
      <c r="AE352" s="336">
        <v>0</v>
      </c>
      <c r="AF352" s="336">
        <v>0</v>
      </c>
      <c r="AG352" s="336">
        <v>0</v>
      </c>
      <c r="AH352" s="336">
        <v>0</v>
      </c>
      <c r="AI352" s="336">
        <v>0</v>
      </c>
      <c r="AJ352" s="336">
        <v>0</v>
      </c>
      <c r="AK352" s="336">
        <v>0</v>
      </c>
      <c r="AL352" s="336">
        <v>0</v>
      </c>
      <c r="AM352" s="336">
        <v>0</v>
      </c>
      <c r="AN352" s="336">
        <v>0</v>
      </c>
      <c r="AO352" s="336">
        <v>0</v>
      </c>
      <c r="AP352" s="336">
        <v>0</v>
      </c>
      <c r="AQ352" s="336">
        <v>0</v>
      </c>
      <c r="AR352" s="336">
        <v>0</v>
      </c>
      <c r="AS352" s="336">
        <v>0</v>
      </c>
      <c r="AT352" s="336">
        <v>0</v>
      </c>
      <c r="AU352" s="336">
        <v>0</v>
      </c>
      <c r="AV352" s="336">
        <v>0</v>
      </c>
      <c r="AW352" s="336">
        <v>0</v>
      </c>
      <c r="AX352" s="336">
        <v>0</v>
      </c>
      <c r="AY352" s="332">
        <f t="shared" si="928"/>
        <v>0</v>
      </c>
      <c r="AZ352" s="332">
        <f t="shared" si="920"/>
        <v>0</v>
      </c>
      <c r="BA352" s="333"/>
      <c r="BB352" s="333"/>
    </row>
    <row r="353" spans="3:54" x14ac:dyDescent="0.25">
      <c r="C353" s="291" t="s">
        <v>793</v>
      </c>
      <c r="D353" s="331">
        <f t="shared" ref="D353:U353" si="929">-D96/(D78+D80)</f>
        <v>1.0789708239963101</v>
      </c>
      <c r="E353" s="331">
        <f t="shared" si="929"/>
        <v>1.0966546885821618</v>
      </c>
      <c r="F353" s="331">
        <f t="shared" si="929"/>
        <v>1.0865076740319775</v>
      </c>
      <c r="G353" s="331">
        <f t="shared" si="929"/>
        <v>1.1027841260472173</v>
      </c>
      <c r="H353" s="331">
        <f t="shared" si="929"/>
        <v>1.1473838291410037</v>
      </c>
      <c r="I353" s="331">
        <f t="shared" si="929"/>
        <v>1.3860270181688212</v>
      </c>
      <c r="J353" s="331">
        <f t="shared" si="929"/>
        <v>1.7085395388017268</v>
      </c>
      <c r="K353" s="331">
        <f t="shared" si="929"/>
        <v>2.158436986031171</v>
      </c>
      <c r="L353" s="331">
        <f t="shared" si="929"/>
        <v>2.325751497507738</v>
      </c>
      <c r="M353" s="331">
        <f t="shared" si="929"/>
        <v>2.4455743622522754</v>
      </c>
      <c r="N353" s="331">
        <f t="shared" si="929"/>
        <v>3.0024970093350527</v>
      </c>
      <c r="O353" s="331">
        <f t="shared" si="929"/>
        <v>4.5368657134847208</v>
      </c>
      <c r="P353" s="331">
        <f t="shared" si="929"/>
        <v>3.6215170461049504</v>
      </c>
      <c r="Q353" s="331">
        <f t="shared" si="929"/>
        <v>5.7809648424064388</v>
      </c>
      <c r="R353" s="331">
        <f t="shared" si="929"/>
        <v>6.5990944106529774</v>
      </c>
      <c r="S353" s="331">
        <f t="shared" si="929"/>
        <v>6.595970727619819</v>
      </c>
      <c r="T353" s="331">
        <f t="shared" si="929"/>
        <v>7.2379113128760491</v>
      </c>
      <c r="U353" s="331">
        <f t="shared" si="929"/>
        <v>7.928769937802107</v>
      </c>
      <c r="V353" s="331">
        <f>-V96/(V64+V65+V72+V73+V78+V80)</f>
        <v>0.44061680681221876</v>
      </c>
      <c r="W353" s="331">
        <f t="shared" ref="W353:AX353" si="930">-W96/(W78+W80)</f>
        <v>8.1725534830782092</v>
      </c>
      <c r="X353" s="331">
        <f t="shared" ref="X353:AS353" si="931">-X96/(X78+X80)</f>
        <v>11.339762118262803</v>
      </c>
      <c r="Y353" s="331">
        <f t="shared" si="931"/>
        <v>15.282940045913195</v>
      </c>
      <c r="Z353" s="331">
        <f t="shared" si="931"/>
        <v>13.922423658841632</v>
      </c>
      <c r="AA353" s="331" t="e">
        <f t="shared" si="931"/>
        <v>#DIV/0!</v>
      </c>
      <c r="AB353" s="331">
        <f t="shared" si="931"/>
        <v>1.0519109618799352</v>
      </c>
      <c r="AC353" s="331">
        <f t="shared" ref="AC353:AL353" si="932">-AC96/(AC78+AC80)</f>
        <v>5.5806929449056337</v>
      </c>
      <c r="AD353" s="331" t="e">
        <f t="shared" si="932"/>
        <v>#DIV/0!</v>
      </c>
      <c r="AE353" s="331">
        <f t="shared" si="932"/>
        <v>1.1935404295704413</v>
      </c>
      <c r="AF353" s="331">
        <f t="shared" si="932"/>
        <v>1.3647310737230947</v>
      </c>
      <c r="AG353" s="331">
        <f t="shared" si="932"/>
        <v>2.5767043873246447</v>
      </c>
      <c r="AH353" s="331">
        <f t="shared" si="932"/>
        <v>2.3788843028874944</v>
      </c>
      <c r="AI353" s="331">
        <f t="shared" si="932"/>
        <v>2.819859551318824</v>
      </c>
      <c r="AJ353" s="331">
        <f t="shared" si="932"/>
        <v>1.7310102889111476</v>
      </c>
      <c r="AK353" s="331">
        <f t="shared" si="932"/>
        <v>3.0726869918643387</v>
      </c>
      <c r="AL353" s="331">
        <f t="shared" si="932"/>
        <v>1.1252637671237502</v>
      </c>
      <c r="AM353" s="331">
        <f t="shared" si="931"/>
        <v>2.0439135953032523</v>
      </c>
      <c r="AN353" s="331">
        <f t="shared" si="931"/>
        <v>2.0439135953032528</v>
      </c>
      <c r="AO353" s="331">
        <f t="shared" si="931"/>
        <v>2.0439135953032528</v>
      </c>
      <c r="AP353" s="331">
        <f t="shared" si="931"/>
        <v>2.0439135953032528</v>
      </c>
      <c r="AQ353" s="331">
        <f t="shared" si="931"/>
        <v>2.0439135953032528</v>
      </c>
      <c r="AR353" s="331">
        <f t="shared" si="931"/>
        <v>2.0439135953032523</v>
      </c>
      <c r="AS353" s="331">
        <f t="shared" si="931"/>
        <v>2.0439135953032532</v>
      </c>
      <c r="AT353" s="331">
        <f t="shared" si="930"/>
        <v>2.0439135953032523</v>
      </c>
      <c r="AU353" s="331">
        <f t="shared" si="930"/>
        <v>2.0439135953032528</v>
      </c>
      <c r="AV353" s="331">
        <f t="shared" si="930"/>
        <v>2.0439135953032523</v>
      </c>
      <c r="AW353" s="331">
        <f t="shared" si="930"/>
        <v>2.0439135953032532</v>
      </c>
      <c r="AX353" s="331">
        <f t="shared" si="930"/>
        <v>2.0439135953032528</v>
      </c>
      <c r="AY353" s="332">
        <f t="shared" si="928"/>
        <v>1.6032967884910341</v>
      </c>
      <c r="AZ353" s="332">
        <f t="shared" si="920"/>
        <v>-1.5776034508016976</v>
      </c>
      <c r="BA353" s="333"/>
      <c r="BB353" s="333"/>
    </row>
    <row r="354" spans="3:54" x14ac:dyDescent="0.25">
      <c r="C354" s="291" t="s">
        <v>794</v>
      </c>
      <c r="D354" s="331">
        <f t="shared" ref="D354:U354" si="933">-D97/(D67+D75+D85+D88)</f>
        <v>0.92555446860371338</v>
      </c>
      <c r="E354" s="331">
        <f t="shared" si="933"/>
        <v>0.68435229953115362</v>
      </c>
      <c r="F354" s="331">
        <f t="shared" si="933"/>
        <v>0.77651447021166453</v>
      </c>
      <c r="G354" s="331">
        <f t="shared" si="933"/>
        <v>0.72077499434812808</v>
      </c>
      <c r="H354" s="331">
        <f t="shared" si="933"/>
        <v>0.90041740594182751</v>
      </c>
      <c r="I354" s="331">
        <f t="shared" si="933"/>
        <v>0.74949228630319509</v>
      </c>
      <c r="J354" s="331">
        <f t="shared" si="933"/>
        <v>1.0234330318976446</v>
      </c>
      <c r="K354" s="331">
        <f t="shared" si="933"/>
        <v>0.93006369057809835</v>
      </c>
      <c r="L354" s="331">
        <f t="shared" si="933"/>
        <v>1.0281702304543112</v>
      </c>
      <c r="M354" s="331">
        <f t="shared" si="933"/>
        <v>1.4853774329272802</v>
      </c>
      <c r="N354" s="331">
        <f t="shared" si="933"/>
        <v>1.693230334406002</v>
      </c>
      <c r="O354" s="331">
        <f t="shared" si="933"/>
        <v>1.6272973985400152</v>
      </c>
      <c r="P354" s="331">
        <f t="shared" si="933"/>
        <v>1.5121285459016207</v>
      </c>
      <c r="Q354" s="331">
        <f t="shared" si="933"/>
        <v>1.2256621086376465</v>
      </c>
      <c r="R354" s="331">
        <f t="shared" si="933"/>
        <v>1.4419194150062573</v>
      </c>
      <c r="S354" s="331">
        <f t="shared" si="933"/>
        <v>0.89443478209825811</v>
      </c>
      <c r="T354" s="331">
        <f t="shared" si="933"/>
        <v>1.1476940968228171</v>
      </c>
      <c r="U354" s="331">
        <f t="shared" si="933"/>
        <v>0.86534529120488501</v>
      </c>
      <c r="V354" s="331">
        <f>-V97/(V66+V67+V74+V75+V85+V88)</f>
        <v>0.72422679275150093</v>
      </c>
      <c r="W354" s="331">
        <f t="shared" ref="W354:AX354" si="934">-W97/(W67+W75+W85+W88)</f>
        <v>0.78190948496515944</v>
      </c>
      <c r="X354" s="331">
        <f t="shared" ref="X354:AS354" si="935">-X97/(X67+X75+X85+X88)</f>
        <v>0.83153548139224376</v>
      </c>
      <c r="Y354" s="331">
        <f t="shared" si="935"/>
        <v>0.91895973656445884</v>
      </c>
      <c r="Z354" s="331">
        <f t="shared" si="935"/>
        <v>1.0877442256841368</v>
      </c>
      <c r="AA354" s="331">
        <f t="shared" si="935"/>
        <v>1.6710467682189798</v>
      </c>
      <c r="AB354" s="331">
        <f t="shared" si="935"/>
        <v>0.20243512963945895</v>
      </c>
      <c r="AC354" s="331">
        <f t="shared" ref="AC354:AL354" si="936">-AC97/(AC67+AC75+AC85+AC88)</f>
        <v>0.19985036185142871</v>
      </c>
      <c r="AD354" s="331">
        <f t="shared" si="936"/>
        <v>0.31920306251679298</v>
      </c>
      <c r="AE354" s="331">
        <f t="shared" si="936"/>
        <v>0.24589735206405772</v>
      </c>
      <c r="AF354" s="331">
        <f t="shared" si="936"/>
        <v>0.2984465103153473</v>
      </c>
      <c r="AG354" s="331">
        <f t="shared" si="936"/>
        <v>0.31831752238020256</v>
      </c>
      <c r="AH354" s="331">
        <f t="shared" si="936"/>
        <v>0.70196028941611988</v>
      </c>
      <c r="AI354" s="331">
        <f t="shared" si="936"/>
        <v>0.98214766307214096</v>
      </c>
      <c r="AJ354" s="331">
        <f t="shared" si="936"/>
        <v>0.94773186788961039</v>
      </c>
      <c r="AK354" s="331">
        <f t="shared" si="936"/>
        <v>1.1627960266054134</v>
      </c>
      <c r="AL354" s="331">
        <f t="shared" si="936"/>
        <v>0.92657099238073903</v>
      </c>
      <c r="AM354" s="331">
        <f t="shared" si="935"/>
        <v>0.22788316103616799</v>
      </c>
      <c r="AN354" s="331">
        <f t="shared" si="935"/>
        <v>0.22788316103616804</v>
      </c>
      <c r="AO354" s="331">
        <f t="shared" si="935"/>
        <v>0.22788316103616801</v>
      </c>
      <c r="AP354" s="331">
        <f t="shared" si="935"/>
        <v>0.22788316103616801</v>
      </c>
      <c r="AQ354" s="331">
        <f t="shared" si="935"/>
        <v>0.22788316103616801</v>
      </c>
      <c r="AR354" s="331">
        <f t="shared" si="935"/>
        <v>0.22788316103616796</v>
      </c>
      <c r="AS354" s="331">
        <f t="shared" si="935"/>
        <v>0.22788316103616801</v>
      </c>
      <c r="AT354" s="331">
        <f t="shared" si="934"/>
        <v>0.22788316103616804</v>
      </c>
      <c r="AU354" s="331">
        <f t="shared" si="934"/>
        <v>0.22788316103616801</v>
      </c>
      <c r="AV354" s="331">
        <f t="shared" si="934"/>
        <v>0.22788316103616796</v>
      </c>
      <c r="AW354" s="331">
        <f t="shared" si="934"/>
        <v>0.22788316103616801</v>
      </c>
      <c r="AX354" s="331">
        <f t="shared" si="934"/>
        <v>0.22788316103616799</v>
      </c>
      <c r="AY354" s="332">
        <f t="shared" si="928"/>
        <v>-0.49634363171533291</v>
      </c>
      <c r="AZ354" s="332">
        <f t="shared" si="920"/>
        <v>-1.2842453848654527</v>
      </c>
      <c r="BA354" s="333"/>
      <c r="BB354" s="333"/>
    </row>
    <row r="355" spans="3:54" x14ac:dyDescent="0.25">
      <c r="C355" s="291" t="s">
        <v>795</v>
      </c>
      <c r="D355" s="331">
        <f t="shared" ref="D355:AX355" si="937">-D91/D53</f>
        <v>1.305378081969593</v>
      </c>
      <c r="E355" s="331">
        <f t="shared" si="937"/>
        <v>0.78723360235877626</v>
      </c>
      <c r="F355" s="331">
        <f t="shared" si="937"/>
        <v>0.68307112875564335</v>
      </c>
      <c r="G355" s="331">
        <f t="shared" si="937"/>
        <v>0.74187270568092833</v>
      </c>
      <c r="H355" s="331">
        <f t="shared" si="937"/>
        <v>0.73286710435292979</v>
      </c>
      <c r="I355" s="331">
        <f t="shared" si="937"/>
        <v>0.72165222097924142</v>
      </c>
      <c r="J355" s="331">
        <f t="shared" si="937"/>
        <v>0.72648570362204046</v>
      </c>
      <c r="K355" s="331">
        <f t="shared" si="937"/>
        <v>0.7000988709452497</v>
      </c>
      <c r="L355" s="331">
        <f t="shared" si="937"/>
        <v>0.78153140665542953</v>
      </c>
      <c r="M355" s="331">
        <f t="shared" si="937"/>
        <v>0.79404818884927486</v>
      </c>
      <c r="N355" s="331">
        <f t="shared" si="937"/>
        <v>0.47472559268819464</v>
      </c>
      <c r="O355" s="331">
        <f t="shared" si="937"/>
        <v>0.68860934134052432</v>
      </c>
      <c r="P355" s="331">
        <f t="shared" si="937"/>
        <v>0.68328097041244018</v>
      </c>
      <c r="Q355" s="331">
        <f t="shared" si="937"/>
        <v>0.66121519875846868</v>
      </c>
      <c r="R355" s="331">
        <f t="shared" si="937"/>
        <v>0.66462309616256798</v>
      </c>
      <c r="S355" s="331">
        <f t="shared" si="937"/>
        <v>0.5824270155047836</v>
      </c>
      <c r="T355" s="331">
        <f t="shared" si="937"/>
        <v>0.73677255417130361</v>
      </c>
      <c r="U355" s="331">
        <f t="shared" si="937"/>
        <v>0.64589337631265442</v>
      </c>
      <c r="V355" s="331">
        <f t="shared" si="937"/>
        <v>0.69647701315440558</v>
      </c>
      <c r="W355" s="331">
        <f t="shared" si="937"/>
        <v>0.65691062644116271</v>
      </c>
      <c r="X355" s="331">
        <f t="shared" ref="X355:AS355" si="938">-X91/X53</f>
        <v>0.61800199447011595</v>
      </c>
      <c r="Y355" s="331">
        <f t="shared" si="938"/>
        <v>0.70314232286655842</v>
      </c>
      <c r="Z355" s="331">
        <f t="shared" si="938"/>
        <v>0.7269642693028503</v>
      </c>
      <c r="AA355" s="331">
        <f t="shared" si="938"/>
        <v>2.2072510876083693</v>
      </c>
      <c r="AB355" s="331">
        <f t="shared" si="938"/>
        <v>2.9561538339375737</v>
      </c>
      <c r="AC355" s="331">
        <f t="shared" ref="AC355:AL355" si="939">-AC91/AC53</f>
        <v>3.4208354938882577</v>
      </c>
      <c r="AD355" s="331">
        <f t="shared" si="939"/>
        <v>3.0823950853172648</v>
      </c>
      <c r="AE355" s="331">
        <f t="shared" si="939"/>
        <v>3.0220365923296204</v>
      </c>
      <c r="AF355" s="331">
        <f t="shared" si="939"/>
        <v>3.476077957405145</v>
      </c>
      <c r="AG355" s="331">
        <f t="shared" si="939"/>
        <v>4.5322073554219564</v>
      </c>
      <c r="AH355" s="331">
        <f t="shared" si="939"/>
        <v>3.9303391027067729</v>
      </c>
      <c r="AI355" s="331">
        <f t="shared" si="939"/>
        <v>3.5651594482261437</v>
      </c>
      <c r="AJ355" s="331">
        <f t="shared" si="939"/>
        <v>3.4192343709818749</v>
      </c>
      <c r="AK355" s="331">
        <f t="shared" si="939"/>
        <v>3.8035657007617547</v>
      </c>
      <c r="AL355" s="331">
        <f t="shared" si="939"/>
        <v>1.3049890993362461</v>
      </c>
      <c r="AM355" s="331">
        <f t="shared" si="938"/>
        <v>0.87071082181114678</v>
      </c>
      <c r="AN355" s="331">
        <f t="shared" si="938"/>
        <v>0.86595474940803385</v>
      </c>
      <c r="AO355" s="331">
        <f t="shared" si="938"/>
        <v>0.86251422374454401</v>
      </c>
      <c r="AP355" s="331">
        <f t="shared" si="938"/>
        <v>0.85933741048779244</v>
      </c>
      <c r="AQ355" s="331">
        <f t="shared" si="938"/>
        <v>0.85673825140421267</v>
      </c>
      <c r="AR355" s="331">
        <f t="shared" si="938"/>
        <v>0.85440226999412006</v>
      </c>
      <c r="AS355" s="331">
        <f t="shared" si="938"/>
        <v>0.85248993286077024</v>
      </c>
      <c r="AT355" s="331">
        <f t="shared" si="937"/>
        <v>0.83733627028499802</v>
      </c>
      <c r="AU355" s="331">
        <f t="shared" si="937"/>
        <v>0.81660038842264027</v>
      </c>
      <c r="AV355" s="331">
        <f t="shared" si="937"/>
        <v>0.78624103580365079</v>
      </c>
      <c r="AW355" s="331">
        <f t="shared" si="937"/>
        <v>0.75261612398138478</v>
      </c>
      <c r="AX355" s="331">
        <f t="shared" si="937"/>
        <v>0.9406375469024747</v>
      </c>
      <c r="AY355" s="332">
        <f t="shared" si="928"/>
        <v>0.24416053374806912</v>
      </c>
      <c r="AZ355" s="332">
        <f t="shared" si="920"/>
        <v>0.25735657649003452</v>
      </c>
      <c r="BA355" s="333"/>
      <c r="BB355" s="333"/>
    </row>
    <row r="356" spans="3:54" x14ac:dyDescent="0.25">
      <c r="C356" s="284" t="s">
        <v>796</v>
      </c>
      <c r="D356" s="329"/>
      <c r="E356" s="329"/>
      <c r="F356" s="329"/>
      <c r="G356" s="329"/>
      <c r="H356" s="329"/>
      <c r="I356" s="329"/>
      <c r="J356" s="329"/>
      <c r="K356" s="329"/>
      <c r="L356" s="329"/>
      <c r="M356" s="329"/>
      <c r="N356" s="329"/>
      <c r="O356" s="329"/>
      <c r="P356" s="329"/>
      <c r="Q356" s="329"/>
      <c r="R356" s="329"/>
      <c r="S356" s="329"/>
      <c r="T356" s="329"/>
      <c r="U356" s="329"/>
      <c r="V356" s="329"/>
      <c r="W356" s="329"/>
      <c r="X356" s="329"/>
      <c r="Y356" s="329"/>
      <c r="Z356" s="329"/>
      <c r="AA356" s="329"/>
      <c r="AB356" s="329"/>
      <c r="AC356" s="329"/>
      <c r="AD356" s="329"/>
      <c r="AE356" s="329"/>
      <c r="AF356" s="329"/>
      <c r="AG356" s="329"/>
      <c r="AH356" s="329"/>
      <c r="AI356" s="329"/>
      <c r="AJ356" s="329"/>
      <c r="AK356" s="329"/>
      <c r="AL356" s="329"/>
      <c r="AM356" s="329"/>
      <c r="AN356" s="329"/>
      <c r="AO356" s="329"/>
      <c r="AP356" s="329"/>
      <c r="AQ356" s="329"/>
      <c r="AR356" s="329"/>
      <c r="AS356" s="329"/>
      <c r="AT356" s="329"/>
      <c r="AU356" s="329"/>
      <c r="AV356" s="329"/>
      <c r="AW356" s="329"/>
      <c r="AX356" s="329"/>
      <c r="AY356" s="329"/>
      <c r="AZ356" s="329"/>
      <c r="BA356" s="330"/>
      <c r="BB356" s="330"/>
    </row>
    <row r="357" spans="3:54" x14ac:dyDescent="0.25">
      <c r="C357" s="291" t="s">
        <v>797</v>
      </c>
      <c r="D357" s="337">
        <f>((BRmarg!C20/AVERAGE(BGhoriz!$D$5:D5))/D3)*12</f>
        <v>0</v>
      </c>
      <c r="E357" s="337">
        <f>((BRmarg!D20/AVERAGE(BGhoriz!$D$5:E5))/E3)*12</f>
        <v>0</v>
      </c>
      <c r="F357" s="337">
        <f>((BRmarg!E20/AVERAGE(BGhoriz!$D$5:F5))/F3)*12</f>
        <v>0</v>
      </c>
      <c r="G357" s="337">
        <f>((BRmarg!F20/AVERAGE(BGhoriz!$D$5:G5))/G3)*12</f>
        <v>0</v>
      </c>
      <c r="H357" s="337">
        <f>((BRmarg!G20/AVERAGE(BGhoriz!$D$5:H5))/H3)*12</f>
        <v>0</v>
      </c>
      <c r="I357" s="337">
        <f>((BRmarg!H20/AVERAGE(BGhoriz!$D$5:I5))/I3)*12</f>
        <v>0</v>
      </c>
      <c r="J357" s="337">
        <f>((BRmarg!I20/AVERAGE(BGhoriz!$D$5:J5))/J3)*12</f>
        <v>0</v>
      </c>
      <c r="K357" s="337">
        <f>((BRmarg!J20/AVERAGE(BGhoriz!$D$5:K5))/K3)*12</f>
        <v>0</v>
      </c>
      <c r="L357" s="337">
        <f>((BRmarg!K20/AVERAGE(BGhoriz!$D$5:L5))/L3)*12</f>
        <v>0</v>
      </c>
      <c r="M357" s="337">
        <f>((BRmarg!L20/AVERAGE(BGhoriz!$D$5:M5))/M3)*12</f>
        <v>0</v>
      </c>
      <c r="N357" s="337">
        <f>((BRmarg!M20/AVERAGE(BGhoriz!$D$5:N5))/N3)*12</f>
        <v>0</v>
      </c>
      <c r="O357" s="337">
        <f>((BRmarg!N20/AVERAGE(BGhoriz!$D$5:O5))/O3)*12</f>
        <v>0</v>
      </c>
      <c r="P357" s="337">
        <f>((BRmarg!O20/AVERAGE(BGhoriz!$D$5:P5))/P3)*12</f>
        <v>0</v>
      </c>
      <c r="Q357" s="337">
        <f>((BRhoriz!AC30/AVERAGE(BGhoriz!$P$5:Q5))/Q3)*12</f>
        <v>6.4371808472073938E-2</v>
      </c>
      <c r="R357" s="337">
        <f>((BRhoriz!AD30/AVERAGE(BGhoriz!$P$5:R5))/R3)*12</f>
        <v>6.6767416222274292E-2</v>
      </c>
      <c r="S357" s="337">
        <f>((BRhoriz!AE30/AVERAGE(BGhoriz!$P$5:S5))/S3)*12</f>
        <v>6.5337973890154638E-2</v>
      </c>
      <c r="T357" s="337">
        <f>((BRhoriz!AF30/AVERAGE(BGhoriz!$P$5:T5))/T3)*12</f>
        <v>6.578368976511309E-2</v>
      </c>
      <c r="U357" s="337">
        <f>((BRhoriz!AG30/AVERAGE(BGhoriz!$P$5:U5))/U3)*12</f>
        <v>6.5696117987569538E-2</v>
      </c>
      <c r="V357" s="337">
        <f>((BRhoriz!AH30/AVERAGE(BGhoriz!$P$5:V5))/V3)*12</f>
        <v>6.531247779085271E-2</v>
      </c>
      <c r="W357" s="337">
        <f>((BRhoriz!AI30/AVERAGE(BGhoriz!$P$5:W5))/W3)*12</f>
        <v>6.5099065316159999E-2</v>
      </c>
      <c r="X357" s="337">
        <f>((BRhoriz!BR30/AVERAGE(BGhoriz!$P$5:X5))/X3)*12</f>
        <v>9.0600528373718264E-2</v>
      </c>
      <c r="Y357" s="337" t="e">
        <f>((BRhoriz!BS30/AVERAGE(BGhoriz!$P$5:Y5))/Y3)*12</f>
        <v>#DIV/0!</v>
      </c>
      <c r="Z357" s="337">
        <f>((BRhoriz!BT30/AVERAGE(BGhoriz!$P$5:Z5))/Z3)*12</f>
        <v>8.7608364270711253E-2</v>
      </c>
      <c r="AA357" s="337">
        <f>((BRhoriz!BU30/AVERAGE(BGhoriz!$P$5:AA5))/AA3)*12</f>
        <v>8.6221745496982513E-2</v>
      </c>
      <c r="AB357" s="337">
        <f>((BRhoriz!BV30/AVERAGE(BGhoriz!$P$5:AB5))/AB3)*12</f>
        <v>8.4906698640088554E-2</v>
      </c>
      <c r="AC357" s="337">
        <f>((BRhoriz!BW30/AVERAGE(BGhoriz!$P$5:AC5))/AC3)*12</f>
        <v>0</v>
      </c>
      <c r="AD357" s="337">
        <f>((BRhoriz!BX30/AVERAGE(BGhoriz!$P$5:AD5))/AD3)*12</f>
        <v>0</v>
      </c>
      <c r="AE357" s="337">
        <f>((BRhoriz!BY30/AVERAGE(BGhoriz!$P$5:AE5))/AE3)*12</f>
        <v>0</v>
      </c>
      <c r="AF357" s="337">
        <f>((BRhoriz!BZ30/AVERAGE(BGhoriz!$P$5:AF5))/AF3)*12</f>
        <v>0</v>
      </c>
      <c r="AG357" s="337">
        <f>((BRhoriz!CA30/AVERAGE(BGhoriz!$P$5:AG5))/AG3)*12</f>
        <v>0</v>
      </c>
      <c r="AH357" s="337">
        <f>((BRhoriz!CB30/AVERAGE(BGhoriz!$P$5:AH5))/AH3)*12</f>
        <v>0</v>
      </c>
      <c r="AI357" s="337">
        <f>((BRhoriz!CC30/AVERAGE(BGhoriz!$P$5:AI5))/AI3)*12</f>
        <v>0</v>
      </c>
      <c r="AJ357" s="337">
        <f>((BRhoriz!CD30/AVERAGE(BGhoriz!$P$5:AJ5))/AJ3)*12</f>
        <v>0</v>
      </c>
      <c r="AK357" s="337">
        <f>((BRhoriz!CE30/AVERAGE(BGhoriz!$P$5:AK5))/AK3)*12</f>
        <v>0</v>
      </c>
      <c r="AL357" s="337">
        <f>((BRhoriz!CF30/AVERAGE(BGhoriz!$P$5:AL5))/AL3)*12</f>
        <v>0</v>
      </c>
      <c r="AM357" s="337">
        <f>((BRhoriz!AC30/AVERAGE(BGhoriz!$P$5:AM5))/AM3)*12</f>
        <v>4.5926601257224614E-2</v>
      </c>
      <c r="AN357" s="337">
        <f>((BRhoriz!AD30/AVERAGE(BGhoriz!$P$5:AN5))/AN3)*12</f>
        <v>4.6478281742572534E-2</v>
      </c>
      <c r="AO357" s="337">
        <f>((BRhoriz!AE30/AVERAGE(BGhoriz!$P$5:AO5))/AO3)*12</f>
        <v>4.4529931453910265E-2</v>
      </c>
      <c r="AP357" s="337">
        <f>((BRhoriz!AF30/AVERAGE(BGhoriz!$P$5:AP5))/AP3)*12</f>
        <v>4.3879147125312004E-2</v>
      </c>
      <c r="AQ357" s="337">
        <f>((BRhoriz!AG30/AVERAGE(BGhoriz!$P$5:AQ5))/AQ3)*12</f>
        <v>4.3428606024162084E-2</v>
      </c>
      <c r="AR357" s="337">
        <f>((BRhoriz!AH30/AVERAGE(BGhoriz!$P$5:AR5))/AR3)*12</f>
        <v>4.3374960477299891E-2</v>
      </c>
      <c r="AS357" s="337">
        <f>((BRhoriz!AI30/AVERAGE(BGhoriz!$P$5:AS5))/AS3)*12</f>
        <v>4.3046784681016775E-2</v>
      </c>
      <c r="AT357" s="337">
        <f>((BRhoriz!BR30/AVERAGE(BGhoriz!$P$5:AT5))/AT3)*12</f>
        <v>5.9419662425688399E-2</v>
      </c>
      <c r="AU357" s="337">
        <f>((BRhoriz!BS30/AVERAGE(BGhoriz!$P$5:AU5))/AU3)*12</f>
        <v>5.7760268701260338E-2</v>
      </c>
      <c r="AV357" s="337">
        <f>((BRhoriz!BT30/AVERAGE(BGhoriz!$P$5:AV5))/AV3)*12</f>
        <v>5.6163165761131645E-2</v>
      </c>
      <c r="AW357" s="337">
        <f>((BRhoriz!BU30/AVERAGE(BGhoriz!$P$5:AW5))/AW3)*12</f>
        <v>5.4612185405983102E-2</v>
      </c>
      <c r="AX357" s="337">
        <f>((BRhoriz!BV30/AVERAGE(BGhoriz!$P$5:AX5))/AX3)*12</f>
        <v>5.3127036742603412E-2</v>
      </c>
      <c r="AY357" s="332">
        <f>AX357-V357</f>
        <v>-1.2185441048249299E-2</v>
      </c>
      <c r="AZ357" s="332">
        <f>AX357-P357</f>
        <v>5.3127036742603412E-2</v>
      </c>
      <c r="BA357" s="333"/>
      <c r="BB357" s="333"/>
    </row>
    <row r="358" spans="3:54" x14ac:dyDescent="0.25">
      <c r="C358" s="291" t="s">
        <v>798</v>
      </c>
      <c r="D358" s="337" t="e">
        <f>BRmarg!C20/BRmarg!C18</f>
        <v>#DIV/0!</v>
      </c>
      <c r="E358" s="337" t="e">
        <f>BRmarg!D20/BRmarg!D18</f>
        <v>#DIV/0!</v>
      </c>
      <c r="F358" s="337" t="e">
        <f>BRmarg!E20/BRmarg!E18</f>
        <v>#DIV/0!</v>
      </c>
      <c r="G358" s="337" t="e">
        <f>BRmarg!F20/BRmarg!F18</f>
        <v>#DIV/0!</v>
      </c>
      <c r="H358" s="337" t="e">
        <f>BRmarg!G20/BRmarg!G18</f>
        <v>#DIV/0!</v>
      </c>
      <c r="I358" s="337" t="e">
        <f>BRmarg!H20/BRmarg!H18</f>
        <v>#DIV/0!</v>
      </c>
      <c r="J358" s="337" t="e">
        <f>BRmarg!I20/BRmarg!I18</f>
        <v>#DIV/0!</v>
      </c>
      <c r="K358" s="337" t="e">
        <f>BRmarg!J20/BRmarg!J18</f>
        <v>#DIV/0!</v>
      </c>
      <c r="L358" s="337" t="e">
        <f>BRmarg!K20/BRmarg!K18</f>
        <v>#DIV/0!</v>
      </c>
      <c r="M358" s="337" t="e">
        <f>BRmarg!L20/BRmarg!L18</f>
        <v>#DIV/0!</v>
      </c>
      <c r="N358" s="337" t="e">
        <f>BRmarg!M20/BRmarg!M18</f>
        <v>#DIV/0!</v>
      </c>
      <c r="O358" s="337" t="e">
        <f>BRmarg!N20/BRmarg!N18</f>
        <v>#DIV/0!</v>
      </c>
      <c r="P358" s="337" t="e">
        <f>BRmarg!O20/BRmarg!O18</f>
        <v>#DIV/0!</v>
      </c>
      <c r="Q358" s="337">
        <f>BRhoriz!AC30/BRhoriz!AC208</f>
        <v>2.2082947194518647</v>
      </c>
      <c r="R358" s="337">
        <f>BRhoriz!AD30/BRhoriz!AD208</f>
        <v>4.7187910983293877</v>
      </c>
      <c r="S358" s="337">
        <f>BRhoriz!AE30/BRhoriz!AE208</f>
        <v>2.4160785013975872</v>
      </c>
      <c r="T358" s="337">
        <f>BRhoriz!AF30/BRhoriz!AF208</f>
        <v>2.1102432720826521</v>
      </c>
      <c r="U358" s="337">
        <f>BRhoriz!AG30/BRhoriz!AG208</f>
        <v>2.2951857202640782</v>
      </c>
      <c r="V358" s="337">
        <f>BRhoriz!AH30/BRhoriz!AH208</f>
        <v>3.1652387666141788</v>
      </c>
      <c r="W358" s="337">
        <f>BRhoriz!AI30/BRhoriz!AI208</f>
        <v>2.3577045356398911</v>
      </c>
      <c r="X358" s="337">
        <f>BRhoriz!BR30/BRhoriz!BR208</f>
        <v>0.89711920019508984</v>
      </c>
      <c r="Y358" s="337">
        <f>BRhoriz!BS30/BRhoriz!BS208</f>
        <v>0.86739023621522227</v>
      </c>
      <c r="Z358" s="337">
        <f>BRhoriz!BT30/BRhoriz!BT208</f>
        <v>0.83236772860690522</v>
      </c>
      <c r="AA358" s="337">
        <f>BRhoriz!BU30/BRhoriz!BU208</f>
        <v>0.80595695310507687</v>
      </c>
      <c r="AB358" s="337">
        <f>BRhoriz!BV30/BRhoriz!BV208</f>
        <v>0.78289087789023426</v>
      </c>
      <c r="AC358" s="337" t="e">
        <f>BRhoriz!BW30/BRhoriz!BW208</f>
        <v>#DIV/0!</v>
      </c>
      <c r="AD358" s="337" t="e">
        <f>BRhoriz!BX30/BRhoriz!BX208</f>
        <v>#DIV/0!</v>
      </c>
      <c r="AE358" s="337" t="e">
        <f>BRhoriz!BY30/BRhoriz!BY208</f>
        <v>#DIV/0!</v>
      </c>
      <c r="AF358" s="337" t="e">
        <f>BRhoriz!BZ30/BRhoriz!BZ208</f>
        <v>#DIV/0!</v>
      </c>
      <c r="AG358" s="337" t="e">
        <f>BRhoriz!CA30/BRhoriz!CA208</f>
        <v>#DIV/0!</v>
      </c>
      <c r="AH358" s="337" t="e">
        <f>BRhoriz!CB30/BRhoriz!CB208</f>
        <v>#DIV/0!</v>
      </c>
      <c r="AI358" s="337" t="e">
        <f>BRhoriz!CC30/BRhoriz!CC208</f>
        <v>#DIV/0!</v>
      </c>
      <c r="AJ358" s="337" t="e">
        <f>BRhoriz!CD30/BRhoriz!CD208</f>
        <v>#DIV/0!</v>
      </c>
      <c r="AK358" s="337" t="e">
        <f>BRhoriz!CE30/BRhoriz!CE208</f>
        <v>#DIV/0!</v>
      </c>
      <c r="AL358" s="337" t="e">
        <f>BRhoriz!CF30/BRhoriz!CF208</f>
        <v>#DIV/0!</v>
      </c>
      <c r="AM358" s="337">
        <f>BRhoriz!AC30/BRhoriz!AC208</f>
        <v>2.2082947194518647</v>
      </c>
      <c r="AN358" s="337">
        <f>BRhoriz!AD30/BRhoriz!AD208</f>
        <v>4.7187910983293877</v>
      </c>
      <c r="AO358" s="337">
        <f>BRhoriz!AE30/BRhoriz!AE208</f>
        <v>2.4160785013975872</v>
      </c>
      <c r="AP358" s="337">
        <f>BRhoriz!AF30/BRhoriz!AF208</f>
        <v>2.1102432720826521</v>
      </c>
      <c r="AQ358" s="337">
        <f>BRhoriz!AG30/BRhoriz!AG208</f>
        <v>2.2951857202640782</v>
      </c>
      <c r="AR358" s="337">
        <f>BRhoriz!AH30/BRhoriz!AH208</f>
        <v>3.1652387666141788</v>
      </c>
      <c r="AS358" s="337">
        <f>BRhoriz!AI30/BRhoriz!AI208</f>
        <v>2.3577045356398911</v>
      </c>
      <c r="AT358" s="337">
        <f>BRhoriz!BR30/BRhoriz!BR208</f>
        <v>0.89711920019508984</v>
      </c>
      <c r="AU358" s="337">
        <f>BRhoriz!BS30/BRhoriz!BS208</f>
        <v>0.86739023621522227</v>
      </c>
      <c r="AV358" s="337">
        <f>BRhoriz!BT30/BRhoriz!BT208</f>
        <v>0.83236772860690522</v>
      </c>
      <c r="AW358" s="337">
        <f>BRhoriz!BU30/BRhoriz!BU208</f>
        <v>0.80595695310507687</v>
      </c>
      <c r="AX358" s="337">
        <f>BRhoriz!BV30/BRhoriz!BV208</f>
        <v>0.78289087789023426</v>
      </c>
      <c r="AY358" s="332">
        <f>AX358-V358</f>
        <v>-2.3823478887239444</v>
      </c>
      <c r="AZ358" s="332" t="e">
        <f>AX358-P358</f>
        <v>#DIV/0!</v>
      </c>
      <c r="BA358" s="333"/>
      <c r="BB358" s="333"/>
    </row>
    <row r="359" spans="3:54" x14ac:dyDescent="0.25">
      <c r="C359" s="291" t="s">
        <v>799</v>
      </c>
      <c r="D359" s="337">
        <f>((BRmarg!C21/AVERAGE(BGhoriz!$D$5:D5))/D3)*12</f>
        <v>0</v>
      </c>
      <c r="E359" s="337">
        <f>((BRmarg!D21/AVERAGE(BGhoriz!$D$5:E5))/E3)*12</f>
        <v>0</v>
      </c>
      <c r="F359" s="337">
        <f>((BRmarg!E21/AVERAGE(BGhoriz!$D$5:F5))/F3)*12</f>
        <v>0</v>
      </c>
      <c r="G359" s="337">
        <f>((BRmarg!F21/AVERAGE(BGhoriz!$D$5:G5))/G3)*12</f>
        <v>0</v>
      </c>
      <c r="H359" s="337">
        <f>((BRmarg!G21/AVERAGE(BGhoriz!$D$5:H5))/H3)*12</f>
        <v>0</v>
      </c>
      <c r="I359" s="337">
        <f>((BRmarg!H21/AVERAGE(BGhoriz!$D$5:I5))/I3)*12</f>
        <v>0</v>
      </c>
      <c r="J359" s="337">
        <f>((BRmarg!I21/AVERAGE(BGhoriz!$D$5:J5))/J3)*12</f>
        <v>0</v>
      </c>
      <c r="K359" s="337">
        <f>((BRmarg!J21/AVERAGE(BGhoriz!$D$5:K5))/K3)*12</f>
        <v>0</v>
      </c>
      <c r="L359" s="337">
        <f>((BRmarg!K21/AVERAGE(BGhoriz!$D$5:L5))/L3)*12</f>
        <v>0</v>
      </c>
      <c r="M359" s="337">
        <f>((BRmarg!L21/AVERAGE(BGhoriz!$D$5:M5))/M3)*12</f>
        <v>0</v>
      </c>
      <c r="N359" s="337">
        <f>((BRmarg!M21/AVERAGE(BGhoriz!$D$5:N5))/N3)*12</f>
        <v>0</v>
      </c>
      <c r="O359" s="337">
        <f>((BRmarg!N21/AVERAGE(BGhoriz!$D$5:O5))/O3)*12</f>
        <v>0</v>
      </c>
      <c r="P359" s="337">
        <f>((BRmarg!O21/AVERAGE(BGhoriz!$D$5:P5))/P3)*12</f>
        <v>0</v>
      </c>
      <c r="Q359" s="337">
        <f>((BRhoriz!AC31/AVERAGE(BGhoriz!$P$5:Q5))/Q3)*12</f>
        <v>2.8721797812558965E-2</v>
      </c>
      <c r="R359" s="337">
        <f>((BRhoriz!AD31/AVERAGE(BGhoriz!$P$5:R5))/R3)*12</f>
        <v>3.1452045788250303E-2</v>
      </c>
      <c r="S359" s="337">
        <f>((BRhoriz!AE31/AVERAGE(BGhoriz!$P$5:S5))/S3)*12</f>
        <v>3.001452995435952E-2</v>
      </c>
      <c r="T359" s="337">
        <f>((BRhoriz!AF31/AVERAGE(BGhoriz!$P$5:T5))/T3)*12</f>
        <v>2.9949310600859539E-2</v>
      </c>
      <c r="U359" s="337">
        <f>((BRhoriz!AG31/AVERAGE(BGhoriz!$P$5:U5))/U3)*12</f>
        <v>2.8961975450087375E-2</v>
      </c>
      <c r="V359" s="337">
        <f>((BRhoriz!AH31/AVERAGE(BGhoriz!$P$5:V5))/V3)*12</f>
        <v>2.8130690133050525E-2</v>
      </c>
      <c r="W359" s="337">
        <f>((BRhoriz!AI31/AVERAGE(BGhoriz!$P$5:W5))/W3)*12</f>
        <v>2.7756908948436163E-2</v>
      </c>
      <c r="X359" s="337">
        <f>((BRhoriz!BR31/AVERAGE(BGhoriz!$P$5:X5))/X3)*12</f>
        <v>4.0264572830594564E-2</v>
      </c>
      <c r="Y359" s="337" t="e">
        <f>((BRhoriz!BS31/AVERAGE(BGhoriz!$P$5:Y5))/Y3)*12</f>
        <v>#DIV/0!</v>
      </c>
      <c r="Z359" s="337">
        <f>((BRhoriz!BT31/AVERAGE(BGhoriz!$P$5:Z5))/Z3)*12</f>
        <v>3.8781003114313636E-2</v>
      </c>
      <c r="AA359" s="337">
        <f>((BRhoriz!BU31/AVERAGE(BGhoriz!$P$5:AA5))/AA3)*12</f>
        <v>3.811191989333694E-2</v>
      </c>
      <c r="AB359" s="337">
        <f>((BRhoriz!BV31/AVERAGE(BGhoriz!$P$5:AB5))/AB3)*12</f>
        <v>3.7485181856822515E-2</v>
      </c>
      <c r="AC359" s="337">
        <f>((BRhoriz!BW31/AVERAGE(BGhoriz!$P$5:AC5))/AC3)*12</f>
        <v>0</v>
      </c>
      <c r="AD359" s="337">
        <f>((BRhoriz!BX31/AVERAGE(BGhoriz!$P$5:AD5))/AD3)*12</f>
        <v>0</v>
      </c>
      <c r="AE359" s="337">
        <f>((BRhoriz!BY31/AVERAGE(BGhoriz!$P$5:AE5))/AE3)*12</f>
        <v>0</v>
      </c>
      <c r="AF359" s="337">
        <f>((BRhoriz!BZ31/AVERAGE(BGhoriz!$P$5:AF5))/AF3)*12</f>
        <v>0</v>
      </c>
      <c r="AG359" s="337">
        <f>((BRhoriz!CA31/AVERAGE(BGhoriz!$P$5:AG5))/AG3)*12</f>
        <v>0</v>
      </c>
      <c r="AH359" s="337">
        <f>((BRhoriz!CB31/AVERAGE(BGhoriz!$P$5:AH5))/AH3)*12</f>
        <v>0</v>
      </c>
      <c r="AI359" s="337">
        <f>((BRhoriz!CC31/AVERAGE(BGhoriz!$P$5:AI5))/AI3)*12</f>
        <v>0</v>
      </c>
      <c r="AJ359" s="337">
        <f>((BRhoriz!CD31/AVERAGE(BGhoriz!$P$5:AJ5))/AJ3)*12</f>
        <v>0</v>
      </c>
      <c r="AK359" s="337">
        <f>((BRhoriz!CE31/AVERAGE(BGhoriz!$P$5:AK5))/AK3)*12</f>
        <v>0</v>
      </c>
      <c r="AL359" s="337">
        <f>((BRhoriz!CF31/AVERAGE(BGhoriz!$P$5:AL5))/AL3)*12</f>
        <v>0</v>
      </c>
      <c r="AM359" s="337">
        <f>((BRhoriz!AC31/AVERAGE(BGhoriz!$P$5:AM5))/AM3)*12</f>
        <v>2.049180513703102E-2</v>
      </c>
      <c r="AN359" s="337">
        <f>((BRhoriz!AD31/AVERAGE(BGhoriz!$P$5:AN5))/AN3)*12</f>
        <v>2.1894467814360406E-2</v>
      </c>
      <c r="AO359" s="337">
        <f>((BRhoriz!AE31/AVERAGE(BGhoriz!$P$5:AO5))/AO3)*12</f>
        <v>2.0455867880689847E-2</v>
      </c>
      <c r="AP359" s="337">
        <f>((BRhoriz!AF31/AVERAGE(BGhoriz!$P$5:AP5))/AP3)*12</f>
        <v>1.997683940881213E-2</v>
      </c>
      <c r="AQ359" s="337">
        <f>((BRhoriz!AG31/AVERAGE(BGhoriz!$P$5:AQ5))/AQ3)*12</f>
        <v>1.9145396410504577E-2</v>
      </c>
      <c r="AR359" s="337">
        <f>((BRhoriz!AH31/AVERAGE(BGhoriz!$P$5:AR5))/AR3)*12</f>
        <v>1.8681997896749923E-2</v>
      </c>
      <c r="AS359" s="337">
        <f>((BRhoriz!AI31/AVERAGE(BGhoriz!$P$5:AS5))/AS3)*12</f>
        <v>1.8354267870222617E-2</v>
      </c>
      <c r="AT359" s="337">
        <f>((BRhoriz!BR31/AVERAGE(BGhoriz!$P$5:AT5))/AT3)*12</f>
        <v>2.640721161624595E-2</v>
      </c>
      <c r="AU359" s="337">
        <f>((BRhoriz!BS31/AVERAGE(BGhoriz!$P$5:AU5))/AU3)*12</f>
        <v>2.5613492846376623E-2</v>
      </c>
      <c r="AV359" s="337">
        <f>((BRhoriz!BT31/AVERAGE(BGhoriz!$P$5:AV5))/AV3)*12</f>
        <v>2.4861369395756644E-2</v>
      </c>
      <c r="AW359" s="337">
        <f>((BRhoriz!BU31/AVERAGE(BGhoriz!$P$5:AW5))/AW3)*12</f>
        <v>2.4139794704872156E-2</v>
      </c>
      <c r="AX359" s="337">
        <f>((BRhoriz!BV31/AVERAGE(BGhoriz!$P$5:AX5))/AX3)*12</f>
        <v>2.3454882426323764E-2</v>
      </c>
      <c r="AY359" s="332">
        <f>AX359-V359</f>
        <v>-4.675807706726761E-3</v>
      </c>
      <c r="AZ359" s="332">
        <f>AX359-P359</f>
        <v>2.3454882426323764E-2</v>
      </c>
      <c r="BA359" s="333"/>
      <c r="BB359" s="333"/>
    </row>
    <row r="360" spans="3:54" x14ac:dyDescent="0.25">
      <c r="C360" s="284" t="s">
        <v>800</v>
      </c>
      <c r="D360" s="329"/>
      <c r="E360" s="329"/>
      <c r="F360" s="329"/>
      <c r="G360" s="329"/>
      <c r="H360" s="329"/>
      <c r="I360" s="329"/>
      <c r="J360" s="329"/>
      <c r="K360" s="329"/>
      <c r="L360" s="329"/>
      <c r="M360" s="329"/>
      <c r="N360" s="329"/>
      <c r="O360" s="329"/>
      <c r="P360" s="329"/>
      <c r="Q360" s="329"/>
      <c r="R360" s="329"/>
      <c r="S360" s="329"/>
      <c r="T360" s="329"/>
      <c r="U360" s="329"/>
      <c r="V360" s="329"/>
      <c r="W360" s="329"/>
      <c r="X360" s="329"/>
      <c r="Y360" s="329"/>
      <c r="Z360" s="329"/>
      <c r="AA360" s="329"/>
      <c r="AB360" s="329"/>
      <c r="AC360" s="329"/>
      <c r="AD360" s="329"/>
      <c r="AE360" s="329"/>
      <c r="AF360" s="329"/>
      <c r="AG360" s="329"/>
      <c r="AH360" s="329"/>
      <c r="AI360" s="329"/>
      <c r="AJ360" s="329"/>
      <c r="AK360" s="329"/>
      <c r="AL360" s="329"/>
      <c r="AM360" s="329"/>
      <c r="AN360" s="329"/>
      <c r="AO360" s="329"/>
      <c r="AP360" s="329"/>
      <c r="AQ360" s="329"/>
      <c r="AR360" s="329"/>
      <c r="AS360" s="329"/>
      <c r="AT360" s="329"/>
      <c r="AU360" s="329"/>
      <c r="AV360" s="329"/>
      <c r="AW360" s="329"/>
      <c r="AX360" s="329"/>
      <c r="AY360" s="329"/>
      <c r="AZ360" s="329"/>
      <c r="BA360" s="330"/>
      <c r="BB360" s="330"/>
    </row>
    <row r="361" spans="3:54" x14ac:dyDescent="0.25">
      <c r="C361" s="291" t="s">
        <v>801</v>
      </c>
      <c r="D361" s="338">
        <f>((D228/AVERAGE($D$212:D212))/D3)*12</f>
        <v>-0.19384211665796255</v>
      </c>
      <c r="E361" s="338">
        <f>((E228/AVERAGE($D$212:E212))/E3)*12</f>
        <v>-0.15846163231644875</v>
      </c>
      <c r="F361" s="338">
        <f>((F228/AVERAGE($D$212:F212))/F3)*12</f>
        <v>-7.4545435337036392E-2</v>
      </c>
      <c r="G361" s="338">
        <f>((G228/AVERAGE($D$212:G212))/G3)*12</f>
        <v>-7.9907350297840227E-2</v>
      </c>
      <c r="H361" s="338">
        <f>((H228/AVERAGE($D$212:H212))/H3)*12</f>
        <v>5.9259275049165526E-2</v>
      </c>
      <c r="I361" s="338">
        <f>((I228/AVERAGE($D$212:I212))/I3)*12</f>
        <v>1.234111776467774E-2</v>
      </c>
      <c r="J361" s="338">
        <f>((J228/AVERAGE($D$212:J212))/J3)*12</f>
        <v>-1.6256057975833047E-2</v>
      </c>
      <c r="K361" s="338">
        <f>((K228/AVERAGE($D$212:K212))/K3)*12</f>
        <v>-3.2198712900760207E-2</v>
      </c>
      <c r="L361" s="338">
        <f>((L228/AVERAGE($D$212:L212))/L3)*12</f>
        <v>-2.9465421530961274E-2</v>
      </c>
      <c r="M361" s="338">
        <f>((M228/AVERAGE($D$212:M212))/M3)*12</f>
        <v>-4.2924532483876336E-2</v>
      </c>
      <c r="N361" s="338">
        <f>((N228/AVERAGE($D$212:N212))/N3)*12</f>
        <v>-0.10538313692536441</v>
      </c>
      <c r="O361" s="338">
        <f>((O228/AVERAGE($D$212:O212))/O3)*12</f>
        <v>-4.2469494727673238E-2</v>
      </c>
      <c r="P361" s="338">
        <f>((P228/AVERAGE($D$212:P212))/P3)*12</f>
        <v>2.7299978900945953E-3</v>
      </c>
      <c r="Q361" s="338">
        <f>((Q228/AVERAGE($P$212:Q212))/Q3)*12</f>
        <v>7.5680926923249008E-3</v>
      </c>
      <c r="R361" s="338">
        <f>((R228/AVERAGE($P$212:R212))/R3)*12</f>
        <v>-0.1583788733109836</v>
      </c>
      <c r="S361" s="338">
        <f>((S228/AVERAGE($P$212:S212))/S3)*12</f>
        <v>-9.3658921861485347E-2</v>
      </c>
      <c r="T361" s="338">
        <f>((T228/AVERAGE($P$212:T212))/T3)*12</f>
        <v>-8.1185864465976296E-2</v>
      </c>
      <c r="U361" s="338">
        <f>((U228/AVERAGE($P$212:U212))/U3)*12</f>
        <v>-9.9806387335647978E-2</v>
      </c>
      <c r="V361" s="338">
        <f>((V228/AVERAGE($P$212:V212))/V3)*12</f>
        <v>-0.16190603823575614</v>
      </c>
      <c r="W361" s="338">
        <f>((W228/AVERAGE($P$212:W212))/W3)*12</f>
        <v>-0.11064871209116735</v>
      </c>
      <c r="X361" s="338">
        <f>((X228/AVERAGE($P$212:X212))/X3)*12</f>
        <v>-0.16691370875609751</v>
      </c>
      <c r="Y361" s="338" t="e">
        <f>((Y228/AVERAGE($P$212:Y212))/Y3)*12</f>
        <v>#DIV/0!</v>
      </c>
      <c r="Z361" s="338">
        <f>((Z228/AVERAGE($P$212:Z212))/Z3)*12</f>
        <v>-0.24174169504114915</v>
      </c>
      <c r="AA361" s="338">
        <f>((AA228/AVERAGE($P$212:AA212))/AA3)*12</f>
        <v>-0.20819620626154389</v>
      </c>
      <c r="AB361" s="338">
        <f>((AB228/AVERAGE($P$212:AB212))/AB3)*12</f>
        <v>-0.1292140081360888</v>
      </c>
      <c r="AC361" s="338">
        <f>((AC228/AVERAGE($P$212:AC212))/AC3)*12</f>
        <v>0.1544489508443031</v>
      </c>
      <c r="AD361" s="338">
        <f>((AD228/AVERAGE($P$212:AD212))/AD3)*12</f>
        <v>0.17123701283013246</v>
      </c>
      <c r="AE361" s="338">
        <f>((AE228/AVERAGE($P$212:AE212))/AE3)*12</f>
        <v>0.14130138593467251</v>
      </c>
      <c r="AF361" s="338">
        <f>((AF228/AVERAGE($P$212:AF212))/AF3)*12</f>
        <v>0.10679312698041847</v>
      </c>
      <c r="AG361" s="338">
        <f>((AG228/AVERAGE($P$212:AG212))/AG3)*12</f>
        <v>8.8187809154468666E-2</v>
      </c>
      <c r="AH361" s="338">
        <f>((AH228/AVERAGE($P$212:AH212))/AH3)*12</f>
        <v>4.6817805612420112E-2</v>
      </c>
      <c r="AI361" s="338">
        <f>((AI228/AVERAGE($P$212:AI212))/AI3)*12</f>
        <v>4.5714759411711506E-2</v>
      </c>
      <c r="AJ361" s="338">
        <f>((AJ228/AVERAGE($P$212:AJ212))/AJ3)*12</f>
        <v>4.0578916051529523E-2</v>
      </c>
      <c r="AK361" s="338">
        <f>((AK228/AVERAGE($P$212:AK212))/AK3)*12</f>
        <v>3.6141100273817534E-2</v>
      </c>
      <c r="AL361" s="338">
        <f>((AL228/AVERAGE($P$212:AL212))/AL3)*12</f>
        <v>3.2450986174984403E-2</v>
      </c>
      <c r="AM361" s="338">
        <f>((AM228/AVERAGE($P$212:AM212))/AM3)*12</f>
        <v>4.5978801835126384E-2</v>
      </c>
      <c r="AN361" s="338">
        <f>((AN228/AVERAGE($P$212:AN212))/AN3)*12</f>
        <v>5.0377966446321212E-2</v>
      </c>
      <c r="AO361" s="338">
        <f>((AO228/AVERAGE($P$212:AO212))/AO3)*12</f>
        <v>7.8215373253415696E-2</v>
      </c>
      <c r="AP361" s="338">
        <f>((AP228/AVERAGE($P$212:AP212))/AP3)*12</f>
        <v>9.6279438386158031E-2</v>
      </c>
      <c r="AQ361" s="338">
        <f>((AQ228/AVERAGE($P$212:AQ212))/AQ3)*12</f>
        <v>0.10982264386585508</v>
      </c>
      <c r="AR361" s="338">
        <f>((AR228/AVERAGE($P$212:AR212))/AR3)*12</f>
        <v>0.1205279663330637</v>
      </c>
      <c r="AS361" s="338">
        <f>((AS228/AVERAGE($P$212:AS212))/AS3)*12</f>
        <v>0.13004029770348463</v>
      </c>
      <c r="AT361" s="338">
        <f>((AT228/AVERAGE($P$212:AT212))/AT3)*12</f>
        <v>0.14220300601766628</v>
      </c>
      <c r="AU361" s="338">
        <f>((AU228/AVERAGE($P$212:AU212))/AU3)*12</f>
        <v>0.14874190354988454</v>
      </c>
      <c r="AV361" s="338">
        <f>((AV228/AVERAGE($P$212:AV212))/AV3)*12</f>
        <v>0.15843021109420125</v>
      </c>
      <c r="AW361" s="338">
        <f>((AW228/AVERAGE($P$212:AW212))/AW3)*12</f>
        <v>0.16696106646500192</v>
      </c>
      <c r="AX361" s="338">
        <f>((AX228/AVERAGE($P$212:AX212))/AX3)*12</f>
        <v>0.17089191744316246</v>
      </c>
      <c r="AY361" s="332">
        <f>AX361-V361</f>
        <v>0.33279795567891857</v>
      </c>
      <c r="AZ361" s="332">
        <f>AX361-P361</f>
        <v>0.16816191955306786</v>
      </c>
      <c r="BA361" s="333"/>
      <c r="BB361" s="333"/>
    </row>
    <row r="362" spans="3:54" x14ac:dyDescent="0.25">
      <c r="C362" s="291" t="s">
        <v>802</v>
      </c>
      <c r="D362" s="338">
        <f>((D228/AVERAGE($D$5:D5))/D3)*12</f>
        <v>-2.6908935854011787E-2</v>
      </c>
      <c r="E362" s="338">
        <f>((E228/AVERAGE($D$5:E5))/E3)*12</f>
        <v>-2.2080402943100316E-2</v>
      </c>
      <c r="F362" s="338">
        <f>((F228/AVERAGE($D$5:F5))/F3)*12</f>
        <v>-1.0409013393783197E-2</v>
      </c>
      <c r="G362" s="338">
        <f>((G228/AVERAGE($D$5:G5))/G3)*12</f>
        <v>-1.1147142153675004E-2</v>
      </c>
      <c r="H362" s="338">
        <f>((H228/AVERAGE($D$5:H5))/H3)*12</f>
        <v>8.2694877004807522E-3</v>
      </c>
      <c r="I362" s="338">
        <f>((I228/AVERAGE($D$5:I5))/I3)*12</f>
        <v>1.726791431870238E-3</v>
      </c>
      <c r="J362" s="338">
        <f>((J228/AVERAGE($D$5:J5))/J3)*12</f>
        <v>-2.2858087537233154E-3</v>
      </c>
      <c r="K362" s="338">
        <f>((K228/AVERAGE($D$5:K5))/K3)*12</f>
        <v>-4.5580753856619798E-3</v>
      </c>
      <c r="L362" s="338">
        <f>((L228/AVERAGE($D$5:L5))/L3)*12</f>
        <v>-4.1967175549721385E-3</v>
      </c>
      <c r="M362" s="338">
        <f>((M228/AVERAGE($D$5:M5))/M3)*12</f>
        <v>-6.14561536846071E-3</v>
      </c>
      <c r="N362" s="338">
        <f>((N228/AVERAGE($D$5:N5))/N3)*12</f>
        <v>-1.5129404735888889E-2</v>
      </c>
      <c r="O362" s="338">
        <f>((O228/AVERAGE($D$5:O5))/O3)*12</f>
        <v>-6.1175849831272659E-3</v>
      </c>
      <c r="P362" s="338">
        <f>((P228/AVERAGE($D$5:P5))/P3)*12</f>
        <v>3.9483743361380739E-4</v>
      </c>
      <c r="Q362" s="338">
        <f>((Q228/AVERAGE($P$5:Q5))/Q3)*12</f>
        <v>1.1486923405388387E-3</v>
      </c>
      <c r="R362" s="338">
        <f>((R228/AVERAGE($P$5:R5))/R3)*12</f>
        <v>-2.415616579947559E-2</v>
      </c>
      <c r="S362" s="338">
        <f>((S228/AVERAGE($P$5:S5))/S3)*12</f>
        <v>-1.42774845841643E-2</v>
      </c>
      <c r="T362" s="338">
        <f>((T228/AVERAGE($P$5:T5))/T3)*12</f>
        <v>-1.2347252362391875E-2</v>
      </c>
      <c r="U362" s="338">
        <f>((U228/AVERAGE($P$5:U5))/U3)*12</f>
        <v>-1.4954844427790718E-2</v>
      </c>
      <c r="V362" s="338">
        <f>((V228/AVERAGE($P$5:V5))/V3)*12</f>
        <v>-2.3558673777011353E-2</v>
      </c>
      <c r="W362" s="338">
        <f>((W228/AVERAGE($P$5:W5))/W3)*12</f>
        <v>-1.5747146823686747E-2</v>
      </c>
      <c r="X362" s="338">
        <f>((X228/AVERAGE($P$5:X5))/X3)*12</f>
        <v>-2.600004796927257E-2</v>
      </c>
      <c r="Y362" s="338" t="e">
        <f>((Y228/AVERAGE($P$5:Y5))/Y3)*12</f>
        <v>#DIV/0!</v>
      </c>
      <c r="Z362" s="338">
        <f>((Z228/AVERAGE($P$5:Z5))/Z3)*12</f>
        <v>-4.1867513402310777E-2</v>
      </c>
      <c r="AA362" s="338">
        <f>((AA228/AVERAGE($P$5:AA5))/AA3)*12</f>
        <v>-3.7233601952117383E-2</v>
      </c>
      <c r="AB362" s="338">
        <f>((AB228/AVERAGE($P$5:AB5))/AB3)*12</f>
        <v>-2.3428654633780632E-2</v>
      </c>
      <c r="AC362" s="338">
        <f>((AC228/AVERAGE($P$5:AC5))/AC3)*12</f>
        <v>2.8206099837225988E-2</v>
      </c>
      <c r="AD362" s="338">
        <f>((AD228/AVERAGE($P$5:AD5))/AD3)*12</f>
        <v>3.1368996236450494E-2</v>
      </c>
      <c r="AE362" s="338">
        <f>((AE228/AVERAGE($P$5:AE5))/AE3)*12</f>
        <v>2.5760224625343206E-2</v>
      </c>
      <c r="AF362" s="338">
        <f>((AF228/AVERAGE($P$5:AF5))/AF3)*12</f>
        <v>1.9446498834829032E-2</v>
      </c>
      <c r="AG362" s="338">
        <f>((AG228/AVERAGE($P$5:AG5))/AG3)*12</f>
        <v>1.6001758099624959E-2</v>
      </c>
      <c r="AH362" s="338">
        <f>((AH228/AVERAGE($P$5:AH5))/AH3)*12</f>
        <v>8.4536074002730839E-3</v>
      </c>
      <c r="AI362" s="338">
        <f>((AI228/AVERAGE($P$5:AI5))/AI3)*12</f>
        <v>8.1922913178731141E-3</v>
      </c>
      <c r="AJ362" s="338">
        <f>((AJ228/AVERAGE($P$5:AJ5))/AJ3)*12</f>
        <v>7.2095120969383839E-3</v>
      </c>
      <c r="AK362" s="338">
        <f>((AK228/AVERAGE($P$5:AK5))/AK3)*12</f>
        <v>6.3663184802627559E-3</v>
      </c>
      <c r="AL362" s="338">
        <f>((AL228/AVERAGE($P$5:AL5))/AL3)*12</f>
        <v>5.6602901043352749E-3</v>
      </c>
      <c r="AM362" s="338">
        <f>((AM228/AVERAGE($P$5:AM5))/AM3)*12</f>
        <v>7.9214168120800028E-3</v>
      </c>
      <c r="AN362" s="338">
        <f>((AN228/AVERAGE($P$5:AN5))/AN3)*12</f>
        <v>8.5531864064947727E-3</v>
      </c>
      <c r="AO362" s="338">
        <f>((AO228/AVERAGE($P$5:AO5))/AO3)*12</f>
        <v>1.3064389610799771E-2</v>
      </c>
      <c r="AP362" s="338">
        <f>((AP228/AVERAGE($P$5:AP5))/AP3)*12</f>
        <v>1.5803621429942068E-2</v>
      </c>
      <c r="AQ362" s="338">
        <f>((AQ228/AVERAGE($P$5:AQ5))/AQ3)*12</f>
        <v>1.7701409555296067E-2</v>
      </c>
      <c r="AR362" s="338">
        <f>((AR228/AVERAGE($P$5:AR5))/AR3)*12</f>
        <v>1.9063441162950976E-2</v>
      </c>
      <c r="AS362" s="338">
        <f>((AS228/AVERAGE($P$5:AS5))/AS3)*12</f>
        <v>2.0163152894595721E-2</v>
      </c>
      <c r="AT362" s="338">
        <f>((AT228/AVERAGE($P$5:AT5))/AT3)*12</f>
        <v>2.1612900908447752E-2</v>
      </c>
      <c r="AU362" s="338">
        <f>((AU228/AVERAGE($P$5:AU5))/AU3)*12</f>
        <v>2.2161543484486738E-2</v>
      </c>
      <c r="AV362" s="338">
        <f>((AV228/AVERAGE($P$5:AV5))/AV3)*12</f>
        <v>2.3143300364223886E-2</v>
      </c>
      <c r="AW362" s="338">
        <f>((AW228/AVERAGE($P$5:AW5))/AW3)*12</f>
        <v>2.3911927684036098E-2</v>
      </c>
      <c r="AX362" s="338">
        <f>((AX228/AVERAGE($P$5:AX5))/AX3)*12</f>
        <v>2.4122036160479456E-2</v>
      </c>
      <c r="AY362" s="332">
        <f>AX362-V362</f>
        <v>4.7680709937490809E-2</v>
      </c>
      <c r="AZ362" s="332">
        <f>AX362-P362</f>
        <v>2.3727198726865649E-2</v>
      </c>
      <c r="BA362" s="333"/>
      <c r="BB362" s="333"/>
    </row>
    <row r="363" spans="3:54" x14ac:dyDescent="0.25">
      <c r="C363" s="284" t="s">
        <v>803</v>
      </c>
      <c r="D363" s="329"/>
      <c r="E363" s="329"/>
      <c r="F363" s="329"/>
      <c r="G363" s="329"/>
      <c r="H363" s="329"/>
      <c r="I363" s="329"/>
      <c r="J363" s="329"/>
      <c r="K363" s="329"/>
      <c r="L363" s="329"/>
      <c r="M363" s="329"/>
      <c r="N363" s="329"/>
      <c r="O363" s="329"/>
      <c r="P363" s="329"/>
      <c r="Q363" s="329"/>
      <c r="R363" s="329"/>
      <c r="S363" s="329"/>
      <c r="T363" s="329"/>
      <c r="U363" s="329"/>
      <c r="V363" s="329"/>
      <c r="W363" s="329"/>
      <c r="X363" s="329"/>
      <c r="Y363" s="329"/>
      <c r="Z363" s="329"/>
      <c r="AA363" s="329"/>
      <c r="AB363" s="329"/>
      <c r="AC363" s="329"/>
      <c r="AD363" s="329"/>
      <c r="AE363" s="329"/>
      <c r="AF363" s="329"/>
      <c r="AG363" s="329"/>
      <c r="AH363" s="329"/>
      <c r="AI363" s="329"/>
      <c r="AJ363" s="329"/>
      <c r="AK363" s="329"/>
      <c r="AL363" s="329"/>
      <c r="AM363" s="329"/>
      <c r="AN363" s="329"/>
      <c r="AO363" s="329"/>
      <c r="AP363" s="329"/>
      <c r="AQ363" s="329"/>
      <c r="AR363" s="329"/>
      <c r="AS363" s="329"/>
      <c r="AT363" s="329"/>
      <c r="AU363" s="329"/>
      <c r="AV363" s="329"/>
      <c r="AW363" s="329"/>
      <c r="AX363" s="329"/>
      <c r="AY363" s="329"/>
      <c r="AZ363" s="329"/>
      <c r="BA363" s="330"/>
      <c r="BB363" s="330"/>
    </row>
    <row r="364" spans="3:54" x14ac:dyDescent="0.25">
      <c r="C364" s="291" t="s">
        <v>804</v>
      </c>
      <c r="D364" s="338">
        <f t="shared" ref="D364:AX364" si="940">D40/(D154+D160)</f>
        <v>0.76024231831424871</v>
      </c>
      <c r="E364" s="338">
        <f t="shared" si="940"/>
        <v>0.75414446804384583</v>
      </c>
      <c r="F364" s="338">
        <f t="shared" si="940"/>
        <v>0.79999256673426766</v>
      </c>
      <c r="G364" s="338">
        <f t="shared" si="940"/>
        <v>0.81143325390222887</v>
      </c>
      <c r="H364" s="338">
        <f t="shared" si="940"/>
        <v>0.84570881951291399</v>
      </c>
      <c r="I364" s="338">
        <f t="shared" si="940"/>
        <v>0.87402982875065771</v>
      </c>
      <c r="J364" s="338">
        <f t="shared" si="940"/>
        <v>0.86479205924210012</v>
      </c>
      <c r="K364" s="338">
        <f t="shared" si="940"/>
        <v>0.85175052363867609</v>
      </c>
      <c r="L364" s="338">
        <f t="shared" si="940"/>
        <v>0.85520724528224135</v>
      </c>
      <c r="M364" s="338">
        <f t="shared" si="940"/>
        <v>0.87237996010982355</v>
      </c>
      <c r="N364" s="338">
        <f t="shared" si="940"/>
        <v>0.81639291623838095</v>
      </c>
      <c r="O364" s="338">
        <f t="shared" si="940"/>
        <v>0.81186911880708035</v>
      </c>
      <c r="P364" s="338">
        <f t="shared" si="940"/>
        <v>0.7181526988466127</v>
      </c>
      <c r="Q364" s="338">
        <f t="shared" si="940"/>
        <v>0.70406138111519745</v>
      </c>
      <c r="R364" s="338">
        <f t="shared" si="940"/>
        <v>0.68635356659798663</v>
      </c>
      <c r="S364" s="338">
        <f t="shared" si="940"/>
        <v>0.69038066012244292</v>
      </c>
      <c r="T364" s="338">
        <f t="shared" si="940"/>
        <v>0.68451329835148167</v>
      </c>
      <c r="U364" s="338">
        <f t="shared" si="940"/>
        <v>0.60940917308350306</v>
      </c>
      <c r="V364" s="338">
        <f t="shared" si="940"/>
        <v>0.80111898307440976</v>
      </c>
      <c r="W364" s="338">
        <f t="shared" si="940"/>
        <v>0.82707070636606272</v>
      </c>
      <c r="X364" s="338">
        <f t="shared" ref="X364:AS364" si="941">X40/(X154+X160)</f>
        <v>0.81772726941427687</v>
      </c>
      <c r="Y364" s="338">
        <f t="shared" si="941"/>
        <v>0.83384604083145031</v>
      </c>
      <c r="Z364" s="338">
        <f t="shared" si="941"/>
        <v>0.82856564416689804</v>
      </c>
      <c r="AA364" s="338">
        <f t="shared" si="941"/>
        <v>0.77865313074349607</v>
      </c>
      <c r="AB364" s="338">
        <f t="shared" si="941"/>
        <v>0.76587290616764214</v>
      </c>
      <c r="AC364" s="338">
        <f t="shared" ref="AC364:AL364" si="942">AC40/(AC154+AC160)</f>
        <v>0.74616102739857271</v>
      </c>
      <c r="AD364" s="338">
        <f t="shared" si="942"/>
        <v>0.73618768240140253</v>
      </c>
      <c r="AE364" s="338">
        <f t="shared" si="942"/>
        <v>0.73887730467111812</v>
      </c>
      <c r="AF364" s="338">
        <f t="shared" si="942"/>
        <v>0.78206758532363851</v>
      </c>
      <c r="AG364" s="338">
        <f t="shared" si="942"/>
        <v>0.78060453940560759</v>
      </c>
      <c r="AH364" s="338">
        <f t="shared" si="942"/>
        <v>0.80642095309549322</v>
      </c>
      <c r="AI364" s="338">
        <f t="shared" si="942"/>
        <v>0.77449926556196125</v>
      </c>
      <c r="AJ364" s="338">
        <f t="shared" si="942"/>
        <v>0.79832119221497444</v>
      </c>
      <c r="AK364" s="338">
        <f t="shared" si="942"/>
        <v>0.81498742582538652</v>
      </c>
      <c r="AL364" s="338">
        <f t="shared" si="942"/>
        <v>0.83232183881424404</v>
      </c>
      <c r="AM364" s="338">
        <f t="shared" si="941"/>
        <v>0.82809135291602776</v>
      </c>
      <c r="AN364" s="338">
        <f t="shared" si="941"/>
        <v>0.82322521985507358</v>
      </c>
      <c r="AO364" s="338">
        <f t="shared" si="941"/>
        <v>0.81710922583890166</v>
      </c>
      <c r="AP364" s="338">
        <f t="shared" si="941"/>
        <v>0.80750738480777795</v>
      </c>
      <c r="AQ364" s="338">
        <f t="shared" si="941"/>
        <v>0.8013112278461606</v>
      </c>
      <c r="AR364" s="338">
        <f t="shared" si="941"/>
        <v>0.79532717861281044</v>
      </c>
      <c r="AS364" s="338">
        <f t="shared" si="941"/>
        <v>0.789180141080987</v>
      </c>
      <c r="AT364" s="338">
        <f t="shared" si="940"/>
        <v>0.78291371145684285</v>
      </c>
      <c r="AU364" s="338">
        <f t="shared" si="940"/>
        <v>0.77776563325094172</v>
      </c>
      <c r="AV364" s="338">
        <f t="shared" si="940"/>
        <v>0.77059261409195867</v>
      </c>
      <c r="AW364" s="338">
        <f t="shared" si="940"/>
        <v>0.76388202478723999</v>
      </c>
      <c r="AX364" s="338">
        <f t="shared" si="940"/>
        <v>0.75718743235042463</v>
      </c>
      <c r="AY364" s="332">
        <f>AX364-V364</f>
        <v>-4.3931550723985135E-2</v>
      </c>
      <c r="AZ364" s="332">
        <f>AX364-P364</f>
        <v>3.9034733503811925E-2</v>
      </c>
      <c r="BA364" s="333"/>
      <c r="BB364" s="333"/>
    </row>
    <row r="365" spans="3:54" x14ac:dyDescent="0.25">
      <c r="C365" s="284" t="s">
        <v>805</v>
      </c>
      <c r="D365" s="329"/>
      <c r="E365" s="329"/>
      <c r="F365" s="329"/>
      <c r="G365" s="329"/>
      <c r="H365" s="329"/>
      <c r="I365" s="329"/>
      <c r="J365" s="329"/>
      <c r="K365" s="329"/>
      <c r="L365" s="329"/>
      <c r="M365" s="329"/>
      <c r="N365" s="329"/>
      <c r="O365" s="329"/>
      <c r="P365" s="329"/>
      <c r="Q365" s="329"/>
      <c r="R365" s="329"/>
      <c r="S365" s="329"/>
      <c r="T365" s="329"/>
      <c r="U365" s="329"/>
      <c r="V365" s="329"/>
      <c r="W365" s="329"/>
      <c r="X365" s="329"/>
      <c r="Y365" s="329"/>
      <c r="Z365" s="329"/>
      <c r="AA365" s="329"/>
      <c r="AB365" s="329"/>
      <c r="AC365" s="329"/>
      <c r="AD365" s="329"/>
      <c r="AE365" s="329"/>
      <c r="AF365" s="329"/>
      <c r="AG365" s="329"/>
      <c r="AH365" s="329"/>
      <c r="AI365" s="329"/>
      <c r="AJ365" s="329"/>
      <c r="AK365" s="329"/>
      <c r="AL365" s="329"/>
      <c r="AM365" s="329"/>
      <c r="AN365" s="329"/>
      <c r="AO365" s="329"/>
      <c r="AP365" s="329"/>
      <c r="AQ365" s="329"/>
      <c r="AR365" s="329"/>
      <c r="AS365" s="329"/>
      <c r="AT365" s="329"/>
      <c r="AU365" s="329"/>
      <c r="AV365" s="329"/>
      <c r="AW365" s="329"/>
      <c r="AX365" s="329"/>
      <c r="AY365" s="329"/>
      <c r="AZ365" s="329"/>
      <c r="BA365" s="330"/>
      <c r="BB365" s="330"/>
    </row>
    <row r="366" spans="3:54" x14ac:dyDescent="0.25">
      <c r="C366" s="291" t="s">
        <v>806</v>
      </c>
      <c r="D366" s="339">
        <f>((BRmarg!C28/AVERAGE(BGhoriz!$D$212:D212))/BGhoriz!D3)*12</f>
        <v>0</v>
      </c>
      <c r="E366" s="339">
        <f>((BRmarg!D28/AVERAGE(BGhoriz!$D$212:E212))/BGhoriz!E3)*12</f>
        <v>0</v>
      </c>
      <c r="F366" s="339">
        <f>((BRmarg!E28/AVERAGE(BGhoriz!$D$212:F212))/BGhoriz!F3)*12</f>
        <v>0</v>
      </c>
      <c r="G366" s="339">
        <f>((BRmarg!F28/AVERAGE(BGhoriz!$D$212:G212))/BGhoriz!G3)*12</f>
        <v>0</v>
      </c>
      <c r="H366" s="339">
        <f>((BRmarg!G28/AVERAGE(BGhoriz!$D$212:H212))/BGhoriz!H3)*12</f>
        <v>0</v>
      </c>
      <c r="I366" s="339">
        <f>((BRmarg!H28/AVERAGE(BGhoriz!$D$212:I212))/BGhoriz!I3)*12</f>
        <v>0</v>
      </c>
      <c r="J366" s="339">
        <f>((BRmarg!I28/AVERAGE(BGhoriz!$D$212:J212))/BGhoriz!J3)*12</f>
        <v>0</v>
      </c>
      <c r="K366" s="339">
        <f>((BRmarg!J28/AVERAGE(BGhoriz!$D$212:K212))/BGhoriz!K3)*12</f>
        <v>0</v>
      </c>
      <c r="L366" s="339">
        <f>((BRmarg!K28/AVERAGE(BGhoriz!$D$212:L212))/BGhoriz!L3)*12</f>
        <v>0</v>
      </c>
      <c r="M366" s="339">
        <f>((BRmarg!L28/AVERAGE(BGhoriz!$D$212:M212))/BGhoriz!M3)*12</f>
        <v>0</v>
      </c>
      <c r="N366" s="339">
        <f>((BRmarg!M28/AVERAGE(BGhoriz!$D$212:N212))/BGhoriz!N3)*12</f>
        <v>0</v>
      </c>
      <c r="O366" s="339">
        <f>((BRmarg!N28/AVERAGE(BGhoriz!$D$212:O212))/BGhoriz!O3)*12</f>
        <v>0</v>
      </c>
      <c r="P366" s="339">
        <f>((BRmarg!O28/AVERAGE(BGhoriz!$D$212:P212))/BGhoriz!P3)*12</f>
        <v>0</v>
      </c>
      <c r="Q366" s="339">
        <f>((BRhoriz!AC209/AVERAGE(BGhoriz!$P$212:Q212))/BGhoriz!Q3)*12</f>
        <v>-0.23205678515349809</v>
      </c>
      <c r="R366" s="339">
        <f>((BRhoriz!AD209/AVERAGE(BGhoriz!$P$212:R212))/BGhoriz!R3)*12</f>
        <v>-0.34498868299622459</v>
      </c>
      <c r="S366" s="339">
        <f>((BRhoriz!AE209/AVERAGE(BGhoriz!$P$212:S212))/BGhoriz!S3)*12</f>
        <v>-0.25121143583234695</v>
      </c>
      <c r="T366" s="339">
        <f>((BRhoriz!AF209/AVERAGE(BGhoriz!$P$212:T212))/BGhoriz!T3)*12</f>
        <v>-0.2275694446261354</v>
      </c>
      <c r="U366" s="339">
        <f>((BRhoriz!AG209/AVERAGE(BGhoriz!$P$212:U212))/BGhoriz!U3)*12</f>
        <v>-0.24741746810271445</v>
      </c>
      <c r="V366" s="339">
        <f>((BRhoriz!AH209/AVERAGE(BGhoriz!$P$212:V212))/BGhoriz!V3)*12</f>
        <v>-0.30704899878951397</v>
      </c>
      <c r="W366" s="339">
        <f>((BRhoriz!AI209/AVERAGE(BGhoriz!$P$212:W212))/BGhoriz!W3)*12</f>
        <v>-0.26341174138544809</v>
      </c>
      <c r="X366" s="339">
        <f>((BRhoriz!BR209/AVERAGE(BGhoriz!$P$212:X212))/BGhoriz!X3)*12</f>
        <v>6.6701065051382596E-2</v>
      </c>
      <c r="Y366" s="339" t="e">
        <f>((BRhoriz!BS209/AVERAGE(BGhoriz!$P$212:Y212))/BGhoriz!Y3)*12</f>
        <v>#DIV/0!</v>
      </c>
      <c r="Z366" s="339">
        <f>((BRhoriz!BT209/AVERAGE(BGhoriz!$P$212:Z212))/BGhoriz!Z3)*12</f>
        <v>0.10187376627929855</v>
      </c>
      <c r="AA366" s="339">
        <f>((BRhoriz!BU209/AVERAGE(BGhoriz!$P$212:AA212))/BGhoriz!AA3)*12</f>
        <v>0.11607556587753634</v>
      </c>
      <c r="AB366" s="339">
        <f>((BRhoriz!BV209/AVERAGE(BGhoriz!$P$212:AB212))/BGhoriz!AB3)*12</f>
        <v>0.12986168724406921</v>
      </c>
      <c r="AC366" s="339">
        <f>((BRhoriz!BW209/AVERAGE(BGhoriz!$P$212:AC212))/BGhoriz!AC3)*12</f>
        <v>0</v>
      </c>
      <c r="AD366" s="339">
        <f>((BRhoriz!BX209/AVERAGE(BGhoriz!$P$212:AD212))/BGhoriz!AD3)*12</f>
        <v>0</v>
      </c>
      <c r="AE366" s="339">
        <f>((BRhoriz!BY209/AVERAGE(BGhoriz!$P$212:AE212))/BGhoriz!AE3)*12</f>
        <v>0</v>
      </c>
      <c r="AF366" s="339">
        <f>((BRhoriz!BZ209/AVERAGE(BGhoriz!$P$212:AF212))/BGhoriz!AF3)*12</f>
        <v>0</v>
      </c>
      <c r="AG366" s="339">
        <f>((BRhoriz!CA209/AVERAGE(BGhoriz!$P$212:AG212))/BGhoriz!AG3)*12</f>
        <v>0</v>
      </c>
      <c r="AH366" s="339">
        <f>((BRhoriz!CB209/AVERAGE(BGhoriz!$P$212:AH212))/BGhoriz!AH3)*12</f>
        <v>0</v>
      </c>
      <c r="AI366" s="339">
        <f>((BRhoriz!CC209/AVERAGE(BGhoriz!$P$212:AI212))/BGhoriz!AI3)*12</f>
        <v>0</v>
      </c>
      <c r="AJ366" s="339">
        <f>((BRhoriz!CD209/AVERAGE(BGhoriz!$P$212:AJ212))/BGhoriz!AJ3)*12</f>
        <v>0</v>
      </c>
      <c r="AK366" s="339">
        <f>((BRhoriz!CE209/AVERAGE(BGhoriz!$P$212:AK212))/BGhoriz!AK3)*12</f>
        <v>0</v>
      </c>
      <c r="AL366" s="339">
        <f>((BRhoriz!CF209/AVERAGE(BGhoriz!$P$212:AL212))/BGhoriz!AL3)*12</f>
        <v>0</v>
      </c>
      <c r="AM366" s="339">
        <f>((BRhoriz!AC209/AVERAGE(BGhoriz!$P$212:AM212))/BGhoriz!AM3)*12</f>
        <v>-0.14585957195679641</v>
      </c>
      <c r="AN366" s="339">
        <f>((BRhoriz!AD209/AVERAGE(BGhoriz!$P$212:AN212))/BGhoriz!AN3)*12</f>
        <v>-0.21574154831703257</v>
      </c>
      <c r="AO366" s="339">
        <f>((BRhoriz!AE209/AVERAGE(BGhoriz!$P$212:AO212))/BGhoriz!AO3)*12</f>
        <v>-0.15625406111647819</v>
      </c>
      <c r="AP366" s="339">
        <f>((BRhoriz!AF209/AVERAGE(BGhoriz!$P$212:AP212))/BGhoriz!AP3)*12</f>
        <v>-0.14064384599534649</v>
      </c>
      <c r="AQ366" s="339">
        <f>((BRhoriz!AG209/AVERAGE(BGhoriz!$P$212:AQ212))/BGhoriz!AQ3)*12</f>
        <v>-0.15204570202294737</v>
      </c>
      <c r="AR366" s="339">
        <f>((BRhoriz!AH209/AVERAGE(BGhoriz!$P$212:AR212))/BGhoriz!AR3)*12</f>
        <v>-0.18759659028390127</v>
      </c>
      <c r="AS366" s="339">
        <f>((BRhoriz!AI209/AVERAGE(BGhoriz!$P$212:AS212))/BGhoriz!AS3)*12</f>
        <v>-0.15987336630270071</v>
      </c>
      <c r="AT366" s="339">
        <f>((BRhoriz!BR209/AVERAGE(BGhoriz!$P$212:AT212))/BGhoriz!AT3)*12</f>
        <v>4.4834267135420713E-2</v>
      </c>
      <c r="AU366" s="339">
        <f>((BRhoriz!BS209/AVERAGE(BGhoriz!$P$212:AU212))/BGhoriz!AU3)*12</f>
        <v>5.9268441575377584E-2</v>
      </c>
      <c r="AV366" s="339">
        <f>((BRhoriz!BT209/AVERAGE(BGhoriz!$P$212:AV212))/BGhoriz!AV3)*12</f>
        <v>7.7429540942234726E-2</v>
      </c>
      <c r="AW366" s="339">
        <f>((BRhoriz!BU209/AVERAGE(BGhoriz!$P$212:AW212))/BGhoriz!AW3)*12</f>
        <v>9.180713115128819E-2</v>
      </c>
      <c r="AX366" s="339">
        <f>((BRhoriz!BV209/AVERAGE(BGhoriz!$P$212:AX212))/BGhoriz!AX3)*12</f>
        <v>0.10437584153568957</v>
      </c>
      <c r="AY366" s="332">
        <f>AX366-V366</f>
        <v>0.41142484032520354</v>
      </c>
      <c r="AZ366" s="332">
        <f>AX366-P366</f>
        <v>0.10437584153568957</v>
      </c>
      <c r="BA366" s="333"/>
      <c r="BB366" s="333"/>
    </row>
    <row r="367" spans="3:54" x14ac:dyDescent="0.25">
      <c r="C367" s="291" t="s">
        <v>807</v>
      </c>
      <c r="D367" s="339">
        <f>((BRmarg!C28/AVERAGE($D$5:D5))/BGhoriz!D3)*12</f>
        <v>0</v>
      </c>
      <c r="E367" s="339">
        <f>((BRmarg!D28/AVERAGE($D$5:E5))/BGhoriz!E3)*12</f>
        <v>0</v>
      </c>
      <c r="F367" s="339">
        <f>((BRmarg!E28/AVERAGE($D$5:F5))/BGhoriz!F3)*12</f>
        <v>0</v>
      </c>
      <c r="G367" s="339">
        <f>((BRmarg!F28/AVERAGE($D$5:G5))/BGhoriz!G3)*12</f>
        <v>0</v>
      </c>
      <c r="H367" s="339">
        <f>((BRmarg!G28/AVERAGE($D$5:H5))/BGhoriz!H3)*12</f>
        <v>0</v>
      </c>
      <c r="I367" s="339">
        <f>((BRmarg!H28/AVERAGE($D$5:I5))/BGhoriz!I3)*12</f>
        <v>0</v>
      </c>
      <c r="J367" s="339">
        <f>((BRmarg!I28/AVERAGE($D$5:J5))/BGhoriz!J3)*12</f>
        <v>0</v>
      </c>
      <c r="K367" s="339">
        <f>((BRmarg!J28/AVERAGE($D$5:K5))/BGhoriz!K3)*12</f>
        <v>0</v>
      </c>
      <c r="L367" s="339">
        <f>((BRmarg!K28/AVERAGE($D$5:L5))/BGhoriz!L3)*12</f>
        <v>0</v>
      </c>
      <c r="M367" s="339">
        <f>((BRmarg!L28/AVERAGE($D$5:M5))/BGhoriz!M3)*12</f>
        <v>0</v>
      </c>
      <c r="N367" s="339">
        <f>((BRmarg!M28/AVERAGE($D$5:N5))/BGhoriz!N3)*12</f>
        <v>0</v>
      </c>
      <c r="O367" s="339">
        <f>((BRmarg!N28/AVERAGE($D$5:O5))/BGhoriz!O3)*12</f>
        <v>0</v>
      </c>
      <c r="P367" s="339">
        <f>((BRmarg!O28/AVERAGE($D$5:P5))/BGhoriz!P3)*12</f>
        <v>0</v>
      </c>
      <c r="Q367" s="339">
        <f>((BRhoriz!AC209/AVERAGE($P$5:Q5))/BGhoriz!Q3)*12</f>
        <v>-3.5221800592667288E-2</v>
      </c>
      <c r="R367" s="339">
        <f>((BRhoriz!AD209/AVERAGE($P$5:R5))/BGhoriz!R3)*12</f>
        <v>-5.2618153237118576E-2</v>
      </c>
      <c r="S367" s="339">
        <f>((BRhoriz!AE209/AVERAGE($P$5:S5))/BGhoriz!S3)*12</f>
        <v>-3.8294989213804219E-2</v>
      </c>
      <c r="T367" s="339">
        <f>((BRhoriz!AF209/AVERAGE($P$5:T5))/BGhoriz!T3)*12</f>
        <v>-3.4610179755440354E-2</v>
      </c>
      <c r="U367" s="339">
        <f>((BRhoriz!AG209/AVERAGE($P$5:U5))/BGhoriz!U3)*12</f>
        <v>-3.7072674835435117E-2</v>
      </c>
      <c r="V367" s="339">
        <f>((BRhoriz!AH209/AVERAGE($P$5:V5))/BGhoriz!V3)*12</f>
        <v>-4.4678180473460526E-2</v>
      </c>
      <c r="W367" s="339">
        <f>((BRhoriz!AI209/AVERAGE($P$5:W5))/BGhoriz!W3)*12</f>
        <v>-3.7487859445322652E-2</v>
      </c>
      <c r="X367" s="339">
        <f>((BRhoriz!BR209/AVERAGE($P$5:X5))/BGhoriz!X3)*12</f>
        <v>1.0389984764353063E-2</v>
      </c>
      <c r="Y367" s="339" t="e">
        <f>((BRhoriz!BS209/AVERAGE($P$5:Y5))/BGhoriz!Y3)*12</f>
        <v>#DIV/0!</v>
      </c>
      <c r="Z367" s="339">
        <f>((BRhoriz!BT209/AVERAGE($P$5:Z5))/BGhoriz!Z3)*12</f>
        <v>1.7643631043111473E-2</v>
      </c>
      <c r="AA367" s="339">
        <f>((BRhoriz!BU209/AVERAGE($P$5:AA5))/BGhoriz!AA3)*12</f>
        <v>2.0758838471924983E-2</v>
      </c>
      <c r="AB367" s="339">
        <f>((BRhoriz!BV209/AVERAGE($P$5:AB5))/BGhoriz!AB3)*12</f>
        <v>2.3546089657686141E-2</v>
      </c>
      <c r="AC367" s="339">
        <f>((BRhoriz!BW209/AVERAGE($P$5:AC5))/BGhoriz!AC3)*12</f>
        <v>0</v>
      </c>
      <c r="AD367" s="339">
        <f>((BRhoriz!BX209/AVERAGE($P$5:AD5))/BGhoriz!AD3)*12</f>
        <v>0</v>
      </c>
      <c r="AE367" s="339">
        <f>((BRhoriz!BY209/AVERAGE($P$5:AE5))/BGhoriz!AE3)*12</f>
        <v>0</v>
      </c>
      <c r="AF367" s="339">
        <f>((BRhoriz!BZ209/AVERAGE($P$5:AF5))/BGhoriz!AF3)*12</f>
        <v>0</v>
      </c>
      <c r="AG367" s="339">
        <f>((BRhoriz!CA209/AVERAGE($P$5:AG5))/BGhoriz!AG3)*12</f>
        <v>0</v>
      </c>
      <c r="AH367" s="339">
        <f>((BRhoriz!CB209/AVERAGE($P$5:AH5))/BGhoriz!AH3)*12</f>
        <v>0</v>
      </c>
      <c r="AI367" s="339">
        <f>((BRhoriz!CC209/AVERAGE($P$5:AI5))/BGhoriz!AI3)*12</f>
        <v>0</v>
      </c>
      <c r="AJ367" s="339">
        <f>((BRhoriz!CD209/AVERAGE($P$5:AJ5))/BGhoriz!AJ3)*12</f>
        <v>0</v>
      </c>
      <c r="AK367" s="339">
        <f>((BRhoriz!CE209/AVERAGE($P$5:AK5))/BGhoriz!AK3)*12</f>
        <v>0</v>
      </c>
      <c r="AL367" s="339">
        <f>((BRhoriz!CF209/AVERAGE($P$5:AL5))/BGhoriz!AL3)*12</f>
        <v>0</v>
      </c>
      <c r="AM367" s="339">
        <f>((BRhoriz!AC209/AVERAGE($P$5:AM5))/BGhoriz!AM3)*12</f>
        <v>-2.5129286092415288E-2</v>
      </c>
      <c r="AN367" s="339">
        <f>((BRhoriz!AD209/AVERAGE($P$5:AN5))/BGhoriz!AN3)*12</f>
        <v>-3.6628665437449928E-2</v>
      </c>
      <c r="AO367" s="339">
        <f>((BRhoriz!AE209/AVERAGE($P$5:AO5))/BGhoriz!AO3)*12</f>
        <v>-2.6099267289582902E-2</v>
      </c>
      <c r="AP367" s="339">
        <f>((BRhoriz!AF209/AVERAGE($P$5:AP5))/BGhoriz!AP3)*12</f>
        <v>-2.3085740172754075E-2</v>
      </c>
      <c r="AQ367" s="339">
        <f>((BRhoriz!AG209/AVERAGE($P$5:AQ5))/BGhoriz!AQ3)*12</f>
        <v>-2.4506997354008235E-2</v>
      </c>
      <c r="AR367" s="339">
        <f>((BRhoriz!AH209/AVERAGE($P$5:AR5))/BGhoriz!AR3)*12</f>
        <v>-2.9671425396533262E-2</v>
      </c>
      <c r="AS367" s="339">
        <f>((BRhoriz!AI209/AVERAGE($P$5:AS5))/BGhoriz!AS3)*12</f>
        <v>-2.4788863032944915E-2</v>
      </c>
      <c r="AT367" s="339">
        <f>((BRhoriz!BR209/AVERAGE($P$5:AT5))/BGhoriz!AT3)*12</f>
        <v>6.8141919080131255E-3</v>
      </c>
      <c r="AU367" s="339">
        <f>((BRhoriz!BS209/AVERAGE($P$5:AU5))/BGhoriz!AU3)*12</f>
        <v>8.8305992721814351E-3</v>
      </c>
      <c r="AV367" s="339">
        <f>((BRhoriz!BT209/AVERAGE($P$5:AV5))/BGhoriz!AV3)*12</f>
        <v>1.1310816988210765E-2</v>
      </c>
      <c r="AW367" s="339">
        <f>((BRhoriz!BU209/AVERAGE($P$5:AW5))/BGhoriz!AW3)*12</f>
        <v>1.3148487413552743E-2</v>
      </c>
      <c r="AX367" s="339">
        <f>((BRhoriz!BV209/AVERAGE($P$5:AX5))/BGhoriz!AX3)*12</f>
        <v>1.4733042155968355E-2</v>
      </c>
      <c r="AY367" s="332">
        <f>AX367-V367</f>
        <v>5.9411222629428884E-2</v>
      </c>
      <c r="AZ367" s="332">
        <f>AX367-P367</f>
        <v>1.4733042155968355E-2</v>
      </c>
      <c r="BA367" s="333"/>
      <c r="BB367" s="333"/>
    </row>
    <row r="368" spans="3:54" x14ac:dyDescent="0.25">
      <c r="C368" s="284" t="s">
        <v>808</v>
      </c>
      <c r="D368" s="329"/>
      <c r="E368" s="329"/>
      <c r="F368" s="329"/>
      <c r="G368" s="329"/>
      <c r="H368" s="329"/>
      <c r="I368" s="329"/>
      <c r="J368" s="329"/>
      <c r="K368" s="329"/>
      <c r="L368" s="329"/>
      <c r="M368" s="329"/>
      <c r="N368" s="329"/>
      <c r="O368" s="329"/>
      <c r="P368" s="329"/>
      <c r="Q368" s="329"/>
      <c r="R368" s="329"/>
      <c r="S368" s="329"/>
      <c r="T368" s="329"/>
      <c r="U368" s="329"/>
      <c r="V368" s="329"/>
      <c r="W368" s="329"/>
      <c r="X368" s="329"/>
      <c r="Y368" s="329"/>
      <c r="Z368" s="329"/>
      <c r="AA368" s="329"/>
      <c r="AB368" s="329"/>
      <c r="AC368" s="329"/>
      <c r="AD368" s="329"/>
      <c r="AE368" s="329"/>
      <c r="AF368" s="329"/>
      <c r="AG368" s="329"/>
      <c r="AH368" s="329"/>
      <c r="AI368" s="329"/>
      <c r="AJ368" s="329"/>
      <c r="AK368" s="329"/>
      <c r="AL368" s="329"/>
      <c r="AM368" s="329"/>
      <c r="AN368" s="329"/>
      <c r="AO368" s="329"/>
      <c r="AP368" s="329"/>
      <c r="AQ368" s="329"/>
      <c r="AR368" s="329"/>
      <c r="AS368" s="329"/>
      <c r="AT368" s="329"/>
      <c r="AU368" s="329"/>
      <c r="AV368" s="329"/>
      <c r="AW368" s="329"/>
      <c r="AX368" s="329"/>
      <c r="AY368" s="329"/>
      <c r="AZ368" s="329"/>
      <c r="BA368" s="330"/>
      <c r="BB368" s="330"/>
    </row>
    <row r="369" spans="3:54" x14ac:dyDescent="0.25">
      <c r="C369" s="291" t="s">
        <v>809</v>
      </c>
      <c r="D369" s="339">
        <f>(((BRhoriz!D157+BRhoriz!D165)/BGhoriz!D54)/D3)*12</f>
        <v>7.9756599077462922E-2</v>
      </c>
      <c r="E369" s="339">
        <f>((BRhoriz!Q157/BGhoriz!E54)/E3)*12</f>
        <v>0.11687313127341144</v>
      </c>
      <c r="F369" s="339">
        <f>((BRhoriz!R157/BGhoriz!F54)/F3)*12</f>
        <v>8.8451339155880604E-2</v>
      </c>
      <c r="G369" s="339">
        <f>((BRhoriz!S157/BGhoriz!G54)/G3)*12</f>
        <v>9.9362916017723207E-2</v>
      </c>
      <c r="H369" s="339">
        <f>((BRhoriz!T157/BGhoriz!H54)/H3)*12</f>
        <v>0.11004607257912399</v>
      </c>
      <c r="I369" s="339">
        <f>((BRhoriz!U157/BGhoriz!I54)/I3)*12</f>
        <v>0.10110618028238333</v>
      </c>
      <c r="J369" s="339">
        <f>((BRhoriz!V157/BGhoriz!J54)/J3)*12</f>
        <v>0.10815148341411257</v>
      </c>
      <c r="K369" s="339">
        <f>((BRhoriz!W157/BGhoriz!K54)/K3)*12</f>
        <v>0.12726971857773434</v>
      </c>
      <c r="L369" s="339">
        <f>((BRhoriz!X157/BGhoriz!L54)/L3)*12</f>
        <v>0.11969313052024172</v>
      </c>
      <c r="M369" s="339">
        <f>((BRhoriz!Y157/BGhoriz!M54)/M3)*12</f>
        <v>0.14163463349016267</v>
      </c>
      <c r="N369" s="339">
        <f>((BRhoriz!Z157/BGhoriz!N54)/N3)*12</f>
        <v>0.15923296127140102</v>
      </c>
      <c r="O369" s="339">
        <f>((BRhoriz!AA157/BGhoriz!O54)/O3)*12</f>
        <v>0.16686407762097416</v>
      </c>
      <c r="P369" s="339">
        <f>((BRhoriz!AB157/BGhoriz!P54)/P3)*12</f>
        <v>0.16670954619742928</v>
      </c>
      <c r="Q369" s="339">
        <f>((BRhoriz!AC157/Q246)/Q3)*12</f>
        <v>0.11031567118427056</v>
      </c>
      <c r="R369" s="339">
        <f>((BRhoriz!AD157/R246)/R3)*12</f>
        <v>0.10567789153136167</v>
      </c>
      <c r="S369" s="339">
        <f>((BRhoriz!AE157/S246)/S3)*12</f>
        <v>8.9442594955392377E-2</v>
      </c>
      <c r="T369" s="339">
        <f>((BRhoriz!AF157/T246)/T3)*12</f>
        <v>9.0240779193720422E-2</v>
      </c>
      <c r="U369" s="339">
        <f>((BRhoriz!AG157/U246)/U3)*12</f>
        <v>9.2158271734584241E-2</v>
      </c>
      <c r="V369" s="339">
        <f>((BRhoriz!AH157/V246)/V3)*12</f>
        <v>0.10383598726962343</v>
      </c>
      <c r="W369" s="339">
        <f>((BRhoriz!AI157/W246)/W3)*12</f>
        <v>0.11117148471013184</v>
      </c>
      <c r="X369" s="339">
        <f>((BRhoriz!BR157/X246)/X3)*12</f>
        <v>8.6333279879376418E-2</v>
      </c>
      <c r="Y369" s="339" t="e">
        <f>((BRhoriz!BS157/Y246)/Y3)*12</f>
        <v>#DIV/0!</v>
      </c>
      <c r="Z369" s="339">
        <f>((BRhoriz!BT157/Z246)/Z3)*12</f>
        <v>8.5982308705269239E-2</v>
      </c>
      <c r="AA369" s="339">
        <f>((BRhoriz!BU157/AA246)/AA3)*12</f>
        <v>8.4490986458591544E-2</v>
      </c>
      <c r="AB369" s="339">
        <f>((BRhoriz!BV157/AB246)/AB3)*12</f>
        <v>8.1040416312025035E-2</v>
      </c>
      <c r="AC369" s="339">
        <f>((BRhoriz!BW157/AC246)/AC3)*12</f>
        <v>0</v>
      </c>
      <c r="AD369" s="339">
        <f>((BRhoriz!BX157/AD246)/AD3)*12</f>
        <v>0</v>
      </c>
      <c r="AE369" s="339">
        <f>((BRhoriz!BY157/AE246)/AE3)*12</f>
        <v>0</v>
      </c>
      <c r="AF369" s="339">
        <f>((BRhoriz!BZ157/AF246)/AF3)*12</f>
        <v>0</v>
      </c>
      <c r="AG369" s="339">
        <f>((BRhoriz!CA157/AG246)/AG3)*12</f>
        <v>0</v>
      </c>
      <c r="AH369" s="339">
        <f>((BRhoriz!CB157/AH246)/AH3)*12</f>
        <v>0</v>
      </c>
      <c r="AI369" s="339">
        <f>((BRhoriz!CC157/AI246)/AI3)*12</f>
        <v>0</v>
      </c>
      <c r="AJ369" s="339">
        <f>((BRhoriz!CD157/AJ246)/AJ3)*12</f>
        <v>0</v>
      </c>
      <c r="AK369" s="339">
        <f>((BRhoriz!CE157/AK246)/AK3)*12</f>
        <v>0</v>
      </c>
      <c r="AL369" s="339">
        <f>((BRhoriz!CF157/AL246)/AL3)*12</f>
        <v>0</v>
      </c>
      <c r="AM369" s="339">
        <f>CalcIntCart!E54</f>
        <v>9.8656231751426293E-2</v>
      </c>
      <c r="AN369" s="339">
        <f>CalcIntCart!F54</f>
        <v>9.8644765552732994E-2</v>
      </c>
      <c r="AO369" s="339">
        <f>CalcIntCart!G54</f>
        <v>9.8651064310157785E-2</v>
      </c>
      <c r="AP369" s="339">
        <f>CalcIntCart!H54</f>
        <v>9.8632505643387228E-2</v>
      </c>
      <c r="AQ369" s="339">
        <f>CalcIntCart!I54</f>
        <v>9.8605195027340969E-2</v>
      </c>
      <c r="AR369" s="339">
        <f>CalcIntCart!J54</f>
        <v>9.8584145102351695E-2</v>
      </c>
      <c r="AS369" s="339">
        <f>CalcIntCart!K54</f>
        <v>9.8534902314409561E-2</v>
      </c>
      <c r="AT369" s="339">
        <f>CalcIntCart!L54</f>
        <v>9.8543839085459037E-2</v>
      </c>
      <c r="AU369" s="339">
        <f>CalcIntCart!M54</f>
        <v>9.8567349613833233E-2</v>
      </c>
      <c r="AV369" s="339">
        <f>CalcIntCart!N54</f>
        <v>9.8522745445123711E-2</v>
      </c>
      <c r="AW369" s="339">
        <f>CalcIntCart!O54</f>
        <v>9.8485259250002108E-2</v>
      </c>
      <c r="AX369" s="339">
        <f>CalcIntCart!P54</f>
        <v>9.8526368006453757E-2</v>
      </c>
      <c r="AY369" s="332">
        <f t="shared" ref="AY369:AY378" si="943">AX369-V369</f>
        <v>-5.3096192631696681E-3</v>
      </c>
      <c r="AZ369" s="332">
        <f t="shared" ref="AZ369:AZ378" si="944">AX369-P369</f>
        <v>-6.8183178190975524E-2</v>
      </c>
      <c r="BA369" s="333"/>
      <c r="BB369" s="333"/>
    </row>
    <row r="370" spans="3:54" x14ac:dyDescent="0.25">
      <c r="C370" s="291" t="s">
        <v>810</v>
      </c>
      <c r="D370" s="339">
        <f>((BRhoriz!D158/BGhoriz!D55)/D3)*12</f>
        <v>0.1359857514829072</v>
      </c>
      <c r="E370" s="339">
        <f>((BRhoriz!Q158/BGhoriz!E55)/E3)*12</f>
        <v>0.11956921610655286</v>
      </c>
      <c r="F370" s="339">
        <f>((BRhoriz!R158/BGhoriz!F55)/F3)*12</f>
        <v>0.11780693424748818</v>
      </c>
      <c r="G370" s="339">
        <f>((BRhoriz!S158/BGhoriz!G55)/G3)*12</f>
        <v>0.12169839195587287</v>
      </c>
      <c r="H370" s="339">
        <f>((BRhoriz!T158/BGhoriz!H55)/H3)*12</f>
        <v>0.12482726435776251</v>
      </c>
      <c r="I370" s="339">
        <f>((BRhoriz!U158/BGhoriz!I55)/I3)*12</f>
        <v>0.12604015820366243</v>
      </c>
      <c r="J370" s="339">
        <f>((BRhoriz!V158/BGhoriz!J55)/J3)*12</f>
        <v>0.12942497407664089</v>
      </c>
      <c r="K370" s="339">
        <f>((BRhoriz!W158/BGhoriz!K55)/K3)*12</f>
        <v>0.1331457042345093</v>
      </c>
      <c r="L370" s="339">
        <f>((BRhoriz!X158/BGhoriz!L55)/L3)*12</f>
        <v>0.1329512524809261</v>
      </c>
      <c r="M370" s="339">
        <f>((BRhoriz!Y158/BGhoriz!M55)/M3)*12</f>
        <v>0.12985863088044797</v>
      </c>
      <c r="N370" s="339">
        <f>((BRhoriz!Z158/BGhoriz!N55)/N3)*12</f>
        <v>0.15408919091216844</v>
      </c>
      <c r="O370" s="339">
        <f>((BRhoriz!AA158/BGhoriz!O55)/O3)*12</f>
        <v>0.13248180118877581</v>
      </c>
      <c r="P370" s="339">
        <f>((BRhoriz!AB158/BGhoriz!P55)/P3)*12</f>
        <v>0.16511178609347604</v>
      </c>
      <c r="Q370" s="339">
        <f>((BRhoriz!AC158/(Q247-ECU!D6))/Q3)*12</f>
        <v>0.30055530633843286</v>
      </c>
      <c r="R370" s="339">
        <f>((BRhoriz!AD158/(R247-ECU!E6))/R3)*12</f>
        <v>0.30817767374561267</v>
      </c>
      <c r="S370" s="339">
        <f>((BRhoriz!AE158/(S247-ECU!F6))/S3)*12</f>
        <v>0.30181818927850573</v>
      </c>
      <c r="T370" s="339">
        <f>((BRhoriz!AF158/(T247-ECU!G6))/T3)*12</f>
        <v>0.27222138984200378</v>
      </c>
      <c r="U370" s="339">
        <f>((BRhoriz!AG158/(U247-ECU!H6))/U3)*12</f>
        <v>0.27901374155786118</v>
      </c>
      <c r="V370" s="339">
        <f>((BRhoriz!AH158/(V247-ECU!I6))/V3)*12</f>
        <v>0.13312723348909505</v>
      </c>
      <c r="W370" s="339">
        <f>((BRhoriz!AI158/(W247-ECU!J6))/W3)*12</f>
        <v>0.12712330169397679</v>
      </c>
      <c r="X370" s="339">
        <f>((BRhoriz!BR158/(X247-ECU!K6))/X3)*12</f>
        <v>0.44971313573552524</v>
      </c>
      <c r="Y370" s="339" t="e">
        <f>((BRhoriz!BS158/(Y247-ECU!L6))/Y3)*12</f>
        <v>#DIV/0!</v>
      </c>
      <c r="Z370" s="339">
        <f>((BRhoriz!BT158/(Z247-ECU!M6))/Z3)*12</f>
        <v>0.42764572827359604</v>
      </c>
      <c r="AA370" s="339">
        <f>((BRhoriz!BU158/(AA247-ECU!N6))/AA3)*12</f>
        <v>0.39601867778304933</v>
      </c>
      <c r="AB370" s="339">
        <f>((BRhoriz!BV158/(AB247-ECU!O6))/AB3)*12</f>
        <v>0.38897104551721962</v>
      </c>
      <c r="AC370" s="339">
        <f>((BRhoriz!BW158/(AC247-ECU!P6))/AC3)*12</f>
        <v>0</v>
      </c>
      <c r="AD370" s="339">
        <f>((BRhoriz!BX158/(AD247-ECU!Q6))/AD3)*12</f>
        <v>0</v>
      </c>
      <c r="AE370" s="339">
        <f>((BRhoriz!BY158/(AE247-ECU!R6))/AE3)*12</f>
        <v>0</v>
      </c>
      <c r="AF370" s="339">
        <f>((BRhoriz!BZ158/(AF247-ECU!S6))/AF3)*12</f>
        <v>0</v>
      </c>
      <c r="AG370" s="339">
        <f>((BRhoriz!CA158/(AG247-ECU!T6))/AG3)*12</f>
        <v>0</v>
      </c>
      <c r="AH370" s="339">
        <f>((BRhoriz!CB158/(AH247-ECU!U6))/AH3)*12</f>
        <v>0</v>
      </c>
      <c r="AI370" s="339">
        <f>((BRhoriz!CC158/(AI247-ECU!V6))/AI3)*12</f>
        <v>0</v>
      </c>
      <c r="AJ370" s="339">
        <f>((BRhoriz!CD158/(AJ247-ECU!W6))/AJ3)*12</f>
        <v>0</v>
      </c>
      <c r="AK370" s="339">
        <f>((BRhoriz!CE158/(AK247-ECU!X6))/AK3)*12</f>
        <v>0</v>
      </c>
      <c r="AL370" s="339">
        <f>((BRhoriz!CF158/(AL247-ECU!Y6))/AL3)*12</f>
        <v>0</v>
      </c>
      <c r="AM370" s="339">
        <f>CalcIntCart!E55</f>
        <v>0.13749220458954511</v>
      </c>
      <c r="AN370" s="339">
        <f>CalcIntCart!F55</f>
        <v>0.13993439220596671</v>
      </c>
      <c r="AO370" s="339">
        <f>CalcIntCart!G55</f>
        <v>0.14018994927655906</v>
      </c>
      <c r="AP370" s="339">
        <f>CalcIntCart!H55</f>
        <v>0.14069936225453911</v>
      </c>
      <c r="AQ370" s="339">
        <f>CalcIntCart!I55</f>
        <v>0.14083513476812246</v>
      </c>
      <c r="AR370" s="339">
        <f>CalcIntCart!J55</f>
        <v>0.14125168627553514</v>
      </c>
      <c r="AS370" s="339">
        <f>CalcIntCart!K55</f>
        <v>0.14150386690925207</v>
      </c>
      <c r="AT370" s="339">
        <f>CalcIntCart!L55</f>
        <v>0.14183010962760795</v>
      </c>
      <c r="AU370" s="339">
        <f>CalcIntCart!M55</f>
        <v>0.14206945735086079</v>
      </c>
      <c r="AV370" s="339">
        <f>CalcIntCart!N55</f>
        <v>0.14248112275264765</v>
      </c>
      <c r="AW370" s="339">
        <f>CalcIntCart!O55</f>
        <v>0.14268471468908753</v>
      </c>
      <c r="AX370" s="339">
        <f>CalcIntCart!P55</f>
        <v>0.14298544834304153</v>
      </c>
      <c r="AY370" s="332">
        <f t="shared" si="943"/>
        <v>9.8582148539464731E-3</v>
      </c>
      <c r="AZ370" s="332">
        <f t="shared" si="944"/>
        <v>-2.2126337750434516E-2</v>
      </c>
      <c r="BA370" s="333"/>
      <c r="BB370" s="333"/>
    </row>
    <row r="371" spans="3:54" x14ac:dyDescent="0.25">
      <c r="C371" s="291" t="s">
        <v>811</v>
      </c>
      <c r="D371" s="340">
        <v>0</v>
      </c>
      <c r="E371" s="340">
        <v>0</v>
      </c>
      <c r="F371" s="340">
        <v>0</v>
      </c>
      <c r="G371" s="340">
        <v>0</v>
      </c>
      <c r="H371" s="340">
        <v>0</v>
      </c>
      <c r="I371" s="340">
        <v>0</v>
      </c>
      <c r="J371" s="340">
        <v>0</v>
      </c>
      <c r="K371" s="340">
        <v>0</v>
      </c>
      <c r="L371" s="340">
        <v>0</v>
      </c>
      <c r="M371" s="340">
        <v>0</v>
      </c>
      <c r="N371" s="340">
        <v>0</v>
      </c>
      <c r="O371" s="340">
        <v>0</v>
      </c>
      <c r="P371" s="340">
        <v>0</v>
      </c>
      <c r="Q371" s="340">
        <v>0</v>
      </c>
      <c r="R371" s="340">
        <v>0</v>
      </c>
      <c r="S371" s="340">
        <v>0</v>
      </c>
      <c r="T371" s="340">
        <v>0</v>
      </c>
      <c r="U371" s="340">
        <v>0</v>
      </c>
      <c r="V371" s="340">
        <v>0</v>
      </c>
      <c r="W371" s="340">
        <v>0</v>
      </c>
      <c r="X371" s="340">
        <v>0</v>
      </c>
      <c r="Y371" s="340">
        <v>0</v>
      </c>
      <c r="Z371" s="340">
        <v>0</v>
      </c>
      <c r="AA371" s="340">
        <v>0</v>
      </c>
      <c r="AB371" s="340">
        <v>0</v>
      </c>
      <c r="AC371" s="340">
        <v>0</v>
      </c>
      <c r="AD371" s="340">
        <v>0</v>
      </c>
      <c r="AE371" s="340">
        <v>0</v>
      </c>
      <c r="AF371" s="340">
        <v>0</v>
      </c>
      <c r="AG371" s="340">
        <v>0</v>
      </c>
      <c r="AH371" s="340">
        <v>0</v>
      </c>
      <c r="AI371" s="340">
        <v>0</v>
      </c>
      <c r="AJ371" s="340">
        <v>0</v>
      </c>
      <c r="AK371" s="340">
        <v>0</v>
      </c>
      <c r="AL371" s="340">
        <v>0</v>
      </c>
      <c r="AM371" s="340">
        <v>0</v>
      </c>
      <c r="AN371" s="340">
        <v>0</v>
      </c>
      <c r="AO371" s="340">
        <v>0</v>
      </c>
      <c r="AP371" s="340">
        <v>0</v>
      </c>
      <c r="AQ371" s="340">
        <v>0</v>
      </c>
      <c r="AR371" s="340">
        <v>0</v>
      </c>
      <c r="AS371" s="340">
        <v>0</v>
      </c>
      <c r="AT371" s="340">
        <v>0</v>
      </c>
      <c r="AU371" s="340">
        <v>0</v>
      </c>
      <c r="AV371" s="340">
        <v>0</v>
      </c>
      <c r="AW371" s="340">
        <v>0</v>
      </c>
      <c r="AX371" s="340">
        <v>0</v>
      </c>
      <c r="AY371" s="332">
        <f t="shared" si="943"/>
        <v>0</v>
      </c>
      <c r="AZ371" s="332">
        <f t="shared" si="944"/>
        <v>0</v>
      </c>
      <c r="BA371" s="333"/>
      <c r="BB371" s="333"/>
    </row>
    <row r="372" spans="3:54" x14ac:dyDescent="0.25">
      <c r="C372" s="291" t="s">
        <v>812</v>
      </c>
      <c r="D372" s="339">
        <f>((BRhoriz!D160/BGhoriz!D56)/D3)*12</f>
        <v>8.1496404896043526E-2</v>
      </c>
      <c r="E372" s="339">
        <f>((BRhoriz!Q160/BGhoriz!E56)/E3)*12</f>
        <v>0.15536804002253829</v>
      </c>
      <c r="F372" s="339">
        <f>((BRhoriz!R160/BGhoriz!F56)/F3)*12</f>
        <v>0.1448589261978763</v>
      </c>
      <c r="G372" s="339">
        <f>((BRhoriz!S160/BGhoriz!G56)/G3)*12</f>
        <v>0.14423606938871053</v>
      </c>
      <c r="H372" s="339">
        <f>((BRhoriz!T160/BGhoriz!H56)/H3)*12</f>
        <v>0.14453936850257668</v>
      </c>
      <c r="I372" s="339">
        <f>((BRhoriz!U160/BGhoriz!I56)/I3)*12</f>
        <v>0.14696711387517791</v>
      </c>
      <c r="J372" s="339">
        <f>((BRhoriz!V160/BGhoriz!J56)/J3)*12</f>
        <v>0.15362074257689354</v>
      </c>
      <c r="K372" s="339">
        <f>((BRhoriz!W160/BGhoriz!K56)/K3)*12</f>
        <v>0.16289821478248354</v>
      </c>
      <c r="L372" s="339">
        <f>((BRhoriz!X160/BGhoriz!L56)/L3)*12</f>
        <v>0.16748968632946984</v>
      </c>
      <c r="M372" s="339">
        <f>((BRhoriz!Y160/BGhoriz!M56)/M3)*12</f>
        <v>0.1730332399515899</v>
      </c>
      <c r="N372" s="339">
        <f>((BRhoriz!Z160/BGhoriz!N56)/N3)*12</f>
        <v>0.1807561431878229</v>
      </c>
      <c r="O372" s="339">
        <f>((BRhoriz!AA160/BGhoriz!O56)/O3)*12</f>
        <v>0.18706336796700651</v>
      </c>
      <c r="P372" s="339">
        <f>((BRhoriz!AB160/BGhoriz!P56)/P3)*12</f>
        <v>0.19003453249309904</v>
      </c>
      <c r="Q372" s="339">
        <f>((BRhoriz!AC160/Q248)/Q3)*12</f>
        <v>0.17026891410898895</v>
      </c>
      <c r="R372" s="339">
        <f>((BRhoriz!AD160/R248)/R3)*12</f>
        <v>0.17913517481916824</v>
      </c>
      <c r="S372" s="339">
        <f>((BRhoriz!AE160/S248)/S3)*12</f>
        <v>0.1852161677061967</v>
      </c>
      <c r="T372" s="339">
        <f>((BRhoriz!AF160/T248)/T3)*12</f>
        <v>0.17942417977491767</v>
      </c>
      <c r="U372" s="339">
        <f>((BRhoriz!AG160/U248)/U3)*12</f>
        <v>0.19067591103402132</v>
      </c>
      <c r="V372" s="339">
        <f>((BRhoriz!AH160/V248)/V3)*12</f>
        <v>0.18436738880607723</v>
      </c>
      <c r="W372" s="339">
        <f>((BRhoriz!AI160/W248)/W3)*12</f>
        <v>0.1881278550915359</v>
      </c>
      <c r="X372" s="339">
        <f>((BRhoriz!BR160/X248)/X3)*12</f>
        <v>0.65331567597755136</v>
      </c>
      <c r="Y372" s="339" t="e">
        <f>((BRhoriz!BS160/Y248)/Y3)*12</f>
        <v>#DIV/0!</v>
      </c>
      <c r="Z372" s="339">
        <f>((BRhoriz!BT160/Z248)/Z3)*12</f>
        <v>0.71755890458955851</v>
      </c>
      <c r="AA372" s="339">
        <f>((BRhoriz!BU160/AA248)/AA3)*12</f>
        <v>0.73884984242399987</v>
      </c>
      <c r="AB372" s="339">
        <f>((BRhoriz!BV160/AB248)/AB3)*12</f>
        <v>0.72743855675488023</v>
      </c>
      <c r="AC372" s="339">
        <f>((BRhoriz!BW160/AC248)/AC3)*12</f>
        <v>0</v>
      </c>
      <c r="AD372" s="339">
        <f>((BRhoriz!BX160/AD248)/AD3)*12</f>
        <v>0</v>
      </c>
      <c r="AE372" s="339">
        <f>((BRhoriz!BY160/AE248)/AE3)*12</f>
        <v>0</v>
      </c>
      <c r="AF372" s="339">
        <f>((BRhoriz!BZ160/AF248)/AF3)*12</f>
        <v>0</v>
      </c>
      <c r="AG372" s="339">
        <f>((BRhoriz!CA160/AG248)/AG3)*12</f>
        <v>0</v>
      </c>
      <c r="AH372" s="339">
        <f>((BRhoriz!CB160/AH248)/AH3)*12</f>
        <v>0</v>
      </c>
      <c r="AI372" s="339">
        <f>((BRhoriz!CC160/AI248)/AI3)*12</f>
        <v>0</v>
      </c>
      <c r="AJ372" s="339">
        <f>((BRhoriz!CD160/AJ248)/AJ3)*12</f>
        <v>0</v>
      </c>
      <c r="AK372" s="339">
        <f>((BRhoriz!CE160/AK248)/AK3)*12</f>
        <v>0</v>
      </c>
      <c r="AL372" s="339">
        <f>((BRhoriz!CF160/AL248)/AL3)*12</f>
        <v>0</v>
      </c>
      <c r="AM372" s="339">
        <f>CalcIntCart!E56</f>
        <v>0.14004280591231</v>
      </c>
      <c r="AN372" s="339">
        <f>CalcIntCart!F56</f>
        <v>0.14054729242214309</v>
      </c>
      <c r="AO372" s="339">
        <f>CalcIntCart!G56</f>
        <v>0.14068980785411353</v>
      </c>
      <c r="AP372" s="339">
        <f>CalcIntCart!H56</f>
        <v>0.1410901905048457</v>
      </c>
      <c r="AQ372" s="339">
        <f>CalcIntCart!I56</f>
        <v>0.14131957944629631</v>
      </c>
      <c r="AR372" s="339">
        <f>CalcIntCart!J56</f>
        <v>0.14166005706516233</v>
      </c>
      <c r="AS372" s="339">
        <f>CalcIntCart!K56</f>
        <v>0.1418544411211517</v>
      </c>
      <c r="AT372" s="339">
        <f>CalcIntCart!L56</f>
        <v>0.14211760100593235</v>
      </c>
      <c r="AU372" s="339">
        <f>CalcIntCart!M56</f>
        <v>0.14234741824622035</v>
      </c>
      <c r="AV372" s="339">
        <f>CalcIntCart!N56</f>
        <v>0.14263262196874563</v>
      </c>
      <c r="AW372" s="339">
        <f>CalcIntCart!O56</f>
        <v>0.14279074949627377</v>
      </c>
      <c r="AX372" s="339">
        <f>CalcIntCart!P56</f>
        <v>0.14305677985074639</v>
      </c>
      <c r="AY372" s="332">
        <f t="shared" si="943"/>
        <v>-4.1310608955330841E-2</v>
      </c>
      <c r="AZ372" s="332">
        <f t="shared" si="944"/>
        <v>-4.6977752642352655E-2</v>
      </c>
      <c r="BA372" s="333"/>
      <c r="BB372" s="333"/>
    </row>
    <row r="373" spans="3:54" x14ac:dyDescent="0.25">
      <c r="C373" s="291" t="s">
        <v>813</v>
      </c>
      <c r="D373" s="340">
        <v>0</v>
      </c>
      <c r="E373" s="340">
        <v>0</v>
      </c>
      <c r="F373" s="340">
        <v>0</v>
      </c>
      <c r="G373" s="340">
        <v>0</v>
      </c>
      <c r="H373" s="340">
        <v>0</v>
      </c>
      <c r="I373" s="340">
        <v>0</v>
      </c>
      <c r="J373" s="340">
        <v>0</v>
      </c>
      <c r="K373" s="340">
        <v>0</v>
      </c>
      <c r="L373" s="340">
        <v>0</v>
      </c>
      <c r="M373" s="340">
        <v>0</v>
      </c>
      <c r="N373" s="340">
        <v>0</v>
      </c>
      <c r="O373" s="340">
        <v>0</v>
      </c>
      <c r="P373" s="340">
        <v>0</v>
      </c>
      <c r="Q373" s="340">
        <v>0</v>
      </c>
      <c r="R373" s="340">
        <v>0</v>
      </c>
      <c r="S373" s="340">
        <v>0</v>
      </c>
      <c r="T373" s="340">
        <v>0</v>
      </c>
      <c r="U373" s="340">
        <v>0</v>
      </c>
      <c r="V373" s="340">
        <v>0</v>
      </c>
      <c r="W373" s="340">
        <v>0</v>
      </c>
      <c r="X373" s="340">
        <v>0</v>
      </c>
      <c r="Y373" s="340">
        <v>0</v>
      </c>
      <c r="Z373" s="340">
        <v>0</v>
      </c>
      <c r="AA373" s="340">
        <v>0</v>
      </c>
      <c r="AB373" s="340">
        <v>0</v>
      </c>
      <c r="AC373" s="340">
        <v>0</v>
      </c>
      <c r="AD373" s="340">
        <v>0</v>
      </c>
      <c r="AE373" s="340">
        <v>0</v>
      </c>
      <c r="AF373" s="340">
        <v>0</v>
      </c>
      <c r="AG373" s="340">
        <v>0</v>
      </c>
      <c r="AH373" s="340">
        <v>0</v>
      </c>
      <c r="AI373" s="340">
        <v>0</v>
      </c>
      <c r="AJ373" s="340">
        <v>0</v>
      </c>
      <c r="AK373" s="340">
        <v>0</v>
      </c>
      <c r="AL373" s="340">
        <v>0</v>
      </c>
      <c r="AM373" s="340">
        <v>0</v>
      </c>
      <c r="AN373" s="340">
        <v>0</v>
      </c>
      <c r="AO373" s="340">
        <v>0</v>
      </c>
      <c r="AP373" s="340">
        <v>0</v>
      </c>
      <c r="AQ373" s="340">
        <v>0</v>
      </c>
      <c r="AR373" s="340">
        <v>0</v>
      </c>
      <c r="AS373" s="340">
        <v>0</v>
      </c>
      <c r="AT373" s="340">
        <v>0</v>
      </c>
      <c r="AU373" s="340">
        <v>0</v>
      </c>
      <c r="AV373" s="340">
        <v>0</v>
      </c>
      <c r="AW373" s="340">
        <v>0</v>
      </c>
      <c r="AX373" s="340">
        <v>0</v>
      </c>
      <c r="AY373" s="332">
        <f t="shared" si="943"/>
        <v>0</v>
      </c>
      <c r="AZ373" s="332">
        <f t="shared" si="944"/>
        <v>0</v>
      </c>
      <c r="BA373" s="333"/>
      <c r="BB373" s="333"/>
    </row>
    <row r="374" spans="3:54" x14ac:dyDescent="0.25">
      <c r="C374" s="291" t="s">
        <v>814</v>
      </c>
      <c r="D374" s="340">
        <v>0</v>
      </c>
      <c r="E374" s="340">
        <v>0</v>
      </c>
      <c r="F374" s="340">
        <v>0</v>
      </c>
      <c r="G374" s="340">
        <v>0</v>
      </c>
      <c r="H374" s="340">
        <v>0</v>
      </c>
      <c r="I374" s="340">
        <v>0</v>
      </c>
      <c r="J374" s="340">
        <v>0</v>
      </c>
      <c r="K374" s="340">
        <v>0</v>
      </c>
      <c r="L374" s="340">
        <v>0</v>
      </c>
      <c r="M374" s="340">
        <v>0</v>
      </c>
      <c r="N374" s="340">
        <v>0</v>
      </c>
      <c r="O374" s="340">
        <v>0</v>
      </c>
      <c r="P374" s="340">
        <v>0</v>
      </c>
      <c r="Q374" s="340">
        <v>0</v>
      </c>
      <c r="R374" s="340">
        <v>0</v>
      </c>
      <c r="S374" s="340">
        <v>0</v>
      </c>
      <c r="T374" s="340">
        <v>0</v>
      </c>
      <c r="U374" s="340">
        <v>0</v>
      </c>
      <c r="V374" s="340">
        <v>0</v>
      </c>
      <c r="W374" s="340">
        <v>0</v>
      </c>
      <c r="X374" s="340">
        <v>0</v>
      </c>
      <c r="Y374" s="340">
        <v>0</v>
      </c>
      <c r="Z374" s="340">
        <v>0</v>
      </c>
      <c r="AA374" s="340">
        <v>0</v>
      </c>
      <c r="AB374" s="340">
        <v>0</v>
      </c>
      <c r="AC374" s="340">
        <v>0</v>
      </c>
      <c r="AD374" s="340">
        <v>0</v>
      </c>
      <c r="AE374" s="340">
        <v>0</v>
      </c>
      <c r="AF374" s="340">
        <v>0</v>
      </c>
      <c r="AG374" s="340">
        <v>0</v>
      </c>
      <c r="AH374" s="340">
        <v>0</v>
      </c>
      <c r="AI374" s="340">
        <v>0</v>
      </c>
      <c r="AJ374" s="340">
        <v>0</v>
      </c>
      <c r="AK374" s="340">
        <v>0</v>
      </c>
      <c r="AL374" s="340">
        <v>0</v>
      </c>
      <c r="AM374" s="340">
        <v>0</v>
      </c>
      <c r="AN374" s="340">
        <v>0</v>
      </c>
      <c r="AO374" s="340">
        <v>0</v>
      </c>
      <c r="AP374" s="340">
        <v>0</v>
      </c>
      <c r="AQ374" s="340">
        <v>0</v>
      </c>
      <c r="AR374" s="340">
        <v>0</v>
      </c>
      <c r="AS374" s="340">
        <v>0</v>
      </c>
      <c r="AT374" s="340">
        <v>0</v>
      </c>
      <c r="AU374" s="340">
        <v>0</v>
      </c>
      <c r="AV374" s="340">
        <v>0</v>
      </c>
      <c r="AW374" s="340">
        <v>0</v>
      </c>
      <c r="AX374" s="340">
        <v>0</v>
      </c>
      <c r="AY374" s="332">
        <f t="shared" si="943"/>
        <v>0</v>
      </c>
      <c r="AZ374" s="332">
        <f t="shared" si="944"/>
        <v>0</v>
      </c>
      <c r="BA374" s="333"/>
      <c r="BB374" s="333"/>
    </row>
    <row r="375" spans="3:54" x14ac:dyDescent="0.25">
      <c r="C375" s="291" t="s">
        <v>815</v>
      </c>
      <c r="D375" s="340">
        <v>0</v>
      </c>
      <c r="E375" s="340">
        <v>0</v>
      </c>
      <c r="F375" s="340">
        <v>0</v>
      </c>
      <c r="G375" s="340">
        <v>0</v>
      </c>
      <c r="H375" s="340">
        <v>0</v>
      </c>
      <c r="I375" s="340">
        <v>0</v>
      </c>
      <c r="J375" s="340">
        <v>0</v>
      </c>
      <c r="K375" s="340">
        <v>0</v>
      </c>
      <c r="L375" s="340">
        <v>0</v>
      </c>
      <c r="M375" s="340">
        <v>0</v>
      </c>
      <c r="N375" s="340">
        <v>0</v>
      </c>
      <c r="O375" s="340">
        <v>0</v>
      </c>
      <c r="P375" s="340">
        <v>0</v>
      </c>
      <c r="Q375" s="340">
        <v>0</v>
      </c>
      <c r="R375" s="340">
        <v>0</v>
      </c>
      <c r="S375" s="340">
        <v>0</v>
      </c>
      <c r="T375" s="340">
        <v>0</v>
      </c>
      <c r="U375" s="340">
        <v>0</v>
      </c>
      <c r="V375" s="340">
        <v>0</v>
      </c>
      <c r="W375" s="340">
        <v>0</v>
      </c>
      <c r="X375" s="340">
        <v>0</v>
      </c>
      <c r="Y375" s="340">
        <v>0</v>
      </c>
      <c r="Z375" s="340">
        <v>0</v>
      </c>
      <c r="AA375" s="340">
        <v>0</v>
      </c>
      <c r="AB375" s="340">
        <v>0</v>
      </c>
      <c r="AC375" s="340">
        <v>0</v>
      </c>
      <c r="AD375" s="340">
        <v>0</v>
      </c>
      <c r="AE375" s="340">
        <v>0</v>
      </c>
      <c r="AF375" s="340">
        <v>0</v>
      </c>
      <c r="AG375" s="340">
        <v>0</v>
      </c>
      <c r="AH375" s="340">
        <v>0</v>
      </c>
      <c r="AI375" s="340">
        <v>0</v>
      </c>
      <c r="AJ375" s="340">
        <v>0</v>
      </c>
      <c r="AK375" s="340">
        <v>0</v>
      </c>
      <c r="AL375" s="340">
        <v>0</v>
      </c>
      <c r="AM375" s="340">
        <v>0</v>
      </c>
      <c r="AN375" s="340">
        <v>0</v>
      </c>
      <c r="AO375" s="340">
        <v>0</v>
      </c>
      <c r="AP375" s="340">
        <v>0</v>
      </c>
      <c r="AQ375" s="340">
        <v>0</v>
      </c>
      <c r="AR375" s="340">
        <v>0</v>
      </c>
      <c r="AS375" s="340">
        <v>0</v>
      </c>
      <c r="AT375" s="340">
        <v>0</v>
      </c>
      <c r="AU375" s="340">
        <v>0</v>
      </c>
      <c r="AV375" s="340">
        <v>0</v>
      </c>
      <c r="AW375" s="340">
        <v>0</v>
      </c>
      <c r="AX375" s="340">
        <v>0</v>
      </c>
      <c r="AY375" s="332">
        <f t="shared" si="943"/>
        <v>0</v>
      </c>
      <c r="AZ375" s="332">
        <f t="shared" si="944"/>
        <v>0</v>
      </c>
      <c r="BA375" s="333"/>
      <c r="BB375" s="333"/>
    </row>
    <row r="376" spans="3:54" x14ac:dyDescent="0.25">
      <c r="C376" s="291" t="s">
        <v>816</v>
      </c>
      <c r="D376" s="339">
        <f>((BRhoriz!D161/BGhoriz!D76)/D3)*12</f>
        <v>3.1063634016908905E-2</v>
      </c>
      <c r="E376" s="339">
        <f>((BRhoriz!Q161/BGhoriz!E76)/E3)*12</f>
        <v>6.8669398559638661E-2</v>
      </c>
      <c r="F376" s="339">
        <f>((BRhoriz!R161/BGhoriz!F76)/F3)*12</f>
        <v>7.8306611648344737E-2</v>
      </c>
      <c r="G376" s="339">
        <f>((BRhoriz!S161/BGhoriz!G76)/G3)*12</f>
        <v>8.5738456155865728E-2</v>
      </c>
      <c r="H376" s="339">
        <f>((BRhoriz!T161/BGhoriz!H76)/H3)*12</f>
        <v>7.1438254295319692E-2</v>
      </c>
      <c r="I376" s="339">
        <f>((BRhoriz!U161/BGhoriz!I76)/I3)*12</f>
        <v>5.8247435630738871E-2</v>
      </c>
      <c r="J376" s="339">
        <f>((BRhoriz!V161/BGhoriz!J76)/J3)*12</f>
        <v>0.13543692234340138</v>
      </c>
      <c r="K376" s="339">
        <f>((BRhoriz!W161/BGhoriz!K76)/K3)*12</f>
        <v>0.17836632928908597</v>
      </c>
      <c r="L376" s="339">
        <f>((BRhoriz!X161/BGhoriz!L76)/L3)*12</f>
        <v>0.22228584466310025</v>
      </c>
      <c r="M376" s="339">
        <f>((BRhoriz!Y161/BGhoriz!M76)/M3)*12</f>
        <v>0.27853561614753419</v>
      </c>
      <c r="N376" s="339">
        <f>((BRhoriz!Z161/BGhoriz!N76)/N3)*12</f>
        <v>0.3268281134611104</v>
      </c>
      <c r="O376" s="339">
        <f>((BRhoriz!AA161/BGhoriz!O76)/O3)*12</f>
        <v>0.38362493908685769</v>
      </c>
      <c r="P376" s="339">
        <f>((BRhoriz!AB161/BGhoriz!P76)/P3)*12</f>
        <v>0.59755640677788724</v>
      </c>
      <c r="Q376" s="339">
        <f>((BRhoriz!AC161/(Q249+Q250+Q253)/Q3)*12)</f>
        <v>0.16743851173824631</v>
      </c>
      <c r="R376" s="339">
        <f>((BRhoriz!AD161/(R249+R250+R253)/R3)*12)</f>
        <v>0.14047942939631936</v>
      </c>
      <c r="S376" s="339">
        <f>((BRhoriz!AE161/(S249+S250+S253)/S3)*12)</f>
        <v>0.11697691376781653</v>
      </c>
      <c r="T376" s="339">
        <f>((BRhoriz!AF161/(T249+T250+T253)/T3)*12)</f>
        <v>0.12464565746597327</v>
      </c>
      <c r="U376" s="339">
        <f>((BRhoriz!AG161/(U249+U250+U253)/U3)*12)</f>
        <v>0.12097565633497864</v>
      </c>
      <c r="V376" s="339">
        <f>((BRhoriz!AH161/(V249+V250+V253)/V3)*12)</f>
        <v>0.13760172471824614</v>
      </c>
      <c r="W376" s="339">
        <f>((BRhoriz!AI161/(W249+W250+W253)/W3)*12)</f>
        <v>0.1272725605782645</v>
      </c>
      <c r="X376" s="339">
        <f>((BRhoriz!BR161/(X249+X250+X253)/X3)*12)</f>
        <v>0.21538103032958628</v>
      </c>
      <c r="Y376" s="339" t="e">
        <f>((BRhoriz!BS161/(Y249+Y250+Y253)/Y3)*12)</f>
        <v>#DIV/0!</v>
      </c>
      <c r="Z376" s="339">
        <f>((BRhoriz!BT161/(Z249+Z250+Z253)/Z3)*12)</f>
        <v>0.22578956517970683</v>
      </c>
      <c r="AA376" s="339">
        <f>((BRhoriz!BU161/(AA249+AA250+AA253)/AA3)*12)</f>
        <v>0.17365347060876171</v>
      </c>
      <c r="AB376" s="339">
        <f>((BRhoriz!BV161/(AB249+AB250+AB253)/AB3)*12)</f>
        <v>0.15199579141013808</v>
      </c>
      <c r="AC376" s="339">
        <f>((BRhoriz!BW161/(AC249+AC250+AC253)/AC3)*12)</f>
        <v>0</v>
      </c>
      <c r="AD376" s="339">
        <f>((BRhoriz!BX161/(AD249+AD250+AD253)/AD3)*12)</f>
        <v>0</v>
      </c>
      <c r="AE376" s="339">
        <f>((BRhoriz!BY161/(AE249+AE250+AE253)/AE3)*12)</f>
        <v>0</v>
      </c>
      <c r="AF376" s="339">
        <f>((BRhoriz!BZ161/(AF249+AF250+AF253)/AF3)*12)</f>
        <v>0</v>
      </c>
      <c r="AG376" s="339">
        <f>((BRhoriz!CA161/(AG249+AG250+AG253)/AG3)*12)</f>
        <v>0</v>
      </c>
      <c r="AH376" s="339">
        <f>((BRhoriz!CB161/(AH249+AH250+AH253)/AH3)*12)</f>
        <v>0</v>
      </c>
      <c r="AI376" s="339">
        <f>((BRhoriz!CC161/(AI249+AI250+AI253)/AI3)*12)</f>
        <v>0</v>
      </c>
      <c r="AJ376" s="339">
        <f>((BRhoriz!CD161/(AJ249+AJ250+AJ253)/AJ3)*12)</f>
        <v>0</v>
      </c>
      <c r="AK376" s="339">
        <f>((BRhoriz!CE161/(AK249+AK250+AK253)/AK3)*12)</f>
        <v>0</v>
      </c>
      <c r="AL376" s="339">
        <f>((BRhoriz!CF161/(AL249+AL250+AL253)/AL3)*12)</f>
        <v>0</v>
      </c>
      <c r="AM376" s="339">
        <f>CalcIntCart!E57</f>
        <v>0.13460476926286652</v>
      </c>
      <c r="AN376" s="339">
        <f>CalcIntCart!F57</f>
        <v>0.13451834101471014</v>
      </c>
      <c r="AO376" s="339">
        <f>CalcIntCart!G57</f>
        <v>0.13456590157524731</v>
      </c>
      <c r="AP376" s="339">
        <f>CalcIntCart!H57</f>
        <v>0.13456285853045291</v>
      </c>
      <c r="AQ376" s="339">
        <f>CalcIntCart!I57</f>
        <v>0.13460192654484252</v>
      </c>
      <c r="AR376" s="339">
        <f>CalcIntCart!J57</f>
        <v>0.13463075426460566</v>
      </c>
      <c r="AS376" s="339">
        <f>CalcIntCart!K57</f>
        <v>0.13467376491839922</v>
      </c>
      <c r="AT376" s="339">
        <f>CalcIntCart!L57</f>
        <v>0.13468699035263659</v>
      </c>
      <c r="AU376" s="339">
        <f>CalcIntCart!M57</f>
        <v>0.13472357604631488</v>
      </c>
      <c r="AV376" s="339">
        <f>CalcIntCart!N57</f>
        <v>0.13477470560096605</v>
      </c>
      <c r="AW376" s="339">
        <f>CalcIntCart!O57</f>
        <v>0.13479290226478796</v>
      </c>
      <c r="AX376" s="339">
        <f>CalcIntCart!P57</f>
        <v>0.13482534800320922</v>
      </c>
      <c r="AY376" s="332">
        <f t="shared" si="943"/>
        <v>-2.7763767150369156E-3</v>
      </c>
      <c r="AZ376" s="332">
        <f t="shared" si="944"/>
        <v>-0.46273105877467802</v>
      </c>
      <c r="BA376" s="333"/>
      <c r="BB376" s="333"/>
    </row>
    <row r="377" spans="3:54" x14ac:dyDescent="0.25">
      <c r="C377" s="291" t="s">
        <v>817</v>
      </c>
      <c r="D377" s="339">
        <f>((BRhoriz!D162/(BGhoriz!D57+BGhoriz!D82))/D3)*12</f>
        <v>1.524069601552221E-2</v>
      </c>
      <c r="E377" s="339">
        <f>((BRhoriz!Q162/(BGhoriz!E57+BGhoriz!E82))/E3)*12</f>
        <v>1.2387155387604546E-2</v>
      </c>
      <c r="F377" s="339">
        <f>((BRhoriz!R162/(BGhoriz!F57+BGhoriz!F82))/F3)*12</f>
        <v>1.0417423658852084E-2</v>
      </c>
      <c r="G377" s="339">
        <f>((BRhoriz!S162/(BGhoriz!G57+BGhoriz!G82))/G3)*12</f>
        <v>1.2099451294378925E-2</v>
      </c>
      <c r="H377" s="339">
        <f>((BRhoriz!T162/(BGhoriz!H57+BGhoriz!H82))/H3)*12</f>
        <v>1.0287156973754246E-2</v>
      </c>
      <c r="I377" s="339">
        <f>((BRhoriz!U162/(BGhoriz!I57+BGhoriz!I82))/I3)*12</f>
        <v>5.3560956157242857E-3</v>
      </c>
      <c r="J377" s="339">
        <f>((BRhoriz!V162/(BGhoriz!J57+BGhoriz!J82))/J3)*12</f>
        <v>3.8432565853645177E-2</v>
      </c>
      <c r="K377" s="339">
        <f>((BRhoriz!W162/(BGhoriz!K57+BGhoriz!K82))/K3)*12</f>
        <v>5.4869130530999309E-2</v>
      </c>
      <c r="L377" s="339">
        <f>((BRhoriz!X162/(BGhoriz!L57+BGhoriz!L82))/L3)*12</f>
        <v>6.9477862266382251E-2</v>
      </c>
      <c r="M377" s="339">
        <f>((BRhoriz!Y162/(BGhoriz!M57+BGhoriz!M82))/M3)*12</f>
        <v>7.3207569529160604E-2</v>
      </c>
      <c r="N377" s="339">
        <f>((BRhoriz!Z162/(BGhoriz!N57+BGhoriz!N82))/N3)*12</f>
        <v>8.5237632118974616E-2</v>
      </c>
      <c r="O377" s="339">
        <f>((BRhoriz!AA162/(BGhoriz!O57+BGhoriz!O82))/O3)*12</f>
        <v>9.0345834081841062E-2</v>
      </c>
      <c r="P377" s="339">
        <f>((BRhoriz!AB162/(BGhoriz!P57+BGhoriz!P82))/P3)*12</f>
        <v>0.10905640629694227</v>
      </c>
      <c r="Q377" s="339">
        <f>((BRhoriz!AC162/(Q251+Q252+Q254))/Q3)*12</f>
        <v>0.1165122919739201</v>
      </c>
      <c r="R377" s="339">
        <f>((BRhoriz!AD162/(R251+R252+R254))/R3)*12</f>
        <v>0.13379229201802983</v>
      </c>
      <c r="S377" s="339">
        <f>((BRhoriz!AE162/(S251+S252+S254))/S3)*12</f>
        <v>0.17105262257568668</v>
      </c>
      <c r="T377" s="339">
        <f>((BRhoriz!AF162/(T251+T252+T254))/T3)*12</f>
        <v>0.16482568409542725</v>
      </c>
      <c r="U377" s="339">
        <f>((BRhoriz!AG162/(U251+U252+U254))/U3)*12</f>
        <v>0.17801736688749387</v>
      </c>
      <c r="V377" s="339">
        <f>((BRhoriz!AH162/(V251+V252+V254))/V3)*12</f>
        <v>0.16841493766089874</v>
      </c>
      <c r="W377" s="339">
        <f>((BRhoriz!AI162/(W251+W252+W254))/W3)*12</f>
        <v>0.22935624516614517</v>
      </c>
      <c r="X377" s="339">
        <f>((BRhoriz!BR162/(X251+X252+X254))/X3)*12</f>
        <v>8.5285043442949182E-2</v>
      </c>
      <c r="Y377" s="339" t="e">
        <f>((BRhoriz!BS162/(Y251+Y252+Y254))/Y3)*12</f>
        <v>#DIV/0!</v>
      </c>
      <c r="Z377" s="339">
        <f>((BRhoriz!BT162/(Z251+Z252+Z254))/Z3)*12</f>
        <v>8.1247420298633466E-2</v>
      </c>
      <c r="AA377" s="339">
        <f>((BRhoriz!BU162/(AA251+AA252+AA254))/AA3)*12</f>
        <v>8.810481330177955E-2</v>
      </c>
      <c r="AB377" s="339">
        <f>((BRhoriz!BV162/(AB251+AB252+AB254))/AB3)*12</f>
        <v>8.3360122776654777E-2</v>
      </c>
      <c r="AC377" s="339">
        <f>((BRhoriz!BW162/(AC251+AC252+AC254))/AC3)*12</f>
        <v>0</v>
      </c>
      <c r="AD377" s="339">
        <f>((BRhoriz!BX162/(AD251+AD252+AD254))/AD3)*12</f>
        <v>0</v>
      </c>
      <c r="AE377" s="339">
        <f>((BRhoriz!BY162/(AE251+AE252+AE254))/AE3)*12</f>
        <v>0</v>
      </c>
      <c r="AF377" s="339">
        <f>((BRhoriz!BZ162/(AF251+AF252+AF254))/AF3)*12</f>
        <v>0</v>
      </c>
      <c r="AG377" s="339">
        <f>((BRhoriz!CA162/(AG251+AG252+AG254))/AG3)*12</f>
        <v>0</v>
      </c>
      <c r="AH377" s="339">
        <f>((BRhoriz!CB162/(AH251+AH252+AH254))/AH3)*12</f>
        <v>0</v>
      </c>
      <c r="AI377" s="339">
        <f>((BRhoriz!CC162/(AI251+AI252+AI254))/AI3)*12</f>
        <v>0</v>
      </c>
      <c r="AJ377" s="339">
        <f>((BRhoriz!CD162/(AJ251+AJ252+AJ254))/AJ3)*12</f>
        <v>0</v>
      </c>
      <c r="AK377" s="339">
        <f>((BRhoriz!CE162/(AK251+AK252+AK254))/AK3)*12</f>
        <v>0</v>
      </c>
      <c r="AL377" s="339">
        <f>((BRhoriz!CF162/(AL251+AL252+AL254))/AL3)*12</f>
        <v>0</v>
      </c>
      <c r="AM377" s="339">
        <f>CalcIntCart!E58</f>
        <v>0.1549383479174177</v>
      </c>
      <c r="AN377" s="339">
        <f>CalcIntCart!F58</f>
        <v>0.1552353733380662</v>
      </c>
      <c r="AO377" s="339">
        <f>CalcIntCart!G58</f>
        <v>0.15545407371500683</v>
      </c>
      <c r="AP377" s="339">
        <f>CalcIntCart!H58</f>
        <v>0.1555397093350793</v>
      </c>
      <c r="AQ377" s="339">
        <f>CalcIntCart!I58</f>
        <v>0.15567631908976351</v>
      </c>
      <c r="AR377" s="339">
        <f>CalcIntCart!J58</f>
        <v>0.1557412589228554</v>
      </c>
      <c r="AS377" s="339">
        <f>CalcIntCart!K58</f>
        <v>0.15594159091658347</v>
      </c>
      <c r="AT377" s="339">
        <f>CalcIntCart!L58</f>
        <v>0.15604939278041258</v>
      </c>
      <c r="AU377" s="339">
        <f>CalcIntCart!M58</f>
        <v>0.15608889255761754</v>
      </c>
      <c r="AV377" s="339">
        <f>CalcIntCart!N58</f>
        <v>0.1562601380256611</v>
      </c>
      <c r="AW377" s="339">
        <f>CalcIntCart!O58</f>
        <v>0.1562766187655569</v>
      </c>
      <c r="AX377" s="339">
        <f>CalcIntCart!P58</f>
        <v>0.15637319212592679</v>
      </c>
      <c r="AY377" s="332">
        <f t="shared" si="943"/>
        <v>-1.2041745534971948E-2</v>
      </c>
      <c r="AZ377" s="332">
        <f t="shared" si="944"/>
        <v>4.731678582898452E-2</v>
      </c>
      <c r="BA377" s="333"/>
      <c r="BB377" s="333"/>
    </row>
    <row r="378" spans="3:54" x14ac:dyDescent="0.25">
      <c r="C378" s="291" t="s">
        <v>818</v>
      </c>
      <c r="D378" s="339">
        <f>(((BRhoriz!D156-BRhoriz!D163)/BGhoriz!D52)/D3)*12</f>
        <v>0.13991372348000314</v>
      </c>
      <c r="E378" s="339">
        <f>(((BRhoriz!Q156-BRhoriz!Q163)/BGhoriz!E52)/E3)*12</f>
        <v>0.1532525348846937</v>
      </c>
      <c r="F378" s="339">
        <f>(((BRhoriz!R156-BRhoriz!R163)/BGhoriz!F52)/F3)*12</f>
        <v>0.14487634674869074</v>
      </c>
      <c r="G378" s="339">
        <f>(((BRhoriz!S156-BRhoriz!S163)/BGhoriz!G52)/G3)*12</f>
        <v>0.14878290386453538</v>
      </c>
      <c r="H378" s="339">
        <f>(((BRhoriz!T156-BRhoriz!T163)/BGhoriz!H52)/H3)*12</f>
        <v>0.15191721620978824</v>
      </c>
      <c r="I378" s="339">
        <f>(((BRhoriz!U156-BRhoriz!U163)/BGhoriz!I52)/I3)*12</f>
        <v>0.15316523730208559</v>
      </c>
      <c r="J378" s="339">
        <f>(((BRhoriz!V156-BRhoriz!V163)/BGhoriz!J52)/J3)*12</f>
        <v>0.15863983015221908</v>
      </c>
      <c r="K378" s="339">
        <f>(((BRhoriz!W156-BRhoriz!W163)/BGhoriz!K52)/K3)*12</f>
        <v>0.16574050407164562</v>
      </c>
      <c r="L378" s="339">
        <f>(((BRhoriz!X156-BRhoriz!X163)/BGhoriz!L52)/L3)*12</f>
        <v>0.16590592311403546</v>
      </c>
      <c r="M378" s="339">
        <f>(((BRhoriz!Y156-BRhoriz!Y163)/BGhoriz!M52)/M3)*12</f>
        <v>0.16511707278316901</v>
      </c>
      <c r="N378" s="339">
        <f>(((BRhoriz!Z156-BRhoriz!Z163)/BGhoriz!N52)/N3)*12</f>
        <v>0.1834290877611105</v>
      </c>
      <c r="O378" s="339">
        <f>(((BRhoriz!AA156-BRhoriz!AA163)/BGhoriz!O52)/O3)*12</f>
        <v>0.17195154986207059</v>
      </c>
      <c r="P378" s="339">
        <f>(((BRhoriz!AB156-BRhoriz!AB163)/BGhoriz!P52)/P3)*12</f>
        <v>0.19807403071391499</v>
      </c>
      <c r="Q378" s="339">
        <f>(((BRhoriz!AC156-BRhoriz!BJ163-BRhoriz!BJ164-BRhoriz!BJ170)/(Q245-ECU!D6)/Q3)*12)</f>
        <v>0.20443317000150654</v>
      </c>
      <c r="R378" s="339">
        <f>(((BRhoriz!AD156-BRhoriz!AC163-BRhoriz!AC164-BRhoriz!AC170)/(R245-ECU!E6)/R3)*12)</f>
        <v>0.22822970176906501</v>
      </c>
      <c r="S378" s="339">
        <f>(((BRhoriz!AE156-BRhoriz!AD163-BRhoriz!AD164-BRhoriz!AD170)/(S245-ECU!F6)/S3)*12)</f>
        <v>0.22396224741546455</v>
      </c>
      <c r="T378" s="339">
        <f>(((BRhoriz!AF156-BRhoriz!AE163-BRhoriz!AE164-BRhoriz!AE170)/(T245-ECU!G6)/T3)*12)</f>
        <v>0.21038476568075898</v>
      </c>
      <c r="U378" s="339">
        <f>(((BRhoriz!AG156-BRhoriz!AF163-BRhoriz!AF164-BRhoriz!AF170)/(U245-ECU!H6)/U3)*12)</f>
        <v>0.21687758835029414</v>
      </c>
      <c r="V378" s="339">
        <f>(((BRhoriz!AH156-BRhoriz!AG163-BRhoriz!AG164-BRhoriz!AG170)/(V245-ECU!I6)/V3)*12)</f>
        <v>0.14450090271988333</v>
      </c>
      <c r="W378" s="339">
        <f>(((BRhoriz!AI156-BRhoriz!AH163-BRhoriz!AH164-BRhoriz!AH170)/(W245-ECU!J6)/W3)*12)</f>
        <v>0.14206321901216074</v>
      </c>
      <c r="X378" s="339">
        <f>(((BRhoriz!BR156-BRhoriz!AI163-BRhoriz!AI164-BRhoriz!AI170)/(X245-ECU!K6)/X3)*12)</f>
        <v>0.49107066646255049</v>
      </c>
      <c r="Y378" s="339" t="e">
        <f>(((BRhoriz!BS156-BRhoriz!BR163-BRhoriz!BR164-BRhoriz!BR170)/(Y245-ECU!L6)/Y3)*12)</f>
        <v>#DIV/0!</v>
      </c>
      <c r="Z378" s="339">
        <f>(((BRhoriz!BT156-BRhoriz!BS163-BRhoriz!BS164-BRhoriz!BS170)/(Z245-ECU!M6)/Z3)*12)</f>
        <v>0.467000956544871</v>
      </c>
      <c r="AA378" s="339">
        <f>(((BRhoriz!BU156-BRhoriz!BT163-BRhoriz!BT164-BRhoriz!BT170)/(AA245-ECU!N6)/AA3)*12)</f>
        <v>0.44340818289221251</v>
      </c>
      <c r="AB378" s="339">
        <f>(((BRhoriz!BV156-BRhoriz!BU163-BRhoriz!BU164-BRhoriz!BU170)/(AB245-ECU!O6)/AB3)*12)</f>
        <v>0.43495027176053647</v>
      </c>
      <c r="AC378" s="339">
        <f>(((BRhoriz!BW156-BRhoriz!BV163-BRhoriz!BV164-BRhoriz!BV170)/(AC245-ECU!P6)/AC3)*12)</f>
        <v>-0.26095778909889555</v>
      </c>
      <c r="AD378" s="339">
        <f>(((BRhoriz!BX156-BRhoriz!BW163-BRhoriz!BW164-BRhoriz!BW170)/(AD245-ECU!Q6)/AD3)*12)</f>
        <v>0</v>
      </c>
      <c r="AE378" s="339">
        <f>(((BRhoriz!BY156-BRhoriz!BX163-BRhoriz!BX164-BRhoriz!BX170)/(AE245-ECU!R6)/AE3)*12)</f>
        <v>0</v>
      </c>
      <c r="AF378" s="339">
        <f>(((BRhoriz!BZ156-BRhoriz!BY163-BRhoriz!BY164-BRhoriz!BY170)/(AF245-ECU!S6)/AF3)*12)</f>
        <v>0</v>
      </c>
      <c r="AG378" s="339">
        <f>(((BRhoriz!CA156-BRhoriz!BZ163-BRhoriz!BZ164-BRhoriz!BZ170)/(AG245-ECU!T6)/AG3)*12)</f>
        <v>0</v>
      </c>
      <c r="AH378" s="339">
        <f>(((BRhoriz!CB156-BRhoriz!CA163-BRhoriz!CA164-BRhoriz!CA170)/(AH245-ECU!U6)/AH3)*12)</f>
        <v>0</v>
      </c>
      <c r="AI378" s="339">
        <f>(((BRhoriz!CC156-BRhoriz!CB163-BRhoriz!CB164-BRhoriz!CB170)/(AI245-ECU!V6)/AI3)*12)</f>
        <v>0</v>
      </c>
      <c r="AJ378" s="339">
        <f>(((BRhoriz!CD156-BRhoriz!CC163-BRhoriz!CC164-BRhoriz!CC170)/(AJ245-ECU!W6)/AJ3)*12)</f>
        <v>0</v>
      </c>
      <c r="AK378" s="339">
        <f>(((BRhoriz!CE156-BRhoriz!CD163-BRhoriz!CD164-BRhoriz!CD170)/(AK245-ECU!X6)/AK3)*12)</f>
        <v>0</v>
      </c>
      <c r="AL378" s="339">
        <f>(((BRhoriz!CF156-BRhoriz!CE163-BRhoriz!CE164-BRhoriz!CE170)/(AL245-ECU!Y6)/AL3)*12)</f>
        <v>0</v>
      </c>
      <c r="AM378" s="339">
        <f>CalcIntCart!E59</f>
        <v>0.11118279501095961</v>
      </c>
      <c r="AN378" s="339">
        <f>CalcIntCart!F59</f>
        <v>0.11799671591051407</v>
      </c>
      <c r="AO378" s="339">
        <f>CalcIntCart!G59</f>
        <v>0.12160235470927247</v>
      </c>
      <c r="AP378" s="339">
        <f>CalcIntCart!H59</f>
        <v>0.12390207425984831</v>
      </c>
      <c r="AQ378" s="339">
        <f>CalcIntCart!I59</f>
        <v>0.12570246595280687</v>
      </c>
      <c r="AR378" s="339">
        <f>CalcIntCart!J59</f>
        <v>0.12702496070257194</v>
      </c>
      <c r="AS378" s="339">
        <f>CalcIntCart!K59</f>
        <v>0.12834388757250711</v>
      </c>
      <c r="AT378" s="339">
        <f>CalcIntCart!L59</f>
        <v>0.12950152270464074</v>
      </c>
      <c r="AU378" s="339">
        <f>CalcIntCart!M59</f>
        <v>0.13040434623444999</v>
      </c>
      <c r="AV378" s="339">
        <f>CalcIntCart!N59</f>
        <v>0.13138655996048593</v>
      </c>
      <c r="AW378" s="339">
        <f>CalcIntCart!O59</f>
        <v>0.1321406623903153</v>
      </c>
      <c r="AX378" s="339">
        <f>CalcIntCart!P59</f>
        <v>0.13297179847545704</v>
      </c>
      <c r="AY378" s="332">
        <f t="shared" si="943"/>
        <v>-1.1529104244426297E-2</v>
      </c>
      <c r="AZ378" s="332">
        <f t="shared" si="944"/>
        <v>-6.5102232238457958E-2</v>
      </c>
      <c r="BA378" s="333"/>
      <c r="BB378" s="333"/>
    </row>
    <row r="379" spans="3:54" x14ac:dyDescent="0.25">
      <c r="C379" s="284" t="s">
        <v>819</v>
      </c>
      <c r="D379" s="329"/>
      <c r="E379" s="329"/>
      <c r="F379" s="329"/>
      <c r="G379" s="329"/>
      <c r="H379" s="329"/>
      <c r="I379" s="329"/>
      <c r="J379" s="329"/>
      <c r="K379" s="329"/>
      <c r="L379" s="329"/>
      <c r="M379" s="329"/>
      <c r="N379" s="329"/>
      <c r="O379" s="329"/>
      <c r="P379" s="329"/>
      <c r="Q379" s="329"/>
      <c r="R379" s="329"/>
      <c r="S379" s="329"/>
      <c r="T379" s="329"/>
      <c r="U379" s="329"/>
      <c r="V379" s="329"/>
      <c r="W379" s="329"/>
      <c r="X379" s="329"/>
      <c r="Y379" s="329"/>
      <c r="Z379" s="329"/>
      <c r="AA379" s="329"/>
      <c r="AB379" s="329"/>
      <c r="AC379" s="329"/>
      <c r="AD379" s="329"/>
      <c r="AE379" s="329"/>
      <c r="AF379" s="329"/>
      <c r="AG379" s="329"/>
      <c r="AH379" s="329"/>
      <c r="AI379" s="329"/>
      <c r="AJ379" s="329"/>
      <c r="AK379" s="329"/>
      <c r="AL379" s="329"/>
      <c r="AM379" s="329"/>
      <c r="AN379" s="329"/>
      <c r="AO379" s="329"/>
      <c r="AP379" s="329"/>
      <c r="AQ379" s="329"/>
      <c r="AR379" s="329"/>
      <c r="AS379" s="329"/>
      <c r="AT379" s="329"/>
      <c r="AU379" s="329"/>
      <c r="AV379" s="329"/>
      <c r="AW379" s="329"/>
      <c r="AX379" s="329"/>
      <c r="AY379" s="329"/>
      <c r="AZ379" s="329"/>
      <c r="BA379" s="330"/>
      <c r="BB379" s="330"/>
    </row>
    <row r="380" spans="3:54" x14ac:dyDescent="0.25">
      <c r="C380" s="291" t="s">
        <v>820</v>
      </c>
      <c r="D380" s="338">
        <f t="shared" ref="D380:AX380" si="945">D6/(D154+D161+D162)</f>
        <v>0.11597134863087966</v>
      </c>
      <c r="E380" s="338">
        <f t="shared" si="945"/>
        <v>0.15231778015209085</v>
      </c>
      <c r="F380" s="338">
        <f t="shared" si="945"/>
        <v>8.0257377268482616E-2</v>
      </c>
      <c r="G380" s="338">
        <f t="shared" si="945"/>
        <v>9.9971050932943922E-2</v>
      </c>
      <c r="H380" s="338">
        <f t="shared" si="945"/>
        <v>0.10433469868813636</v>
      </c>
      <c r="I380" s="338">
        <f t="shared" si="945"/>
        <v>4.8490255854967669E-2</v>
      </c>
      <c r="J380" s="338">
        <f t="shared" si="945"/>
        <v>7.8936784432418888E-2</v>
      </c>
      <c r="K380" s="338">
        <f t="shared" si="945"/>
        <v>0.11600060867142557</v>
      </c>
      <c r="L380" s="338">
        <f t="shared" si="945"/>
        <v>0.12578871357482027</v>
      </c>
      <c r="M380" s="338">
        <f t="shared" si="945"/>
        <v>0.13138632733528147</v>
      </c>
      <c r="N380" s="338">
        <f t="shared" si="945"/>
        <v>0.27806918404282532</v>
      </c>
      <c r="O380" s="338">
        <f t="shared" si="945"/>
        <v>0.13155064744727385</v>
      </c>
      <c r="P380" s="338">
        <f t="shared" si="945"/>
        <v>0.15244720060230119</v>
      </c>
      <c r="Q380" s="338">
        <f t="shared" si="945"/>
        <v>0.21096482025484153</v>
      </c>
      <c r="R380" s="338">
        <f t="shared" si="945"/>
        <v>0.25455425369639834</v>
      </c>
      <c r="S380" s="338">
        <f t="shared" si="945"/>
        <v>0.23687018315361086</v>
      </c>
      <c r="T380" s="338">
        <f t="shared" si="945"/>
        <v>0.22678584949927869</v>
      </c>
      <c r="U380" s="338">
        <f t="shared" si="945"/>
        <v>0.38735115134548948</v>
      </c>
      <c r="V380" s="338">
        <f t="shared" si="945"/>
        <v>0.28972240341113759</v>
      </c>
      <c r="W380" s="338">
        <f t="shared" si="945"/>
        <v>0.2977899906591136</v>
      </c>
      <c r="X380" s="338">
        <f t="shared" ref="X380:AS380" si="946">X6/(X154+X161+X162)</f>
        <v>0.37882574920299161</v>
      </c>
      <c r="Y380" s="338">
        <f t="shared" si="946"/>
        <v>0.31955855009501644</v>
      </c>
      <c r="Z380" s="338">
        <f t="shared" si="946"/>
        <v>0.33389061376456264</v>
      </c>
      <c r="AA380" s="338">
        <f t="shared" si="946"/>
        <v>0.22801239433806308</v>
      </c>
      <c r="AB380" s="338">
        <f t="shared" si="946"/>
        <v>0.27439300490060087</v>
      </c>
      <c r="AC380" s="338">
        <f t="shared" ref="AC380:AL380" si="947">AC6/(AC154+AC161+AC162)</f>
        <v>0.32569086901033101</v>
      </c>
      <c r="AD380" s="338">
        <f t="shared" si="947"/>
        <v>0.34994796008194246</v>
      </c>
      <c r="AE380" s="338">
        <f t="shared" si="947"/>
        <v>0.5569662272698338</v>
      </c>
      <c r="AF380" s="338">
        <f t="shared" si="947"/>
        <v>0.2662169971104929</v>
      </c>
      <c r="AG380" s="338">
        <f t="shared" si="947"/>
        <v>0.25099040414270068</v>
      </c>
      <c r="AH380" s="338">
        <f t="shared" si="947"/>
        <v>0.27261304187856356</v>
      </c>
      <c r="AI380" s="338">
        <f t="shared" si="947"/>
        <v>0.33149029106049616</v>
      </c>
      <c r="AJ380" s="338">
        <f t="shared" si="947"/>
        <v>0.27655440816503013</v>
      </c>
      <c r="AK380" s="338">
        <f t="shared" si="947"/>
        <v>0.18937660314288424</v>
      </c>
      <c r="AL380" s="338">
        <f t="shared" si="947"/>
        <v>0.22698480481312427</v>
      </c>
      <c r="AM380" s="338">
        <f t="shared" si="946"/>
        <v>0.20130281521777921</v>
      </c>
      <c r="AN380" s="338">
        <f t="shared" si="946"/>
        <v>0.21110939899110065</v>
      </c>
      <c r="AO380" s="338">
        <f t="shared" si="946"/>
        <v>0.18768597298636025</v>
      </c>
      <c r="AP380" s="338">
        <f t="shared" si="946"/>
        <v>0.18365451609058586</v>
      </c>
      <c r="AQ380" s="338">
        <f t="shared" si="946"/>
        <v>0.21282352369674562</v>
      </c>
      <c r="AR380" s="338">
        <f t="shared" si="946"/>
        <v>0.21082773669933377</v>
      </c>
      <c r="AS380" s="338">
        <f t="shared" si="946"/>
        <v>0.19974790133675499</v>
      </c>
      <c r="AT380" s="338">
        <f t="shared" si="945"/>
        <v>0.1877894782019425</v>
      </c>
      <c r="AU380" s="338">
        <f t="shared" si="945"/>
        <v>0.1737484361114584</v>
      </c>
      <c r="AV380" s="338">
        <f t="shared" si="945"/>
        <v>0.16677950547435533</v>
      </c>
      <c r="AW380" s="338">
        <f t="shared" si="945"/>
        <v>0.15750360175434219</v>
      </c>
      <c r="AX380" s="338">
        <f t="shared" si="945"/>
        <v>0.1575587578120759</v>
      </c>
      <c r="AY380" s="332">
        <f>AX380-V380</f>
        <v>-0.13216364559906169</v>
      </c>
      <c r="AZ380" s="332">
        <f>AX380-P380</f>
        <v>5.1115572097747142E-3</v>
      </c>
      <c r="BA380" s="333"/>
      <c r="BB380" s="333"/>
    </row>
    <row r="381" spans="3:54" x14ac:dyDescent="0.25">
      <c r="C381" s="284" t="s">
        <v>821</v>
      </c>
      <c r="D381" s="329"/>
      <c r="E381" s="329"/>
      <c r="F381" s="329"/>
      <c r="G381" s="329"/>
      <c r="H381" s="329"/>
      <c r="I381" s="329"/>
      <c r="J381" s="329"/>
      <c r="K381" s="329"/>
      <c r="L381" s="329"/>
      <c r="M381" s="329"/>
      <c r="N381" s="329"/>
      <c r="O381" s="329"/>
      <c r="P381" s="329"/>
      <c r="Q381" s="329"/>
      <c r="R381" s="329"/>
      <c r="S381" s="329"/>
      <c r="T381" s="329"/>
      <c r="U381" s="329"/>
      <c r="V381" s="329"/>
      <c r="W381" s="329"/>
      <c r="X381" s="329"/>
      <c r="Y381" s="329"/>
      <c r="Z381" s="329"/>
      <c r="AA381" s="329"/>
      <c r="AB381" s="329"/>
      <c r="AC381" s="329"/>
      <c r="AD381" s="329"/>
      <c r="AE381" s="329"/>
      <c r="AF381" s="329"/>
      <c r="AG381" s="329"/>
      <c r="AH381" s="329"/>
      <c r="AI381" s="329"/>
      <c r="AJ381" s="329"/>
      <c r="AK381" s="329"/>
      <c r="AL381" s="329"/>
      <c r="AM381" s="329"/>
      <c r="AN381" s="329"/>
      <c r="AO381" s="329"/>
      <c r="AP381" s="329"/>
      <c r="AQ381" s="329"/>
      <c r="AR381" s="329"/>
      <c r="AS381" s="329"/>
      <c r="AT381" s="329"/>
      <c r="AU381" s="329"/>
      <c r="AV381" s="329"/>
      <c r="AW381" s="329"/>
      <c r="AX381" s="329"/>
      <c r="AY381" s="329"/>
      <c r="AZ381" s="329"/>
      <c r="BA381" s="330"/>
      <c r="BB381" s="330"/>
    </row>
    <row r="382" spans="3:54" x14ac:dyDescent="0.25">
      <c r="C382" s="341" t="s">
        <v>822</v>
      </c>
      <c r="D382" s="338">
        <f t="shared" ref="D382:AX382" si="948">(D53+D91)/(D212+D228)</f>
        <v>-8.0639974408279455E-2</v>
      </c>
      <c r="E382" s="338">
        <f t="shared" si="948"/>
        <v>7.6293188328928244E-2</v>
      </c>
      <c r="F382" s="338">
        <f t="shared" si="948"/>
        <v>0.13050991315717508</v>
      </c>
      <c r="G382" s="338">
        <f t="shared" si="948"/>
        <v>0.10047871430239197</v>
      </c>
      <c r="H382" s="338">
        <f t="shared" si="948"/>
        <v>0.10331256775443973</v>
      </c>
      <c r="I382" s="338">
        <f t="shared" si="948"/>
        <v>0.11992862234769144</v>
      </c>
      <c r="J382" s="338">
        <f t="shared" si="948"/>
        <v>0.12481862140761639</v>
      </c>
      <c r="K382" s="338">
        <f t="shared" si="948"/>
        <v>0.14940220442537303</v>
      </c>
      <c r="L382" s="338">
        <f t="shared" si="948"/>
        <v>9.8083391212152912E-2</v>
      </c>
      <c r="M382" s="338">
        <f t="shared" si="948"/>
        <v>9.5240699679333768E-2</v>
      </c>
      <c r="N382" s="338">
        <f t="shared" si="948"/>
        <v>0.47566014365726045</v>
      </c>
      <c r="O382" s="338">
        <f t="shared" si="948"/>
        <v>0.1665801747353014</v>
      </c>
      <c r="P382" s="338">
        <f t="shared" si="948"/>
        <v>0.16494328608082073</v>
      </c>
      <c r="Q382" s="338">
        <f t="shared" si="948"/>
        <v>0.18522821784735505</v>
      </c>
      <c r="R382" s="338">
        <f t="shared" si="948"/>
        <v>0.19753569898547491</v>
      </c>
      <c r="S382" s="338">
        <f t="shared" si="948"/>
        <v>0.27074716580221281</v>
      </c>
      <c r="T382" s="338">
        <f t="shared" si="948"/>
        <v>0.13712734224277912</v>
      </c>
      <c r="U382" s="338">
        <f t="shared" si="948"/>
        <v>0.21611922586561758</v>
      </c>
      <c r="V382" s="338">
        <f t="shared" si="948"/>
        <v>0.19277452417214552</v>
      </c>
      <c r="W382" s="338">
        <f t="shared" si="948"/>
        <v>0.21722045481468533</v>
      </c>
      <c r="X382" s="338">
        <f t="shared" ref="X382:AS382" si="949">(X53+X91)/(X212+X228)</f>
        <v>0.14109734171072064</v>
      </c>
      <c r="Y382" s="338">
        <f t="shared" si="949"/>
        <v>0.11128335935578648</v>
      </c>
      <c r="Z382" s="338">
        <f t="shared" si="949"/>
        <v>0.1110556555710905</v>
      </c>
      <c r="AA382" s="338">
        <f t="shared" si="949"/>
        <v>-0.16003267440297325</v>
      </c>
      <c r="AB382" s="338">
        <f t="shared" si="949"/>
        <v>-0.18580616996425253</v>
      </c>
      <c r="AC382" s="338">
        <f t="shared" ref="AC382:AL382" si="950">(AC53+AC91)/(AC212+AC228)</f>
        <v>-0.17138599390194509</v>
      </c>
      <c r="AD382" s="338">
        <f t="shared" si="950"/>
        <v>-0.16111029513285097</v>
      </c>
      <c r="AE382" s="338">
        <f t="shared" si="950"/>
        <v>-0.15612380022358066</v>
      </c>
      <c r="AF382" s="338">
        <f t="shared" si="950"/>
        <v>-0.16344529683630296</v>
      </c>
      <c r="AG382" s="338">
        <f t="shared" si="950"/>
        <v>-0.18159980999410685</v>
      </c>
      <c r="AH382" s="338">
        <f t="shared" si="950"/>
        <v>-0.17659611354584118</v>
      </c>
      <c r="AI382" s="338">
        <f t="shared" si="950"/>
        <v>-0.17518994069657362</v>
      </c>
      <c r="AJ382" s="338">
        <f t="shared" si="950"/>
        <v>-0.17488067273276195</v>
      </c>
      <c r="AK382" s="338">
        <f t="shared" si="950"/>
        <v>-0.18480480406489563</v>
      </c>
      <c r="AL382" s="338">
        <f t="shared" si="950"/>
        <v>-2.3416498980982869E-2</v>
      </c>
      <c r="AM382" s="338">
        <f t="shared" si="949"/>
        <v>1.6254565732172838E-2</v>
      </c>
      <c r="AN382" s="338">
        <f t="shared" si="949"/>
        <v>1.7971937288044644E-2</v>
      </c>
      <c r="AO382" s="338">
        <f t="shared" si="949"/>
        <v>1.9287074150323089E-2</v>
      </c>
      <c r="AP382" s="338">
        <f t="shared" si="949"/>
        <v>2.0434422817929225E-2</v>
      </c>
      <c r="AQ382" s="338">
        <f t="shared" si="949"/>
        <v>2.1490148814133751E-2</v>
      </c>
      <c r="AR382" s="338">
        <f t="shared" si="949"/>
        <v>2.244793699388907E-2</v>
      </c>
      <c r="AS382" s="338">
        <f t="shared" si="949"/>
        <v>2.3253824097668796E-2</v>
      </c>
      <c r="AT382" s="338">
        <f t="shared" si="948"/>
        <v>2.600778310257441E-2</v>
      </c>
      <c r="AU382" s="338">
        <f t="shared" si="948"/>
        <v>2.9764442191436136E-2</v>
      </c>
      <c r="AV382" s="338">
        <f t="shared" si="948"/>
        <v>3.4916303316950725E-2</v>
      </c>
      <c r="AW382" s="338">
        <f t="shared" si="948"/>
        <v>4.0593997784616545E-2</v>
      </c>
      <c r="AX382" s="338">
        <f t="shared" si="948"/>
        <v>8.7411309536532776E-3</v>
      </c>
      <c r="AY382" s="332">
        <f>AX382-V382</f>
        <v>-0.18403339321849224</v>
      </c>
      <c r="AZ382" s="332">
        <f>AX382-P382</f>
        <v>-0.15620215512716745</v>
      </c>
      <c r="BA382" s="333"/>
      <c r="BB382" s="333"/>
    </row>
    <row r="383" spans="3:54" x14ac:dyDescent="0.25">
      <c r="C383" s="341" t="s">
        <v>823</v>
      </c>
      <c r="D383" s="338">
        <f t="shared" ref="D383:AX383" si="951">D53/D212</f>
        <v>0.21287890297315981</v>
      </c>
      <c r="E383" s="338">
        <f t="shared" si="951"/>
        <v>0.3538348420184389</v>
      </c>
      <c r="F383" s="338">
        <f t="shared" si="951"/>
        <v>0.40667545584393916</v>
      </c>
      <c r="G383" s="338">
        <f t="shared" si="951"/>
        <v>0.38147057406799373</v>
      </c>
      <c r="H383" s="338">
        <f t="shared" si="951"/>
        <v>0.39439872053172642</v>
      </c>
      <c r="I383" s="338">
        <f t="shared" si="951"/>
        <v>0.43307666743880613</v>
      </c>
      <c r="J383" s="338">
        <f t="shared" si="951"/>
        <v>0.4526368333164254</v>
      </c>
      <c r="K383" s="338">
        <f t="shared" si="951"/>
        <v>0.48878821956999496</v>
      </c>
      <c r="L383" s="338">
        <f t="shared" si="951"/>
        <v>0.44011865520654664</v>
      </c>
      <c r="M383" s="338">
        <f t="shared" si="951"/>
        <v>0.44752539133532215</v>
      </c>
      <c r="N383" s="338">
        <f t="shared" si="951"/>
        <v>0.82580640950817563</v>
      </c>
      <c r="O383" s="338">
        <f t="shared" si="951"/>
        <v>0.51408106690341959</v>
      </c>
      <c r="P383" s="338">
        <f t="shared" si="951"/>
        <v>0.52220568110788124</v>
      </c>
      <c r="Q383" s="338">
        <f t="shared" si="951"/>
        <v>0.54708773450015002</v>
      </c>
      <c r="R383" s="338">
        <f t="shared" si="951"/>
        <v>0.57348996967428767</v>
      </c>
      <c r="S383" s="338">
        <f t="shared" si="951"/>
        <v>0.63324398209164967</v>
      </c>
      <c r="T383" s="338">
        <f t="shared" si="951"/>
        <v>0.50684144852321877</v>
      </c>
      <c r="U383" s="338">
        <f t="shared" si="951"/>
        <v>0.58502120915199418</v>
      </c>
      <c r="V383" s="338">
        <f t="shared" si="951"/>
        <v>0.58386910152642268</v>
      </c>
      <c r="W383" s="338">
        <f t="shared" si="951"/>
        <v>0.59220578482081543</v>
      </c>
      <c r="X383" s="338">
        <f t="shared" ref="X383:AS383" si="952">X53/X212</f>
        <v>0.34683118505000854</v>
      </c>
      <c r="Y383" s="338">
        <f t="shared" si="952"/>
        <v>0.34103514837712862</v>
      </c>
      <c r="Z383" s="338">
        <f t="shared" si="952"/>
        <v>0.35464185568129136</v>
      </c>
      <c r="AA383" s="338">
        <f t="shared" si="952"/>
        <v>0.11573798397867034</v>
      </c>
      <c r="AB383" s="338">
        <f t="shared" si="952"/>
        <v>8.5780258434671339E-2</v>
      </c>
      <c r="AC383" s="338">
        <f t="shared" ref="AC383:AL383" si="953">AC53/AC212</f>
        <v>7.1497649142513151E-2</v>
      </c>
      <c r="AD383" s="338">
        <f t="shared" si="953"/>
        <v>7.9097813344285409E-2</v>
      </c>
      <c r="AE383" s="338">
        <f t="shared" si="953"/>
        <v>7.938487391557264E-2</v>
      </c>
      <c r="AF383" s="338">
        <f t="shared" si="953"/>
        <v>6.7914904351658936E-2</v>
      </c>
      <c r="AG383" s="338">
        <f t="shared" si="953"/>
        <v>5.2961532049631208E-2</v>
      </c>
      <c r="AH383" s="338">
        <f t="shared" si="953"/>
        <v>6.1435015445949606E-2</v>
      </c>
      <c r="AI383" s="338">
        <f t="shared" si="953"/>
        <v>6.9824829408423897E-2</v>
      </c>
      <c r="AJ383" s="338">
        <f t="shared" si="953"/>
        <v>7.3944242077485636E-2</v>
      </c>
      <c r="AK383" s="338">
        <f t="shared" si="953"/>
        <v>6.7442853563086227E-2</v>
      </c>
      <c r="AL383" s="338">
        <f t="shared" si="953"/>
        <v>7.8567168964219114E-2</v>
      </c>
      <c r="AM383" s="338">
        <f t="shared" si="952"/>
        <v>0.12613908221983952</v>
      </c>
      <c r="AN383" s="338">
        <f t="shared" si="952"/>
        <v>0.13504942667686901</v>
      </c>
      <c r="AO383" s="338">
        <f t="shared" si="952"/>
        <v>0.14265373977253404</v>
      </c>
      <c r="AP383" s="338">
        <f t="shared" si="952"/>
        <v>0.14928135606075096</v>
      </c>
      <c r="AQ383" s="338">
        <f t="shared" si="952"/>
        <v>0.15587509845565994</v>
      </c>
      <c r="AR383" s="338">
        <f t="shared" si="952"/>
        <v>0.16207199026741181</v>
      </c>
      <c r="AS383" s="338">
        <f t="shared" si="952"/>
        <v>0.16772989143643907</v>
      </c>
      <c r="AT383" s="338">
        <f t="shared" si="951"/>
        <v>0.17254877812077207</v>
      </c>
      <c r="AU383" s="338">
        <f t="shared" si="951"/>
        <v>0.17729881031518735</v>
      </c>
      <c r="AV383" s="338">
        <f t="shared" si="951"/>
        <v>0.1810287092139064</v>
      </c>
      <c r="AW383" s="338">
        <f t="shared" si="951"/>
        <v>0.18446444511927201</v>
      </c>
      <c r="AX383" s="338">
        <f t="shared" si="951"/>
        <v>0.16511490784969443</v>
      </c>
      <c r="AY383" s="332">
        <f>AX383-V383</f>
        <v>-0.41875419367672828</v>
      </c>
      <c r="AZ383" s="332">
        <f>AX383-P383</f>
        <v>-0.35709077325818683</v>
      </c>
      <c r="BA383" s="333"/>
      <c r="BB383" s="333"/>
    </row>
    <row r="384" spans="3:54" x14ac:dyDescent="0.25">
      <c r="C384" s="333"/>
      <c r="D384" s="282"/>
      <c r="E384" s="282"/>
      <c r="F384" s="282"/>
      <c r="G384" s="282"/>
      <c r="H384" s="282"/>
      <c r="I384" s="282"/>
      <c r="J384" s="282"/>
      <c r="K384" s="282"/>
      <c r="L384" s="282"/>
      <c r="M384" s="282"/>
      <c r="N384" s="282"/>
      <c r="O384" s="282"/>
      <c r="P384" s="282"/>
      <c r="Q384" s="282"/>
      <c r="R384" s="282"/>
      <c r="S384" s="282"/>
      <c r="T384" s="282"/>
      <c r="U384" s="282"/>
      <c r="V384" s="282"/>
      <c r="W384" s="282"/>
      <c r="X384" s="282"/>
      <c r="Y384" s="282"/>
      <c r="Z384" s="282"/>
      <c r="AA384" s="282"/>
      <c r="AB384" s="282"/>
      <c r="AC384" s="282"/>
      <c r="AD384" s="282"/>
      <c r="AE384" s="282"/>
      <c r="AF384" s="282"/>
      <c r="AG384" s="282"/>
      <c r="AH384" s="282"/>
      <c r="AI384" s="282"/>
      <c r="AJ384" s="282"/>
      <c r="AK384" s="282"/>
      <c r="AL384" s="282"/>
      <c r="AM384" s="282"/>
      <c r="AN384" s="282"/>
      <c r="AO384" s="282"/>
      <c r="AP384" s="282"/>
      <c r="AQ384" s="282"/>
      <c r="AR384" s="282"/>
      <c r="AS384" s="282"/>
      <c r="AT384" s="282"/>
      <c r="AU384" s="282"/>
      <c r="AV384" s="282"/>
      <c r="AW384" s="282"/>
      <c r="AX384" s="282"/>
      <c r="AY384" s="335"/>
      <c r="AZ384" s="335"/>
      <c r="BA384" s="333"/>
      <c r="BB384" s="333"/>
    </row>
    <row r="385" spans="3:54" x14ac:dyDescent="0.25">
      <c r="C385" s="341" t="s">
        <v>824</v>
      </c>
      <c r="D385" s="339">
        <f>(D212+D228-BRhoriz!D190)/BGhoriz!D5</f>
        <v>9.0410295361252377E-2</v>
      </c>
      <c r="E385" s="339">
        <f>(E212+E228-BRhoriz!E190)/BGhoriz!E5</f>
        <v>0.13757987034443123</v>
      </c>
      <c r="F385" s="339">
        <f>(F212+F228-BRhoriz!F190)/BGhoriz!F5</f>
        <v>0.13741703337681455</v>
      </c>
      <c r="G385" s="339">
        <f>(G212+G228-BRhoriz!G190)/BGhoriz!G5</f>
        <v>0.13535832207419859</v>
      </c>
      <c r="H385" s="339">
        <f>(H212+H228-BRhoriz!H190)/BGhoriz!H5</f>
        <v>0.13429680826592796</v>
      </c>
      <c r="I385" s="339">
        <f>(I212+I228-BRhoriz!I190)/BGhoriz!I5</f>
        <v>0.14174292465694963</v>
      </c>
      <c r="J385" s="339">
        <f>(J212+J228-BRhoriz!J190)/BGhoriz!J5</f>
        <v>0.14303112641589108</v>
      </c>
      <c r="K385" s="339">
        <f>(K212+K228-BRhoriz!K190)/BGhoriz!K5</f>
        <v>0.14467502807098895</v>
      </c>
      <c r="L385" s="339">
        <f>(L212+L228-BRhoriz!L190)/BGhoriz!L5</f>
        <v>0.14639400420939683</v>
      </c>
      <c r="M385" s="339">
        <f>(M212+M228-BRhoriz!M190)/BGhoriz!M5</f>
        <v>0.14420419947260837</v>
      </c>
      <c r="N385" s="339">
        <f>(N212+N228-BRhoriz!N190)/BGhoriz!N5</f>
        <v>0.13424928532072522</v>
      </c>
      <c r="O385" s="339">
        <f>(O212+O228-BRhoriz!O190)/BGhoriz!O5</f>
        <v>0.1423606682815533</v>
      </c>
      <c r="P385" s="339">
        <f>(P212+P228-BRhoriz!P190)/BGhoriz!P5</f>
        <v>0.14703920936825118</v>
      </c>
      <c r="Q385" s="339">
        <f>(Q212+Q228-BRhoriz!AC190)/BGhoriz!Q5</f>
        <v>0.15053576063294605</v>
      </c>
      <c r="R385" s="339">
        <f>(R212+R228-BRhoriz!AD190)/BGhoriz!R5</f>
        <v>0.14810557547174141</v>
      </c>
      <c r="S385" s="339">
        <f>(S212+S228-BRhoriz!AE190)/BGhoriz!S5</f>
        <v>0.14657916003657842</v>
      </c>
      <c r="T385" s="339">
        <f>(T212+T228-BRhoriz!AF190)/BGhoriz!T5</f>
        <v>0.14394025320466969</v>
      </c>
      <c r="U385" s="339">
        <f>(U212+U228-BRhoriz!AG190)/BGhoriz!U5</f>
        <v>0.1305747123958558</v>
      </c>
      <c r="V385" s="339">
        <f>(V212+V228-BRhoriz!AH190)/BGhoriz!V5</f>
        <v>0.11070152168343987</v>
      </c>
      <c r="W385" s="339">
        <f>(W212+W228-BRhoriz!AI190)/BGhoriz!W5</f>
        <v>0.11068589453768599</v>
      </c>
      <c r="X385" s="339">
        <f>(X212+X228-BRhoriz!BR190)/BGhoriz!X5</f>
        <v>0.21545311350986099</v>
      </c>
      <c r="Y385" s="339">
        <f>(Y212+Y228-BRhoriz!BS190)/BGhoriz!Y5</f>
        <v>0.2018088091055448</v>
      </c>
      <c r="Z385" s="339">
        <f>(Z212+Z228-BRhoriz!BT190)/BGhoriz!Z5</f>
        <v>0.18548073433545126</v>
      </c>
      <c r="AA385" s="339">
        <f>(AA212+AA228-BRhoriz!BU190)/BGhoriz!AA5</f>
        <v>0.17904214130842505</v>
      </c>
      <c r="AB385" s="339">
        <f>(AB212+AB228-BRhoriz!BV190)/BGhoriz!AB5</f>
        <v>0.16240658200851124</v>
      </c>
      <c r="AC385" s="339">
        <f>(AC212+AC228-BRhoriz!BW190)/BGhoriz!AC5</f>
        <v>0.19842210707404798</v>
      </c>
      <c r="AD385" s="339">
        <f>(AD212+AD228-BRhoriz!BX190)/BGhoriz!AD5</f>
        <v>0.19374837979597967</v>
      </c>
      <c r="AE385" s="339">
        <f>(AE212+AE228-BRhoriz!BY190)/BGhoriz!AE5</f>
        <v>0.17738539294074826</v>
      </c>
      <c r="AF385" s="339">
        <f>(AF212+AF228-BRhoriz!BZ190)/BGhoriz!AF5</f>
        <v>0.18460756514530535</v>
      </c>
      <c r="AG385" s="339">
        <f>(AG212+AG228-BRhoriz!CA190)/BGhoriz!AG5</f>
        <v>0.17824273710321331</v>
      </c>
      <c r="AH385" s="339">
        <f>(AH212+AH228-BRhoriz!CB190)/BGhoriz!AH5</f>
        <v>0.17168215475863496</v>
      </c>
      <c r="AI385" s="339">
        <f>(AI212+AI228-BRhoriz!CC190)/BGhoriz!AI5</f>
        <v>0.1637501945795258</v>
      </c>
      <c r="AJ385" s="339">
        <f>(AJ212+AJ228-BRhoriz!CD190)/BGhoriz!AJ5</f>
        <v>0.15884771863100625</v>
      </c>
      <c r="AK385" s="339">
        <f>(AK212+AK228-BRhoriz!CE190)/BGhoriz!AK5</f>
        <v>0.15650614682466923</v>
      </c>
      <c r="AL385" s="339">
        <f>(AL212+AL228-BRhoriz!CF190)/BGhoriz!AL5</f>
        <v>0.15070369358124508</v>
      </c>
      <c r="AM385" s="339">
        <f>(AM212+AM228-BRhoriz!AC190)/BGhoriz!AM5</f>
        <v>0.13855028454711102</v>
      </c>
      <c r="AN385" s="339">
        <f>(AN212+AN228-BRhoriz!AD190)/BGhoriz!AN5</f>
        <v>0.13065505046290737</v>
      </c>
      <c r="AO385" s="339">
        <f>(AO212+AO228-BRhoriz!AE190)/BGhoriz!AO5</f>
        <v>0.12514093145264182</v>
      </c>
      <c r="AP385" s="339">
        <f>(AP212+AP228-BRhoriz!AF190)/BGhoriz!AP5</f>
        <v>0.12075467257087963</v>
      </c>
      <c r="AQ385" s="339">
        <f>(AQ212+AQ228-BRhoriz!AG190)/BGhoriz!AQ5</f>
        <v>0.11707991062317076</v>
      </c>
      <c r="AR385" s="339">
        <f>(AR212+AR228-BRhoriz!AH190)/BGhoriz!AR5</f>
        <v>0.11373290746804324</v>
      </c>
      <c r="AS385" s="339">
        <f>(AS212+AS228-BRhoriz!AI190)/BGhoriz!AS5</f>
        <v>0.1095520829427204</v>
      </c>
      <c r="AT385" s="339">
        <f>(AT212+AT228-BRhoriz!BR190)/BGhoriz!AT5</f>
        <v>0.10257476145227452</v>
      </c>
      <c r="AU385" s="339">
        <f>(AU212+AU228-BRhoriz!BS190)/BGhoriz!AU5</f>
        <v>0.10036634344731396</v>
      </c>
      <c r="AV385" s="339">
        <f>(AV212+AV228-BRhoriz!BT190)/BGhoriz!AV5</f>
        <v>9.8711943003279318E-2</v>
      </c>
      <c r="AW385" s="339">
        <f>(AW212+AW228-BRhoriz!BU190)/BGhoriz!AW5</f>
        <v>9.6818420068862418E-2</v>
      </c>
      <c r="AX385" s="339">
        <f>(AX212+AX228-BRhoriz!BV190)/BGhoriz!AX5</f>
        <v>0.10851551355985112</v>
      </c>
      <c r="AY385" s="332">
        <f>AX385-V385</f>
        <v>-2.1860081235887535E-3</v>
      </c>
      <c r="AZ385" s="332">
        <f>AX385-P385</f>
        <v>-3.8523695808400066E-2</v>
      </c>
      <c r="BA385" s="333"/>
      <c r="BB385" s="333"/>
    </row>
    <row r="386" spans="3:54" x14ac:dyDescent="0.25">
      <c r="C386" s="341" t="s">
        <v>825</v>
      </c>
      <c r="D386" s="338">
        <f t="shared" ref="D386:AX386" si="954">1+(D324/D5)</f>
        <v>1.2869707858522581</v>
      </c>
      <c r="E386" s="338">
        <f t="shared" si="954"/>
        <v>1.3143074914621227</v>
      </c>
      <c r="F386" s="338">
        <f t="shared" si="954"/>
        <v>1.2991628550184657</v>
      </c>
      <c r="G386" s="338">
        <f t="shared" si="954"/>
        <v>1.2902213987343292</v>
      </c>
      <c r="H386" s="338">
        <f t="shared" si="954"/>
        <v>1.2967372112903963</v>
      </c>
      <c r="I386" s="338">
        <f t="shared" si="954"/>
        <v>1.2896410331334316</v>
      </c>
      <c r="J386" s="338">
        <f t="shared" si="954"/>
        <v>1.3014606388466154</v>
      </c>
      <c r="K386" s="338">
        <f t="shared" si="954"/>
        <v>1.3197548072781364</v>
      </c>
      <c r="L386" s="338">
        <f t="shared" si="954"/>
        <v>1.3156891749625708</v>
      </c>
      <c r="M386" s="338">
        <f t="shared" si="954"/>
        <v>1.3170023216201554</v>
      </c>
      <c r="N386" s="338">
        <f t="shared" si="954"/>
        <v>1.3998128349879277</v>
      </c>
      <c r="O386" s="338">
        <f t="shared" si="954"/>
        <v>1.3341387565228231</v>
      </c>
      <c r="P386" s="338">
        <f t="shared" si="954"/>
        <v>1.3480926066130476</v>
      </c>
      <c r="Q386" s="338">
        <f t="shared" si="954"/>
        <v>1.3577969103712364</v>
      </c>
      <c r="R386" s="338">
        <f t="shared" si="954"/>
        <v>1.3694839891983346</v>
      </c>
      <c r="S386" s="338">
        <f t="shared" si="954"/>
        <v>1.3769212684800305</v>
      </c>
      <c r="T386" s="338">
        <f t="shared" si="954"/>
        <v>1.3496258053889105</v>
      </c>
      <c r="U386" s="338">
        <f t="shared" si="954"/>
        <v>1.381903744542782</v>
      </c>
      <c r="V386" s="338">
        <f t="shared" si="954"/>
        <v>1.3211286736461614</v>
      </c>
      <c r="W386" s="338">
        <f t="shared" si="954"/>
        <v>1.318546825768413</v>
      </c>
      <c r="X386" s="338">
        <f t="shared" ref="X386:AS386" si="955">1+(X324/X5)</f>
        <v>1.3085811110932419</v>
      </c>
      <c r="Y386" s="338">
        <f t="shared" si="955"/>
        <v>1.3108635005792226</v>
      </c>
      <c r="Z386" s="338">
        <f t="shared" si="955"/>
        <v>1.2900169322697663</v>
      </c>
      <c r="AA386" s="338">
        <f t="shared" si="955"/>
        <v>1.282245867031313</v>
      </c>
      <c r="AB386" s="338">
        <f t="shared" si="955"/>
        <v>1.2805524893765106</v>
      </c>
      <c r="AC386" s="338">
        <f t="shared" ref="AC386:AL386" si="956">1+(AC324/AC5)</f>
        <v>1.2763524107643951</v>
      </c>
      <c r="AD386" s="338">
        <f t="shared" si="956"/>
        <v>1.2798219598490765</v>
      </c>
      <c r="AE386" s="338">
        <f t="shared" si="956"/>
        <v>1.300933074907032</v>
      </c>
      <c r="AF386" s="338">
        <f t="shared" si="956"/>
        <v>1.2566421569009942</v>
      </c>
      <c r="AG386" s="338">
        <f t="shared" si="956"/>
        <v>1.2467177237605109</v>
      </c>
      <c r="AH386" s="338">
        <f t="shared" si="956"/>
        <v>1.2291586245781445</v>
      </c>
      <c r="AI386" s="338">
        <f t="shared" si="956"/>
        <v>1.2183597846077336</v>
      </c>
      <c r="AJ386" s="338">
        <f t="shared" si="956"/>
        <v>1.2154782292706321</v>
      </c>
      <c r="AK386" s="338">
        <f t="shared" si="956"/>
        <v>1.2178321352948787</v>
      </c>
      <c r="AL386" s="338">
        <f t="shared" si="956"/>
        <v>1.2144478179069476</v>
      </c>
      <c r="AM386" s="338">
        <f t="shared" si="955"/>
        <v>1.2172163784047287</v>
      </c>
      <c r="AN386" s="338">
        <f t="shared" si="955"/>
        <v>1.2136123769787683</v>
      </c>
      <c r="AO386" s="338">
        <f t="shared" si="955"/>
        <v>1.2007451232263404</v>
      </c>
      <c r="AP386" s="338">
        <f t="shared" si="955"/>
        <v>1.1902809102220475</v>
      </c>
      <c r="AQ386" s="338">
        <f t="shared" si="955"/>
        <v>1.1887361149701576</v>
      </c>
      <c r="AR386" s="338">
        <f t="shared" si="955"/>
        <v>1.175251426406877</v>
      </c>
      <c r="AS386" s="338">
        <f t="shared" si="955"/>
        <v>1.1650408070410521</v>
      </c>
      <c r="AT386" s="338">
        <f t="shared" si="954"/>
        <v>1.1556719186204656</v>
      </c>
      <c r="AU386" s="338">
        <f t="shared" si="954"/>
        <v>1.1501489973418395</v>
      </c>
      <c r="AV386" s="338">
        <f t="shared" si="954"/>
        <v>1.1458076365066214</v>
      </c>
      <c r="AW386" s="338">
        <f t="shared" si="954"/>
        <v>1.1472876011425861</v>
      </c>
      <c r="AX386" s="338">
        <f t="shared" si="954"/>
        <v>1.1555887466299501</v>
      </c>
      <c r="AY386" s="332">
        <f>AX386-V386</f>
        <v>-0.16553992701621123</v>
      </c>
      <c r="AZ386" s="332">
        <f>AX386-P386</f>
        <v>-0.19250385998309749</v>
      </c>
      <c r="BA386" s="333"/>
      <c r="BB386" s="333"/>
    </row>
    <row r="387" spans="3:54" x14ac:dyDescent="0.25">
      <c r="C387" s="341" t="s">
        <v>826</v>
      </c>
      <c r="D387" s="338">
        <f t="shared" ref="D387:P387" si="957">1+(D325/D6)</f>
        <v>1.9156450930882452</v>
      </c>
      <c r="E387" s="338">
        <f t="shared" si="957"/>
        <v>1.9095424986141749</v>
      </c>
      <c r="F387" s="338">
        <f t="shared" si="957"/>
        <v>1.9327988019441587</v>
      </c>
      <c r="G387" s="338">
        <f t="shared" si="957"/>
        <v>1.6915083528264003</v>
      </c>
      <c r="H387" s="338">
        <f t="shared" si="957"/>
        <v>1.794070680024658</v>
      </c>
      <c r="I387" s="338">
        <f t="shared" si="957"/>
        <v>1.8462327289871334</v>
      </c>
      <c r="J387" s="338">
        <f t="shared" si="957"/>
        <v>1.832767416910547</v>
      </c>
      <c r="K387" s="338">
        <f t="shared" si="957"/>
        <v>1.7784367894584858</v>
      </c>
      <c r="L387" s="338">
        <f t="shared" si="957"/>
        <v>1.8345720915302652</v>
      </c>
      <c r="M387" s="338">
        <f t="shared" si="957"/>
        <v>1.8824443292609763</v>
      </c>
      <c r="N387" s="338">
        <f t="shared" si="957"/>
        <v>1.7997167036818884</v>
      </c>
      <c r="O387" s="338">
        <f t="shared" si="957"/>
        <v>1.8707104240305732</v>
      </c>
      <c r="P387" s="338">
        <f t="shared" si="957"/>
        <v>1.879830142504155</v>
      </c>
      <c r="Q387" s="338">
        <f t="shared" ref="Q387:U387" si="958">Q385/Q386</f>
        <v>0.11086765589397897</v>
      </c>
      <c r="R387" s="338">
        <f t="shared" si="958"/>
        <v>0.10814699305717267</v>
      </c>
      <c r="S387" s="338">
        <f t="shared" si="958"/>
        <v>0.10645427839050353</v>
      </c>
      <c r="T387" s="338">
        <f t="shared" si="958"/>
        <v>0.1066519717020316</v>
      </c>
      <c r="U387" s="338">
        <f t="shared" si="958"/>
        <v>9.448900685847543E-2</v>
      </c>
      <c r="V387" s="338">
        <f>V385/V386</f>
        <v>8.379314134323991E-2</v>
      </c>
      <c r="W387" s="338">
        <f t="shared" ref="W387:AX387" si="959">W385/W386</f>
        <v>8.394536498404695E-2</v>
      </c>
      <c r="X387" s="338">
        <f t="shared" ref="X387:AS387" si="960">X385/X386</f>
        <v>0.16464635755735668</v>
      </c>
      <c r="Y387" s="338">
        <f t="shared" si="960"/>
        <v>0.15395104754718769</v>
      </c>
      <c r="Z387" s="338">
        <f t="shared" si="960"/>
        <v>0.14378162774119604</v>
      </c>
      <c r="AA387" s="338">
        <f t="shared" si="960"/>
        <v>0.13963167744338126</v>
      </c>
      <c r="AB387" s="338">
        <f t="shared" si="960"/>
        <v>0.12682540025171912</v>
      </c>
      <c r="AC387" s="338">
        <f t="shared" ref="AC387:AL387" si="961">AC385/AC386</f>
        <v>0.15546028306963819</v>
      </c>
      <c r="AD387" s="338">
        <f t="shared" si="961"/>
        <v>0.15138697871602977</v>
      </c>
      <c r="AE387" s="338">
        <f t="shared" si="961"/>
        <v>0.13635243531142036</v>
      </c>
      <c r="AF387" s="338">
        <f t="shared" si="961"/>
        <v>0.1469054369467965</v>
      </c>
      <c r="AG387" s="338">
        <f t="shared" si="961"/>
        <v>0.14296960226535849</v>
      </c>
      <c r="AH387" s="338">
        <f t="shared" si="961"/>
        <v>0.13967453128155646</v>
      </c>
      <c r="AI387" s="338">
        <f t="shared" si="961"/>
        <v>0.1344021664604165</v>
      </c>
      <c r="AJ387" s="338">
        <f t="shared" si="961"/>
        <v>0.13068742393380872</v>
      </c>
      <c r="AK387" s="338">
        <f t="shared" si="961"/>
        <v>0.12851208494902605</v>
      </c>
      <c r="AL387" s="338">
        <f t="shared" si="961"/>
        <v>0.12409235815580524</v>
      </c>
      <c r="AM387" s="338">
        <f t="shared" si="960"/>
        <v>0.11382551780045352</v>
      </c>
      <c r="AN387" s="338">
        <f t="shared" si="960"/>
        <v>0.10765797460649426</v>
      </c>
      <c r="AO387" s="338">
        <f t="shared" si="960"/>
        <v>0.10421939596672654</v>
      </c>
      <c r="AP387" s="338">
        <f t="shared" si="960"/>
        <v>0.1014505664451535</v>
      </c>
      <c r="AQ387" s="338">
        <f t="shared" si="960"/>
        <v>9.8491085741186521E-2</v>
      </c>
      <c r="AR387" s="338">
        <f t="shared" si="960"/>
        <v>9.6773256268883209E-2</v>
      </c>
      <c r="AS387" s="338">
        <f t="shared" si="960"/>
        <v>9.4032828962410886E-2</v>
      </c>
      <c r="AT387" s="338">
        <f t="shared" si="959"/>
        <v>8.8757682694859286E-2</v>
      </c>
      <c r="AU387" s="338">
        <f t="shared" si="959"/>
        <v>8.7263775110246661E-2</v>
      </c>
      <c r="AV387" s="338">
        <f t="shared" si="959"/>
        <v>8.6150536842498057E-2</v>
      </c>
      <c r="AW387" s="338">
        <f t="shared" si="959"/>
        <v>8.4388970971568722E-2</v>
      </c>
      <c r="AX387" s="338">
        <f t="shared" si="959"/>
        <v>9.3904958728886476E-2</v>
      </c>
      <c r="AY387" s="332">
        <f>AX387-V387</f>
        <v>1.0111817385646565E-2</v>
      </c>
      <c r="AZ387" s="332">
        <f>AX387-P387</f>
        <v>-1.7859251837752685</v>
      </c>
      <c r="BA387" s="333"/>
      <c r="BB387" s="333"/>
    </row>
  </sheetData>
  <sheetProtection formatColumns="0" formatRows="0"/>
  <autoFilter ref="A3:BD231" xr:uid="{00000000-0009-0000-0000-000002000000}"/>
  <printOptions horizontalCentered="1"/>
  <pageMargins left="0.39370078740157483" right="0.59055118110236227" top="0.78740157480314965" bottom="0.59055118110236227" header="0.39370078740157483" footer="0.19685039370078741"/>
  <pageSetup paperSize="9" scale="57" fitToHeight="3" orientation="landscape" useFirstPageNumber="1" horizontalDpi="300" verticalDpi="300"/>
  <headerFooter>
    <oddHeader>&amp;C&amp;"-,Negrita Cursiva"&amp;14PRESUPUESTO 2018</oddHeader>
    <oddFooter>&amp;LPreparado por: Ing. Carlos García, Gerente General; 2017-12-15&amp;C&amp;F&amp;RPág.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4"/>
  <sheetViews>
    <sheetView tabSelected="1" zoomScaleNormal="100" workbookViewId="0">
      <selection activeCell="C109" sqref="C109"/>
    </sheetView>
  </sheetViews>
  <sheetFormatPr baseColWidth="10" defaultColWidth="9.140625" defaultRowHeight="15" x14ac:dyDescent="0.25"/>
  <cols>
    <col min="1" max="1" width="19.42578125" bestFit="1" customWidth="1"/>
    <col min="2" max="2" width="22.85546875" customWidth="1"/>
    <col min="3" max="3" width="17.7109375" bestFit="1" customWidth="1"/>
    <col min="4" max="4" width="19.85546875" bestFit="1" customWidth="1"/>
    <col min="5" max="5" width="23" bestFit="1" customWidth="1"/>
    <col min="6" max="6" width="19.7109375" bestFit="1" customWidth="1"/>
    <col min="7" max="7" width="4.5703125" customWidth="1"/>
    <col min="8" max="8" width="30.85546875" bestFit="1" customWidth="1"/>
    <col min="9" max="9" width="13.42578125" bestFit="1" customWidth="1"/>
    <col min="10" max="10" width="19.7109375" bestFit="1" customWidth="1"/>
    <col min="11" max="11" width="9.85546875" bestFit="1" customWidth="1"/>
    <col min="12" max="17" width="21" customWidth="1"/>
  </cols>
  <sheetData>
    <row r="1" spans="1:17" x14ac:dyDescent="0.25">
      <c r="A1" s="1012" t="s">
        <v>1385</v>
      </c>
      <c r="B1" s="1012"/>
      <c r="C1" s="1012"/>
      <c r="D1" s="1012"/>
      <c r="E1" s="1012"/>
      <c r="F1" s="1012"/>
      <c r="G1" s="1012"/>
      <c r="H1" s="1012"/>
      <c r="I1" s="1012"/>
      <c r="J1" s="1012"/>
      <c r="K1" s="1012"/>
      <c r="L1" s="1012"/>
      <c r="M1" s="1012"/>
      <c r="N1" s="1012"/>
      <c r="O1" s="1012"/>
      <c r="P1" s="1012"/>
      <c r="Q1" s="1012"/>
    </row>
    <row r="2" spans="1:17" x14ac:dyDescent="0.25">
      <c r="A2" s="1012"/>
      <c r="B2" s="1012"/>
      <c r="C2" s="1012"/>
      <c r="D2" s="1012"/>
      <c r="E2" s="1012"/>
      <c r="F2" s="1012"/>
      <c r="G2" s="1012"/>
      <c r="H2" s="1012"/>
      <c r="I2" s="1012"/>
      <c r="J2" s="1012"/>
      <c r="K2" s="1012"/>
      <c r="L2" s="1012"/>
      <c r="M2" s="1012"/>
      <c r="N2" s="1012"/>
      <c r="O2" s="1012"/>
      <c r="P2" s="1012"/>
      <c r="Q2" s="1012"/>
    </row>
    <row r="3" spans="1:17" x14ac:dyDescent="0.25">
      <c r="A3" s="1013" t="s">
        <v>1386</v>
      </c>
      <c r="B3" s="1013"/>
      <c r="C3" s="1013"/>
      <c r="D3" s="1013"/>
      <c r="E3" s="1013"/>
      <c r="F3" s="1013"/>
      <c r="G3" s="1013"/>
      <c r="H3" s="1013"/>
      <c r="I3" s="1013"/>
      <c r="J3" s="1013"/>
      <c r="K3" s="1013"/>
      <c r="L3" s="1013"/>
      <c r="M3" s="1013"/>
      <c r="N3" s="1013"/>
      <c r="O3" s="1013"/>
      <c r="P3" s="1013"/>
      <c r="Q3" s="1013"/>
    </row>
    <row r="5" spans="1:17" x14ac:dyDescent="0.25">
      <c r="A5" s="1025" t="s">
        <v>1387</v>
      </c>
      <c r="B5" s="1022" t="s">
        <v>1388</v>
      </c>
      <c r="C5" s="1022" t="s">
        <v>1389</v>
      </c>
      <c r="D5" s="1022" t="s">
        <v>1390</v>
      </c>
      <c r="E5" s="1022" t="s">
        <v>1391</v>
      </c>
      <c r="F5" s="1027" t="s">
        <v>1392</v>
      </c>
      <c r="H5" s="1018" t="s">
        <v>1402</v>
      </c>
      <c r="I5" s="1018"/>
      <c r="J5" s="1018"/>
    </row>
    <row r="6" spans="1:17" x14ac:dyDescent="0.25">
      <c r="A6" s="1026">
        <f>RecupProv!O27</f>
        <v>8241824.4199999953</v>
      </c>
      <c r="B6" s="1023">
        <f>RecupProv!O53</f>
        <v>3207702.2999999984</v>
      </c>
      <c r="C6" s="1023">
        <f>A6+B6</f>
        <v>11449526.719999993</v>
      </c>
      <c r="D6" s="1024">
        <f>(RecupProv!N108/RecupProv!C108)-1</f>
        <v>0.93652014893948721</v>
      </c>
      <c r="E6" s="1024">
        <f>RecupProv!N115-RecupProv!C115</f>
        <v>-0.29237640014315802</v>
      </c>
      <c r="F6" s="1028">
        <f>RecupProv!O127/RecupProv!O27</f>
        <v>2.0781150055123369E-2</v>
      </c>
      <c r="H6" s="1039" t="s">
        <v>1403</v>
      </c>
      <c r="I6" s="1038" t="s">
        <v>1404</v>
      </c>
      <c r="J6" s="1040" t="s">
        <v>1405</v>
      </c>
    </row>
    <row r="7" spans="1:17" x14ac:dyDescent="0.25">
      <c r="H7" s="1033" t="s">
        <v>1276</v>
      </c>
      <c r="I7" s="1030">
        <f>RecupProv!O6</f>
        <v>182676.18000000002</v>
      </c>
      <c r="J7" s="1041">
        <f>I7/$C$6</f>
        <v>1.5954911016618872E-2</v>
      </c>
    </row>
    <row r="8" spans="1:17" x14ac:dyDescent="0.25">
      <c r="A8" s="1014" t="s">
        <v>1393</v>
      </c>
      <c r="B8" s="1014"/>
      <c r="C8" s="1014"/>
      <c r="D8" s="1014"/>
      <c r="E8" s="1014"/>
      <c r="F8" s="1014"/>
      <c r="H8" s="1033" t="s">
        <v>1184</v>
      </c>
      <c r="I8" s="1030">
        <f>RecupProv!O10</f>
        <v>6488683.8899999959</v>
      </c>
      <c r="J8" s="1041">
        <f>I8/$C$6</f>
        <v>0.56672070808530328</v>
      </c>
    </row>
    <row r="9" spans="1:17" ht="75" x14ac:dyDescent="0.25">
      <c r="A9" s="1016">
        <v>1</v>
      </c>
      <c r="B9" s="1015" t="s">
        <v>1394</v>
      </c>
      <c r="H9" s="1033" t="s">
        <v>448</v>
      </c>
      <c r="I9" s="1030">
        <f>RecupProv!O11</f>
        <v>1332189.9400000004</v>
      </c>
      <c r="J9" s="1041">
        <f>I9/$C$6</f>
        <v>0.11635327577976963</v>
      </c>
    </row>
    <row r="10" spans="1:17" ht="75" x14ac:dyDescent="0.25">
      <c r="A10" s="1016">
        <v>2</v>
      </c>
      <c r="B10" s="1015" t="s">
        <v>1395</v>
      </c>
      <c r="H10" s="1033" t="s">
        <v>1277</v>
      </c>
      <c r="I10" s="1030">
        <f>RecupProv!O15</f>
        <v>99983.89</v>
      </c>
      <c r="J10" s="1041">
        <f>I10/$C$6</f>
        <v>8.7325784239927137E-3</v>
      </c>
    </row>
    <row r="11" spans="1:17" ht="60" x14ac:dyDescent="0.25">
      <c r="A11" s="1016">
        <v>3</v>
      </c>
      <c r="B11" s="1015" t="s">
        <v>1396</v>
      </c>
      <c r="H11" s="1034" t="s">
        <v>1278</v>
      </c>
      <c r="I11" s="1031">
        <f>RecupProv!O21</f>
        <v>138290.51999999999</v>
      </c>
      <c r="J11" s="1042">
        <f>I11/$C$6</f>
        <v>1.2078273921876142E-2</v>
      </c>
    </row>
    <row r="12" spans="1:17" ht="45" x14ac:dyDescent="0.25">
      <c r="A12" s="1016">
        <v>4</v>
      </c>
      <c r="B12" s="1015" t="s">
        <v>1397</v>
      </c>
    </row>
    <row r="13" spans="1:17" ht="75" x14ac:dyDescent="0.25">
      <c r="A13" s="1016">
        <v>5</v>
      </c>
      <c r="B13" s="1015" t="s">
        <v>1398</v>
      </c>
    </row>
    <row r="15" spans="1:17" x14ac:dyDescent="0.25">
      <c r="A15" s="1017" t="s">
        <v>1399</v>
      </c>
      <c r="B15" s="1017"/>
      <c r="C15" s="1017"/>
      <c r="D15" s="1017"/>
      <c r="H15" s="1019" t="s">
        <v>1406</v>
      </c>
      <c r="I15" s="1019"/>
      <c r="J15" s="1019"/>
      <c r="K15" s="1019"/>
    </row>
    <row r="16" spans="1:17" x14ac:dyDescent="0.25">
      <c r="A16" s="1032" t="s">
        <v>1400</v>
      </c>
      <c r="B16" s="1029" t="s">
        <v>1401</v>
      </c>
      <c r="C16" s="1029" t="s">
        <v>1289</v>
      </c>
      <c r="D16" s="1035" t="s">
        <v>1279</v>
      </c>
      <c r="H16" s="1044" t="s">
        <v>1400</v>
      </c>
      <c r="I16" s="1043" t="s">
        <v>1407</v>
      </c>
      <c r="J16" s="1043" t="s">
        <v>1408</v>
      </c>
      <c r="K16" s="1045" t="s">
        <v>1409</v>
      </c>
    </row>
    <row r="17" spans="1:11" x14ac:dyDescent="0.25">
      <c r="A17" s="1033" t="s">
        <v>835</v>
      </c>
      <c r="B17" s="1030">
        <f>RecupProv!C27</f>
        <v>653294.64999999979</v>
      </c>
      <c r="C17" s="1030">
        <f>RecupProv!C53</f>
        <v>281063.44999999984</v>
      </c>
      <c r="D17" s="1036">
        <f>B17+C17</f>
        <v>934358.09999999963</v>
      </c>
      <c r="H17" s="1033" t="s">
        <v>835</v>
      </c>
      <c r="I17" s="1030">
        <f>RecupProv!C108</f>
        <v>1039490.2143943056</v>
      </c>
      <c r="J17" s="1030">
        <f>ABS(RecupProv!C93)</f>
        <v>1172422.4867143782</v>
      </c>
      <c r="K17" s="1041">
        <f>RecupProv!C115</f>
        <v>1.1278821777052803</v>
      </c>
    </row>
    <row r="18" spans="1:11" x14ac:dyDescent="0.25">
      <c r="A18" s="1033" t="s">
        <v>836</v>
      </c>
      <c r="B18" s="1030">
        <f>RecupProv!D27</f>
        <v>654499.51999999909</v>
      </c>
      <c r="C18" s="1030">
        <f>RecupProv!D53</f>
        <v>327572.50999999995</v>
      </c>
      <c r="D18" s="1036">
        <f>B18+C18</f>
        <v>982072.0299999991</v>
      </c>
      <c r="H18" s="1033" t="s">
        <v>836</v>
      </c>
      <c r="I18" s="1030">
        <f>RecupProv!D108</f>
        <v>1138697.0355138888</v>
      </c>
      <c r="J18" s="1030">
        <f>ABS(RecupProv!D93)</f>
        <v>1253370.7209947878</v>
      </c>
      <c r="K18" s="1041">
        <f>RecupProv!D115</f>
        <v>1.1007060542922615</v>
      </c>
    </row>
    <row r="19" spans="1:11" x14ac:dyDescent="0.25">
      <c r="A19" s="1033" t="s">
        <v>837</v>
      </c>
      <c r="B19" s="1030">
        <f>RecupProv!E27</f>
        <v>714310.42999999889</v>
      </c>
      <c r="C19" s="1030">
        <f>RecupProv!E53</f>
        <v>264660.71999999974</v>
      </c>
      <c r="D19" s="1036">
        <f>B19+C19</f>
        <v>978971.14999999863</v>
      </c>
      <c r="H19" s="1033" t="s">
        <v>837</v>
      </c>
      <c r="I19" s="1030">
        <f>RecupProv!E108</f>
        <v>1234770.0873587499</v>
      </c>
      <c r="J19" s="1030">
        <f>ABS(RecupProv!E93)</f>
        <v>1331580.039301587</v>
      </c>
      <c r="K19" s="1041">
        <f>RecupProv!E115</f>
        <v>1.0784032209185757</v>
      </c>
    </row>
    <row r="20" spans="1:11" x14ac:dyDescent="0.25">
      <c r="A20" s="1033" t="s">
        <v>838</v>
      </c>
      <c r="B20" s="1030">
        <f>RecupProv!F27</f>
        <v>981352.92999999993</v>
      </c>
      <c r="C20" s="1030">
        <f>RecupProv!F53</f>
        <v>311606.02999999974</v>
      </c>
      <c r="D20" s="1036">
        <f>B20+C20</f>
        <v>1292958.9599999997</v>
      </c>
      <c r="H20" s="1033" t="s">
        <v>838</v>
      </c>
      <c r="I20" s="1030">
        <f>RecupProv!F108</f>
        <v>1323564.7381288889</v>
      </c>
      <c r="J20" s="1030">
        <f>ABS(RecupProv!F93)</f>
        <v>1403593.2560028466</v>
      </c>
      <c r="K20" s="1041">
        <f>RecupProv!F115</f>
        <v>1.0604643774259908</v>
      </c>
    </row>
    <row r="21" spans="1:11" x14ac:dyDescent="0.25">
      <c r="A21" s="1033" t="s">
        <v>839</v>
      </c>
      <c r="B21" s="1030">
        <f>RecupProv!G27</f>
        <v>706418.77999999956</v>
      </c>
      <c r="C21" s="1030">
        <f>RecupProv!G53</f>
        <v>270190.82000000012</v>
      </c>
      <c r="D21" s="1036">
        <f>B21+C21</f>
        <v>976609.59999999963</v>
      </c>
      <c r="H21" s="1033" t="s">
        <v>839</v>
      </c>
      <c r="I21" s="1030">
        <f>RecupProv!G108</f>
        <v>1415920.5208243052</v>
      </c>
      <c r="J21" s="1030">
        <f>ABS(RecupProv!G93)</f>
        <v>1478689.9712589432</v>
      </c>
      <c r="K21" s="1041">
        <f>RecupProv!G115</f>
        <v>1.0443311962157986</v>
      </c>
    </row>
    <row r="22" spans="1:11" x14ac:dyDescent="0.25">
      <c r="A22" s="1033" t="s">
        <v>840</v>
      </c>
      <c r="B22" s="1030">
        <f>RecupProv!H27</f>
        <v>668712.15000000037</v>
      </c>
      <c r="C22" s="1030">
        <f>RecupProv!H53</f>
        <v>272112.49999999971</v>
      </c>
      <c r="D22" s="1036">
        <f>B22+C22</f>
        <v>940824.65000000014</v>
      </c>
      <c r="H22" s="1033" t="s">
        <v>840</v>
      </c>
      <c r="I22" s="1030">
        <f>RecupProv!H108</f>
        <v>1507092.8850449999</v>
      </c>
      <c r="J22" s="1030">
        <f>ABS(RecupProv!H93)</f>
        <v>1552801.4693161289</v>
      </c>
      <c r="K22" s="1041">
        <f>RecupProv!H115</f>
        <v>1.0303289762195142</v>
      </c>
    </row>
    <row r="23" spans="1:11" x14ac:dyDescent="0.25">
      <c r="A23" s="1033" t="s">
        <v>841</v>
      </c>
      <c r="B23" s="1030">
        <f>RecupProv!I27</f>
        <v>664873.69999999949</v>
      </c>
      <c r="C23" s="1030">
        <f>RecupProv!I53</f>
        <v>257650.41000000024</v>
      </c>
      <c r="D23" s="1036">
        <f>B23+C23</f>
        <v>922524.10999999975</v>
      </c>
      <c r="H23" s="1033" t="s">
        <v>841</v>
      </c>
      <c r="I23" s="1030">
        <f>RecupProv!I108</f>
        <v>1596404.4671909721</v>
      </c>
      <c r="J23" s="1030">
        <f>ABS(RecupProv!I93)</f>
        <v>1625319.9150321614</v>
      </c>
      <c r="K23" s="1041">
        <f>RecupProv!I115</f>
        <v>1.0181128582608321</v>
      </c>
    </row>
    <row r="24" spans="1:11" x14ac:dyDescent="0.25">
      <c r="A24" s="1033" t="s">
        <v>842</v>
      </c>
      <c r="B24" s="1030">
        <f>RecupProv!J27</f>
        <v>653222.27999999968</v>
      </c>
      <c r="C24" s="1030">
        <f>RecupProv!J53</f>
        <v>260499.19000000009</v>
      </c>
      <c r="D24" s="1036">
        <f>B24+C24</f>
        <v>913721.46999999974</v>
      </c>
      <c r="H24" s="1033" t="s">
        <v>842</v>
      </c>
      <c r="I24" s="1030">
        <f>RecupProv!J108</f>
        <v>1683886.4804622221</v>
      </c>
      <c r="J24" s="1030">
        <f>ABS(RecupProv!J93)</f>
        <v>1669409.0761672717</v>
      </c>
      <c r="K24" s="1041">
        <f>RecupProv!J115</f>
        <v>0.9914023869999975</v>
      </c>
    </row>
    <row r="25" spans="1:11" x14ac:dyDescent="0.25">
      <c r="A25" s="1033" t="s">
        <v>843</v>
      </c>
      <c r="B25" s="1030">
        <f>RecupProv!K27</f>
        <v>641504.56000000006</v>
      </c>
      <c r="C25" s="1030">
        <f>RecupProv!K53</f>
        <v>252911.21999999986</v>
      </c>
      <c r="D25" s="1036">
        <f>B25+C25</f>
        <v>894415.77999999991</v>
      </c>
      <c r="H25" s="1033" t="s">
        <v>843</v>
      </c>
      <c r="I25" s="1030">
        <f>RecupProv!K108</f>
        <v>1769202.5172587498</v>
      </c>
      <c r="J25" s="1030">
        <f>ABS(RecupProv!K93)</f>
        <v>1697345.1651061012</v>
      </c>
      <c r="K25" s="1041">
        <f>RecupProv!K115</f>
        <v>0.95938432629861603</v>
      </c>
    </row>
    <row r="26" spans="1:11" x14ac:dyDescent="0.25">
      <c r="A26" s="1033" t="s">
        <v>844</v>
      </c>
      <c r="B26" s="1030">
        <f>RecupProv!L27</f>
        <v>646112.5499999997</v>
      </c>
      <c r="C26" s="1030">
        <f>RecupProv!L53</f>
        <v>239459.25000000003</v>
      </c>
      <c r="D26" s="1036">
        <f>B26+C26</f>
        <v>885571.7999999997</v>
      </c>
      <c r="H26" s="1033" t="s">
        <v>844</v>
      </c>
      <c r="I26" s="1030">
        <f>RecupProv!L108</f>
        <v>1851467.7881805552</v>
      </c>
      <c r="J26" s="1030">
        <f>ABS(RecupProv!L93)</f>
        <v>1698191.4562759202</v>
      </c>
      <c r="K26" s="1041">
        <f>RecupProv!L115</f>
        <v>0.91721361133954138</v>
      </c>
    </row>
    <row r="27" spans="1:11" x14ac:dyDescent="0.25">
      <c r="A27" s="1033" t="s">
        <v>845</v>
      </c>
      <c r="B27" s="1030">
        <f>RecupProv!M27</f>
        <v>625184.00999999989</v>
      </c>
      <c r="C27" s="1030">
        <f>RecupProv!M53</f>
        <v>241047.20999999996</v>
      </c>
      <c r="D27" s="1036">
        <f>B27+C27</f>
        <v>866231.21999999986</v>
      </c>
      <c r="H27" s="1033" t="s">
        <v>845</v>
      </c>
      <c r="I27" s="1030">
        <f>RecupProv!M108</f>
        <v>1933067.9882276391</v>
      </c>
      <c r="J27" s="1030">
        <f>ABS(RecupProv!M93)</f>
        <v>1686449.1683592827</v>
      </c>
      <c r="K27" s="1041">
        <f>RecupProv!M115</f>
        <v>0.87242103155695394</v>
      </c>
    </row>
    <row r="28" spans="1:11" x14ac:dyDescent="0.25">
      <c r="A28" s="1034" t="s">
        <v>846</v>
      </c>
      <c r="B28" s="1031">
        <f>RecupProv!N27</f>
        <v>632338.85999999929</v>
      </c>
      <c r="C28" s="1031">
        <f>RecupProv!N53</f>
        <v>228928.98999999993</v>
      </c>
      <c r="D28" s="1037">
        <f>B28+C28</f>
        <v>861267.84999999916</v>
      </c>
      <c r="H28" s="1034" t="s">
        <v>846</v>
      </c>
      <c r="I28" s="1031">
        <f>RecupProv!N108</f>
        <v>2012993.7448000002</v>
      </c>
      <c r="J28" s="1031">
        <f>ABS(RecupProv!N93)</f>
        <v>1681867.9039768125</v>
      </c>
      <c r="K28" s="1042">
        <f>RecupProv!N115</f>
        <v>0.8355057775621223</v>
      </c>
    </row>
    <row r="31" spans="1:11" x14ac:dyDescent="0.25">
      <c r="A31" s="1020" t="s">
        <v>1410</v>
      </c>
      <c r="B31" s="1020"/>
      <c r="H31" s="1021" t="s">
        <v>1412</v>
      </c>
      <c r="I31" s="1021"/>
    </row>
    <row r="32" spans="1:11" x14ac:dyDescent="0.25">
      <c r="A32" s="1046" t="s">
        <v>1400</v>
      </c>
      <c r="B32" s="1047" t="s">
        <v>1411</v>
      </c>
      <c r="H32" s="1048" t="s">
        <v>1413</v>
      </c>
      <c r="I32" s="1049" t="s">
        <v>1414</v>
      </c>
    </row>
    <row r="33" spans="1:9" x14ac:dyDescent="0.25">
      <c r="A33" s="1033" t="s">
        <v>835</v>
      </c>
      <c r="B33" s="1036">
        <f>RecupProv!C127</f>
        <v>0</v>
      </c>
      <c r="H33" s="1033" t="s">
        <v>1415</v>
      </c>
      <c r="I33" s="1050" t="str">
        <f>INDEX($A$17:$A$28,MATCH(MAX($B$17:$B$28),$B$17:$B$28,0))</f>
        <v>Abril</v>
      </c>
    </row>
    <row r="34" spans="1:9" x14ac:dyDescent="0.25">
      <c r="A34" s="1033" t="s">
        <v>836</v>
      </c>
      <c r="B34" s="1036">
        <f>RecupProv!D127</f>
        <v>0</v>
      </c>
      <c r="H34" s="1033" t="s">
        <v>1416</v>
      </c>
      <c r="I34" s="1050" t="str">
        <f>INDEX($A$17:$A$28,MATCH(MAX($C$17:$C$28),$C$17:$C$28,0))</f>
        <v>Febrero</v>
      </c>
    </row>
    <row r="35" spans="1:9" x14ac:dyDescent="0.25">
      <c r="A35" s="1033" t="s">
        <v>837</v>
      </c>
      <c r="B35" s="1036">
        <f>RecupProv!E127</f>
        <v>0</v>
      </c>
      <c r="H35" s="1033" t="s">
        <v>1417</v>
      </c>
      <c r="I35" s="1050" t="str">
        <f>INDEX($A$33:$A$44,MATCH(MAX($B$33:$B$44),$B$33:$B$44,0))</f>
        <v>Octubre</v>
      </c>
    </row>
    <row r="36" spans="1:9" x14ac:dyDescent="0.25">
      <c r="A36" s="1033" t="s">
        <v>838</v>
      </c>
      <c r="B36" s="1036">
        <f>RecupProv!F127</f>
        <v>0</v>
      </c>
      <c r="H36" s="1033" t="s">
        <v>1418</v>
      </c>
      <c r="I36" s="1041">
        <f>J8</f>
        <v>0.56672070808530328</v>
      </c>
    </row>
    <row r="37" spans="1:9" x14ac:dyDescent="0.25">
      <c r="A37" s="1033" t="s">
        <v>839</v>
      </c>
      <c r="B37" s="1036">
        <f>RecupProv!G127</f>
        <v>0</v>
      </c>
      <c r="H37" s="1033" t="s">
        <v>1419</v>
      </c>
      <c r="I37" s="1041">
        <f>J9</f>
        <v>0.11635327577976963</v>
      </c>
    </row>
    <row r="38" spans="1:9" x14ac:dyDescent="0.25">
      <c r="A38" s="1033" t="s">
        <v>840</v>
      </c>
      <c r="B38" s="1036">
        <f>RecupProv!H127</f>
        <v>0</v>
      </c>
      <c r="H38" s="1034" t="s">
        <v>1420</v>
      </c>
      <c r="I38" s="1042">
        <f>K28</f>
        <v>0.8355057775621223</v>
      </c>
    </row>
    <row r="39" spans="1:9" x14ac:dyDescent="0.25">
      <c r="A39" s="1033" t="s">
        <v>841</v>
      </c>
      <c r="B39" s="1036">
        <f>RecupProv!I127</f>
        <v>0</v>
      </c>
    </row>
    <row r="40" spans="1:9" x14ac:dyDescent="0.25">
      <c r="A40" s="1033" t="s">
        <v>842</v>
      </c>
      <c r="B40" s="1036">
        <f>RecupProv!J127</f>
        <v>6252.31</v>
      </c>
    </row>
    <row r="41" spans="1:9" x14ac:dyDescent="0.25">
      <c r="A41" s="1033" t="s">
        <v>843</v>
      </c>
      <c r="B41" s="1036">
        <f>RecupProv!K127</f>
        <v>29391.3</v>
      </c>
    </row>
    <row r="42" spans="1:9" x14ac:dyDescent="0.25">
      <c r="A42" s="1033" t="s">
        <v>844</v>
      </c>
      <c r="B42" s="1036">
        <f>RecupProv!L127</f>
        <v>80444.05</v>
      </c>
    </row>
    <row r="43" spans="1:9" x14ac:dyDescent="0.25">
      <c r="A43" s="1033" t="s">
        <v>845</v>
      </c>
      <c r="B43" s="1036">
        <f>RecupProv!M127</f>
        <v>37748.58</v>
      </c>
    </row>
    <row r="44" spans="1:9" x14ac:dyDescent="0.25">
      <c r="A44" s="1034" t="s">
        <v>846</v>
      </c>
      <c r="B44" s="1037">
        <f>RecupProv!N127</f>
        <v>17438.349999999999</v>
      </c>
    </row>
  </sheetData>
  <mergeCells count="8">
    <mergeCell ref="A31:B31"/>
    <mergeCell ref="H31:I31"/>
    <mergeCell ref="A1:Q2"/>
    <mergeCell ref="A3:Q3"/>
    <mergeCell ref="A8:F8"/>
    <mergeCell ref="A15:D15"/>
    <mergeCell ref="H5:J5"/>
    <mergeCell ref="H15:K1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BW220"/>
  <sheetViews>
    <sheetView showGridLines="0" zoomScaleNormal="100" workbookViewId="0">
      <pane xSplit="3" ySplit="7" topLeftCell="AS113" activePane="bottomRight" state="frozen"/>
      <selection pane="topRight"/>
      <selection pane="bottomLeft"/>
      <selection pane="bottomRight" activeCell="AY117" sqref="AY117"/>
    </sheetView>
  </sheetViews>
  <sheetFormatPr baseColWidth="10" defaultColWidth="11.42578125" defaultRowHeight="11.25" customHeight="1" outlineLevelRow="2" x14ac:dyDescent="0.25"/>
  <cols>
    <col min="1" max="1" width="2.7109375" style="198" customWidth="1"/>
    <col min="2" max="2" width="9.5703125" style="199" customWidth="1"/>
    <col min="3" max="3" width="33.140625" style="200" customWidth="1"/>
    <col min="4" max="4" width="10.85546875" style="200" customWidth="1"/>
    <col min="5" max="5" width="12.28515625" style="200" customWidth="1"/>
    <col min="6" max="6" width="10.85546875" style="200" customWidth="1"/>
    <col min="7" max="7" width="11.28515625" style="200" customWidth="1"/>
    <col min="8" max="15" width="10.85546875" style="200" customWidth="1"/>
    <col min="16" max="17" width="9.5703125" style="200" customWidth="1"/>
    <col min="18" max="19" width="11.7109375" style="200" customWidth="1"/>
    <col min="20" max="23" width="11" style="200" customWidth="1"/>
    <col min="24" max="26" width="11.7109375" style="200" customWidth="1"/>
    <col min="27" max="28" width="10.85546875" style="200" customWidth="1"/>
    <col min="29" max="32" width="10.7109375" style="200" customWidth="1"/>
    <col min="33" max="33" width="10.85546875" style="200" customWidth="1"/>
    <col min="34" max="50" width="10.7109375" style="200" customWidth="1"/>
    <col min="51" max="51" width="10.5703125" style="200" customWidth="1"/>
    <col min="52" max="52" width="12.5703125" style="200" customWidth="1"/>
    <col min="53" max="55" width="10.85546875" style="200" customWidth="1"/>
    <col min="56" max="71" width="10.7109375" style="200" customWidth="1"/>
    <col min="72" max="74" width="11.7109375" style="200" customWidth="1"/>
    <col min="75" max="75" width="10.7109375" style="200" customWidth="1"/>
    <col min="76" max="76" width="6" style="200" customWidth="1"/>
    <col min="77" max="77" width="10.85546875" style="200" customWidth="1"/>
    <col min="78" max="78" width="11.42578125" style="200" customWidth="1"/>
    <col min="79" max="16384" width="11.42578125" style="200"/>
  </cols>
  <sheetData>
    <row r="1" spans="1:75" ht="33" customHeight="1" x14ac:dyDescent="0.25">
      <c r="B1" s="99" t="str">
        <f>BGresu!A1</f>
        <v>📊 Análisis inicial – Recuperación y provisiones de cartera</v>
      </c>
      <c r="C1" s="342"/>
      <c r="E1" s="342"/>
      <c r="Q1" s="343" t="str">
        <f>B1</f>
        <v>📊 Análisis inicial – Recuperación y provisiones de cartera</v>
      </c>
      <c r="AC1" s="343" t="str">
        <f>AY1</f>
        <v>📊 Análisis inicial – Recuperación y provisiones de cartera</v>
      </c>
      <c r="AY1" s="343" t="str">
        <f>B1</f>
        <v>📊 Análisis inicial – Recuperación y provisiones de cartera</v>
      </c>
    </row>
    <row r="2" spans="1:75" ht="26.25" customHeight="1" x14ac:dyDescent="0.25">
      <c r="B2" s="344" t="str">
        <f>Premisas!D1</f>
        <v>PRESUPUESTO  2026</v>
      </c>
      <c r="E2" s="345"/>
      <c r="H2" s="345"/>
      <c r="K2" s="346"/>
      <c r="R2" s="345"/>
      <c r="U2" s="345"/>
      <c r="AC2" s="345"/>
      <c r="AF2" s="345"/>
      <c r="AI2" s="347"/>
      <c r="AJ2" s="347"/>
      <c r="AK2" s="347"/>
      <c r="AL2" s="347"/>
      <c r="AM2" s="347"/>
      <c r="AN2" s="347"/>
      <c r="AO2" s="347"/>
      <c r="AP2" s="347"/>
      <c r="AQ2" s="347"/>
      <c r="AR2" s="347"/>
      <c r="AS2" s="347"/>
      <c r="AT2" s="347"/>
      <c r="AU2" s="347"/>
      <c r="AV2" s="347"/>
      <c r="AW2" s="347"/>
      <c r="AX2" s="347"/>
      <c r="AY2" s="345"/>
      <c r="BB2" s="345"/>
      <c r="BK2" s="347"/>
      <c r="BL2" s="347"/>
      <c r="BM2" s="347"/>
      <c r="BN2" s="347"/>
      <c r="BO2" s="347"/>
      <c r="BP2" s="347"/>
      <c r="BQ2" s="347"/>
      <c r="BR2" s="347"/>
    </row>
    <row r="3" spans="1:75" ht="23.25" customHeight="1" x14ac:dyDescent="0.25">
      <c r="B3" s="348" t="s">
        <v>827</v>
      </c>
      <c r="D3" s="349"/>
      <c r="E3" s="350" t="s">
        <v>828</v>
      </c>
      <c r="H3" s="351"/>
      <c r="I3" s="350"/>
      <c r="J3" s="352"/>
      <c r="Q3" s="350" t="s">
        <v>829</v>
      </c>
      <c r="T3" s="351"/>
      <c r="U3" s="350"/>
      <c r="V3" s="349"/>
      <c r="W3" s="349"/>
      <c r="X3" s="349"/>
      <c r="Y3" s="349"/>
      <c r="Z3" s="349"/>
      <c r="AA3" s="349"/>
      <c r="AB3" s="349"/>
      <c r="AC3" s="353" t="s">
        <v>830</v>
      </c>
      <c r="AD3" s="353" t="s">
        <v>830</v>
      </c>
      <c r="AE3" s="353" t="s">
        <v>830</v>
      </c>
      <c r="AF3" s="353" t="s">
        <v>830</v>
      </c>
      <c r="AG3" s="353" t="s">
        <v>830</v>
      </c>
      <c r="AH3" s="353" t="s">
        <v>830</v>
      </c>
      <c r="AI3" s="353" t="s">
        <v>830</v>
      </c>
      <c r="AJ3" s="353" t="s">
        <v>830</v>
      </c>
      <c r="AK3" s="353" t="s">
        <v>830</v>
      </c>
      <c r="AL3" s="353" t="s">
        <v>830</v>
      </c>
      <c r="AM3" s="353" t="s">
        <v>830</v>
      </c>
      <c r="AN3" s="353" t="s">
        <v>830</v>
      </c>
      <c r="AO3" s="353" t="s">
        <v>830</v>
      </c>
      <c r="AP3" s="353" t="s">
        <v>830</v>
      </c>
      <c r="AQ3" s="353" t="s">
        <v>830</v>
      </c>
      <c r="AR3" s="353" t="s">
        <v>830</v>
      </c>
      <c r="AS3" s="353" t="s">
        <v>830</v>
      </c>
      <c r="AT3" s="353" t="s">
        <v>830</v>
      </c>
      <c r="AU3" s="353" t="s">
        <v>830</v>
      </c>
      <c r="AV3" s="353" t="s">
        <v>830</v>
      </c>
      <c r="AW3" s="353" t="s">
        <v>830</v>
      </c>
      <c r="AX3" s="353" t="s">
        <v>830</v>
      </c>
      <c r="AY3" s="354" t="s">
        <v>831</v>
      </c>
      <c r="AZ3" s="354" t="s">
        <v>831</v>
      </c>
      <c r="BA3" s="354" t="s">
        <v>831</v>
      </c>
      <c r="BB3" s="354" t="s">
        <v>831</v>
      </c>
      <c r="BC3" s="354" t="s">
        <v>831</v>
      </c>
      <c r="BD3" s="354" t="s">
        <v>831</v>
      </c>
      <c r="BE3" s="354" t="s">
        <v>831</v>
      </c>
      <c r="BF3" s="354" t="s">
        <v>831</v>
      </c>
      <c r="BG3" s="354" t="s">
        <v>831</v>
      </c>
      <c r="BH3" s="354" t="s">
        <v>831</v>
      </c>
      <c r="BI3" s="354" t="s">
        <v>831</v>
      </c>
      <c r="BJ3" s="354" t="s">
        <v>831</v>
      </c>
      <c r="BK3" s="355" t="s">
        <v>832</v>
      </c>
      <c r="BL3" s="355" t="s">
        <v>832</v>
      </c>
      <c r="BM3" s="355" t="s">
        <v>832</v>
      </c>
      <c r="BN3" s="355" t="s">
        <v>832</v>
      </c>
      <c r="BO3" s="355" t="s">
        <v>832</v>
      </c>
      <c r="BP3" s="355" t="s">
        <v>832</v>
      </c>
      <c r="BQ3" s="355" t="s">
        <v>832</v>
      </c>
      <c r="BR3" s="355" t="s">
        <v>832</v>
      </c>
      <c r="BS3" s="355" t="s">
        <v>832</v>
      </c>
      <c r="BT3" s="355" t="s">
        <v>832</v>
      </c>
      <c r="BU3" s="355" t="s">
        <v>832</v>
      </c>
      <c r="BV3" s="355" t="s">
        <v>832</v>
      </c>
    </row>
    <row r="4" spans="1:75" s="356" customFormat="1" ht="18.75" customHeight="1" x14ac:dyDescent="0.25">
      <c r="A4" s="357"/>
      <c r="D4" s="358">
        <f>EEFFun!P2</f>
        <v>12</v>
      </c>
      <c r="E4" s="359">
        <v>1</v>
      </c>
      <c r="F4" s="359">
        <v>2</v>
      </c>
      <c r="G4" s="359">
        <v>3</v>
      </c>
      <c r="H4" s="359">
        <v>4</v>
      </c>
      <c r="I4" s="359">
        <v>5</v>
      </c>
      <c r="J4" s="359">
        <v>6</v>
      </c>
      <c r="K4" s="359">
        <v>7</v>
      </c>
      <c r="L4" s="359">
        <v>8</v>
      </c>
      <c r="M4" s="359">
        <v>9</v>
      </c>
      <c r="N4" s="359">
        <v>10</v>
      </c>
      <c r="O4" s="359">
        <v>11</v>
      </c>
      <c r="P4" s="359">
        <v>12</v>
      </c>
      <c r="Q4" s="358">
        <f>EEFFun!Q2</f>
        <v>1</v>
      </c>
      <c r="R4" s="358">
        <f>EEFFun!R2</f>
        <v>2</v>
      </c>
      <c r="S4" s="358">
        <f>EEFFun!S2</f>
        <v>3</v>
      </c>
      <c r="T4" s="358">
        <f>EEFFun!T2</f>
        <v>4</v>
      </c>
      <c r="U4" s="360">
        <v>5</v>
      </c>
      <c r="V4" s="360">
        <v>6</v>
      </c>
      <c r="W4" s="359">
        <v>7</v>
      </c>
      <c r="X4" s="359">
        <v>8</v>
      </c>
      <c r="Y4" s="359">
        <v>9</v>
      </c>
      <c r="Z4" s="359">
        <v>10</v>
      </c>
      <c r="AA4" s="359">
        <v>11</v>
      </c>
      <c r="AB4" s="359">
        <v>12</v>
      </c>
      <c r="AC4" s="359">
        <v>1</v>
      </c>
      <c r="AD4" s="359">
        <v>2</v>
      </c>
      <c r="AE4" s="359">
        <v>3</v>
      </c>
      <c r="AF4" s="360">
        <v>4</v>
      </c>
      <c r="AG4" s="360">
        <v>5</v>
      </c>
      <c r="AH4" s="360">
        <v>6</v>
      </c>
      <c r="AI4" s="360">
        <v>7</v>
      </c>
      <c r="AJ4" s="360">
        <v>8</v>
      </c>
      <c r="AK4" s="360">
        <v>9</v>
      </c>
      <c r="AL4" s="360">
        <v>10</v>
      </c>
      <c r="AM4" s="360">
        <v>11</v>
      </c>
      <c r="AN4" s="360">
        <v>12</v>
      </c>
      <c r="AO4" s="360">
        <v>1</v>
      </c>
      <c r="AP4" s="360">
        <v>2</v>
      </c>
      <c r="AQ4" s="360">
        <v>3</v>
      </c>
      <c r="AR4" s="360">
        <v>4</v>
      </c>
      <c r="AS4" s="360">
        <v>5</v>
      </c>
      <c r="AT4" s="360">
        <v>6</v>
      </c>
      <c r="AU4" s="360">
        <v>7</v>
      </c>
      <c r="AV4" s="360">
        <v>8</v>
      </c>
      <c r="AW4" s="360">
        <v>9</v>
      </c>
      <c r="AX4" s="360">
        <v>10</v>
      </c>
      <c r="AY4" s="359">
        <v>1</v>
      </c>
      <c r="AZ4" s="359">
        <v>2</v>
      </c>
      <c r="BA4" s="359">
        <v>3</v>
      </c>
      <c r="BB4" s="359">
        <v>4</v>
      </c>
      <c r="BC4" s="360">
        <v>5</v>
      </c>
      <c r="BD4" s="360">
        <v>6</v>
      </c>
      <c r="BE4" s="359">
        <v>7</v>
      </c>
      <c r="BF4" s="359">
        <v>8</v>
      </c>
      <c r="BG4" s="359">
        <v>9</v>
      </c>
      <c r="BH4" s="359">
        <v>10</v>
      </c>
      <c r="BI4" s="359">
        <v>11</v>
      </c>
      <c r="BJ4" s="359">
        <v>12</v>
      </c>
      <c r="BK4" s="360">
        <v>1</v>
      </c>
      <c r="BL4" s="360">
        <v>2</v>
      </c>
      <c r="BM4" s="360">
        <v>3</v>
      </c>
      <c r="BN4" s="360">
        <v>4</v>
      </c>
      <c r="BO4" s="360">
        <v>5</v>
      </c>
      <c r="BP4" s="360">
        <v>6</v>
      </c>
      <c r="BQ4" s="360">
        <v>7</v>
      </c>
      <c r="BR4" s="360">
        <v>8</v>
      </c>
      <c r="BS4" s="360">
        <v>9</v>
      </c>
      <c r="BT4" s="360">
        <v>10</v>
      </c>
      <c r="BU4" s="360">
        <v>11</v>
      </c>
      <c r="BV4" s="360">
        <v>12</v>
      </c>
      <c r="BW4" s="361"/>
    </row>
    <row r="5" spans="1:75" x14ac:dyDescent="0.25">
      <c r="A5" s="198" t="s">
        <v>76</v>
      </c>
      <c r="B5" s="362" t="s">
        <v>833</v>
      </c>
      <c r="C5" s="362" t="s">
        <v>834</v>
      </c>
      <c r="D5" s="363">
        <f>EEFFun!P3</f>
        <v>44926</v>
      </c>
      <c r="E5" s="364" t="s">
        <v>835</v>
      </c>
      <c r="F5" s="364" t="s">
        <v>836</v>
      </c>
      <c r="G5" s="364" t="s">
        <v>837</v>
      </c>
      <c r="H5" s="364" t="s">
        <v>838</v>
      </c>
      <c r="I5" s="364" t="s">
        <v>839</v>
      </c>
      <c r="J5" s="364" t="s">
        <v>840</v>
      </c>
      <c r="K5" s="364" t="s">
        <v>841</v>
      </c>
      <c r="L5" s="364" t="s">
        <v>842</v>
      </c>
      <c r="M5" s="364" t="s">
        <v>843</v>
      </c>
      <c r="N5" s="364" t="s">
        <v>844</v>
      </c>
      <c r="O5" s="364" t="s">
        <v>845</v>
      </c>
      <c r="P5" s="365" t="s">
        <v>846</v>
      </c>
      <c r="Q5" s="363">
        <f>EEFFun!Q3</f>
        <v>44957</v>
      </c>
      <c r="R5" s="363">
        <f>EEFFun!R3</f>
        <v>44985</v>
      </c>
      <c r="S5" s="363">
        <f>EEFFun!S3</f>
        <v>45016</v>
      </c>
      <c r="T5" s="363">
        <f>EEFFun!T3</f>
        <v>45046</v>
      </c>
      <c r="U5" s="363">
        <f>EEFFun!U3</f>
        <v>45077</v>
      </c>
      <c r="V5" s="363">
        <f>EEFFun!V3</f>
        <v>45107</v>
      </c>
      <c r="W5" s="363">
        <f>EEFFun!W3</f>
        <v>45138</v>
      </c>
      <c r="X5" s="363">
        <f>EEFFun!X3</f>
        <v>45169</v>
      </c>
      <c r="Y5" s="363">
        <f>EEFFun!Y3</f>
        <v>45199</v>
      </c>
      <c r="Z5" s="363">
        <f>EEFFun!Z3</f>
        <v>45230</v>
      </c>
      <c r="AA5" s="363">
        <f>EEFFun!AA3</f>
        <v>45260</v>
      </c>
      <c r="AB5" s="363">
        <f>EEFFun!AB3</f>
        <v>45291</v>
      </c>
      <c r="AC5" s="363">
        <f>EEFFun!AC3</f>
        <v>45322</v>
      </c>
      <c r="AD5" s="363">
        <f>EEFFun!AD3</f>
        <v>45351</v>
      </c>
      <c r="AE5" s="363">
        <f>EEFFun!AE3</f>
        <v>45382</v>
      </c>
      <c r="AF5" s="363">
        <f>EEFFun!AF3</f>
        <v>45412</v>
      </c>
      <c r="AG5" s="363">
        <f>EEFFun!AG3</f>
        <v>45443</v>
      </c>
      <c r="AH5" s="363">
        <f>EEFFun!AH3</f>
        <v>45473</v>
      </c>
      <c r="AI5" s="366">
        <v>45504</v>
      </c>
      <c r="AJ5" s="363">
        <f>EEFFun!AJ3</f>
        <v>45535</v>
      </c>
      <c r="AK5" s="366">
        <v>45505</v>
      </c>
      <c r="AL5" s="363">
        <f>EEFFun!AL3</f>
        <v>45596</v>
      </c>
      <c r="AM5" s="366">
        <v>45506</v>
      </c>
      <c r="AN5" s="363">
        <f>EEFFun!AN3</f>
        <v>45657</v>
      </c>
      <c r="AO5" s="367">
        <v>45688</v>
      </c>
      <c r="AP5" s="367">
        <v>45716</v>
      </c>
      <c r="AQ5" s="367">
        <v>45747</v>
      </c>
      <c r="AR5" s="367">
        <v>45777</v>
      </c>
      <c r="AS5" s="367">
        <v>45808</v>
      </c>
      <c r="AT5" s="367">
        <v>45838</v>
      </c>
      <c r="AU5" s="367">
        <v>45869</v>
      </c>
      <c r="AV5" s="367">
        <v>45900</v>
      </c>
      <c r="AW5" s="367">
        <v>45930</v>
      </c>
      <c r="AX5" s="367">
        <v>45961</v>
      </c>
      <c r="AY5" s="365" t="s">
        <v>835</v>
      </c>
      <c r="AZ5" s="365" t="s">
        <v>836</v>
      </c>
      <c r="BA5" s="365" t="s">
        <v>837</v>
      </c>
      <c r="BB5" s="365" t="s">
        <v>838</v>
      </c>
      <c r="BC5" s="365" t="s">
        <v>839</v>
      </c>
      <c r="BD5" s="365" t="s">
        <v>840</v>
      </c>
      <c r="BE5" s="365" t="s">
        <v>841</v>
      </c>
      <c r="BF5" s="365" t="s">
        <v>842</v>
      </c>
      <c r="BG5" s="365" t="s">
        <v>843</v>
      </c>
      <c r="BH5" s="365" t="s">
        <v>844</v>
      </c>
      <c r="BI5" s="365" t="s">
        <v>845</v>
      </c>
      <c r="BJ5" s="365" t="s">
        <v>846</v>
      </c>
      <c r="BK5" s="368">
        <v>45688</v>
      </c>
      <c r="BL5" s="368">
        <v>45716</v>
      </c>
      <c r="BM5" s="368">
        <v>45747</v>
      </c>
      <c r="BN5" s="368">
        <v>45777</v>
      </c>
      <c r="BO5" s="368">
        <v>45808</v>
      </c>
      <c r="BP5" s="368">
        <v>45838</v>
      </c>
      <c r="BQ5" s="368">
        <v>45869</v>
      </c>
      <c r="BR5" s="368">
        <v>45900</v>
      </c>
      <c r="BS5" s="368">
        <v>45930</v>
      </c>
      <c r="BT5" s="368">
        <v>45961</v>
      </c>
      <c r="BU5" s="368">
        <v>45991</v>
      </c>
      <c r="BV5" s="368">
        <v>46022</v>
      </c>
      <c r="BW5" s="355"/>
    </row>
    <row r="6" spans="1:75" x14ac:dyDescent="0.25">
      <c r="A6" s="222">
        <v>1</v>
      </c>
      <c r="B6" s="369">
        <f>EEFFun!B475</f>
        <v>4</v>
      </c>
      <c r="C6" s="369" t="str">
        <f>EEFFun!C475</f>
        <v>GASTOS</v>
      </c>
      <c r="D6" s="370">
        <f>EEFFun!P475</f>
        <v>5900345.7300000004</v>
      </c>
      <c r="E6" s="371">
        <f t="shared" ref="E6:G6" si="0">E8+E16+E18+E20+E30+E136+E139+E145</f>
        <v>410670.13</v>
      </c>
      <c r="F6" s="371">
        <f t="shared" si="0"/>
        <v>380863.57000000007</v>
      </c>
      <c r="G6" s="371">
        <f t="shared" si="0"/>
        <v>448701.99</v>
      </c>
      <c r="H6" s="371">
        <f>H8+H16+H18+H20+H30+H136+H139+H145</f>
        <v>504459.01999999996</v>
      </c>
      <c r="I6" s="371">
        <f t="shared" ref="I6:O6" si="1">I8+I16+I18+I20+I30+I136+I139+I145</f>
        <v>522271.88</v>
      </c>
      <c r="J6" s="371">
        <f t="shared" si="1"/>
        <v>497111.03000000009</v>
      </c>
      <c r="K6" s="371">
        <f t="shared" si="1"/>
        <v>491172.38999999978</v>
      </c>
      <c r="L6" s="371">
        <f t="shared" si="1"/>
        <v>441468.52000000014</v>
      </c>
      <c r="M6" s="371">
        <f t="shared" si="1"/>
        <v>484983.62000000011</v>
      </c>
      <c r="N6" s="371">
        <f t="shared" si="1"/>
        <v>672232.0399999998</v>
      </c>
      <c r="O6" s="371">
        <f t="shared" si="1"/>
        <v>214749.41000000015</v>
      </c>
      <c r="P6" s="371">
        <f t="shared" ref="P6" si="2">P8+P16+P18+P20+P30+P136+P139+P145</f>
        <v>446467.81000000006</v>
      </c>
      <c r="Q6" s="370">
        <f>EEFFun!Q475</f>
        <v>410670.13</v>
      </c>
      <c r="R6" s="370">
        <f>EEFFun!R475</f>
        <v>791533.7</v>
      </c>
      <c r="S6" s="370">
        <f>EEFFun!S475</f>
        <v>1240235.69</v>
      </c>
      <c r="T6" s="370">
        <f>EEFFun!T475</f>
        <v>1744694.71</v>
      </c>
      <c r="U6" s="370">
        <f>EEFFun!U475</f>
        <v>2266966.59</v>
      </c>
      <c r="V6" s="370">
        <f>EEFFun!V475</f>
        <v>2764077.62</v>
      </c>
      <c r="W6" s="370">
        <f>EEFFun!W475</f>
        <v>3255250.01</v>
      </c>
      <c r="X6" s="370">
        <f>EEFFun!X475</f>
        <v>3696718.53</v>
      </c>
      <c r="Y6" s="370">
        <f>EEFFun!Y475</f>
        <v>4181702.15</v>
      </c>
      <c r="Z6" s="370">
        <f>EEFFun!Z475</f>
        <v>4853934.1900000004</v>
      </c>
      <c r="AA6" s="370">
        <f>EEFFun!AA475</f>
        <v>5068683.5999999996</v>
      </c>
      <c r="AB6" s="370">
        <f>EEFFun!AB475</f>
        <v>5515151.4100000001</v>
      </c>
      <c r="AC6" s="370">
        <f>EEFFun!AC475</f>
        <v>466001.58</v>
      </c>
      <c r="AD6" s="370">
        <f>EEFFun!AD475</f>
        <v>1012945.42</v>
      </c>
      <c r="AE6" s="370">
        <f>EEFFun!AE475</f>
        <v>1376564.85</v>
      </c>
      <c r="AF6" s="370">
        <f>EEFFun!AF475</f>
        <v>1832660.51</v>
      </c>
      <c r="AG6" s="370">
        <f>EEFFun!AG475</f>
        <v>2331711.65</v>
      </c>
      <c r="AH6" s="370">
        <f>EEFFun!AH475</f>
        <v>2995797.5</v>
      </c>
      <c r="AI6" s="370">
        <f>EEFFun!AI475</f>
        <v>3373998.37</v>
      </c>
      <c r="AJ6" s="370">
        <f>EEFFun!AJ475</f>
        <v>4179449.04</v>
      </c>
      <c r="AK6" s="370">
        <f>EEFFun!AK475</f>
        <v>4998310.97</v>
      </c>
      <c r="AL6" s="370">
        <f>EEFFun!AL475</f>
        <v>5850316.5499999998</v>
      </c>
      <c r="AM6" s="370">
        <f>EEFFun!AM475</f>
        <v>6381617.96</v>
      </c>
      <c r="AN6" s="370">
        <f>EEFFun!AN475</f>
        <v>6882005.2000000002</v>
      </c>
      <c r="AO6" s="370">
        <f>EEFFun!AO475</f>
        <v>640532.17000000004</v>
      </c>
      <c r="AP6" s="370">
        <f>EEFFun!AP475</f>
        <v>1397007.74</v>
      </c>
      <c r="AQ6" s="370">
        <f>EEFFun!AQ475</f>
        <v>2152292.4900000002</v>
      </c>
      <c r="AR6" s="370">
        <f>EEFFun!AR475</f>
        <v>2917789.15</v>
      </c>
      <c r="AS6" s="370">
        <f>EEFFun!AS475</f>
        <v>3742241.51</v>
      </c>
      <c r="AT6" s="370">
        <f>EEFFun!AT475</f>
        <v>4622968.53</v>
      </c>
      <c r="AU6" s="370">
        <f>EEFFun!AU475</f>
        <v>5533750.8799999999</v>
      </c>
      <c r="AV6" s="370">
        <f>EEFFun!AV475</f>
        <v>6448737.3399999999</v>
      </c>
      <c r="AW6" s="370">
        <f>EEFFun!AW475</f>
        <v>7360089.6100000003</v>
      </c>
      <c r="AX6" s="370">
        <f>EEFFun!AX475</f>
        <v>8433506.0899999999</v>
      </c>
      <c r="AY6" s="371">
        <f t="shared" ref="AY6:BE6" si="3">AY8+AY16+AY18+AY20+AY30+AY136+AY139+AY145</f>
        <v>1000590.0452532053</v>
      </c>
      <c r="AZ6" s="371">
        <f t="shared" si="3"/>
        <v>981746.94460208691</v>
      </c>
      <c r="BA6" s="371">
        <f t="shared" si="3"/>
        <v>1032058.3502077807</v>
      </c>
      <c r="BB6" s="371">
        <f t="shared" si="3"/>
        <v>1044166.7382059123</v>
      </c>
      <c r="BC6" s="371">
        <f t="shared" si="3"/>
        <v>1115405.1554433778</v>
      </c>
      <c r="BD6" s="371">
        <f t="shared" si="3"/>
        <v>1142172.547646001</v>
      </c>
      <c r="BE6" s="371">
        <f t="shared" si="3"/>
        <v>1211095.9339381587</v>
      </c>
      <c r="BF6" s="371">
        <f>BF8+BF16+BF18+BF20+BF30+BF136+BF139+BF145</f>
        <v>1247972.4615817736</v>
      </c>
      <c r="BG6" s="371">
        <f>BG8+BG16+BG18+BG20+BG30+BG136+BG139+BG145</f>
        <v>1306767.9961521693</v>
      </c>
      <c r="BH6" s="371">
        <f>BH8+BH16+BH18+BH20+BH30+BH136+BH139+BH145</f>
        <v>1369449.3857395046</v>
      </c>
      <c r="BI6" s="371">
        <f>BI8+BI16+BI18+BI20+BI30+BI136+BI139+BI145</f>
        <v>1377503.9141802085</v>
      </c>
      <c r="BJ6" s="371">
        <f>BJ8+BJ16+BJ18+BJ20+BJ30+BJ136+BJ139+BJ145</f>
        <v>1443765.7357247684</v>
      </c>
      <c r="BK6" s="371">
        <f t="shared" ref="BK6:BQ6" si="4">BK8+BK16+BK18+BK20+BK30+BK136+BK139+BK145</f>
        <v>1000295.0297607054</v>
      </c>
      <c r="BL6" s="371">
        <f t="shared" si="4"/>
        <v>1981746.9588702924</v>
      </c>
      <c r="BM6" s="371">
        <f t="shared" si="4"/>
        <v>3013510.2935855729</v>
      </c>
      <c r="BN6" s="371">
        <f t="shared" si="4"/>
        <v>4059502.8108177353</v>
      </c>
      <c r="BO6" s="371">
        <f t="shared" si="4"/>
        <v>5177565.2684123637</v>
      </c>
      <c r="BP6" s="371">
        <f t="shared" si="4"/>
        <v>6321563.5950846132</v>
      </c>
      <c r="BQ6" s="371">
        <f t="shared" si="4"/>
        <v>7534485.3080490232</v>
      </c>
      <c r="BR6" s="371">
        <f>BR8+BR16+BR18+BR20+BR30+BR136+BR139+BR145</f>
        <v>8788812.8777820468</v>
      </c>
      <c r="BS6" s="371">
        <f>BS8+BS16+BS18+BS20+BS30+BS136+BS139+BS145</f>
        <v>10097406.652960464</v>
      </c>
      <c r="BT6" s="371">
        <f>BT8+BT16+BT18+BT20+BT30+BT136+BT139+BT145</f>
        <v>11468681.817726219</v>
      </c>
      <c r="BU6" s="371">
        <f>BU8+BU16+BU18+BU20+BU30+BU136+BU139+BU145</f>
        <v>12848011.510932676</v>
      </c>
      <c r="BV6" s="371">
        <f>BV8+BV16+BV18+BV20+BV30+BV136+BV139+BV145</f>
        <v>14293603.025683699</v>
      </c>
      <c r="BW6" s="372"/>
    </row>
    <row r="7" spans="1:75" x14ac:dyDescent="0.25">
      <c r="B7" s="268" t="s">
        <v>847</v>
      </c>
      <c r="C7" s="269" t="s">
        <v>848</v>
      </c>
      <c r="D7" s="371">
        <f t="shared" ref="D7" si="5">D6-D145</f>
        <v>5900345.7300000004</v>
      </c>
      <c r="E7" s="371">
        <f t="shared" ref="E7:H7" si="6">E8+E16+E18+E20+E30+E136+E139</f>
        <v>410670.13</v>
      </c>
      <c r="F7" s="371">
        <f t="shared" si="6"/>
        <v>380863.57000000007</v>
      </c>
      <c r="G7" s="371">
        <f t="shared" si="6"/>
        <v>448701.99</v>
      </c>
      <c r="H7" s="371">
        <f t="shared" si="6"/>
        <v>439362.6</v>
      </c>
      <c r="I7" s="371">
        <f t="shared" ref="I7:O7" si="7">I8+I16+I18+I20+I30+I136+I139</f>
        <v>570425.75</v>
      </c>
      <c r="J7" s="371">
        <f t="shared" si="7"/>
        <v>514053.58000000007</v>
      </c>
      <c r="K7" s="371">
        <f t="shared" si="7"/>
        <v>491172.38999999978</v>
      </c>
      <c r="L7" s="371">
        <f t="shared" si="7"/>
        <v>441468.52000000014</v>
      </c>
      <c r="M7" s="371">
        <f t="shared" si="7"/>
        <v>484983.62000000011</v>
      </c>
      <c r="N7" s="371">
        <f t="shared" si="7"/>
        <v>672232.0399999998</v>
      </c>
      <c r="O7" s="371">
        <f t="shared" si="7"/>
        <v>214749.41000000015</v>
      </c>
      <c r="P7" s="371">
        <f t="shared" ref="P7" si="8">P8+P16+P18+P20+P30+P136+P139</f>
        <v>399809.86000000004</v>
      </c>
      <c r="Q7" s="371">
        <f>Q6-Q145</f>
        <v>410670.13</v>
      </c>
      <c r="R7" s="371">
        <f>R6-R145</f>
        <v>791533.7</v>
      </c>
      <c r="S7" s="371">
        <f>S6-S145</f>
        <v>1240235.69</v>
      </c>
      <c r="T7" s="371">
        <f>T6-T145</f>
        <v>1679598.29</v>
      </c>
      <c r="U7" s="371">
        <f t="shared" ref="U7:AA7" si="9">U6-U145</f>
        <v>2250024.04</v>
      </c>
      <c r="V7" s="371">
        <f t="shared" si="9"/>
        <v>2764077.62</v>
      </c>
      <c r="W7" s="371">
        <f t="shared" si="9"/>
        <v>3255250.01</v>
      </c>
      <c r="X7" s="371">
        <f t="shared" si="9"/>
        <v>3696718.53</v>
      </c>
      <c r="Y7" s="371">
        <f t="shared" si="9"/>
        <v>4181702.15</v>
      </c>
      <c r="Z7" s="371">
        <f t="shared" si="9"/>
        <v>4853934.1900000004</v>
      </c>
      <c r="AA7" s="371">
        <f t="shared" si="9"/>
        <v>5068683.5999999996</v>
      </c>
      <c r="AB7" s="371">
        <f t="shared" ref="AB7" si="10">AB6-AB145</f>
        <v>5468493.46</v>
      </c>
      <c r="AC7" s="371">
        <f t="shared" ref="AC7:AH7" si="11">AC6-AC145</f>
        <v>463920.97000000003</v>
      </c>
      <c r="AD7" s="371">
        <f t="shared" si="11"/>
        <v>1012945.42</v>
      </c>
      <c r="AE7" s="371">
        <f t="shared" si="11"/>
        <v>1376564.85</v>
      </c>
      <c r="AF7" s="371">
        <f t="shared" si="11"/>
        <v>1832660.51</v>
      </c>
      <c r="AG7" s="371">
        <f t="shared" si="11"/>
        <v>2331711.65</v>
      </c>
      <c r="AH7" s="371">
        <f t="shared" si="11"/>
        <v>2995797.5</v>
      </c>
      <c r="AI7" s="371">
        <f t="shared" ref="AI7:AN7" si="12">AI6-AI145</f>
        <v>3373998.37</v>
      </c>
      <c r="AJ7" s="371">
        <f t="shared" si="12"/>
        <v>4179449.04</v>
      </c>
      <c r="AK7" s="371">
        <f t="shared" si="12"/>
        <v>4998310.97</v>
      </c>
      <c r="AL7" s="371">
        <f t="shared" si="12"/>
        <v>5850316.5499999998</v>
      </c>
      <c r="AM7" s="371">
        <f t="shared" si="12"/>
        <v>6381617.96</v>
      </c>
      <c r="AN7" s="371">
        <f t="shared" si="12"/>
        <v>6882005.2000000002</v>
      </c>
      <c r="AO7" s="371">
        <f t="shared" ref="AO7:AX7" si="13">AO6-AO145</f>
        <v>640532.17000000004</v>
      </c>
      <c r="AP7" s="371">
        <f t="shared" si="13"/>
        <v>1397007.74</v>
      </c>
      <c r="AQ7" s="371">
        <f t="shared" si="13"/>
        <v>2152292.4900000002</v>
      </c>
      <c r="AR7" s="371">
        <f t="shared" si="13"/>
        <v>2917789.15</v>
      </c>
      <c r="AS7" s="371">
        <f t="shared" si="13"/>
        <v>3742241.51</v>
      </c>
      <c r="AT7" s="371">
        <f t="shared" si="13"/>
        <v>4622968.53</v>
      </c>
      <c r="AU7" s="371">
        <f t="shared" si="13"/>
        <v>5533750.8799999999</v>
      </c>
      <c r="AV7" s="371">
        <f t="shared" si="13"/>
        <v>6448737.3399999999</v>
      </c>
      <c r="AW7" s="371">
        <f t="shared" si="13"/>
        <v>7360089.6100000003</v>
      </c>
      <c r="AX7" s="371">
        <f t="shared" si="13"/>
        <v>8433506.0899999999</v>
      </c>
      <c r="AY7" s="371">
        <f t="shared" ref="AY7:BE7" si="14">AY8+AY16+AY18+AY20+AY30+AY136+AY139</f>
        <v>980647.45105564408</v>
      </c>
      <c r="AZ7" s="371">
        <f t="shared" si="14"/>
        <v>957672.0973960734</v>
      </c>
      <c r="BA7" s="371">
        <f t="shared" si="14"/>
        <v>972632.02892150986</v>
      </c>
      <c r="BB7" s="371">
        <f t="shared" si="14"/>
        <v>975393.92248956149</v>
      </c>
      <c r="BC7" s="371">
        <f t="shared" si="14"/>
        <v>1039239.3633273408</v>
      </c>
      <c r="BD7" s="371">
        <f t="shared" si="14"/>
        <v>1060988.4441793377</v>
      </c>
      <c r="BE7" s="371">
        <f t="shared" si="14"/>
        <v>1122938.1067090738</v>
      </c>
      <c r="BF7" s="371">
        <f>BF8+BF16+BF18+BF20+BF30+BF136+BF139</f>
        <v>1137643.7327070851</v>
      </c>
      <c r="BG7" s="371">
        <f>BG8+BG16+BG18+BG20+BG30+BG136+BG139</f>
        <v>1209667.8161793903</v>
      </c>
      <c r="BH7" s="371">
        <f>BH8+BH16+BH18+BH20+BH30+BH136+BH139</f>
        <v>1250278.4030545049</v>
      </c>
      <c r="BI7" s="371">
        <f>BI8+BI16+BI18+BI20+BI30+BI136+BI139</f>
        <v>1253459.0349411056</v>
      </c>
      <c r="BJ7" s="371">
        <f>BJ8+BJ16+BJ18+BJ20+BJ30+BJ136+BJ139</f>
        <v>1331100.7703244053</v>
      </c>
      <c r="BK7" s="371">
        <f t="shared" ref="BK7:BQ7" si="15">BK8+BK16+BK18+BK20+BK30+BK136+BK139</f>
        <v>980184.68165564409</v>
      </c>
      <c r="BL7" s="371">
        <f t="shared" si="15"/>
        <v>1937394.0096517175</v>
      </c>
      <c r="BM7" s="371">
        <f t="shared" si="15"/>
        <v>2909563.2691732273</v>
      </c>
      <c r="BN7" s="371">
        <f t="shared" si="15"/>
        <v>3887821.1587627889</v>
      </c>
      <c r="BO7" s="371">
        <f t="shared" si="15"/>
        <v>4931228.8391901301</v>
      </c>
      <c r="BP7" s="371">
        <f t="shared" si="15"/>
        <v>5995081.2504694667</v>
      </c>
      <c r="BQ7" s="371">
        <f t="shared" si="15"/>
        <v>7120883.3242785409</v>
      </c>
      <c r="BR7" s="371">
        <f>BR8+BR16+BR18+BR20+BR30+BR136+BR139</f>
        <v>8268495.854085627</v>
      </c>
      <c r="BS7" s="371">
        <f>BS8+BS16+BS18+BS20+BS30+BS136+BS139</f>
        <v>9481027.6373650171</v>
      </c>
      <c r="BT7" s="371">
        <f>BT8+BT16+BT18+BT20+BT30+BT136+BT139</f>
        <v>10734170.007519521</v>
      </c>
      <c r="BU7" s="371">
        <f>BU8+BU16+BU18+BU20+BU30+BU136+BU139</f>
        <v>11990493.009560626</v>
      </c>
      <c r="BV7" s="371">
        <f>BV8+BV16+BV18+BV20+BV30+BV136+BV139</f>
        <v>13324457.746985035</v>
      </c>
      <c r="BW7" s="372"/>
    </row>
    <row r="8" spans="1:75" s="229" customFormat="1" x14ac:dyDescent="0.25">
      <c r="A8" s="222">
        <v>2</v>
      </c>
      <c r="B8" s="223">
        <f>EEFFun!B476</f>
        <v>41</v>
      </c>
      <c r="C8" s="223" t="str">
        <f>EEFFun!C476</f>
        <v>INTERESES CAUSADOS</v>
      </c>
      <c r="D8" s="279">
        <f>EEFFun!P476</f>
        <v>2280593.02</v>
      </c>
      <c r="E8" s="297">
        <f t="shared" ref="E8" si="16">E9+E14</f>
        <v>209360.54</v>
      </c>
      <c r="F8" s="297">
        <f t="shared" ref="F8" si="17">F9+F14</f>
        <v>189049.53</v>
      </c>
      <c r="G8" s="297">
        <f t="shared" ref="G8" si="18">G9+G14</f>
        <v>208712.90000000002</v>
      </c>
      <c r="H8" s="297">
        <f t="shared" ref="H8:O8" si="19">H9+H14</f>
        <v>199784.49999999997</v>
      </c>
      <c r="I8" s="297">
        <f t="shared" si="19"/>
        <v>215742.91999999998</v>
      </c>
      <c r="J8" s="297">
        <f t="shared" si="19"/>
        <v>204322.8600000001</v>
      </c>
      <c r="K8" s="297">
        <f t="shared" si="19"/>
        <v>207671.83999999985</v>
      </c>
      <c r="L8" s="297">
        <f t="shared" si="19"/>
        <v>206297.81000000008</v>
      </c>
      <c r="M8" s="297">
        <f t="shared" si="19"/>
        <v>198770.3000000001</v>
      </c>
      <c r="N8" s="297">
        <f t="shared" si="19"/>
        <v>210345.05999999979</v>
      </c>
      <c r="O8" s="297">
        <f t="shared" si="19"/>
        <v>202060.35000000021</v>
      </c>
      <c r="P8" s="297">
        <f t="shared" ref="P8" si="20">P9+P14</f>
        <v>208819.12000000005</v>
      </c>
      <c r="Q8" s="279">
        <f>EEFFun!Q476</f>
        <v>209360.54</v>
      </c>
      <c r="R8" s="279">
        <f>EEFFun!R476</f>
        <v>398410.07</v>
      </c>
      <c r="S8" s="279">
        <f>EEFFun!S476</f>
        <v>607122.97</v>
      </c>
      <c r="T8" s="279">
        <f>EEFFun!T476</f>
        <v>806907.47</v>
      </c>
      <c r="U8" s="279">
        <f>EEFFun!U476</f>
        <v>1022650.39</v>
      </c>
      <c r="V8" s="279">
        <f>EEFFun!V476</f>
        <v>1226973.25</v>
      </c>
      <c r="W8" s="279">
        <f>EEFFun!W476</f>
        <v>1434645.09</v>
      </c>
      <c r="X8" s="279">
        <f>EEFFun!X476</f>
        <v>1640942.9</v>
      </c>
      <c r="Y8" s="279">
        <f>EEFFun!Y476</f>
        <v>1839713.2</v>
      </c>
      <c r="Z8" s="279">
        <f>EEFFun!Z476</f>
        <v>2050058.26</v>
      </c>
      <c r="AA8" s="279">
        <f>EEFFun!AA476</f>
        <v>2252118.61</v>
      </c>
      <c r="AB8" s="279">
        <f>EEFFun!AB476</f>
        <v>2460937.73</v>
      </c>
      <c r="AC8" s="279">
        <f>EEFFun!AC476</f>
        <v>211897.58</v>
      </c>
      <c r="AD8" s="279">
        <f>EEFFun!AD476</f>
        <v>410728.55</v>
      </c>
      <c r="AE8" s="279">
        <f>EEFFun!AE476</f>
        <v>625562.62</v>
      </c>
      <c r="AF8" s="279">
        <f>EEFFun!AF476</f>
        <v>837430.27</v>
      </c>
      <c r="AG8" s="279">
        <f>EEFFun!AG476</f>
        <v>1062205.05</v>
      </c>
      <c r="AH8" s="279">
        <f>EEFFun!AH476</f>
        <v>1292996.29</v>
      </c>
      <c r="AI8" s="279">
        <f>EEFFun!AI476</f>
        <v>1516762.41</v>
      </c>
      <c r="AJ8" s="279">
        <f>EEFFun!AJ476</f>
        <v>1773665.24</v>
      </c>
      <c r="AK8" s="279">
        <f>EEFFun!AK476</f>
        <v>2010417.83</v>
      </c>
      <c r="AL8" s="279">
        <f>EEFFun!AL476</f>
        <v>2263241.9700000002</v>
      </c>
      <c r="AM8" s="279">
        <f>EEFFun!AM476</f>
        <v>2519761.56</v>
      </c>
      <c r="AN8" s="279">
        <f>EEFFun!AN476</f>
        <v>2790030.64</v>
      </c>
      <c r="AO8" s="279">
        <f>EEFFun!AO476</f>
        <v>282250.13</v>
      </c>
      <c r="AP8" s="279">
        <f>EEFFun!AP476</f>
        <v>551317.77</v>
      </c>
      <c r="AQ8" s="279">
        <f>EEFFun!AQ476</f>
        <v>860700.02</v>
      </c>
      <c r="AR8" s="279">
        <f>EEFFun!AR476</f>
        <v>1159692.3500000001</v>
      </c>
      <c r="AS8" s="279">
        <f>EEFFun!AS476</f>
        <v>1488830.97</v>
      </c>
      <c r="AT8" s="279">
        <f>EEFFun!AT476</f>
        <v>1820312.26</v>
      </c>
      <c r="AU8" s="279">
        <f>EEFFun!AU476</f>
        <v>2177014.23</v>
      </c>
      <c r="AV8" s="279">
        <f>EEFFun!AV476</f>
        <v>2544842.4900000002</v>
      </c>
      <c r="AW8" s="279">
        <f>EEFFun!AW476</f>
        <v>2912770.05</v>
      </c>
      <c r="AX8" s="279">
        <f>EEFFun!AX476</f>
        <v>3301749.6</v>
      </c>
      <c r="AY8" s="297">
        <f t="shared" ref="AY8:BE8" si="21">AY9+AY14</f>
        <v>438058.97593954328</v>
      </c>
      <c r="AZ8" s="297">
        <f t="shared" si="21"/>
        <v>416753.22200858447</v>
      </c>
      <c r="BA8" s="297">
        <f t="shared" si="21"/>
        <v>504282.29100803658</v>
      </c>
      <c r="BB8" s="297">
        <f t="shared" si="21"/>
        <v>529806.74746027403</v>
      </c>
      <c r="BC8" s="297">
        <f t="shared" si="21"/>
        <v>590505.60607652972</v>
      </c>
      <c r="BD8" s="297">
        <f t="shared" si="21"/>
        <v>613248.66526849312</v>
      </c>
      <c r="BE8" s="297">
        <f t="shared" si="21"/>
        <v>676728.92114502285</v>
      </c>
      <c r="BF8" s="297">
        <f t="shared" ref="BF8:BJ8" si="22">BF9+BF14</f>
        <v>719840.57867926941</v>
      </c>
      <c r="BG8" s="297">
        <f t="shared" si="22"/>
        <v>738000.58307671233</v>
      </c>
      <c r="BH8" s="297">
        <f t="shared" si="22"/>
        <v>805639.23621351609</v>
      </c>
      <c r="BI8" s="297">
        <f t="shared" si="22"/>
        <v>821442.50088493153</v>
      </c>
      <c r="BJ8" s="297">
        <f t="shared" si="22"/>
        <v>891862.55128200934</v>
      </c>
      <c r="BK8" s="297">
        <f t="shared" ref="BK8:BQ8" si="23">BK9+BK14</f>
        <v>438058.97593954328</v>
      </c>
      <c r="BL8" s="297">
        <f t="shared" si="23"/>
        <v>854812.19794812775</v>
      </c>
      <c r="BM8" s="297">
        <f t="shared" si="23"/>
        <v>1359094.4889561643</v>
      </c>
      <c r="BN8" s="297">
        <f t="shared" si="23"/>
        <v>1888901.2364164384</v>
      </c>
      <c r="BO8" s="297">
        <f t="shared" si="23"/>
        <v>2479406.8424929678</v>
      </c>
      <c r="BP8" s="297">
        <f t="shared" si="23"/>
        <v>3092655.5077614607</v>
      </c>
      <c r="BQ8" s="297">
        <f t="shared" si="23"/>
        <v>3769384.428906484</v>
      </c>
      <c r="BR8" s="297">
        <f t="shared" ref="BR8" si="24">BR9+BR14</f>
        <v>4489225.0075857537</v>
      </c>
      <c r="BS8" s="297">
        <f t="shared" ref="BS8" si="25">BS9+BS14</f>
        <v>5227225.5906624664</v>
      </c>
      <c r="BT8" s="297">
        <f t="shared" ref="BT8" si="26">BT9+BT14</f>
        <v>6032864.8268759819</v>
      </c>
      <c r="BU8" s="297">
        <f t="shared" ref="BU8" si="27">BU9+BU14</f>
        <v>6854307.3277609134</v>
      </c>
      <c r="BV8" s="297">
        <f t="shared" ref="BV8" si="28">BV9+BV14</f>
        <v>7746169.8790429235</v>
      </c>
      <c r="BW8" s="373"/>
    </row>
    <row r="9" spans="1:75" s="229" customFormat="1" outlineLevel="1" x14ac:dyDescent="0.25">
      <c r="A9" s="222">
        <v>4</v>
      </c>
      <c r="B9" s="223">
        <f>EEFFun!B477</f>
        <v>4101</v>
      </c>
      <c r="C9" s="223" t="str">
        <f>EEFFun!C477</f>
        <v>Obligaciones con el público</v>
      </c>
      <c r="D9" s="279">
        <f>EEFFun!P477</f>
        <v>2229307.0699999998</v>
      </c>
      <c r="E9" s="297">
        <f t="shared" ref="E9:H9" si="29">+SUM(E10:E12)</f>
        <v>209360.54</v>
      </c>
      <c r="F9" s="297">
        <f t="shared" si="29"/>
        <v>189049.53</v>
      </c>
      <c r="G9" s="297">
        <f t="shared" si="29"/>
        <v>208712.90000000002</v>
      </c>
      <c r="H9" s="297">
        <f t="shared" si="29"/>
        <v>199784.49999999997</v>
      </c>
      <c r="I9" s="297">
        <f t="shared" ref="I9:O9" si="30">+SUM(I10:I12)</f>
        <v>201460.77999999997</v>
      </c>
      <c r="J9" s="297">
        <f t="shared" si="30"/>
        <v>192081.03000000012</v>
      </c>
      <c r="K9" s="297">
        <f t="shared" si="30"/>
        <v>197470.30999999985</v>
      </c>
      <c r="L9" s="297">
        <f t="shared" si="30"/>
        <v>195999.06000000008</v>
      </c>
      <c r="M9" s="297">
        <f t="shared" si="30"/>
        <v>190419.96000000011</v>
      </c>
      <c r="N9" s="297">
        <f t="shared" si="30"/>
        <v>201716.3799999998</v>
      </c>
      <c r="O9" s="297">
        <f t="shared" si="30"/>
        <v>201782.0000000002</v>
      </c>
      <c r="P9" s="297">
        <f t="shared" ref="P9" si="31">+SUM(P10:P12)</f>
        <v>208819.13000000006</v>
      </c>
      <c r="Q9" s="279">
        <f>EEFFun!Q477</f>
        <v>209360.54</v>
      </c>
      <c r="R9" s="279">
        <f>EEFFun!R477</f>
        <v>398410.07</v>
      </c>
      <c r="S9" s="279">
        <f>EEFFun!S477</f>
        <v>607122.97</v>
      </c>
      <c r="T9" s="279">
        <f>EEFFun!T477</f>
        <v>806907.47</v>
      </c>
      <c r="U9" s="279">
        <f>EEFFun!U477</f>
        <v>1008368.25</v>
      </c>
      <c r="V9" s="279">
        <f>EEFFun!V477</f>
        <v>1200449.28</v>
      </c>
      <c r="W9" s="279">
        <f>EEFFun!W477</f>
        <v>1397919.59</v>
      </c>
      <c r="X9" s="279">
        <f>EEFFun!X477</f>
        <v>1593918.65</v>
      </c>
      <c r="Y9" s="279">
        <f>EEFFun!Y477</f>
        <v>1784338.61</v>
      </c>
      <c r="Z9" s="279">
        <f>EEFFun!Z477</f>
        <v>1986054.99</v>
      </c>
      <c r="AA9" s="279">
        <f>EEFFun!AA477</f>
        <v>2187836.9900000002</v>
      </c>
      <c r="AB9" s="279">
        <f>EEFFun!AB477</f>
        <v>2396656.12</v>
      </c>
      <c r="AC9" s="279">
        <f>EEFFun!AC477</f>
        <v>211897.58</v>
      </c>
      <c r="AD9" s="279">
        <f>EEFFun!AD477</f>
        <v>410728.55</v>
      </c>
      <c r="AE9" s="279">
        <f>EEFFun!AE477</f>
        <v>625562.62</v>
      </c>
      <c r="AF9" s="279">
        <f>EEFFun!AF477</f>
        <v>837430.27</v>
      </c>
      <c r="AG9" s="279">
        <f>EEFFun!AG477</f>
        <v>1062205.05</v>
      </c>
      <c r="AH9" s="279">
        <f>EEFFun!AH477</f>
        <v>1292996.29</v>
      </c>
      <c r="AI9" s="279">
        <f>EEFFun!AI477</f>
        <v>1516762.41</v>
      </c>
      <c r="AJ9" s="279">
        <f>EEFFun!AJ477</f>
        <v>1773475.24</v>
      </c>
      <c r="AK9" s="279">
        <f>EEFFun!AK477</f>
        <v>2010227.83</v>
      </c>
      <c r="AL9" s="279">
        <f>EEFFun!AL477</f>
        <v>2263051.9700000002</v>
      </c>
      <c r="AM9" s="279">
        <f>EEFFun!AM477</f>
        <v>2519571.56</v>
      </c>
      <c r="AN9" s="279">
        <f>EEFFun!AN477</f>
        <v>2789840.64</v>
      </c>
      <c r="AO9" s="279">
        <f>EEFFun!AO477</f>
        <v>282250.13</v>
      </c>
      <c r="AP9" s="279">
        <f>EEFFun!AP477</f>
        <v>551317.77</v>
      </c>
      <c r="AQ9" s="279">
        <f>EEFFun!AQ477</f>
        <v>860700.02</v>
      </c>
      <c r="AR9" s="279">
        <f>EEFFun!AR477</f>
        <v>1159692.3500000001</v>
      </c>
      <c r="AS9" s="279">
        <f>EEFFun!AS477</f>
        <v>1488830.97</v>
      </c>
      <c r="AT9" s="279">
        <f>EEFFun!AT477</f>
        <v>1820312.26</v>
      </c>
      <c r="AU9" s="279">
        <f>EEFFun!AU477</f>
        <v>2176821.8199999998</v>
      </c>
      <c r="AV9" s="279">
        <f>EEFFun!AV477</f>
        <v>2544650.08</v>
      </c>
      <c r="AW9" s="279">
        <f>EEFFun!AW477</f>
        <v>2912351.82</v>
      </c>
      <c r="AX9" s="279">
        <f>EEFFun!AX477</f>
        <v>3301331.37</v>
      </c>
      <c r="AY9" s="297">
        <f t="shared" ref="AY9:BE9" si="32">+SUM(AY10:AY12)</f>
        <v>438058.97593954328</v>
      </c>
      <c r="AZ9" s="297">
        <f t="shared" si="32"/>
        <v>416753.22200858447</v>
      </c>
      <c r="BA9" s="297">
        <f t="shared" si="32"/>
        <v>504282.29100803658</v>
      </c>
      <c r="BB9" s="297">
        <f t="shared" si="32"/>
        <v>529806.74746027403</v>
      </c>
      <c r="BC9" s="297">
        <f t="shared" si="32"/>
        <v>590505.60607652972</v>
      </c>
      <c r="BD9" s="297">
        <f t="shared" si="32"/>
        <v>613248.66526849312</v>
      </c>
      <c r="BE9" s="297">
        <f t="shared" si="32"/>
        <v>676728.92114502285</v>
      </c>
      <c r="BF9" s="297">
        <f t="shared" ref="BF9:BJ9" si="33">+SUM(BF10:BF12)</f>
        <v>719840.57867926941</v>
      </c>
      <c r="BG9" s="297">
        <f t="shared" si="33"/>
        <v>738000.58307671233</v>
      </c>
      <c r="BH9" s="297">
        <f t="shared" si="33"/>
        <v>805639.23621351609</v>
      </c>
      <c r="BI9" s="297">
        <f t="shared" si="33"/>
        <v>821442.50088493153</v>
      </c>
      <c r="BJ9" s="297">
        <f t="shared" si="33"/>
        <v>891862.55128200934</v>
      </c>
      <c r="BK9" s="297">
        <f t="shared" ref="BK9:BQ9" si="34">+SUM(BK10:BK12)</f>
        <v>438058.97593954328</v>
      </c>
      <c r="BL9" s="297">
        <f t="shared" si="34"/>
        <v>854812.19794812775</v>
      </c>
      <c r="BM9" s="297">
        <f t="shared" si="34"/>
        <v>1359094.4889561643</v>
      </c>
      <c r="BN9" s="297">
        <f t="shared" si="34"/>
        <v>1888901.2364164384</v>
      </c>
      <c r="BO9" s="297">
        <f t="shared" si="34"/>
        <v>2479406.8424929678</v>
      </c>
      <c r="BP9" s="297">
        <f t="shared" si="34"/>
        <v>3092655.5077614607</v>
      </c>
      <c r="BQ9" s="297">
        <f t="shared" si="34"/>
        <v>3769384.428906484</v>
      </c>
      <c r="BR9" s="297">
        <f t="shared" ref="BR9:BV9" si="35">+SUM(BR10:BR12)</f>
        <v>4489225.0075857537</v>
      </c>
      <c r="BS9" s="297">
        <f t="shared" si="35"/>
        <v>5227225.5906624664</v>
      </c>
      <c r="BT9" s="297">
        <f t="shared" si="35"/>
        <v>6032864.8268759819</v>
      </c>
      <c r="BU9" s="297">
        <f t="shared" si="35"/>
        <v>6854307.3277609134</v>
      </c>
      <c r="BV9" s="297">
        <f t="shared" si="35"/>
        <v>7746169.8790429235</v>
      </c>
      <c r="BW9" s="284"/>
    </row>
    <row r="10" spans="1:75" outlineLevel="2" collapsed="1" x14ac:dyDescent="0.25">
      <c r="A10" s="222">
        <v>6</v>
      </c>
      <c r="B10" s="233">
        <f>EEFFun!B478</f>
        <v>410105</v>
      </c>
      <c r="C10" s="233" t="str">
        <f>EEFFun!C478</f>
        <v>DEPOSITOS MONETARIOS</v>
      </c>
      <c r="D10" s="257">
        <f>EEFFun!P478</f>
        <v>104.57</v>
      </c>
      <c r="E10" s="295">
        <f>Q10</f>
        <v>1.73</v>
      </c>
      <c r="F10" s="295">
        <f t="shared" ref="F10:F11" si="36">R10-Q10</f>
        <v>1.56</v>
      </c>
      <c r="G10" s="295">
        <f t="shared" ref="G10:G11" si="37">S10-R10</f>
        <v>1.7299999999999995</v>
      </c>
      <c r="H10" s="295">
        <f t="shared" ref="H10:H11" si="38">T10-S10</f>
        <v>115.19</v>
      </c>
      <c r="I10" s="295">
        <f t="shared" ref="I10:I11" si="39">U10-T10</f>
        <v>118.81000000000002</v>
      </c>
      <c r="J10" s="295">
        <f t="shared" ref="J10:J11" si="40">V10-U10</f>
        <v>18.909999999999997</v>
      </c>
      <c r="K10" s="295">
        <f t="shared" ref="K10:K11" si="41">W10-V10</f>
        <v>19.550000000000011</v>
      </c>
      <c r="L10" s="295">
        <f t="shared" ref="L10:L11" si="42">X10-W10</f>
        <v>19.569999999999993</v>
      </c>
      <c r="M10" s="295">
        <f t="shared" ref="M10:M11" si="43">Y10-X10</f>
        <v>18.639999999999986</v>
      </c>
      <c r="N10" s="295">
        <f t="shared" ref="N10:N11" si="44">Z10-Y10</f>
        <v>28.120000000000005</v>
      </c>
      <c r="O10" s="295">
        <f t="shared" ref="O10:P11" si="45">AA10-Z10</f>
        <v>36.680000000000007</v>
      </c>
      <c r="P10" s="295">
        <f t="shared" si="45"/>
        <v>0.93000000000000682</v>
      </c>
      <c r="Q10" s="257">
        <f>EEFFun!Q478</f>
        <v>1.73</v>
      </c>
      <c r="R10" s="257">
        <f>EEFFun!R478</f>
        <v>3.29</v>
      </c>
      <c r="S10" s="257">
        <f>EEFFun!S478</f>
        <v>5.0199999999999996</v>
      </c>
      <c r="T10" s="257">
        <f>EEFFun!T478</f>
        <v>120.21</v>
      </c>
      <c r="U10" s="257">
        <f>EEFFun!U478</f>
        <v>239.02</v>
      </c>
      <c r="V10" s="257">
        <f>EEFFun!V478</f>
        <v>257.93</v>
      </c>
      <c r="W10" s="257">
        <f>EEFFun!W478</f>
        <v>277.48</v>
      </c>
      <c r="X10" s="257">
        <f>EEFFun!X478</f>
        <v>297.05</v>
      </c>
      <c r="Y10" s="257">
        <f>EEFFun!Y478</f>
        <v>315.69</v>
      </c>
      <c r="Z10" s="257">
        <f>EEFFun!Z478</f>
        <v>343.81</v>
      </c>
      <c r="AA10" s="257">
        <f>EEFFun!AA478</f>
        <v>380.49</v>
      </c>
      <c r="AB10" s="257">
        <f>EEFFun!AB478</f>
        <v>381.42</v>
      </c>
      <c r="AC10" s="257">
        <f>EEFFun!AC478</f>
        <v>0.93</v>
      </c>
      <c r="AD10" s="257">
        <f>EEFFun!AD478</f>
        <v>1.8</v>
      </c>
      <c r="AE10" s="257">
        <f>EEFFun!AE478</f>
        <v>2.73</v>
      </c>
      <c r="AF10" s="257">
        <f>EEFFun!AF478</f>
        <v>3.63</v>
      </c>
      <c r="AG10" s="257">
        <f>EEFFun!AG478</f>
        <v>4145.74</v>
      </c>
      <c r="AH10" s="257">
        <f>EEFFun!AH478</f>
        <v>20040.11</v>
      </c>
      <c r="AI10" s="257">
        <f>EEFFun!AI478</f>
        <v>21422.91</v>
      </c>
      <c r="AJ10" s="257">
        <f>EEFFun!AJ478</f>
        <v>39755.57</v>
      </c>
      <c r="AK10" s="257">
        <f>EEFFun!AK478</f>
        <v>45728.39</v>
      </c>
      <c r="AL10" s="257">
        <f>EEFFun!AL478</f>
        <v>50831.37</v>
      </c>
      <c r="AM10" s="257">
        <f>EEFFun!AM478</f>
        <v>53543.26</v>
      </c>
      <c r="AN10" s="257">
        <f>EEFFun!AN478</f>
        <v>55997.87</v>
      </c>
      <c r="AO10" s="257">
        <f>EEFFun!AO478</f>
        <v>2510.0100000000002</v>
      </c>
      <c r="AP10" s="257">
        <f>EEFFun!AP478</f>
        <v>4235.6000000000004</v>
      </c>
      <c r="AQ10" s="257">
        <f>EEFFun!AQ478</f>
        <v>5735.59</v>
      </c>
      <c r="AR10" s="257">
        <f>EEFFun!AR478</f>
        <v>7374.49</v>
      </c>
      <c r="AS10" s="257">
        <f>EEFFun!AS478</f>
        <v>9122.94</v>
      </c>
      <c r="AT10" s="257">
        <f>EEFFun!AT478</f>
        <v>12372.4</v>
      </c>
      <c r="AU10" s="257">
        <f>EEFFun!AU478</f>
        <v>16193.68</v>
      </c>
      <c r="AV10" s="257">
        <f>EEFFun!AV478</f>
        <v>19606.09</v>
      </c>
      <c r="AW10" s="257">
        <f>EEFFun!AW478</f>
        <v>21371.18</v>
      </c>
      <c r="AX10" s="257">
        <f>EEFFun!AX478</f>
        <v>21907.15</v>
      </c>
      <c r="AY10" s="295">
        <f>+AX10/10</f>
        <v>2190.7150000000001</v>
      </c>
      <c r="AZ10" s="295">
        <f t="shared" ref="AZ10:BH10" si="46">AY10</f>
        <v>2190.7150000000001</v>
      </c>
      <c r="BA10" s="295">
        <f t="shared" si="46"/>
        <v>2190.7150000000001</v>
      </c>
      <c r="BB10" s="295">
        <f t="shared" si="46"/>
        <v>2190.7150000000001</v>
      </c>
      <c r="BC10" s="295">
        <f t="shared" si="46"/>
        <v>2190.7150000000001</v>
      </c>
      <c r="BD10" s="295">
        <f t="shared" si="46"/>
        <v>2190.7150000000001</v>
      </c>
      <c r="BE10" s="295">
        <f t="shared" si="46"/>
        <v>2190.7150000000001</v>
      </c>
      <c r="BF10" s="295">
        <f t="shared" si="46"/>
        <v>2190.7150000000001</v>
      </c>
      <c r="BG10" s="295">
        <f t="shared" si="46"/>
        <v>2190.7150000000001</v>
      </c>
      <c r="BH10" s="295">
        <f t="shared" si="46"/>
        <v>2190.7150000000001</v>
      </c>
      <c r="BI10" s="295">
        <f t="shared" ref="BI10:BJ10" si="47">BH10</f>
        <v>2190.7150000000001</v>
      </c>
      <c r="BJ10" s="295">
        <f t="shared" si="47"/>
        <v>2190.7150000000001</v>
      </c>
      <c r="BK10" s="295">
        <f>SUM($AY$10:AY10)</f>
        <v>2190.7150000000001</v>
      </c>
      <c r="BL10" s="295">
        <f>SUM($AY$10:AZ10)</f>
        <v>4381.43</v>
      </c>
      <c r="BM10" s="295">
        <f>SUM($AY$10:BA10)</f>
        <v>6572.1450000000004</v>
      </c>
      <c r="BN10" s="295">
        <f>SUM($AY$10:BB10)</f>
        <v>8762.86</v>
      </c>
      <c r="BO10" s="295">
        <f>SUM($AY$10:BC10)</f>
        <v>10953.575000000001</v>
      </c>
      <c r="BP10" s="295">
        <f>SUM($AY$10:BD10)</f>
        <v>13144.29</v>
      </c>
      <c r="BQ10" s="295">
        <f>SUM($AY$10:BE10)</f>
        <v>15335.005000000001</v>
      </c>
      <c r="BR10" s="295">
        <f>SUM($AY$10:BF10)</f>
        <v>17525.72</v>
      </c>
      <c r="BS10" s="295">
        <f>SUM($AY$10:BG10)</f>
        <v>19716.435000000001</v>
      </c>
      <c r="BT10" s="295">
        <f>SUM($AY$10:BH10)</f>
        <v>21907.15</v>
      </c>
      <c r="BU10" s="295">
        <f>SUM($AY$10:BI10)</f>
        <v>24097.865000000002</v>
      </c>
      <c r="BV10" s="295">
        <f>SUM($AY$10:BJ10)</f>
        <v>26288.58</v>
      </c>
      <c r="BW10" s="291"/>
    </row>
    <row r="11" spans="1:75" outlineLevel="2" collapsed="1" x14ac:dyDescent="0.25">
      <c r="A11" s="222">
        <v>6</v>
      </c>
      <c r="B11" s="233">
        <f>EEFFun!B479</f>
        <v>410115</v>
      </c>
      <c r="C11" s="233" t="str">
        <f>EEFFun!C479</f>
        <v>DEPÓSITOS DE AHORROS</v>
      </c>
      <c r="D11" s="257">
        <f>EEFFun!P479</f>
        <v>23162.13</v>
      </c>
      <c r="E11" s="295">
        <f>Q11</f>
        <v>1657.33</v>
      </c>
      <c r="F11" s="295">
        <f t="shared" si="36"/>
        <v>1499.88</v>
      </c>
      <c r="G11" s="295">
        <f t="shared" si="37"/>
        <v>1363.9700000000003</v>
      </c>
      <c r="H11" s="295">
        <f t="shared" si="38"/>
        <v>1291.2199999999993</v>
      </c>
      <c r="I11" s="295">
        <f t="shared" si="39"/>
        <v>1360.75</v>
      </c>
      <c r="J11" s="295">
        <f t="shared" si="40"/>
        <v>1288.8700000000008</v>
      </c>
      <c r="K11" s="295">
        <f t="shared" si="41"/>
        <v>1382.17</v>
      </c>
      <c r="L11" s="295">
        <f t="shared" si="42"/>
        <v>1923.6599999999999</v>
      </c>
      <c r="M11" s="295">
        <f t="shared" si="43"/>
        <v>1204.9599999999991</v>
      </c>
      <c r="N11" s="295">
        <f t="shared" si="44"/>
        <v>1147.7300000000014</v>
      </c>
      <c r="O11" s="295">
        <f t="shared" si="45"/>
        <v>1748.5899999999983</v>
      </c>
      <c r="P11" s="295">
        <f t="shared" si="45"/>
        <v>1153.3900000000012</v>
      </c>
      <c r="Q11" s="257">
        <f>EEFFun!Q479</f>
        <v>1657.33</v>
      </c>
      <c r="R11" s="257">
        <f>EEFFun!R479</f>
        <v>3157.21</v>
      </c>
      <c r="S11" s="257">
        <f>EEFFun!S479</f>
        <v>4521.18</v>
      </c>
      <c r="T11" s="257">
        <f>EEFFun!T479</f>
        <v>5812.4</v>
      </c>
      <c r="U11" s="257">
        <f>EEFFun!U479</f>
        <v>7173.15</v>
      </c>
      <c r="V11" s="257">
        <f>EEFFun!V479</f>
        <v>8462.02</v>
      </c>
      <c r="W11" s="257">
        <f>EEFFun!W479</f>
        <v>9844.19</v>
      </c>
      <c r="X11" s="257">
        <f>EEFFun!X479</f>
        <v>11767.85</v>
      </c>
      <c r="Y11" s="257">
        <f>EEFFun!Y479</f>
        <v>12972.81</v>
      </c>
      <c r="Z11" s="257">
        <f>EEFFun!Z479</f>
        <v>14120.54</v>
      </c>
      <c r="AA11" s="257">
        <f>EEFFun!AA479</f>
        <v>15869.13</v>
      </c>
      <c r="AB11" s="257">
        <f>EEFFun!AB479</f>
        <v>17022.52</v>
      </c>
      <c r="AC11" s="257">
        <f>EEFFun!AC479</f>
        <v>1137.9000000000001</v>
      </c>
      <c r="AD11" s="257">
        <f>EEFFun!AD479</f>
        <v>2263.44</v>
      </c>
      <c r="AE11" s="257">
        <f>EEFFun!AE479</f>
        <v>3457.5</v>
      </c>
      <c r="AF11" s="257">
        <f>EEFFun!AF479</f>
        <v>4630.55</v>
      </c>
      <c r="AG11" s="257">
        <f>EEFFun!AG479</f>
        <v>5864.58</v>
      </c>
      <c r="AH11" s="257">
        <f>EEFFun!AH479</f>
        <v>7101.31</v>
      </c>
      <c r="AI11" s="257">
        <f>EEFFun!AI479</f>
        <v>8456.36</v>
      </c>
      <c r="AJ11" s="257">
        <f>EEFFun!AJ479</f>
        <v>9789.9500000000007</v>
      </c>
      <c r="AK11" s="257">
        <f>EEFFun!AK479</f>
        <v>11168.42</v>
      </c>
      <c r="AL11" s="257">
        <f>EEFFun!AL479</f>
        <v>12622.78</v>
      </c>
      <c r="AM11" s="257">
        <f>EEFFun!AM479</f>
        <v>14016.13</v>
      </c>
      <c r="AN11" s="257">
        <f>EEFFun!AN479</f>
        <v>15602.46</v>
      </c>
      <c r="AO11" s="257">
        <f>EEFFun!AO479</f>
        <v>3343.89</v>
      </c>
      <c r="AP11" s="257">
        <f>EEFFun!AP479</f>
        <v>6498.57</v>
      </c>
      <c r="AQ11" s="257">
        <f>EEFFun!AQ479</f>
        <v>10081.870000000001</v>
      </c>
      <c r="AR11" s="257">
        <f>EEFFun!AR479</f>
        <v>11988.34</v>
      </c>
      <c r="AS11" s="257">
        <f>EEFFun!AS479</f>
        <v>13947.52</v>
      </c>
      <c r="AT11" s="257">
        <f>EEFFun!AT479</f>
        <v>15773.03</v>
      </c>
      <c r="AU11" s="257">
        <f>EEFFun!AU479</f>
        <v>17829.82</v>
      </c>
      <c r="AV11" s="257">
        <f>EEFFun!AV479</f>
        <v>20211.93</v>
      </c>
      <c r="AW11" s="257">
        <f>EEFFun!AW479</f>
        <v>22744.32</v>
      </c>
      <c r="AX11" s="257">
        <f>EEFFun!AX479</f>
        <v>25343.57</v>
      </c>
      <c r="AY11" s="257">
        <f>IntCaptac!E6</f>
        <v>7354.8270328767121</v>
      </c>
      <c r="AZ11" s="257">
        <f>IntCaptac!F6</f>
        <v>7026.6312219178089</v>
      </c>
      <c r="BA11" s="257">
        <f>IntCaptac!G6</f>
        <v>8204.1421013698637</v>
      </c>
      <c r="BB11" s="257">
        <f>IntCaptac!H6</f>
        <v>8350.4512602739724</v>
      </c>
      <c r="BC11" s="257">
        <f>IntCaptac!I6</f>
        <v>9053.4571698630134</v>
      </c>
      <c r="BD11" s="257">
        <f>IntCaptac!J6</f>
        <v>9172.3690684931498</v>
      </c>
      <c r="BE11" s="257">
        <f>IntCaptac!K6</f>
        <v>9902.772238356165</v>
      </c>
      <c r="BF11" s="257">
        <f>IntCaptac!L6</f>
        <v>10327.42977260274</v>
      </c>
      <c r="BG11" s="257">
        <f>IntCaptac!M6</f>
        <v>9994.2868767123291</v>
      </c>
      <c r="BH11" s="257">
        <f>IntCaptac!N6</f>
        <v>10752.087306849315</v>
      </c>
      <c r="BI11" s="257">
        <f>IntCaptac!O6</f>
        <v>10816.204684931507</v>
      </c>
      <c r="BJ11" s="257">
        <f>IntCaptac!P6</f>
        <v>11601.402375342468</v>
      </c>
      <c r="BK11" s="295">
        <f>SUM($AY$11:AY11)</f>
        <v>7354.8270328767121</v>
      </c>
      <c r="BL11" s="295">
        <f>SUM($AY$11:AZ11)</f>
        <v>14381.458254794521</v>
      </c>
      <c r="BM11" s="295">
        <f>SUM($AY$11:BA11)</f>
        <v>22585.600356164385</v>
      </c>
      <c r="BN11" s="295">
        <f>SUM($AY$11:BB11)</f>
        <v>30936.051616438359</v>
      </c>
      <c r="BO11" s="295">
        <f>SUM($AY$11:BC11)</f>
        <v>39989.508786301376</v>
      </c>
      <c r="BP11" s="295">
        <f>SUM($AY$11:BD11)</f>
        <v>49161.877854794526</v>
      </c>
      <c r="BQ11" s="295">
        <f>SUM($AY$11:BE11)</f>
        <v>59064.650093150689</v>
      </c>
      <c r="BR11" s="295">
        <f>SUM($AY$11:BF11)</f>
        <v>69392.079865753432</v>
      </c>
      <c r="BS11" s="295">
        <f>SUM($AY$11:BG11)</f>
        <v>79386.366742465761</v>
      </c>
      <c r="BT11" s="295">
        <f>SUM($AY$11:BH11)</f>
        <v>90138.454049315071</v>
      </c>
      <c r="BU11" s="295">
        <f>SUM($AY$11:BI11)</f>
        <v>100954.65873424658</v>
      </c>
      <c r="BV11" s="295">
        <f>SUM($AY$11:BJ11)</f>
        <v>112556.06110958905</v>
      </c>
      <c r="BW11" s="291"/>
    </row>
    <row r="12" spans="1:75" outlineLevel="2" collapsed="1" x14ac:dyDescent="0.25">
      <c r="A12" s="222">
        <v>6</v>
      </c>
      <c r="B12" s="233">
        <f>EEFFun!B480</f>
        <v>410130</v>
      </c>
      <c r="C12" s="233" t="str">
        <f>EEFFun!C480</f>
        <v>Depósitos a plazo</v>
      </c>
      <c r="D12" s="257">
        <f>EEFFun!P480</f>
        <v>2206040.37</v>
      </c>
      <c r="E12" s="295">
        <f t="shared" ref="E12:P12" si="48">E13</f>
        <v>207701.48</v>
      </c>
      <c r="F12" s="295">
        <f t="shared" si="48"/>
        <v>187548.09</v>
      </c>
      <c r="G12" s="295">
        <f t="shared" si="48"/>
        <v>207347.20000000001</v>
      </c>
      <c r="H12" s="295">
        <f t="shared" si="48"/>
        <v>198378.08999999997</v>
      </c>
      <c r="I12" s="295">
        <f t="shared" si="48"/>
        <v>199981.21999999997</v>
      </c>
      <c r="J12" s="295">
        <f t="shared" si="48"/>
        <v>190773.25000000012</v>
      </c>
      <c r="K12" s="295">
        <f t="shared" si="48"/>
        <v>196068.58999999985</v>
      </c>
      <c r="L12" s="295">
        <f t="shared" si="48"/>
        <v>194055.83000000007</v>
      </c>
      <c r="M12" s="295">
        <f t="shared" si="48"/>
        <v>189196.3600000001</v>
      </c>
      <c r="N12" s="295">
        <f t="shared" si="48"/>
        <v>200540.5299999998</v>
      </c>
      <c r="O12" s="295">
        <f t="shared" si="48"/>
        <v>199996.73000000021</v>
      </c>
      <c r="P12" s="295">
        <f t="shared" si="48"/>
        <v>207664.81000000006</v>
      </c>
      <c r="Q12" s="257">
        <f>EEFFun!Q480</f>
        <v>207701.48</v>
      </c>
      <c r="R12" s="257">
        <f>EEFFun!R480</f>
        <v>395249.57</v>
      </c>
      <c r="S12" s="257">
        <f>EEFFun!S480</f>
        <v>602596.77</v>
      </c>
      <c r="T12" s="257">
        <f>EEFFun!T480</f>
        <v>800974.86</v>
      </c>
      <c r="U12" s="257">
        <f>EEFFun!U480</f>
        <v>1000956.08</v>
      </c>
      <c r="V12" s="257">
        <f>EEFFun!V480</f>
        <v>1191729.33</v>
      </c>
      <c r="W12" s="257">
        <f>EEFFun!W480</f>
        <v>1387797.92</v>
      </c>
      <c r="X12" s="257">
        <f>EEFFun!X480</f>
        <v>1581853.75</v>
      </c>
      <c r="Y12" s="257">
        <f>EEFFun!Y480</f>
        <v>1771050.11</v>
      </c>
      <c r="Z12" s="257">
        <f>EEFFun!Z480</f>
        <v>1971590.64</v>
      </c>
      <c r="AA12" s="257">
        <f>EEFFun!AA480</f>
        <v>2171587.37</v>
      </c>
      <c r="AB12" s="257">
        <f>EEFFun!AB480</f>
        <v>2379252.1800000002</v>
      </c>
      <c r="AC12" s="257">
        <f>EEFFun!AC480</f>
        <v>210758.75</v>
      </c>
      <c r="AD12" s="257">
        <f>EEFFun!AD480</f>
        <v>408463.31</v>
      </c>
      <c r="AE12" s="257">
        <f>EEFFun!AE480</f>
        <v>622102.39</v>
      </c>
      <c r="AF12" s="257">
        <f>EEFFun!AF480</f>
        <v>832796.09</v>
      </c>
      <c r="AG12" s="257">
        <f>EEFFun!AG480</f>
        <v>1052194.73</v>
      </c>
      <c r="AH12" s="257">
        <f>EEFFun!AH480</f>
        <v>1265854.8700000001</v>
      </c>
      <c r="AI12" s="257">
        <f>EEFFun!AI480</f>
        <v>1486883.14</v>
      </c>
      <c r="AJ12" s="257">
        <f>EEFFun!AJ480</f>
        <v>1723929.72</v>
      </c>
      <c r="AK12" s="257">
        <f>EEFFun!AK480</f>
        <v>1953331.02</v>
      </c>
      <c r="AL12" s="257">
        <f>EEFFun!AL480</f>
        <v>2199597.8199999998</v>
      </c>
      <c r="AM12" s="257">
        <f>EEFFun!AM480</f>
        <v>2452012.17</v>
      </c>
      <c r="AN12" s="257">
        <f>EEFFun!AN480</f>
        <v>2718240.31</v>
      </c>
      <c r="AO12" s="257">
        <f>EEFFun!AO480</f>
        <v>276396.23</v>
      </c>
      <c r="AP12" s="257">
        <f>EEFFun!AP480</f>
        <v>540583.6</v>
      </c>
      <c r="AQ12" s="257">
        <f>EEFFun!AQ480</f>
        <v>844882.56</v>
      </c>
      <c r="AR12" s="257">
        <f>EEFFun!AR480</f>
        <v>1140329.52</v>
      </c>
      <c r="AS12" s="257">
        <f>EEFFun!AS480</f>
        <v>1465760.51</v>
      </c>
      <c r="AT12" s="257">
        <f>EEFFun!AT480</f>
        <v>1792166.83</v>
      </c>
      <c r="AU12" s="257">
        <f>EEFFun!AU480</f>
        <v>2142798.3199999998</v>
      </c>
      <c r="AV12" s="257">
        <f>EEFFun!AV480</f>
        <v>2504832.06</v>
      </c>
      <c r="AW12" s="257">
        <f>EEFFun!AW480</f>
        <v>2868236.32</v>
      </c>
      <c r="AX12" s="257">
        <f>EEFFun!AX480</f>
        <v>3254080.65</v>
      </c>
      <c r="AY12" s="295">
        <f t="shared" ref="AY12:BJ12" si="49">AY13</f>
        <v>428513.43390666659</v>
      </c>
      <c r="AZ12" s="295">
        <f t="shared" si="49"/>
        <v>407535.87578666664</v>
      </c>
      <c r="BA12" s="295">
        <f t="shared" si="49"/>
        <v>493887.4339066667</v>
      </c>
      <c r="BB12" s="295">
        <f t="shared" si="49"/>
        <v>519265.58120000007</v>
      </c>
      <c r="BC12" s="295">
        <f t="shared" si="49"/>
        <v>579261.4339066667</v>
      </c>
      <c r="BD12" s="295">
        <f t="shared" si="49"/>
        <v>601885.58120000002</v>
      </c>
      <c r="BE12" s="295">
        <f t="shared" si="49"/>
        <v>664635.4339066667</v>
      </c>
      <c r="BF12" s="295">
        <f t="shared" si="49"/>
        <v>707322.4339066667</v>
      </c>
      <c r="BG12" s="295">
        <f t="shared" si="49"/>
        <v>725815.58120000002</v>
      </c>
      <c r="BH12" s="295">
        <f t="shared" si="49"/>
        <v>792696.43390666682</v>
      </c>
      <c r="BI12" s="295">
        <f t="shared" si="49"/>
        <v>808435.58120000002</v>
      </c>
      <c r="BJ12" s="295">
        <f t="shared" si="49"/>
        <v>878070.43390666682</v>
      </c>
      <c r="BK12" s="295">
        <f t="shared" ref="BK12:BV12" si="50">BK13</f>
        <v>428513.43390666659</v>
      </c>
      <c r="BL12" s="295">
        <f t="shared" si="50"/>
        <v>836049.30969333323</v>
      </c>
      <c r="BM12" s="295">
        <f t="shared" si="50"/>
        <v>1329936.7435999999</v>
      </c>
      <c r="BN12" s="295">
        <f t="shared" si="50"/>
        <v>1849202.3248000001</v>
      </c>
      <c r="BO12" s="295">
        <f t="shared" si="50"/>
        <v>2428463.7587066665</v>
      </c>
      <c r="BP12" s="295">
        <f t="shared" si="50"/>
        <v>3030349.3399066664</v>
      </c>
      <c r="BQ12" s="295">
        <f t="shared" si="50"/>
        <v>3694984.7738133334</v>
      </c>
      <c r="BR12" s="295">
        <f t="shared" si="50"/>
        <v>4402307.2077200003</v>
      </c>
      <c r="BS12" s="295">
        <f t="shared" si="50"/>
        <v>5128122.7889200002</v>
      </c>
      <c r="BT12" s="295">
        <f t="shared" si="50"/>
        <v>5920819.2228266671</v>
      </c>
      <c r="BU12" s="295">
        <f t="shared" si="50"/>
        <v>6729254.804026667</v>
      </c>
      <c r="BV12" s="295">
        <f t="shared" si="50"/>
        <v>7607325.237933334</v>
      </c>
      <c r="BW12" s="291"/>
    </row>
    <row r="13" spans="1:75" s="229" customFormat="1" outlineLevel="1" x14ac:dyDescent="0.25">
      <c r="A13" s="222">
        <v>8</v>
      </c>
      <c r="B13" s="233">
        <f>EEFFun!B481</f>
        <v>41013010</v>
      </c>
      <c r="C13" s="233" t="str">
        <f>EEFFun!C481</f>
        <v>DEPOSITOS A PLAZO</v>
      </c>
      <c r="D13" s="257">
        <f>EEFFun!P481</f>
        <v>2206040.37</v>
      </c>
      <c r="E13" s="295">
        <f>Q13</f>
        <v>207701.48</v>
      </c>
      <c r="F13" s="295">
        <f t="shared" ref="F13" si="51">R13-Q13</f>
        <v>187548.09</v>
      </c>
      <c r="G13" s="295">
        <f t="shared" ref="G13" si="52">S13-R13</f>
        <v>207347.20000000001</v>
      </c>
      <c r="H13" s="295">
        <f t="shared" ref="H13" si="53">T13-S13</f>
        <v>198378.08999999997</v>
      </c>
      <c r="I13" s="295">
        <f t="shared" ref="I13" si="54">U13-T13</f>
        <v>199981.21999999997</v>
      </c>
      <c r="J13" s="295">
        <f t="shared" ref="J13" si="55">V13-U13</f>
        <v>190773.25000000012</v>
      </c>
      <c r="K13" s="295">
        <f t="shared" ref="K13" si="56">W13-V13</f>
        <v>196068.58999999985</v>
      </c>
      <c r="L13" s="295">
        <f t="shared" ref="L13" si="57">X13-W13</f>
        <v>194055.83000000007</v>
      </c>
      <c r="M13" s="295">
        <f t="shared" ref="M13" si="58">Y13-X13</f>
        <v>189196.3600000001</v>
      </c>
      <c r="N13" s="295">
        <f t="shared" ref="N13" si="59">Z13-Y13</f>
        <v>200540.5299999998</v>
      </c>
      <c r="O13" s="295">
        <f t="shared" ref="O13:P13" si="60">AA13-Z13</f>
        <v>199996.73000000021</v>
      </c>
      <c r="P13" s="295">
        <f t="shared" si="60"/>
        <v>207664.81000000006</v>
      </c>
      <c r="Q13" s="257">
        <f>EEFFun!Q481</f>
        <v>207701.48</v>
      </c>
      <c r="R13" s="257">
        <f>EEFFun!R481</f>
        <v>395249.57</v>
      </c>
      <c r="S13" s="257">
        <f>EEFFun!S481</f>
        <v>602596.77</v>
      </c>
      <c r="T13" s="257">
        <f>EEFFun!T481</f>
        <v>800974.86</v>
      </c>
      <c r="U13" s="257">
        <f>EEFFun!U481</f>
        <v>1000956.08</v>
      </c>
      <c r="V13" s="257">
        <f>EEFFun!V481</f>
        <v>1191729.33</v>
      </c>
      <c r="W13" s="257">
        <f>EEFFun!W481</f>
        <v>1387797.92</v>
      </c>
      <c r="X13" s="257">
        <f>EEFFun!X481</f>
        <v>1581853.75</v>
      </c>
      <c r="Y13" s="257">
        <f>EEFFun!Y481</f>
        <v>1771050.11</v>
      </c>
      <c r="Z13" s="257">
        <f>EEFFun!Z481</f>
        <v>1971590.64</v>
      </c>
      <c r="AA13" s="257">
        <f>EEFFun!AA481</f>
        <v>2171587.37</v>
      </c>
      <c r="AB13" s="257">
        <f>EEFFun!AB481</f>
        <v>2379252.1800000002</v>
      </c>
      <c r="AC13" s="257">
        <f>EEFFun!AC481</f>
        <v>210758.75</v>
      </c>
      <c r="AD13" s="257">
        <f>EEFFun!AD481</f>
        <v>408463.31</v>
      </c>
      <c r="AE13" s="257">
        <f>EEFFun!AE481</f>
        <v>622102.39</v>
      </c>
      <c r="AF13" s="257">
        <f>EEFFun!AF481</f>
        <v>832796.09</v>
      </c>
      <c r="AG13" s="257">
        <f>EEFFun!AG481</f>
        <v>1052194.73</v>
      </c>
      <c r="AH13" s="257">
        <f>EEFFun!AH481</f>
        <v>1265854.8700000001</v>
      </c>
      <c r="AI13" s="257">
        <f>EEFFun!AI481</f>
        <v>1486883.14</v>
      </c>
      <c r="AJ13" s="257">
        <f>EEFFun!AJ481</f>
        <v>1723929.72</v>
      </c>
      <c r="AK13" s="257">
        <f>EEFFun!AK481</f>
        <v>1953331.02</v>
      </c>
      <c r="AL13" s="257">
        <f>EEFFun!AL481</f>
        <v>2199597.8199999998</v>
      </c>
      <c r="AM13" s="257">
        <f>EEFFun!AM481</f>
        <v>2452012.17</v>
      </c>
      <c r="AN13" s="257">
        <f>EEFFun!AN481</f>
        <v>2718240.31</v>
      </c>
      <c r="AO13" s="257">
        <f>EEFFun!AO481</f>
        <v>276396.23</v>
      </c>
      <c r="AP13" s="257">
        <f>EEFFun!AP481</f>
        <v>540583.6</v>
      </c>
      <c r="AQ13" s="257">
        <f>EEFFun!AQ481</f>
        <v>844882.56</v>
      </c>
      <c r="AR13" s="257">
        <f>EEFFun!AR481</f>
        <v>1140329.52</v>
      </c>
      <c r="AS13" s="257">
        <f>EEFFun!AS481</f>
        <v>1465760.51</v>
      </c>
      <c r="AT13" s="257">
        <f>EEFFun!AT481</f>
        <v>1792166.83</v>
      </c>
      <c r="AU13" s="257">
        <f>EEFFun!AU481</f>
        <v>2142798.3199999998</v>
      </c>
      <c r="AV13" s="257">
        <f>EEFFun!AV481</f>
        <v>2504832.06</v>
      </c>
      <c r="AW13" s="257">
        <f>EEFFun!AW481</f>
        <v>2868236.32</v>
      </c>
      <c r="AX13" s="257">
        <f>EEFFun!AX481</f>
        <v>3254080.65</v>
      </c>
      <c r="AY13" s="257">
        <f>IntCaptac!E7+20000</f>
        <v>428513.43390666659</v>
      </c>
      <c r="AZ13" s="257">
        <f>IntCaptac!F7</f>
        <v>407535.87578666664</v>
      </c>
      <c r="BA13" s="257">
        <f>IntCaptac!G7</f>
        <v>493887.4339066667</v>
      </c>
      <c r="BB13" s="257">
        <f>IntCaptac!H7</f>
        <v>519265.58120000007</v>
      </c>
      <c r="BC13" s="257">
        <f>IntCaptac!I7</f>
        <v>579261.4339066667</v>
      </c>
      <c r="BD13" s="257">
        <f>IntCaptac!J7</f>
        <v>601885.58120000002</v>
      </c>
      <c r="BE13" s="257">
        <f>IntCaptac!K7</f>
        <v>664635.4339066667</v>
      </c>
      <c r="BF13" s="257">
        <f>IntCaptac!L7</f>
        <v>707322.4339066667</v>
      </c>
      <c r="BG13" s="257">
        <f>IntCaptac!M7</f>
        <v>725815.58120000002</v>
      </c>
      <c r="BH13" s="257">
        <f>IntCaptac!N7</f>
        <v>792696.43390666682</v>
      </c>
      <c r="BI13" s="257">
        <f>IntCaptac!O7</f>
        <v>808435.58120000002</v>
      </c>
      <c r="BJ13" s="257">
        <f>IntCaptac!P7</f>
        <v>878070.43390666682</v>
      </c>
      <c r="BK13" s="295">
        <f>SUM($AY$13:AY13)</f>
        <v>428513.43390666659</v>
      </c>
      <c r="BL13" s="295">
        <f>SUM($AY$13:AZ13)</f>
        <v>836049.30969333323</v>
      </c>
      <c r="BM13" s="295">
        <f>SUM($AY$13:BA13)</f>
        <v>1329936.7435999999</v>
      </c>
      <c r="BN13" s="295">
        <f>SUM($AY$13:BB13)</f>
        <v>1849202.3248000001</v>
      </c>
      <c r="BO13" s="295">
        <f>SUM($AY$13:BC13)</f>
        <v>2428463.7587066665</v>
      </c>
      <c r="BP13" s="295">
        <f>SUM($AY$13:BD13)</f>
        <v>3030349.3399066664</v>
      </c>
      <c r="BQ13" s="295">
        <f>SUM($AY$13:BE13)</f>
        <v>3694984.7738133334</v>
      </c>
      <c r="BR13" s="295">
        <f>SUM($AY$13:BF13)</f>
        <v>4402307.2077200003</v>
      </c>
      <c r="BS13" s="295">
        <f>SUM($AY$13:BG13)</f>
        <v>5128122.7889200002</v>
      </c>
      <c r="BT13" s="295">
        <f>SUM($AY$13:BH13)</f>
        <v>5920819.2228266671</v>
      </c>
      <c r="BU13" s="295">
        <f>SUM($AY$13:BI13)</f>
        <v>6729254.804026667</v>
      </c>
      <c r="BV13" s="295">
        <f>SUM($AY$13:BJ13)</f>
        <v>7607325.237933334</v>
      </c>
      <c r="BW13" s="284"/>
    </row>
    <row r="14" spans="1:75" s="229" customFormat="1" outlineLevel="1" x14ac:dyDescent="0.25">
      <c r="A14" s="239">
        <v>4</v>
      </c>
      <c r="B14" s="223">
        <f>EEFFun!B482</f>
        <v>4103</v>
      </c>
      <c r="C14" s="223" t="str">
        <f>EEFFun!C482</f>
        <v>Obligaciones financieras</v>
      </c>
      <c r="D14" s="279">
        <f>EEFFun!P482</f>
        <v>51285.95</v>
      </c>
      <c r="E14" s="297">
        <f t="shared" ref="E14" si="61">E15</f>
        <v>0</v>
      </c>
      <c r="F14" s="297">
        <f t="shared" ref="F14" si="62">F15</f>
        <v>0</v>
      </c>
      <c r="G14" s="297">
        <f t="shared" ref="G14" si="63">G15</f>
        <v>0</v>
      </c>
      <c r="H14" s="297">
        <f t="shared" ref="H14:P14" si="64">H15</f>
        <v>0</v>
      </c>
      <c r="I14" s="297">
        <f t="shared" si="64"/>
        <v>14282.14</v>
      </c>
      <c r="J14" s="297">
        <f t="shared" si="64"/>
        <v>12241.830000000002</v>
      </c>
      <c r="K14" s="297">
        <f t="shared" si="64"/>
        <v>10201.529999999999</v>
      </c>
      <c r="L14" s="297">
        <f t="shared" si="64"/>
        <v>10298.75</v>
      </c>
      <c r="M14" s="297">
        <f t="shared" si="64"/>
        <v>8350.3399999999965</v>
      </c>
      <c r="N14" s="297">
        <f t="shared" si="64"/>
        <v>8628.68</v>
      </c>
      <c r="O14" s="297">
        <f t="shared" si="64"/>
        <v>278.35000000000582</v>
      </c>
      <c r="P14" s="297">
        <f t="shared" si="64"/>
        <v>-1.0000000002037268E-2</v>
      </c>
      <c r="Q14" s="279">
        <f>EEFFun!Q482</f>
        <v>0</v>
      </c>
      <c r="R14" s="279">
        <f>EEFFun!R482</f>
        <v>0</v>
      </c>
      <c r="S14" s="279">
        <f>EEFFun!S482</f>
        <v>0</v>
      </c>
      <c r="T14" s="279">
        <f>EEFFun!T482</f>
        <v>0</v>
      </c>
      <c r="U14" s="279">
        <f>EEFFun!U482</f>
        <v>14282.14</v>
      </c>
      <c r="V14" s="279">
        <f>EEFFun!V482</f>
        <v>26523.97</v>
      </c>
      <c r="W14" s="279">
        <f>EEFFun!W482</f>
        <v>36725.5</v>
      </c>
      <c r="X14" s="279">
        <f>EEFFun!X482</f>
        <v>47024.25</v>
      </c>
      <c r="Y14" s="279">
        <f>EEFFun!Y482</f>
        <v>55374.59</v>
      </c>
      <c r="Z14" s="279">
        <f>EEFFun!Z482</f>
        <v>64003.27</v>
      </c>
      <c r="AA14" s="279">
        <f>EEFFun!AA482</f>
        <v>64281.62</v>
      </c>
      <c r="AB14" s="279">
        <f>EEFFun!AB482</f>
        <v>64281.61</v>
      </c>
      <c r="AC14" s="279">
        <f>EEFFun!AC482</f>
        <v>0</v>
      </c>
      <c r="AD14" s="279">
        <f>EEFFun!AD482</f>
        <v>0</v>
      </c>
      <c r="AE14" s="279">
        <f>EEFFun!AE482</f>
        <v>0</v>
      </c>
      <c r="AF14" s="279">
        <f>EEFFun!AF482</f>
        <v>0</v>
      </c>
      <c r="AG14" s="279">
        <f>EEFFun!AG482</f>
        <v>0</v>
      </c>
      <c r="AH14" s="279">
        <f>EEFFun!AH482</f>
        <v>0</v>
      </c>
      <c r="AI14" s="279">
        <f>EEFFun!AI482</f>
        <v>0</v>
      </c>
      <c r="AJ14" s="279">
        <f>EEFFun!AJ482</f>
        <v>0</v>
      </c>
      <c r="AK14" s="279">
        <f>EEFFun!AK482</f>
        <v>0</v>
      </c>
      <c r="AL14" s="279">
        <f>EEFFun!AL482</f>
        <v>0</v>
      </c>
      <c r="AM14" s="279">
        <f>EEFFun!AM482</f>
        <v>0</v>
      </c>
      <c r="AN14" s="279">
        <f>EEFFun!AN482</f>
        <v>0</v>
      </c>
      <c r="AO14" s="279">
        <f>EEFFun!AO482</f>
        <v>0</v>
      </c>
      <c r="AP14" s="279">
        <f>EEFFun!AP482</f>
        <v>0</v>
      </c>
      <c r="AQ14" s="279">
        <f>EEFFun!AQ482</f>
        <v>0</v>
      </c>
      <c r="AR14" s="279">
        <f>EEFFun!AR482</f>
        <v>0</v>
      </c>
      <c r="AS14" s="279">
        <f>EEFFun!AS482</f>
        <v>0</v>
      </c>
      <c r="AT14" s="279">
        <f>EEFFun!AT482</f>
        <v>0</v>
      </c>
      <c r="AU14" s="279">
        <f>EEFFun!AU482</f>
        <v>0</v>
      </c>
      <c r="AV14" s="279">
        <f>EEFFun!AV482</f>
        <v>0</v>
      </c>
      <c r="AW14" s="279">
        <f>EEFFun!AW482</f>
        <v>0</v>
      </c>
      <c r="AX14" s="279">
        <f>EEFFun!AX482</f>
        <v>0</v>
      </c>
      <c r="AY14" s="297">
        <f t="shared" ref="AY14:BJ14" si="65">AY15</f>
        <v>0</v>
      </c>
      <c r="AZ14" s="297">
        <f t="shared" si="65"/>
        <v>0</v>
      </c>
      <c r="BA14" s="297">
        <f t="shared" si="65"/>
        <v>0</v>
      </c>
      <c r="BB14" s="297">
        <f t="shared" si="65"/>
        <v>0</v>
      </c>
      <c r="BC14" s="297">
        <f t="shared" si="65"/>
        <v>0</v>
      </c>
      <c r="BD14" s="297">
        <f t="shared" si="65"/>
        <v>0</v>
      </c>
      <c r="BE14" s="297">
        <f t="shared" si="65"/>
        <v>0</v>
      </c>
      <c r="BF14" s="297">
        <f t="shared" si="65"/>
        <v>0</v>
      </c>
      <c r="BG14" s="297">
        <f t="shared" si="65"/>
        <v>0</v>
      </c>
      <c r="BH14" s="297">
        <f t="shared" si="65"/>
        <v>0</v>
      </c>
      <c r="BI14" s="297">
        <f t="shared" si="65"/>
        <v>0</v>
      </c>
      <c r="BJ14" s="297">
        <f t="shared" si="65"/>
        <v>0</v>
      </c>
      <c r="BK14" s="297">
        <f t="shared" ref="BK14:BQ14" si="66">BK15</f>
        <v>0</v>
      </c>
      <c r="BL14" s="297">
        <f t="shared" si="66"/>
        <v>0</v>
      </c>
      <c r="BM14" s="297">
        <f t="shared" si="66"/>
        <v>0</v>
      </c>
      <c r="BN14" s="297">
        <f t="shared" si="66"/>
        <v>0</v>
      </c>
      <c r="BO14" s="297">
        <f t="shared" si="66"/>
        <v>0</v>
      </c>
      <c r="BP14" s="297">
        <f t="shared" si="66"/>
        <v>0</v>
      </c>
      <c r="BQ14" s="297">
        <f t="shared" si="66"/>
        <v>0</v>
      </c>
      <c r="BR14" s="297">
        <f t="shared" ref="BR14" si="67">BR15</f>
        <v>0</v>
      </c>
      <c r="BS14" s="297">
        <f t="shared" ref="BS14" si="68">BS15</f>
        <v>0</v>
      </c>
      <c r="BT14" s="297">
        <f t="shared" ref="BT14" si="69">BT15</f>
        <v>0</v>
      </c>
      <c r="BU14" s="297">
        <f t="shared" ref="BU14" si="70">BU15</f>
        <v>0</v>
      </c>
      <c r="BV14" s="297">
        <f t="shared" ref="BV14" si="71">BV15</f>
        <v>0</v>
      </c>
      <c r="BW14" s="284"/>
    </row>
    <row r="15" spans="1:75" x14ac:dyDescent="0.25">
      <c r="A15" s="222">
        <v>6</v>
      </c>
      <c r="B15" s="233">
        <f>EEFFun!B483</f>
        <v>410345</v>
      </c>
      <c r="C15" s="233" t="str">
        <f>EEFFun!C483</f>
        <v>Obligaciones con entidades del sector público</v>
      </c>
      <c r="D15" s="257">
        <f>EEFFun!P483</f>
        <v>51285.95</v>
      </c>
      <c r="E15" s="295">
        <f>Q15</f>
        <v>0</v>
      </c>
      <c r="F15" s="295">
        <f t="shared" ref="F15" si="72">R15-Q15</f>
        <v>0</v>
      </c>
      <c r="G15" s="295">
        <f t="shared" ref="G15" si="73">S15-R15</f>
        <v>0</v>
      </c>
      <c r="H15" s="295">
        <f t="shared" ref="H15" si="74">T15-S15</f>
        <v>0</v>
      </c>
      <c r="I15" s="295">
        <f t="shared" ref="I15" si="75">U15-T15</f>
        <v>14282.14</v>
      </c>
      <c r="J15" s="295">
        <f t="shared" ref="J15" si="76">V15-U15</f>
        <v>12241.830000000002</v>
      </c>
      <c r="K15" s="295">
        <f t="shared" ref="K15" si="77">W15-V15</f>
        <v>10201.529999999999</v>
      </c>
      <c r="L15" s="295">
        <f t="shared" ref="L15" si="78">X15-W15</f>
        <v>10298.75</v>
      </c>
      <c r="M15" s="295">
        <f t="shared" ref="M15" si="79">Y15-X15</f>
        <v>8350.3399999999965</v>
      </c>
      <c r="N15" s="295">
        <f t="shared" ref="N15" si="80">Z15-Y15</f>
        <v>8628.68</v>
      </c>
      <c r="O15" s="295">
        <f t="shared" ref="O15:P15" si="81">AA15-Z15</f>
        <v>278.35000000000582</v>
      </c>
      <c r="P15" s="295">
        <f t="shared" si="81"/>
        <v>-1.0000000002037268E-2</v>
      </c>
      <c r="Q15" s="257">
        <f>EEFFun!Q483</f>
        <v>0</v>
      </c>
      <c r="R15" s="257">
        <f>EEFFun!R483</f>
        <v>0</v>
      </c>
      <c r="S15" s="257">
        <f>EEFFun!S483</f>
        <v>0</v>
      </c>
      <c r="T15" s="257">
        <f>EEFFun!T483</f>
        <v>0</v>
      </c>
      <c r="U15" s="257">
        <f>EEFFun!U483</f>
        <v>14282.14</v>
      </c>
      <c r="V15" s="257">
        <f>EEFFun!V483</f>
        <v>26523.97</v>
      </c>
      <c r="W15" s="257">
        <f>EEFFun!W483</f>
        <v>36725.5</v>
      </c>
      <c r="X15" s="257">
        <f>EEFFun!X483</f>
        <v>47024.25</v>
      </c>
      <c r="Y15" s="257">
        <f>EEFFun!Y483</f>
        <v>55374.59</v>
      </c>
      <c r="Z15" s="257">
        <f>EEFFun!Z483</f>
        <v>64003.27</v>
      </c>
      <c r="AA15" s="257">
        <f>EEFFun!AA483</f>
        <v>64281.62</v>
      </c>
      <c r="AB15" s="257">
        <f>EEFFun!AB483</f>
        <v>64281.61</v>
      </c>
      <c r="AC15" s="257">
        <f>EEFFun!AC483</f>
        <v>0</v>
      </c>
      <c r="AD15" s="257">
        <f>EEFFun!AD483</f>
        <v>0</v>
      </c>
      <c r="AE15" s="257">
        <f>EEFFun!AE483</f>
        <v>0</v>
      </c>
      <c r="AF15" s="257">
        <f>EEFFun!AF483</f>
        <v>0</v>
      </c>
      <c r="AG15" s="257">
        <f>EEFFun!AG483</f>
        <v>0</v>
      </c>
      <c r="AH15" s="257">
        <f>EEFFun!AH483</f>
        <v>0</v>
      </c>
      <c r="AI15" s="257">
        <f>EEFFun!AI483</f>
        <v>0</v>
      </c>
      <c r="AJ15" s="257">
        <f>EEFFun!AJ483</f>
        <v>0</v>
      </c>
      <c r="AK15" s="257">
        <f>EEFFun!AK483</f>
        <v>0</v>
      </c>
      <c r="AL15" s="257">
        <f>EEFFun!AL483</f>
        <v>0</v>
      </c>
      <c r="AM15" s="257">
        <f>EEFFun!AM483</f>
        <v>0</v>
      </c>
      <c r="AN15" s="257">
        <f>EEFFun!AN483</f>
        <v>0</v>
      </c>
      <c r="AO15" s="257">
        <f>EEFFun!AO483</f>
        <v>0</v>
      </c>
      <c r="AP15" s="257">
        <f>EEFFun!AP483</f>
        <v>0</v>
      </c>
      <c r="AQ15" s="257">
        <f>EEFFun!AQ483</f>
        <v>0</v>
      </c>
      <c r="AR15" s="257">
        <f>EEFFun!AR483</f>
        <v>0</v>
      </c>
      <c r="AS15" s="257">
        <f>EEFFun!AS483</f>
        <v>0</v>
      </c>
      <c r="AT15" s="257">
        <f>EEFFun!AT483</f>
        <v>0</v>
      </c>
      <c r="AU15" s="257">
        <f>EEFFun!AU483</f>
        <v>0</v>
      </c>
      <c r="AV15" s="257">
        <f>EEFFun!AV483</f>
        <v>0</v>
      </c>
      <c r="AW15" s="257">
        <f>EEFFun!AW483</f>
        <v>0</v>
      </c>
      <c r="AX15" s="257">
        <f>EEFFun!AX483</f>
        <v>0</v>
      </c>
      <c r="AY15" s="257">
        <f>CaptObFin!B12</f>
        <v>0</v>
      </c>
      <c r="AZ15" s="257">
        <f>CaptObFin!C12</f>
        <v>0</v>
      </c>
      <c r="BA15" s="257">
        <f>CaptObFin!D12</f>
        <v>0</v>
      </c>
      <c r="BB15" s="257">
        <f>CaptObFin!E12</f>
        <v>0</v>
      </c>
      <c r="BC15" s="257">
        <f>CaptObFin!F12</f>
        <v>0</v>
      </c>
      <c r="BD15" s="257">
        <f>CaptObFin!G12</f>
        <v>0</v>
      </c>
      <c r="BE15" s="257">
        <f>CaptObFin!H12</f>
        <v>0</v>
      </c>
      <c r="BF15" s="257">
        <f>CaptObFin!I12</f>
        <v>0</v>
      </c>
      <c r="BG15" s="257">
        <f>CaptObFin!J12</f>
        <v>0</v>
      </c>
      <c r="BH15" s="257">
        <f>CaptObFin!K12</f>
        <v>0</v>
      </c>
      <c r="BI15" s="257">
        <f>CaptObFin!L12</f>
        <v>0</v>
      </c>
      <c r="BJ15" s="257">
        <f>CaptObFin!M12</f>
        <v>0</v>
      </c>
      <c r="BK15" s="295">
        <f>SUM($AY$15:AY15)</f>
        <v>0</v>
      </c>
      <c r="BL15" s="295">
        <f>SUM($AY$15:AZ15)</f>
        <v>0</v>
      </c>
      <c r="BM15" s="295">
        <f>SUM($AY$15:BA15)</f>
        <v>0</v>
      </c>
      <c r="BN15" s="295">
        <f>SUM($AY$15:BB15)</f>
        <v>0</v>
      </c>
      <c r="BO15" s="295">
        <f>SUM($AY$15:BC15)</f>
        <v>0</v>
      </c>
      <c r="BP15" s="295">
        <f>SUM($AY$15:BD15)</f>
        <v>0</v>
      </c>
      <c r="BQ15" s="295">
        <f>SUM($AY$15:BE15)</f>
        <v>0</v>
      </c>
      <c r="BR15" s="295">
        <f>SUM($AY$15:BF15)</f>
        <v>0</v>
      </c>
      <c r="BS15" s="295">
        <f>SUM($AY$15:BG15)</f>
        <v>0</v>
      </c>
      <c r="BT15" s="295">
        <f>SUM($AY$15:BH15)</f>
        <v>0</v>
      </c>
      <c r="BU15" s="295">
        <f>SUM($AY$15:BI15)</f>
        <v>0</v>
      </c>
      <c r="BV15" s="295">
        <f>SUM($AY$15:BJ15)</f>
        <v>0</v>
      </c>
      <c r="BW15" s="291"/>
    </row>
    <row r="16" spans="1:75" s="229" customFormat="1" x14ac:dyDescent="0.25">
      <c r="A16" s="222">
        <v>2</v>
      </c>
      <c r="B16" s="223">
        <f>EEFFun!B484</f>
        <v>42</v>
      </c>
      <c r="C16" s="223" t="str">
        <f>EEFFun!C484</f>
        <v>COMISIONES CAUSADAS</v>
      </c>
      <c r="D16" s="279">
        <f>EEFFun!P484</f>
        <v>20956.38</v>
      </c>
      <c r="E16" s="297">
        <f t="shared" ref="E16:P16" si="82">E17</f>
        <v>815.25</v>
      </c>
      <c r="F16" s="297">
        <f t="shared" si="82"/>
        <v>765.53</v>
      </c>
      <c r="G16" s="297">
        <f t="shared" si="82"/>
        <v>1150.1499999999999</v>
      </c>
      <c r="H16" s="297">
        <f t="shared" si="82"/>
        <v>804.88000000000011</v>
      </c>
      <c r="I16" s="297">
        <f t="shared" si="82"/>
        <v>-1465.12</v>
      </c>
      <c r="J16" s="297">
        <f t="shared" si="82"/>
        <v>2856.39</v>
      </c>
      <c r="K16" s="297">
        <f t="shared" si="82"/>
        <v>974.96</v>
      </c>
      <c r="L16" s="297">
        <f t="shared" si="82"/>
        <v>958.90999999999985</v>
      </c>
      <c r="M16" s="297">
        <f t="shared" si="82"/>
        <v>455.98999999999978</v>
      </c>
      <c r="N16" s="297">
        <f t="shared" si="82"/>
        <v>764.25</v>
      </c>
      <c r="O16" s="297">
        <f t="shared" si="82"/>
        <v>1546.6899999999996</v>
      </c>
      <c r="P16" s="297">
        <f t="shared" si="82"/>
        <v>1865.4400000000005</v>
      </c>
      <c r="Q16" s="279">
        <f>EEFFun!Q484</f>
        <v>815.25</v>
      </c>
      <c r="R16" s="279">
        <f>EEFFun!R484</f>
        <v>1580.78</v>
      </c>
      <c r="S16" s="279">
        <f>EEFFun!S484</f>
        <v>2730.93</v>
      </c>
      <c r="T16" s="279">
        <f>EEFFun!T484</f>
        <v>3535.81</v>
      </c>
      <c r="U16" s="279">
        <f>EEFFun!U484</f>
        <v>2070.69</v>
      </c>
      <c r="V16" s="279">
        <f>EEFFun!V484</f>
        <v>4927.08</v>
      </c>
      <c r="W16" s="279">
        <f>EEFFun!W484</f>
        <v>5902.04</v>
      </c>
      <c r="X16" s="279">
        <f>EEFFun!X484</f>
        <v>6860.95</v>
      </c>
      <c r="Y16" s="279">
        <f>EEFFun!Y484</f>
        <v>7316.94</v>
      </c>
      <c r="Z16" s="279">
        <f>EEFFun!Z484</f>
        <v>8081.19</v>
      </c>
      <c r="AA16" s="279">
        <f>EEFFun!AA484</f>
        <v>9627.8799999999992</v>
      </c>
      <c r="AB16" s="279">
        <f>EEFFun!AB484</f>
        <v>11493.32</v>
      </c>
      <c r="AC16" s="279">
        <f>EEFFun!AC484</f>
        <v>1008.63</v>
      </c>
      <c r="AD16" s="279">
        <f>EEFFun!AD484</f>
        <v>1939.3</v>
      </c>
      <c r="AE16" s="279">
        <f>EEFFun!AE484</f>
        <v>2856.18</v>
      </c>
      <c r="AF16" s="279">
        <f>EEFFun!AF484</f>
        <v>3829.43</v>
      </c>
      <c r="AG16" s="279">
        <f>EEFFun!AG484</f>
        <v>4616.5200000000004</v>
      </c>
      <c r="AH16" s="279">
        <f>EEFFun!AH484</f>
        <v>5579.37</v>
      </c>
      <c r="AI16" s="279">
        <f>EEFFun!AI484</f>
        <v>6517.4</v>
      </c>
      <c r="AJ16" s="279">
        <f>EEFFun!AJ484</f>
        <v>9669.89</v>
      </c>
      <c r="AK16" s="279">
        <f>EEFFun!AK484</f>
        <v>10710.59</v>
      </c>
      <c r="AL16" s="279">
        <f>EEFFun!AL484</f>
        <v>11819.13</v>
      </c>
      <c r="AM16" s="279">
        <f>EEFFun!AM484</f>
        <v>12769.95</v>
      </c>
      <c r="AN16" s="279">
        <f>EEFFun!AN484</f>
        <v>13841.84</v>
      </c>
      <c r="AO16" s="279">
        <f>EEFFun!AO484</f>
        <v>560.80999999999995</v>
      </c>
      <c r="AP16" s="279">
        <f>EEFFun!AP484</f>
        <v>1595.75</v>
      </c>
      <c r="AQ16" s="279">
        <f>EEFFun!AQ484</f>
        <v>2664.56</v>
      </c>
      <c r="AR16" s="279">
        <f>EEFFun!AR484</f>
        <v>4241.42</v>
      </c>
      <c r="AS16" s="279">
        <f>EEFFun!AS484</f>
        <v>5456.88</v>
      </c>
      <c r="AT16" s="279">
        <f>EEFFun!AT484</f>
        <v>9110.3700000000008</v>
      </c>
      <c r="AU16" s="279">
        <f>EEFFun!AU484</f>
        <v>10809.78</v>
      </c>
      <c r="AV16" s="279">
        <f>EEFFun!AV484</f>
        <v>15418.81</v>
      </c>
      <c r="AW16" s="279">
        <f>EEFFun!AW484</f>
        <v>20966.89</v>
      </c>
      <c r="AX16" s="279">
        <f>EEFFun!AX484</f>
        <v>39574.44</v>
      </c>
      <c r="AY16" s="297">
        <f t="shared" ref="AY16:BJ16" si="83">AY17</f>
        <v>3957.4440000000004</v>
      </c>
      <c r="AZ16" s="297">
        <f t="shared" si="83"/>
        <v>3957.4440000000004</v>
      </c>
      <c r="BA16" s="297">
        <f t="shared" si="83"/>
        <v>3957.4440000000004</v>
      </c>
      <c r="BB16" s="297">
        <f t="shared" si="83"/>
        <v>3957.4440000000004</v>
      </c>
      <c r="BC16" s="297">
        <f t="shared" si="83"/>
        <v>3957.4440000000004</v>
      </c>
      <c r="BD16" s="297">
        <f t="shared" si="83"/>
        <v>3957.4440000000004</v>
      </c>
      <c r="BE16" s="297">
        <f t="shared" si="83"/>
        <v>3957.4440000000004</v>
      </c>
      <c r="BF16" s="297">
        <f t="shared" si="83"/>
        <v>3957.4440000000004</v>
      </c>
      <c r="BG16" s="297">
        <f t="shared" si="83"/>
        <v>3957.4440000000004</v>
      </c>
      <c r="BH16" s="297">
        <f t="shared" si="83"/>
        <v>3957.4440000000004</v>
      </c>
      <c r="BI16" s="297">
        <f t="shared" si="83"/>
        <v>3957.4440000000004</v>
      </c>
      <c r="BJ16" s="297">
        <f t="shared" si="83"/>
        <v>3957.4440000000004</v>
      </c>
      <c r="BK16" s="297">
        <f t="shared" ref="BK16:BV16" si="84">BK17</f>
        <v>3957.4440000000004</v>
      </c>
      <c r="BL16" s="297">
        <f t="shared" si="84"/>
        <v>7914.8880000000008</v>
      </c>
      <c r="BM16" s="297">
        <f t="shared" si="84"/>
        <v>11872.332000000002</v>
      </c>
      <c r="BN16" s="297">
        <f t="shared" si="84"/>
        <v>15829.776000000002</v>
      </c>
      <c r="BO16" s="297">
        <f t="shared" si="84"/>
        <v>19787.22</v>
      </c>
      <c r="BP16" s="297">
        <f t="shared" si="84"/>
        <v>23744.664000000001</v>
      </c>
      <c r="BQ16" s="297">
        <f t="shared" si="84"/>
        <v>27702.108</v>
      </c>
      <c r="BR16" s="297">
        <f t="shared" si="84"/>
        <v>31659.552</v>
      </c>
      <c r="BS16" s="297">
        <f t="shared" si="84"/>
        <v>35616.995999999999</v>
      </c>
      <c r="BT16" s="297">
        <f t="shared" si="84"/>
        <v>39574.44</v>
      </c>
      <c r="BU16" s="297">
        <f t="shared" si="84"/>
        <v>43531.884000000005</v>
      </c>
      <c r="BV16" s="297">
        <f t="shared" si="84"/>
        <v>47489.328000000009</v>
      </c>
      <c r="BW16" s="373"/>
    </row>
    <row r="17" spans="1:75" s="229" customFormat="1" outlineLevel="1" x14ac:dyDescent="0.25">
      <c r="A17" s="222">
        <v>4</v>
      </c>
      <c r="B17" s="223">
        <f>EEFFun!B485</f>
        <v>4290</v>
      </c>
      <c r="C17" s="223" t="str">
        <f>EEFFun!C485</f>
        <v>Varias</v>
      </c>
      <c r="D17" s="279">
        <f>EEFFun!P485</f>
        <v>20956.38</v>
      </c>
      <c r="E17" s="295">
        <f>Q17</f>
        <v>815.25</v>
      </c>
      <c r="F17" s="295">
        <f t="shared" ref="F17" si="85">R17-Q17</f>
        <v>765.53</v>
      </c>
      <c r="G17" s="295">
        <f t="shared" ref="G17" si="86">S17-R17</f>
        <v>1150.1499999999999</v>
      </c>
      <c r="H17" s="295">
        <f t="shared" ref="H17" si="87">T17-S17</f>
        <v>804.88000000000011</v>
      </c>
      <c r="I17" s="295">
        <f t="shared" ref="I17" si="88">U17-T17</f>
        <v>-1465.12</v>
      </c>
      <c r="J17" s="295">
        <f t="shared" ref="J17" si="89">V17-U17</f>
        <v>2856.39</v>
      </c>
      <c r="K17" s="295">
        <f t="shared" ref="K17" si="90">W17-V17</f>
        <v>974.96</v>
      </c>
      <c r="L17" s="295">
        <f t="shared" ref="L17" si="91">X17-W17</f>
        <v>958.90999999999985</v>
      </c>
      <c r="M17" s="295">
        <f t="shared" ref="M17" si="92">Y17-X17</f>
        <v>455.98999999999978</v>
      </c>
      <c r="N17" s="295">
        <f t="shared" ref="N17" si="93">Z17-Y17</f>
        <v>764.25</v>
      </c>
      <c r="O17" s="295">
        <f t="shared" ref="O17:P17" si="94">AA17-Z17</f>
        <v>1546.6899999999996</v>
      </c>
      <c r="P17" s="295">
        <f t="shared" si="94"/>
        <v>1865.4400000000005</v>
      </c>
      <c r="Q17" s="279">
        <f>EEFFun!Q485</f>
        <v>815.25</v>
      </c>
      <c r="R17" s="279">
        <f>EEFFun!R485</f>
        <v>1580.78</v>
      </c>
      <c r="S17" s="279">
        <f>EEFFun!S485</f>
        <v>2730.93</v>
      </c>
      <c r="T17" s="279">
        <f>EEFFun!T485</f>
        <v>3535.81</v>
      </c>
      <c r="U17" s="279">
        <f>EEFFun!U485</f>
        <v>2070.69</v>
      </c>
      <c r="V17" s="279">
        <f>EEFFun!V485</f>
        <v>4927.08</v>
      </c>
      <c r="W17" s="279">
        <f>EEFFun!W485</f>
        <v>5902.04</v>
      </c>
      <c r="X17" s="279">
        <f>EEFFun!X485</f>
        <v>6860.95</v>
      </c>
      <c r="Y17" s="279">
        <f>EEFFun!Y485</f>
        <v>7316.94</v>
      </c>
      <c r="Z17" s="279">
        <f>EEFFun!Z485</f>
        <v>8081.19</v>
      </c>
      <c r="AA17" s="279">
        <f>EEFFun!AA485</f>
        <v>9627.8799999999992</v>
      </c>
      <c r="AB17" s="279">
        <f>EEFFun!AB485</f>
        <v>11493.32</v>
      </c>
      <c r="AC17" s="279">
        <f>EEFFun!AC485</f>
        <v>1008.63</v>
      </c>
      <c r="AD17" s="279">
        <f>EEFFun!AD485</f>
        <v>1939.3</v>
      </c>
      <c r="AE17" s="279">
        <f>EEFFun!AE485</f>
        <v>2856.18</v>
      </c>
      <c r="AF17" s="279">
        <f>EEFFun!AF485</f>
        <v>3829.43</v>
      </c>
      <c r="AG17" s="279">
        <f>EEFFun!AG485</f>
        <v>4616.5200000000004</v>
      </c>
      <c r="AH17" s="279">
        <f>EEFFun!AH485</f>
        <v>5579.37</v>
      </c>
      <c r="AI17" s="279">
        <f>EEFFun!AI485</f>
        <v>6517.4</v>
      </c>
      <c r="AJ17" s="279">
        <f>EEFFun!AJ485</f>
        <v>9669.89</v>
      </c>
      <c r="AK17" s="279">
        <f>EEFFun!AK485</f>
        <v>10710.59</v>
      </c>
      <c r="AL17" s="279">
        <f>EEFFun!AL485</f>
        <v>11819.13</v>
      </c>
      <c r="AM17" s="279">
        <f>EEFFun!AM485</f>
        <v>12769.95</v>
      </c>
      <c r="AN17" s="279">
        <f>EEFFun!AN485</f>
        <v>13841.84</v>
      </c>
      <c r="AO17" s="279">
        <f>EEFFun!AO485</f>
        <v>560.80999999999995</v>
      </c>
      <c r="AP17" s="279">
        <f>EEFFun!AP485</f>
        <v>1595.75</v>
      </c>
      <c r="AQ17" s="279">
        <f>EEFFun!AQ485</f>
        <v>2664.56</v>
      </c>
      <c r="AR17" s="279">
        <f>EEFFun!AR485</f>
        <v>4241.42</v>
      </c>
      <c r="AS17" s="279">
        <f>EEFFun!AS485</f>
        <v>5456.88</v>
      </c>
      <c r="AT17" s="279">
        <f>EEFFun!AT485</f>
        <v>9110.3700000000008</v>
      </c>
      <c r="AU17" s="279">
        <f>EEFFun!AU485</f>
        <v>10809.78</v>
      </c>
      <c r="AV17" s="279">
        <f>EEFFun!AV485</f>
        <v>15418.81</v>
      </c>
      <c r="AW17" s="279">
        <f>EEFFun!AW485</f>
        <v>20966.89</v>
      </c>
      <c r="AX17" s="279">
        <f>EEFFun!AX485</f>
        <v>39574.44</v>
      </c>
      <c r="AY17" s="295">
        <f>+AX17/10</f>
        <v>3957.4440000000004</v>
      </c>
      <c r="AZ17" s="295">
        <f t="shared" ref="AZ17:BH17" si="95">AY17</f>
        <v>3957.4440000000004</v>
      </c>
      <c r="BA17" s="295">
        <f t="shared" si="95"/>
        <v>3957.4440000000004</v>
      </c>
      <c r="BB17" s="295">
        <f t="shared" si="95"/>
        <v>3957.4440000000004</v>
      </c>
      <c r="BC17" s="295">
        <f t="shared" si="95"/>
        <v>3957.4440000000004</v>
      </c>
      <c r="BD17" s="295">
        <f t="shared" si="95"/>
        <v>3957.4440000000004</v>
      </c>
      <c r="BE17" s="295">
        <f t="shared" si="95"/>
        <v>3957.4440000000004</v>
      </c>
      <c r="BF17" s="295">
        <f t="shared" si="95"/>
        <v>3957.4440000000004</v>
      </c>
      <c r="BG17" s="295">
        <f t="shared" si="95"/>
        <v>3957.4440000000004</v>
      </c>
      <c r="BH17" s="295">
        <f t="shared" si="95"/>
        <v>3957.4440000000004</v>
      </c>
      <c r="BI17" s="295">
        <f t="shared" ref="BI17:BJ17" si="96">BH17</f>
        <v>3957.4440000000004</v>
      </c>
      <c r="BJ17" s="295">
        <f t="shared" si="96"/>
        <v>3957.4440000000004</v>
      </c>
      <c r="BK17" s="295">
        <f>SUM($AY$17:AY17)</f>
        <v>3957.4440000000004</v>
      </c>
      <c r="BL17" s="295">
        <f>SUM($AY$17:AZ17)</f>
        <v>7914.8880000000008</v>
      </c>
      <c r="BM17" s="295">
        <f>SUM($AY$17:BA17)</f>
        <v>11872.332000000002</v>
      </c>
      <c r="BN17" s="295">
        <f>SUM($AY$17:BB17)</f>
        <v>15829.776000000002</v>
      </c>
      <c r="BO17" s="295">
        <f>SUM($AY$17:BC17)</f>
        <v>19787.22</v>
      </c>
      <c r="BP17" s="295">
        <f>SUM($AY$17:BD17)</f>
        <v>23744.664000000001</v>
      </c>
      <c r="BQ17" s="295">
        <f>SUM($AY$17:BE17)</f>
        <v>27702.108</v>
      </c>
      <c r="BR17" s="295">
        <f>SUM($AY$17:BF17)</f>
        <v>31659.552</v>
      </c>
      <c r="BS17" s="295">
        <f>SUM($AY$17:BG17)</f>
        <v>35616.995999999999</v>
      </c>
      <c r="BT17" s="295">
        <f>SUM($AY$17:BH17)</f>
        <v>39574.44</v>
      </c>
      <c r="BU17" s="295">
        <f>SUM($AY$17:BI17)</f>
        <v>43531.884000000005</v>
      </c>
      <c r="BV17" s="295">
        <f>SUM($AY$17:BJ17)</f>
        <v>47489.328000000009</v>
      </c>
      <c r="BW17" s="284"/>
    </row>
    <row r="18" spans="1:75" s="229" customFormat="1" x14ac:dyDescent="0.25">
      <c r="A18" s="222">
        <v>2</v>
      </c>
      <c r="B18" s="223">
        <f>EEFFun!B486</f>
        <v>43</v>
      </c>
      <c r="C18" s="223" t="str">
        <f>EEFFun!C486</f>
        <v>PERDIDAS FINANCIERAS</v>
      </c>
      <c r="D18" s="279">
        <f>EEFFun!P486</f>
        <v>48476.4</v>
      </c>
      <c r="E18" s="297">
        <f t="shared" ref="E18" si="97">E19</f>
        <v>4714.21</v>
      </c>
      <c r="F18" s="297">
        <f t="shared" ref="F18" si="98">F19</f>
        <v>3126.3500000000004</v>
      </c>
      <c r="G18" s="297">
        <f t="shared" ref="G18" si="99">G19</f>
        <v>3398.579999999999</v>
      </c>
      <c r="H18" s="297">
        <f t="shared" ref="H18:P18" si="100">H19</f>
        <v>3675.74</v>
      </c>
      <c r="I18" s="297">
        <f t="shared" si="100"/>
        <v>3504.1499999999996</v>
      </c>
      <c r="J18" s="297">
        <f t="shared" si="100"/>
        <v>3970.1800000000003</v>
      </c>
      <c r="K18" s="297">
        <f t="shared" si="100"/>
        <v>3468.8199999999997</v>
      </c>
      <c r="L18" s="297">
        <f t="shared" si="100"/>
        <v>3512.2700000000004</v>
      </c>
      <c r="M18" s="297">
        <f t="shared" si="100"/>
        <v>3300.880000000001</v>
      </c>
      <c r="N18" s="297">
        <f t="shared" si="100"/>
        <v>3312.5999999999985</v>
      </c>
      <c r="O18" s="297">
        <f t="shared" si="100"/>
        <v>3267.2300000000032</v>
      </c>
      <c r="P18" s="297">
        <f t="shared" si="100"/>
        <v>5143.75</v>
      </c>
      <c r="Q18" s="279">
        <f>EEFFun!Q486</f>
        <v>4714.21</v>
      </c>
      <c r="R18" s="279">
        <f>EEFFun!R486</f>
        <v>7840.56</v>
      </c>
      <c r="S18" s="279">
        <f>EEFFun!S486</f>
        <v>11239.14</v>
      </c>
      <c r="T18" s="279">
        <f>EEFFun!T486</f>
        <v>14914.88</v>
      </c>
      <c r="U18" s="279">
        <f>EEFFun!U486</f>
        <v>18419.03</v>
      </c>
      <c r="V18" s="279">
        <f>EEFFun!V486</f>
        <v>22389.21</v>
      </c>
      <c r="W18" s="279">
        <f>EEFFun!W486</f>
        <v>25858.03</v>
      </c>
      <c r="X18" s="279">
        <f>EEFFun!X486</f>
        <v>29370.3</v>
      </c>
      <c r="Y18" s="279">
        <f>EEFFun!Y486</f>
        <v>32671.18</v>
      </c>
      <c r="Z18" s="279">
        <f>EEFFun!Z486</f>
        <v>35983.78</v>
      </c>
      <c r="AA18" s="279">
        <f>EEFFun!AA486</f>
        <v>39251.01</v>
      </c>
      <c r="AB18" s="279">
        <f>EEFFun!AB486</f>
        <v>44394.76</v>
      </c>
      <c r="AC18" s="279">
        <f>EEFFun!AC486</f>
        <v>661.89</v>
      </c>
      <c r="AD18" s="279">
        <f>EEFFun!AD486</f>
        <v>1420.33</v>
      </c>
      <c r="AE18" s="279">
        <f>EEFFun!AE486</f>
        <v>2065.1799999999998</v>
      </c>
      <c r="AF18" s="279">
        <f>EEFFun!AF486</f>
        <v>2708.35</v>
      </c>
      <c r="AG18" s="279">
        <f>EEFFun!AG486</f>
        <v>3353.04</v>
      </c>
      <c r="AH18" s="279">
        <f>EEFFun!AH486</f>
        <v>3981.63</v>
      </c>
      <c r="AI18" s="279">
        <f>EEFFun!AI486</f>
        <v>4582.18</v>
      </c>
      <c r="AJ18" s="279">
        <f>EEFFun!AJ486</f>
        <v>5226.7700000000004</v>
      </c>
      <c r="AK18" s="279">
        <f>EEFFun!AK486</f>
        <v>8486.4599999999991</v>
      </c>
      <c r="AL18" s="279">
        <f>EEFFun!AL486</f>
        <v>8917.64</v>
      </c>
      <c r="AM18" s="279">
        <f>EEFFun!AM486</f>
        <v>9184.4</v>
      </c>
      <c r="AN18" s="279">
        <f>EEFFun!AN486</f>
        <v>51273.23</v>
      </c>
      <c r="AO18" s="279">
        <f>EEFFun!AO486</f>
        <v>48186.99</v>
      </c>
      <c r="AP18" s="279">
        <f>EEFFun!AP486</f>
        <v>98146.44</v>
      </c>
      <c r="AQ18" s="279">
        <f>EEFFun!AQ486</f>
        <v>147990.64000000001</v>
      </c>
      <c r="AR18" s="279">
        <f>EEFFun!AR486</f>
        <v>234483.34</v>
      </c>
      <c r="AS18" s="279">
        <f>EEFFun!AS486</f>
        <v>274426.38</v>
      </c>
      <c r="AT18" s="279">
        <f>EEFFun!AT486</f>
        <v>323616.42</v>
      </c>
      <c r="AU18" s="279">
        <f>EEFFun!AU486</f>
        <v>366773.85</v>
      </c>
      <c r="AV18" s="279">
        <f>EEFFun!AV486</f>
        <v>414261.85</v>
      </c>
      <c r="AW18" s="279">
        <f>EEFFun!AW486</f>
        <v>457433.81</v>
      </c>
      <c r="AX18" s="279">
        <f>EEFFun!AX486</f>
        <v>583451</v>
      </c>
      <c r="AY18" s="297">
        <f t="shared" ref="AY18:BJ18" si="101">AY19</f>
        <v>67.325000000000003</v>
      </c>
      <c r="AZ18" s="297">
        <f t="shared" si="101"/>
        <v>67.325000000000003</v>
      </c>
      <c r="BA18" s="297">
        <f t="shared" si="101"/>
        <v>67.325000000000003</v>
      </c>
      <c r="BB18" s="297">
        <f t="shared" si="101"/>
        <v>67.325000000000003</v>
      </c>
      <c r="BC18" s="297">
        <f t="shared" si="101"/>
        <v>67.325000000000003</v>
      </c>
      <c r="BD18" s="297">
        <f t="shared" si="101"/>
        <v>67.325000000000003</v>
      </c>
      <c r="BE18" s="297">
        <f t="shared" si="101"/>
        <v>67.325000000000003</v>
      </c>
      <c r="BF18" s="297">
        <f t="shared" si="101"/>
        <v>67.325000000000003</v>
      </c>
      <c r="BG18" s="297">
        <f t="shared" si="101"/>
        <v>67.325000000000003</v>
      </c>
      <c r="BH18" s="297">
        <f t="shared" si="101"/>
        <v>67.325000000000003</v>
      </c>
      <c r="BI18" s="297">
        <f t="shared" si="101"/>
        <v>67.325000000000003</v>
      </c>
      <c r="BJ18" s="297">
        <f t="shared" si="101"/>
        <v>67.325000000000003</v>
      </c>
      <c r="BK18" s="297">
        <f t="shared" ref="BK18:BQ18" si="102">BK19</f>
        <v>67.325000000000003</v>
      </c>
      <c r="BL18" s="297">
        <f t="shared" si="102"/>
        <v>134.65</v>
      </c>
      <c r="BM18" s="297">
        <f t="shared" si="102"/>
        <v>201.97500000000002</v>
      </c>
      <c r="BN18" s="297">
        <f t="shared" si="102"/>
        <v>269.3</v>
      </c>
      <c r="BO18" s="297">
        <f t="shared" si="102"/>
        <v>336.625</v>
      </c>
      <c r="BP18" s="297">
        <f t="shared" si="102"/>
        <v>403.95</v>
      </c>
      <c r="BQ18" s="297">
        <f t="shared" si="102"/>
        <v>471.27499999999998</v>
      </c>
      <c r="BR18" s="297">
        <f t="shared" ref="BR18" si="103">BR19</f>
        <v>538.6</v>
      </c>
      <c r="BS18" s="297">
        <f t="shared" ref="BS18" si="104">BS19</f>
        <v>605.92500000000007</v>
      </c>
      <c r="BT18" s="297">
        <f t="shared" ref="BT18" si="105">BT19</f>
        <v>673.25000000000011</v>
      </c>
      <c r="BU18" s="297">
        <f t="shared" ref="BU18" si="106">BU19</f>
        <v>740.57500000000016</v>
      </c>
      <c r="BV18" s="297">
        <f t="shared" ref="BV18" si="107">BV19</f>
        <v>807.9000000000002</v>
      </c>
      <c r="BW18" s="373"/>
    </row>
    <row r="19" spans="1:75" s="229" customFormat="1" outlineLevel="1" x14ac:dyDescent="0.25">
      <c r="A19" s="222">
        <v>4</v>
      </c>
      <c r="B19" s="223">
        <f>EEFFun!B489</f>
        <v>4306</v>
      </c>
      <c r="C19" s="223" t="str">
        <f>EEFFun!C489</f>
        <v>Prima en compra de cartera</v>
      </c>
      <c r="D19" s="279">
        <f>EEFFun!P489</f>
        <v>48476.4</v>
      </c>
      <c r="E19" s="295">
        <f>Q19</f>
        <v>4714.21</v>
      </c>
      <c r="F19" s="295">
        <f t="shared" ref="F19" si="108">R19-Q19</f>
        <v>3126.3500000000004</v>
      </c>
      <c r="G19" s="295">
        <f t="shared" ref="G19" si="109">S19-R19</f>
        <v>3398.579999999999</v>
      </c>
      <c r="H19" s="295">
        <f t="shared" ref="H19" si="110">T19-S19</f>
        <v>3675.74</v>
      </c>
      <c r="I19" s="295">
        <f t="shared" ref="I19" si="111">U19-T19</f>
        <v>3504.1499999999996</v>
      </c>
      <c r="J19" s="295">
        <f t="shared" ref="J19" si="112">V19-U19</f>
        <v>3970.1800000000003</v>
      </c>
      <c r="K19" s="295">
        <f t="shared" ref="K19" si="113">W19-V19</f>
        <v>3468.8199999999997</v>
      </c>
      <c r="L19" s="295">
        <f t="shared" ref="L19" si="114">X19-W19</f>
        <v>3512.2700000000004</v>
      </c>
      <c r="M19" s="295">
        <f>Y19-X19</f>
        <v>3300.880000000001</v>
      </c>
      <c r="N19" s="295">
        <f t="shared" ref="N19" si="115">Z19-Y19</f>
        <v>3312.5999999999985</v>
      </c>
      <c r="O19" s="295">
        <f t="shared" ref="O19:P19" si="116">AA19-Z19</f>
        <v>3267.2300000000032</v>
      </c>
      <c r="P19" s="295">
        <f t="shared" si="116"/>
        <v>5143.75</v>
      </c>
      <c r="Q19" s="279">
        <f>EEFFun!Q489</f>
        <v>4714.21</v>
      </c>
      <c r="R19" s="279">
        <f>EEFFun!R489</f>
        <v>7840.56</v>
      </c>
      <c r="S19" s="279">
        <f>EEFFun!S489</f>
        <v>11239.14</v>
      </c>
      <c r="T19" s="279">
        <f>EEFFun!T489</f>
        <v>14914.88</v>
      </c>
      <c r="U19" s="279">
        <f>EEFFun!U489</f>
        <v>18419.03</v>
      </c>
      <c r="V19" s="279">
        <f>EEFFun!V489</f>
        <v>22389.21</v>
      </c>
      <c r="W19" s="279">
        <f>EEFFun!W489</f>
        <v>25858.03</v>
      </c>
      <c r="X19" s="279">
        <f>EEFFun!X489</f>
        <v>29370.3</v>
      </c>
      <c r="Y19" s="279">
        <f>EEFFun!Y489</f>
        <v>32671.18</v>
      </c>
      <c r="Z19" s="279">
        <f>EEFFun!Z489</f>
        <v>35983.78</v>
      </c>
      <c r="AA19" s="279">
        <f>EEFFun!AA489</f>
        <v>39251.01</v>
      </c>
      <c r="AB19" s="279">
        <f>EEFFun!AB489</f>
        <v>44394.76</v>
      </c>
      <c r="AC19" s="279">
        <f>EEFFun!AC489</f>
        <v>661.89</v>
      </c>
      <c r="AD19" s="279">
        <f>EEFFun!AD489</f>
        <v>1420.33</v>
      </c>
      <c r="AE19" s="279">
        <f>EEFFun!AE489</f>
        <v>2065.1799999999998</v>
      </c>
      <c r="AF19" s="279">
        <f>EEFFun!AF489</f>
        <v>2708.35</v>
      </c>
      <c r="AG19" s="279">
        <f>EEFFun!AG489</f>
        <v>3353.04</v>
      </c>
      <c r="AH19" s="279">
        <f>EEFFun!AH489</f>
        <v>3981.63</v>
      </c>
      <c r="AI19" s="279">
        <f>EEFFun!AI489</f>
        <v>4582.18</v>
      </c>
      <c r="AJ19" s="279">
        <f>EEFFun!AJ489</f>
        <v>5226.7700000000004</v>
      </c>
      <c r="AK19" s="279">
        <f>EEFFun!AK489</f>
        <v>5716.44</v>
      </c>
      <c r="AL19" s="279">
        <f>EEFFun!AL489</f>
        <v>6147.62</v>
      </c>
      <c r="AM19" s="279">
        <f>EEFFun!AM489</f>
        <v>6414.38</v>
      </c>
      <c r="AN19" s="279">
        <f>EEFFun!AN489</f>
        <v>6603.27</v>
      </c>
      <c r="AO19" s="279">
        <f>EEFFun!AO489</f>
        <v>143.68</v>
      </c>
      <c r="AP19" s="279">
        <f>EEFFun!AP489</f>
        <v>245.39</v>
      </c>
      <c r="AQ19" s="279">
        <f>EEFFun!AQ489</f>
        <v>338.1</v>
      </c>
      <c r="AR19" s="279">
        <f>EEFFun!AR489</f>
        <v>423.93</v>
      </c>
      <c r="AS19" s="279">
        <f>EEFFun!AS489</f>
        <v>510.37</v>
      </c>
      <c r="AT19" s="279">
        <f>EEFFun!AT489</f>
        <v>587.57000000000005</v>
      </c>
      <c r="AU19" s="279">
        <f>EEFFun!AU489</f>
        <v>618.03</v>
      </c>
      <c r="AV19" s="279">
        <f>EEFFun!AV489</f>
        <v>641.51</v>
      </c>
      <c r="AW19" s="279">
        <f>EEFFun!AW489</f>
        <v>664.79</v>
      </c>
      <c r="AX19" s="279">
        <f>EEFFun!AX489</f>
        <v>673.25</v>
      </c>
      <c r="AY19" s="295">
        <f>+AX19/10</f>
        <v>67.325000000000003</v>
      </c>
      <c r="AZ19" s="295">
        <f t="shared" ref="AZ19:BH19" si="117">AY19</f>
        <v>67.325000000000003</v>
      </c>
      <c r="BA19" s="295">
        <f t="shared" si="117"/>
        <v>67.325000000000003</v>
      </c>
      <c r="BB19" s="295">
        <f t="shared" si="117"/>
        <v>67.325000000000003</v>
      </c>
      <c r="BC19" s="295">
        <f t="shared" si="117"/>
        <v>67.325000000000003</v>
      </c>
      <c r="BD19" s="295">
        <f t="shared" si="117"/>
        <v>67.325000000000003</v>
      </c>
      <c r="BE19" s="295">
        <f t="shared" si="117"/>
        <v>67.325000000000003</v>
      </c>
      <c r="BF19" s="295">
        <f t="shared" si="117"/>
        <v>67.325000000000003</v>
      </c>
      <c r="BG19" s="295">
        <f t="shared" si="117"/>
        <v>67.325000000000003</v>
      </c>
      <c r="BH19" s="295">
        <f t="shared" si="117"/>
        <v>67.325000000000003</v>
      </c>
      <c r="BI19" s="295">
        <f t="shared" ref="BI19:BJ19" si="118">BH19</f>
        <v>67.325000000000003</v>
      </c>
      <c r="BJ19" s="295">
        <f t="shared" si="118"/>
        <v>67.325000000000003</v>
      </c>
      <c r="BK19" s="295">
        <f>SUM($AY$19:AY19)</f>
        <v>67.325000000000003</v>
      </c>
      <c r="BL19" s="295">
        <f>SUM($AY$19:AZ19)</f>
        <v>134.65</v>
      </c>
      <c r="BM19" s="295">
        <f>SUM($AY$19:BA19)</f>
        <v>201.97500000000002</v>
      </c>
      <c r="BN19" s="295">
        <f>SUM($AY$19:BB19)</f>
        <v>269.3</v>
      </c>
      <c r="BO19" s="295">
        <f>SUM($AY$19:BC19)</f>
        <v>336.625</v>
      </c>
      <c r="BP19" s="295">
        <f>SUM($AY$19:BD19)</f>
        <v>403.95</v>
      </c>
      <c r="BQ19" s="295">
        <f>SUM($AY$19:BE19)</f>
        <v>471.27499999999998</v>
      </c>
      <c r="BR19" s="295">
        <f>SUM($AY$19:BF19)</f>
        <v>538.6</v>
      </c>
      <c r="BS19" s="295">
        <f>SUM($AY$19:BG19)</f>
        <v>605.92500000000007</v>
      </c>
      <c r="BT19" s="295">
        <f>SUM($AY$19:BH19)</f>
        <v>673.25000000000011</v>
      </c>
      <c r="BU19" s="295">
        <f>SUM($AY$19:BI19)</f>
        <v>740.57500000000016</v>
      </c>
      <c r="BV19" s="295">
        <f>SUM($AY$19:BJ19)</f>
        <v>807.9000000000002</v>
      </c>
      <c r="BW19" s="284"/>
    </row>
    <row r="20" spans="1:75" s="229" customFormat="1" x14ac:dyDescent="0.25">
      <c r="A20" s="222">
        <v>6</v>
      </c>
      <c r="B20" s="223">
        <f>EEFFun!B490</f>
        <v>44</v>
      </c>
      <c r="C20" s="223" t="str">
        <f>EEFFun!C490</f>
        <v>PROVISIONES</v>
      </c>
      <c r="D20" s="279">
        <f>EEFFun!P490</f>
        <v>546704.34</v>
      </c>
      <c r="E20" s="297">
        <f t="shared" ref="E20" si="119">E21+E26+E27+E28</f>
        <v>639.33000000000004</v>
      </c>
      <c r="F20" s="297">
        <f t="shared" ref="F20" si="120">F21+F26+F27+F28</f>
        <v>-639.33000000000004</v>
      </c>
      <c r="G20" s="297">
        <f t="shared" ref="G20" si="121">G21+G26+G27+G28</f>
        <v>49479.97</v>
      </c>
      <c r="H20" s="297">
        <f t="shared" ref="H20:I20" si="122">H21+H26+H27+H28</f>
        <v>39642.35</v>
      </c>
      <c r="I20" s="297">
        <f t="shared" si="122"/>
        <v>139441.52000000002</v>
      </c>
      <c r="J20" s="297">
        <f>J21+J26+J27+J28+J29</f>
        <v>108533.41000000002</v>
      </c>
      <c r="K20" s="297">
        <f t="shared" ref="K20:P20" si="123">K21+K26+K27+K28+K29</f>
        <v>78008.169999999984</v>
      </c>
      <c r="L20" s="297">
        <f t="shared" si="123"/>
        <v>10490.39000000001</v>
      </c>
      <c r="M20" s="297">
        <f t="shared" si="123"/>
        <v>82913.25</v>
      </c>
      <c r="N20" s="297">
        <f t="shared" si="123"/>
        <v>246277.72</v>
      </c>
      <c r="O20" s="297">
        <f t="shared" si="123"/>
        <v>-213044.74000000002</v>
      </c>
      <c r="P20" s="297">
        <f t="shared" si="123"/>
        <v>11568.41999999998</v>
      </c>
      <c r="Q20" s="279">
        <f>EEFFun!Q490</f>
        <v>639.33000000000004</v>
      </c>
      <c r="R20" s="279">
        <f>EEFFun!R490</f>
        <v>0</v>
      </c>
      <c r="S20" s="279">
        <f>EEFFun!S490</f>
        <v>49479.97</v>
      </c>
      <c r="T20" s="279">
        <f>EEFFun!T490</f>
        <v>89122.32</v>
      </c>
      <c r="U20" s="279">
        <f>EEFFun!U490</f>
        <v>228563.84</v>
      </c>
      <c r="V20" s="279">
        <f>EEFFun!V490</f>
        <v>337097.25</v>
      </c>
      <c r="W20" s="279">
        <f>EEFFun!W490</f>
        <v>415105.42</v>
      </c>
      <c r="X20" s="279">
        <f>EEFFun!X490</f>
        <v>425595.81</v>
      </c>
      <c r="Y20" s="279">
        <f>EEFFun!Y490</f>
        <v>508509.06</v>
      </c>
      <c r="Z20" s="279">
        <f>EEFFun!Z490</f>
        <v>754786.78</v>
      </c>
      <c r="AA20" s="279">
        <f>EEFFun!AA490</f>
        <v>541742.04</v>
      </c>
      <c r="AB20" s="279">
        <f>EEFFun!AB490</f>
        <v>553310.46</v>
      </c>
      <c r="AC20" s="279">
        <f>EEFFun!AC490</f>
        <v>43280.24</v>
      </c>
      <c r="AD20" s="279">
        <f>EEFFun!AD490</f>
        <v>170830.37</v>
      </c>
      <c r="AE20" s="279">
        <f>EEFFun!AE490</f>
        <v>116902.1</v>
      </c>
      <c r="AF20" s="279">
        <f>EEFFun!AF490</f>
        <v>142997.68</v>
      </c>
      <c r="AG20" s="279">
        <f>EEFFun!AG490</f>
        <v>190089.38</v>
      </c>
      <c r="AH20" s="297">
        <f t="shared" ref="AH20:BU20" si="124">AH21+AH26+AH27+AH28+AH29</f>
        <v>373141.04000000004</v>
      </c>
      <c r="AI20" s="297">
        <f t="shared" si="124"/>
        <v>270508.12000000005</v>
      </c>
      <c r="AJ20" s="297">
        <f t="shared" ref="AJ20:BQ20" si="125">AJ21+AJ26+AJ27+AJ28+AJ29</f>
        <v>552327.26</v>
      </c>
      <c r="AK20" s="297">
        <f t="shared" si="125"/>
        <v>864971.50999999989</v>
      </c>
      <c r="AL20" s="297">
        <f t="shared" si="125"/>
        <v>1151456.1900000002</v>
      </c>
      <c r="AM20" s="297">
        <f t="shared" si="125"/>
        <v>1130588.21</v>
      </c>
      <c r="AN20" s="297">
        <f t="shared" si="125"/>
        <v>896982.61</v>
      </c>
      <c r="AO20" s="297">
        <f t="shared" ref="AO20:AX20" si="126">AO21+AO26+AO27+AO28+AO29</f>
        <v>3172.77</v>
      </c>
      <c r="AP20" s="297">
        <f t="shared" si="126"/>
        <v>49644.44</v>
      </c>
      <c r="AQ20" s="297">
        <f t="shared" si="126"/>
        <v>64418.02</v>
      </c>
      <c r="AR20" s="297">
        <f t="shared" si="126"/>
        <v>91704.69</v>
      </c>
      <c r="AS20" s="297">
        <f t="shared" si="126"/>
        <v>173190.72</v>
      </c>
      <c r="AT20" s="297">
        <f t="shared" si="126"/>
        <v>249383.83</v>
      </c>
      <c r="AU20" s="297">
        <f t="shared" si="126"/>
        <v>371285.74</v>
      </c>
      <c r="AV20" s="297">
        <f t="shared" si="126"/>
        <v>430602.69</v>
      </c>
      <c r="AW20" s="297">
        <f t="shared" si="126"/>
        <v>503941.29</v>
      </c>
      <c r="AX20" s="297">
        <f t="shared" si="126"/>
        <v>603836.6</v>
      </c>
      <c r="AY20" s="297">
        <f t="shared" ref="AY20:BE20" si="127">AY21+AY26+AY27+AY28</f>
        <v>120761.19593276741</v>
      </c>
      <c r="AZ20" s="297">
        <f t="shared" si="127"/>
        <v>119091.5962041555</v>
      </c>
      <c r="BA20" s="297">
        <f t="shared" si="127"/>
        <v>116522.45473013984</v>
      </c>
      <c r="BB20" s="297">
        <f t="shared" si="127"/>
        <v>110293.12464595406</v>
      </c>
      <c r="BC20" s="297">
        <f t="shared" si="127"/>
        <v>113439.70686747774</v>
      </c>
      <c r="BD20" s="297">
        <f t="shared" si="127"/>
        <v>112445.72852751124</v>
      </c>
      <c r="BE20" s="297">
        <f t="shared" si="127"/>
        <v>110915.13518071771</v>
      </c>
      <c r="BF20" s="297">
        <f>BF21+BF26+BF27+BF28</f>
        <v>82509.103644482064</v>
      </c>
      <c r="BG20" s="297">
        <f>BG21+BG26+BG27+BG28</f>
        <v>66373.186719344667</v>
      </c>
      <c r="BH20" s="297">
        <f>BH21+BH26+BH27+BH28</f>
        <v>39345.120457655503</v>
      </c>
      <c r="BI20" s="297">
        <f>BI21+BI26+BI27+BI28</f>
        <v>26722.487672840805</v>
      </c>
      <c r="BJ20" s="297">
        <f>BJ21+BJ26+BJ27+BJ28</f>
        <v>33944.172659062802</v>
      </c>
      <c r="BK20" s="297">
        <f t="shared" si="125"/>
        <v>121313.05593276741</v>
      </c>
      <c r="BL20" s="297">
        <f t="shared" si="125"/>
        <v>240956.51213692295</v>
      </c>
      <c r="BM20" s="297">
        <f t="shared" si="125"/>
        <v>358030.82686706283</v>
      </c>
      <c r="BN20" s="297">
        <f t="shared" si="125"/>
        <v>468875.81151301687</v>
      </c>
      <c r="BO20" s="297">
        <f t="shared" si="125"/>
        <v>582867.37838049466</v>
      </c>
      <c r="BP20" s="297">
        <f t="shared" si="125"/>
        <v>695864.96690800576</v>
      </c>
      <c r="BQ20" s="297">
        <f t="shared" si="125"/>
        <v>807331.96208872355</v>
      </c>
      <c r="BR20" s="297">
        <f t="shared" si="124"/>
        <v>890392.92573320551</v>
      </c>
      <c r="BS20" s="297">
        <f t="shared" si="124"/>
        <v>957317.97245255031</v>
      </c>
      <c r="BT20" s="297">
        <f t="shared" si="124"/>
        <v>997214.9529102057</v>
      </c>
      <c r="BU20" s="297">
        <f t="shared" si="124"/>
        <v>1024489.3005830465</v>
      </c>
      <c r="BV20" s="297">
        <f>BV21+BV26+BV27+BV28+BV29</f>
        <v>1058985.3332421095</v>
      </c>
      <c r="BW20" s="373"/>
    </row>
    <row r="21" spans="1:75" s="229" customFormat="1" outlineLevel="1" x14ac:dyDescent="0.25">
      <c r="A21" s="222">
        <v>4</v>
      </c>
      <c r="B21" s="223">
        <f>EEFFun!B491</f>
        <v>4402</v>
      </c>
      <c r="C21" s="223" t="str">
        <f>EEFFun!C491</f>
        <v>Cartera de créditos</v>
      </c>
      <c r="D21" s="279">
        <f>EEFFun!P491</f>
        <v>495820.74</v>
      </c>
      <c r="E21" s="297">
        <f t="shared" ref="E21" si="128">SUM(E22:E24)</f>
        <v>0</v>
      </c>
      <c r="F21" s="297">
        <f t="shared" ref="F21" si="129">SUM(F22:F24)</f>
        <v>0</v>
      </c>
      <c r="G21" s="297">
        <f t="shared" ref="G21" si="130">SUM(G22:G24)</f>
        <v>27671.34</v>
      </c>
      <c r="H21" s="297">
        <f t="shared" ref="H21:O21" si="131">SUM(H22:H24)</f>
        <v>39642.35</v>
      </c>
      <c r="I21" s="297">
        <f t="shared" si="131"/>
        <v>139441.52000000002</v>
      </c>
      <c r="J21" s="297">
        <f t="shared" si="131"/>
        <v>93119.050000000017</v>
      </c>
      <c r="K21" s="297">
        <f t="shared" si="131"/>
        <v>78008.169999999984</v>
      </c>
      <c r="L21" s="297">
        <f t="shared" si="131"/>
        <v>10490.39000000001</v>
      </c>
      <c r="M21" s="297">
        <f t="shared" si="131"/>
        <v>66260.25</v>
      </c>
      <c r="N21" s="297">
        <f t="shared" si="131"/>
        <v>246277.72</v>
      </c>
      <c r="O21" s="297">
        <f t="shared" si="131"/>
        <v>-213044.74000000002</v>
      </c>
      <c r="P21" s="297">
        <f t="shared" ref="P21" si="132">SUM(P22:P24)</f>
        <v>26527.869999999977</v>
      </c>
      <c r="Q21" s="279">
        <f>EEFFun!Q491</f>
        <v>0</v>
      </c>
      <c r="R21" s="279">
        <f>EEFFun!R491</f>
        <v>0</v>
      </c>
      <c r="S21" s="279">
        <f>EEFFun!S491</f>
        <v>27671.34</v>
      </c>
      <c r="T21" s="279">
        <f>EEFFun!T491</f>
        <v>67313.69</v>
      </c>
      <c r="U21" s="279">
        <f>EEFFun!U491</f>
        <v>206755.21</v>
      </c>
      <c r="V21" s="279">
        <f>EEFFun!V491</f>
        <v>299874.26</v>
      </c>
      <c r="W21" s="279">
        <f>EEFFun!W491</f>
        <v>377882.43</v>
      </c>
      <c r="X21" s="279">
        <f>EEFFun!X491</f>
        <v>388372.82</v>
      </c>
      <c r="Y21" s="279">
        <f>EEFFun!Y491</f>
        <v>454633.07</v>
      </c>
      <c r="Z21" s="279">
        <f>EEFFun!Z491</f>
        <v>700910.79</v>
      </c>
      <c r="AA21" s="279">
        <f>EEFFun!AA491</f>
        <v>487866.05</v>
      </c>
      <c r="AB21" s="279">
        <f>EEFFun!AB491</f>
        <v>514393.92</v>
      </c>
      <c r="AC21" s="279">
        <f>EEFFun!AC491</f>
        <v>43280.24</v>
      </c>
      <c r="AD21" s="279">
        <f>EEFFun!AD491</f>
        <v>170580.37</v>
      </c>
      <c r="AE21" s="279">
        <f>EEFFun!AE491</f>
        <v>101342.96</v>
      </c>
      <c r="AF21" s="279">
        <f>EEFFun!AF491</f>
        <v>127438.54</v>
      </c>
      <c r="AG21" s="279">
        <f>EEFFun!AG491</f>
        <v>174530.24</v>
      </c>
      <c r="AH21" s="279">
        <f>EEFFun!AH491</f>
        <v>343782.21</v>
      </c>
      <c r="AI21" s="279">
        <f>EEFFun!AI491</f>
        <v>241149.29</v>
      </c>
      <c r="AJ21" s="279">
        <f>EEFFun!AJ491</f>
        <v>522968.43</v>
      </c>
      <c r="AK21" s="279">
        <f>EEFFun!AK491</f>
        <v>825095.69</v>
      </c>
      <c r="AL21" s="279">
        <f>EEFFun!AL491</f>
        <v>1111580.3700000001</v>
      </c>
      <c r="AM21" s="279">
        <f>EEFFun!AM491</f>
        <v>1090712.3899999999</v>
      </c>
      <c r="AN21" s="279">
        <f>EEFFun!AN491</f>
        <v>855727.01</v>
      </c>
      <c r="AO21" s="279">
        <f>EEFFun!AO491</f>
        <v>3172.77</v>
      </c>
      <c r="AP21" s="279">
        <f>EEFFun!AP491</f>
        <v>49644.44</v>
      </c>
      <c r="AQ21" s="279">
        <f>EEFFun!AQ491</f>
        <v>64418.02</v>
      </c>
      <c r="AR21" s="279">
        <f>EEFFun!AR491</f>
        <v>91704.69</v>
      </c>
      <c r="AS21" s="279">
        <f>EEFFun!AS491</f>
        <v>173190.72</v>
      </c>
      <c r="AT21" s="279">
        <f>EEFFun!AT491</f>
        <v>249383.83</v>
      </c>
      <c r="AU21" s="279">
        <f>EEFFun!AU491</f>
        <v>371285.74</v>
      </c>
      <c r="AV21" s="279">
        <f>EEFFun!AV491</f>
        <v>430602.69</v>
      </c>
      <c r="AW21" s="279">
        <f>EEFFun!AW491</f>
        <v>503941.29</v>
      </c>
      <c r="AX21" s="279">
        <f>EEFFun!AX491</f>
        <v>603836.6</v>
      </c>
      <c r="AY21" s="297">
        <f t="shared" ref="AY21:BE21" si="133">SUM(AY22:AY25)</f>
        <v>82396.515932767419</v>
      </c>
      <c r="AZ21" s="297">
        <f t="shared" si="133"/>
        <v>80726.91620415551</v>
      </c>
      <c r="BA21" s="297">
        <f t="shared" si="133"/>
        <v>78157.774730139849</v>
      </c>
      <c r="BB21" s="297">
        <f t="shared" si="133"/>
        <v>71928.444645954049</v>
      </c>
      <c r="BC21" s="297">
        <f t="shared" si="133"/>
        <v>75075.026867477747</v>
      </c>
      <c r="BD21" s="297">
        <f t="shared" si="133"/>
        <v>74081.048527511244</v>
      </c>
      <c r="BE21" s="297">
        <f t="shared" si="133"/>
        <v>72550.455180717719</v>
      </c>
      <c r="BF21" s="297">
        <f t="shared" ref="BF21:BJ21" si="134">SUM(BF22:BF25)</f>
        <v>44144.423644482056</v>
      </c>
      <c r="BG21" s="297">
        <f t="shared" si="134"/>
        <v>28008.506719344674</v>
      </c>
      <c r="BH21" s="297">
        <f t="shared" si="134"/>
        <v>980.44045765550618</v>
      </c>
      <c r="BI21" s="297">
        <f t="shared" si="134"/>
        <v>-11642.192327159197</v>
      </c>
      <c r="BJ21" s="297">
        <f t="shared" si="134"/>
        <v>-4420.5073409371998</v>
      </c>
      <c r="BK21" s="297">
        <f t="shared" ref="BK21:BQ21" si="135">SUM(BK22:BK25)</f>
        <v>82396.515932767419</v>
      </c>
      <c r="BL21" s="297">
        <f t="shared" si="135"/>
        <v>163123.43213692296</v>
      </c>
      <c r="BM21" s="297">
        <f t="shared" si="135"/>
        <v>241281.20686706281</v>
      </c>
      <c r="BN21" s="297">
        <f t="shared" si="135"/>
        <v>313209.65151301684</v>
      </c>
      <c r="BO21" s="297">
        <f t="shared" si="135"/>
        <v>388284.67838049459</v>
      </c>
      <c r="BP21" s="297">
        <f t="shared" si="135"/>
        <v>462365.72690800577</v>
      </c>
      <c r="BQ21" s="297">
        <f t="shared" si="135"/>
        <v>534916.18208872352</v>
      </c>
      <c r="BR21" s="297">
        <f>SUM(BR22:BR25)</f>
        <v>579060.60573320556</v>
      </c>
      <c r="BS21" s="297">
        <f t="shared" ref="BS21:BU21" si="136">SUM(BS22:BS25)</f>
        <v>607069.11245255033</v>
      </c>
      <c r="BT21" s="297">
        <f t="shared" si="136"/>
        <v>608049.55291020579</v>
      </c>
      <c r="BU21" s="297">
        <f t="shared" si="136"/>
        <v>596407.36058304657</v>
      </c>
      <c r="BV21" s="297">
        <f>SUM(BV22:BV25)</f>
        <v>591986.85324210941</v>
      </c>
      <c r="BW21" s="284"/>
    </row>
    <row r="22" spans="1:75" outlineLevel="1" x14ac:dyDescent="0.25">
      <c r="A22" s="222">
        <v>6</v>
      </c>
      <c r="B22" s="233">
        <f>EEFFun!B492</f>
        <v>440210</v>
      </c>
      <c r="C22" s="233" t="str">
        <f>EEFFun!C492</f>
        <v>Crédito Productivo</v>
      </c>
      <c r="D22" s="257">
        <f>EEFFun!P492</f>
        <v>94159.65</v>
      </c>
      <c r="E22" s="295">
        <f t="shared" ref="E22:E28" si="137">Q22</f>
        <v>0</v>
      </c>
      <c r="F22" s="295">
        <f t="shared" ref="F22:F28" si="138">R22-Q22</f>
        <v>0</v>
      </c>
      <c r="G22" s="295">
        <f t="shared" ref="G22:G28" si="139">S22-R22</f>
        <v>0</v>
      </c>
      <c r="H22" s="295">
        <f t="shared" ref="H22:H28" si="140">T22-S22</f>
        <v>0</v>
      </c>
      <c r="I22" s="295">
        <f t="shared" ref="I22:I28" si="141">U22-T22</f>
        <v>35156.089999999997</v>
      </c>
      <c r="J22" s="295">
        <f t="shared" ref="J22:J28" si="142">V22-U22</f>
        <v>-4845.5699999999961</v>
      </c>
      <c r="K22" s="295">
        <f t="shared" ref="K22:K28" si="143">W22-V22</f>
        <v>-8674.16</v>
      </c>
      <c r="L22" s="295">
        <f t="shared" ref="L22:L28" si="144">X22-W22</f>
        <v>-1114.619999999999</v>
      </c>
      <c r="M22" s="295">
        <f t="shared" ref="M22:M28" si="145">Y22-X22</f>
        <v>-1222.630000000001</v>
      </c>
      <c r="N22" s="295">
        <f t="shared" ref="N22:N28" si="146">Z22-Y22</f>
        <v>1348.9099999999999</v>
      </c>
      <c r="O22" s="295">
        <f t="shared" ref="O22:P28" si="147">AA22-Z22</f>
        <v>-2319.630000000001</v>
      </c>
      <c r="P22" s="295">
        <f t="shared" si="147"/>
        <v>1347.0499999999993</v>
      </c>
      <c r="Q22" s="257">
        <f>EEFFun!Q492</f>
        <v>0</v>
      </c>
      <c r="R22" s="257">
        <f>EEFFun!R492</f>
        <v>0</v>
      </c>
      <c r="S22" s="257">
        <f>EEFFun!S492</f>
        <v>0</v>
      </c>
      <c r="T22" s="257">
        <f>EEFFun!T492</f>
        <v>0</v>
      </c>
      <c r="U22" s="257">
        <f>EEFFun!U492</f>
        <v>35156.089999999997</v>
      </c>
      <c r="V22" s="257">
        <f>EEFFun!V492</f>
        <v>30310.52</v>
      </c>
      <c r="W22" s="257">
        <f>EEFFun!W492</f>
        <v>21636.36</v>
      </c>
      <c r="X22" s="257">
        <f>EEFFun!X492</f>
        <v>20521.740000000002</v>
      </c>
      <c r="Y22" s="257">
        <f>EEFFun!Y492</f>
        <v>19299.11</v>
      </c>
      <c r="Z22" s="257">
        <f>EEFFun!Z492</f>
        <v>20648.02</v>
      </c>
      <c r="AA22" s="257">
        <f>EEFFun!AA492</f>
        <v>18328.39</v>
      </c>
      <c r="AB22" s="257">
        <f>EEFFun!AB492</f>
        <v>19675.439999999999</v>
      </c>
      <c r="AC22" s="257">
        <f>EEFFun!AC492</f>
        <v>0</v>
      </c>
      <c r="AD22" s="257">
        <f>EEFFun!AD492</f>
        <v>0</v>
      </c>
      <c r="AE22" s="257">
        <f>EEFFun!AE492</f>
        <v>3353.44</v>
      </c>
      <c r="AF22" s="257">
        <f>EEFFun!AF492</f>
        <v>5330.67</v>
      </c>
      <c r="AG22" s="257">
        <f>EEFFun!AG492</f>
        <v>5063.18</v>
      </c>
      <c r="AH22" s="257">
        <f>EEFFun!AH492</f>
        <v>3809.56</v>
      </c>
      <c r="AI22" s="257">
        <f>EEFFun!AI492</f>
        <v>2980.19</v>
      </c>
      <c r="AJ22" s="257">
        <f>EEFFun!AJ492</f>
        <v>4542.45</v>
      </c>
      <c r="AK22" s="257">
        <f>EEFFun!AK492</f>
        <v>3357.44</v>
      </c>
      <c r="AL22" s="257">
        <f>EEFFun!AL492</f>
        <v>4412.8500000000004</v>
      </c>
      <c r="AM22" s="257">
        <f>EEFFun!AM492</f>
        <v>3893.61</v>
      </c>
      <c r="AN22" s="257">
        <f>EEFFun!AN492</f>
        <v>4636.1899999999996</v>
      </c>
      <c r="AO22" s="257">
        <f>EEFFun!AO492</f>
        <v>1945.85</v>
      </c>
      <c r="AP22" s="257">
        <f>EEFFun!AP492</f>
        <v>1945.85</v>
      </c>
      <c r="AQ22" s="257">
        <f>EEFFun!AQ492</f>
        <v>4098.12</v>
      </c>
      <c r="AR22" s="257">
        <f>EEFFun!AR492</f>
        <v>3312.14</v>
      </c>
      <c r="AS22" s="257">
        <f>EEFFun!AS492</f>
        <v>1923.03</v>
      </c>
      <c r="AT22" s="257">
        <f>EEFFun!AT492</f>
        <v>3820.97</v>
      </c>
      <c r="AU22" s="257">
        <f>EEFFun!AU492</f>
        <v>2265.8200000000002</v>
      </c>
      <c r="AV22" s="257">
        <f>EEFFun!AV492</f>
        <v>2511.9</v>
      </c>
      <c r="AW22" s="257">
        <f>EEFFun!AW492</f>
        <v>3544.27</v>
      </c>
      <c r="AX22" s="257">
        <f>EEFFun!AX492</f>
        <v>3258.68</v>
      </c>
      <c r="AY22" s="257">
        <f>+RecupProv!C98</f>
        <v>-5.5582964989516768</v>
      </c>
      <c r="AZ22" s="257">
        <f>+RecupProv!D98</f>
        <v>-0.28939146664743021</v>
      </c>
      <c r="BA22" s="257">
        <f>+RecupProv!E98</f>
        <v>-6.0000822736992632</v>
      </c>
      <c r="BB22" s="257">
        <f>+RecupProv!F98</f>
        <v>-6.2114162652460436</v>
      </c>
      <c r="BC22" s="257">
        <f>+RecupProv!G98</f>
        <v>-2.5975866155986296</v>
      </c>
      <c r="BD22" s="257">
        <f>+RecupProv!H98</f>
        <v>-3.3243712950525151</v>
      </c>
      <c r="BE22" s="257">
        <f>+RecupProv!I98</f>
        <v>3.9945155642653845</v>
      </c>
      <c r="BF22" s="257">
        <f>+RecupProv!J98</f>
        <v>3.1652828715314172</v>
      </c>
      <c r="BG22" s="257">
        <f>+RecupProv!K98</f>
        <v>0.92622249745090812</v>
      </c>
      <c r="BH22" s="257">
        <f>+RecupProv!L98</f>
        <v>8.3318691059075718</v>
      </c>
      <c r="BI22" s="257">
        <f>+RecupProv!M98</f>
        <v>10.994333230510165</v>
      </c>
      <c r="BJ22" s="257">
        <f>+RecupProv!N98</f>
        <v>-3.431078854469888</v>
      </c>
      <c r="BK22" s="295">
        <f>SUM($AY$22:AY22)</f>
        <v>-5.5582964989516768</v>
      </c>
      <c r="BL22" s="295">
        <f>SUM($AY$22:AZ22)</f>
        <v>-5.847687965599107</v>
      </c>
      <c r="BM22" s="295">
        <f>SUM($AY$22:BA22)</f>
        <v>-11.84777023929837</v>
      </c>
      <c r="BN22" s="295">
        <f>SUM($AY$22:BB22)</f>
        <v>-18.059186504544414</v>
      </c>
      <c r="BO22" s="295">
        <f>SUM($AY$22:BC22)</f>
        <v>-20.656773120143043</v>
      </c>
      <c r="BP22" s="295">
        <f>SUM($AY$22:BD22)</f>
        <v>-23.981144415195558</v>
      </c>
      <c r="BQ22" s="295">
        <f>SUM($AY$22:BE22)</f>
        <v>-19.986628850930174</v>
      </c>
      <c r="BR22" s="295">
        <f>SUM($AY$22:BF22)</f>
        <v>-16.821345979398757</v>
      </c>
      <c r="BS22" s="295">
        <f>SUM($AY$22:BG22)</f>
        <v>-15.895123481947849</v>
      </c>
      <c r="BT22" s="295">
        <f>SUM($AY$22:BH22)</f>
        <v>-7.5632543760402768</v>
      </c>
      <c r="BU22" s="295">
        <f>SUM($AY$22:BI22)</f>
        <v>3.431078854469888</v>
      </c>
      <c r="BV22" s="295">
        <f>SUM($AY$22:BJ22)</f>
        <v>0</v>
      </c>
      <c r="BW22" s="291"/>
    </row>
    <row r="23" spans="1:75" outlineLevel="1" x14ac:dyDescent="0.25">
      <c r="A23" s="222">
        <v>6</v>
      </c>
      <c r="B23" s="233">
        <f>EEFFun!B493</f>
        <v>440220</v>
      </c>
      <c r="C23" s="233" t="str">
        <f>EEFFun!C493</f>
        <v>Crédito de consumo</v>
      </c>
      <c r="D23" s="257">
        <f>EEFFun!P493</f>
        <v>316948.95</v>
      </c>
      <c r="E23" s="295">
        <f t="shared" si="137"/>
        <v>0</v>
      </c>
      <c r="F23" s="295">
        <f t="shared" si="138"/>
        <v>0</v>
      </c>
      <c r="G23" s="295">
        <f t="shared" si="139"/>
        <v>27671.34</v>
      </c>
      <c r="H23" s="295">
        <f t="shared" si="140"/>
        <v>0</v>
      </c>
      <c r="I23" s="295">
        <f t="shared" si="141"/>
        <v>68626.790000000008</v>
      </c>
      <c r="J23" s="295">
        <f t="shared" si="142"/>
        <v>47381.010000000009</v>
      </c>
      <c r="K23" s="295">
        <f t="shared" si="143"/>
        <v>41599.169999999984</v>
      </c>
      <c r="L23" s="295">
        <f t="shared" si="144"/>
        <v>12837.510000000009</v>
      </c>
      <c r="M23" s="295">
        <f t="shared" si="145"/>
        <v>40765.130000000005</v>
      </c>
      <c r="N23" s="295">
        <f t="shared" si="146"/>
        <v>198076.57</v>
      </c>
      <c r="O23" s="295">
        <f t="shared" si="147"/>
        <v>-192103.78000000003</v>
      </c>
      <c r="P23" s="295">
        <f t="shared" si="147"/>
        <v>16960.940000000002</v>
      </c>
      <c r="Q23" s="257">
        <f>EEFFun!Q493</f>
        <v>0</v>
      </c>
      <c r="R23" s="257">
        <f>EEFFun!R493</f>
        <v>0</v>
      </c>
      <c r="S23" s="257">
        <f>EEFFun!S493</f>
        <v>27671.34</v>
      </c>
      <c r="T23" s="257">
        <f>EEFFun!T493</f>
        <v>27671.34</v>
      </c>
      <c r="U23" s="257">
        <f>EEFFun!U493</f>
        <v>96298.13</v>
      </c>
      <c r="V23" s="257">
        <f>EEFFun!V493</f>
        <v>143679.14000000001</v>
      </c>
      <c r="W23" s="257">
        <f>EEFFun!W493</f>
        <v>185278.31</v>
      </c>
      <c r="X23" s="257">
        <f>EEFFun!X493</f>
        <v>198115.82</v>
      </c>
      <c r="Y23" s="257">
        <f>EEFFun!Y493</f>
        <v>238880.95</v>
      </c>
      <c r="Z23" s="257">
        <f>EEFFun!Z493</f>
        <v>436957.52</v>
      </c>
      <c r="AA23" s="257">
        <f>EEFFun!AA493</f>
        <v>244853.74</v>
      </c>
      <c r="AB23" s="257">
        <f>EEFFun!AB493</f>
        <v>261814.68</v>
      </c>
      <c r="AC23" s="257">
        <f>EEFFun!AC493</f>
        <v>3440.02</v>
      </c>
      <c r="AD23" s="257">
        <f>EEFFun!AD493</f>
        <v>74651.42</v>
      </c>
      <c r="AE23" s="257">
        <f>EEFFun!AE493</f>
        <v>25525.74</v>
      </c>
      <c r="AF23" s="257">
        <f>EEFFun!AF493</f>
        <v>18299.52</v>
      </c>
      <c r="AG23" s="257">
        <f>EEFFun!AG493</f>
        <v>31783.16</v>
      </c>
      <c r="AH23" s="257">
        <f>EEFFun!AH493</f>
        <v>195330.82</v>
      </c>
      <c r="AI23" s="257">
        <f>EEFFun!AI493</f>
        <v>127058.54</v>
      </c>
      <c r="AJ23" s="257">
        <f>EEFFun!AJ493</f>
        <v>313491.69</v>
      </c>
      <c r="AK23" s="257">
        <f>EEFFun!AK493</f>
        <v>552214.5</v>
      </c>
      <c r="AL23" s="257">
        <f>EEFFun!AL493</f>
        <v>735688.97</v>
      </c>
      <c r="AM23" s="257">
        <f>EEFFun!AM493</f>
        <v>750614.6</v>
      </c>
      <c r="AN23" s="257">
        <f>EEFFun!AN493</f>
        <v>618694.63</v>
      </c>
      <c r="AO23" s="257">
        <f>EEFFun!AO493</f>
        <v>0</v>
      </c>
      <c r="AP23" s="257">
        <f>EEFFun!AP493</f>
        <v>0</v>
      </c>
      <c r="AQ23" s="257">
        <f>EEFFun!AQ493</f>
        <v>0</v>
      </c>
      <c r="AR23" s="257">
        <f>EEFFun!AR493</f>
        <v>0</v>
      </c>
      <c r="AS23" s="257">
        <f>EEFFun!AS493</f>
        <v>0</v>
      </c>
      <c r="AT23" s="257">
        <f>EEFFun!AT493</f>
        <v>0</v>
      </c>
      <c r="AU23" s="257">
        <f>EEFFun!AU493</f>
        <v>0</v>
      </c>
      <c r="AV23" s="257">
        <f>EEFFun!AV493</f>
        <v>0</v>
      </c>
      <c r="AW23" s="257">
        <f>EEFFun!AW493</f>
        <v>0</v>
      </c>
      <c r="AX23" s="257">
        <f>EEFFun!AX493</f>
        <v>0</v>
      </c>
      <c r="AY23" s="257">
        <f>+RecupProv!C99</f>
        <v>60081.599507845473</v>
      </c>
      <c r="AZ23" s="257">
        <f>+RecupProv!D99</f>
        <v>58748.408431474352</v>
      </c>
      <c r="BA23" s="257">
        <f>+RecupProv!E99</f>
        <v>56559.876022848184</v>
      </c>
      <c r="BB23" s="257">
        <f>+RecupProv!F99</f>
        <v>50591.820407921216</v>
      </c>
      <c r="BC23" s="257">
        <f>+RecupProv!G99</f>
        <v>54043.31206934317</v>
      </c>
      <c r="BD23" s="257">
        <f>+RecupProv!H99</f>
        <v>53171.0526316209</v>
      </c>
      <c r="BE23" s="257">
        <f>+RecupProv!I99</f>
        <v>51949.357267787447</v>
      </c>
      <c r="BF23" s="257">
        <f>+RecupProv!J99</f>
        <v>31711.75574914983</v>
      </c>
      <c r="BG23" s="257">
        <f>+RecupProv!K99</f>
        <v>28909.613470480312</v>
      </c>
      <c r="BH23" s="257">
        <f>+RecupProv!L99</f>
        <v>14955.959687488968</v>
      </c>
      <c r="BI23" s="257">
        <f>+RecupProv!M99</f>
        <v>2773.9239682368934</v>
      </c>
      <c r="BJ23" s="257">
        <f>+RecupProv!N99</f>
        <v>10309.831736167078</v>
      </c>
      <c r="BK23" s="295">
        <f>SUM($AY$23:AY23)</f>
        <v>60081.599507845473</v>
      </c>
      <c r="BL23" s="295">
        <f>SUM($AY$23:AZ23)</f>
        <v>118830.00793931982</v>
      </c>
      <c r="BM23" s="295">
        <f>SUM($AY$23:BA23)</f>
        <v>175389.88396216801</v>
      </c>
      <c r="BN23" s="295">
        <f>SUM($AY$23:BB23)</f>
        <v>225981.70437008922</v>
      </c>
      <c r="BO23" s="295">
        <f>SUM($AY$23:BC23)</f>
        <v>280025.01643943239</v>
      </c>
      <c r="BP23" s="295">
        <f>SUM($AY$23:BD23)</f>
        <v>333196.06907105329</v>
      </c>
      <c r="BQ23" s="295">
        <f>SUM($AY$23:BE23)</f>
        <v>385145.42633884074</v>
      </c>
      <c r="BR23" s="295">
        <f>SUM($AY$23:BF23)</f>
        <v>416857.18208799057</v>
      </c>
      <c r="BS23" s="295">
        <f>SUM($AY$23:BG23)</f>
        <v>445766.79555847088</v>
      </c>
      <c r="BT23" s="295">
        <f>SUM($AY$23:BH23)</f>
        <v>460722.75524595985</v>
      </c>
      <c r="BU23" s="295">
        <f>SUM($AY$23:BI23)</f>
        <v>463496.67921419675</v>
      </c>
      <c r="BV23" s="295">
        <f>SUM($AY$23:BJ23)</f>
        <v>473806.51095036382</v>
      </c>
      <c r="BW23" s="291"/>
    </row>
    <row r="24" spans="1:75" outlineLevel="1" x14ac:dyDescent="0.25">
      <c r="A24" s="222">
        <v>6</v>
      </c>
      <c r="B24" s="233">
        <f>EEFFun!B494</f>
        <v>440240</v>
      </c>
      <c r="C24" s="233" t="str">
        <f>EEFFun!C494</f>
        <v>Microcrédito</v>
      </c>
      <c r="D24" s="257">
        <f>EEFFun!P494</f>
        <v>84712.14</v>
      </c>
      <c r="E24" s="295">
        <f t="shared" si="137"/>
        <v>0</v>
      </c>
      <c r="F24" s="295">
        <f t="shared" si="138"/>
        <v>0</v>
      </c>
      <c r="G24" s="295">
        <f t="shared" si="139"/>
        <v>0</v>
      </c>
      <c r="H24" s="295">
        <f t="shared" si="140"/>
        <v>39642.35</v>
      </c>
      <c r="I24" s="295">
        <f t="shared" si="141"/>
        <v>35658.640000000007</v>
      </c>
      <c r="J24" s="295">
        <f t="shared" si="142"/>
        <v>50583.61</v>
      </c>
      <c r="K24" s="295">
        <f t="shared" si="143"/>
        <v>45083.16</v>
      </c>
      <c r="L24" s="295">
        <f t="shared" si="144"/>
        <v>-1232.5</v>
      </c>
      <c r="M24" s="295">
        <f t="shared" si="145"/>
        <v>26717.75</v>
      </c>
      <c r="N24" s="295">
        <f t="shared" si="146"/>
        <v>46852.239999999991</v>
      </c>
      <c r="O24" s="295">
        <f t="shared" si="147"/>
        <v>-18621.329999999987</v>
      </c>
      <c r="P24" s="295">
        <f t="shared" si="147"/>
        <v>8219.8799999999756</v>
      </c>
      <c r="Q24" s="257">
        <f>EEFFun!Q494</f>
        <v>0</v>
      </c>
      <c r="R24" s="257">
        <f>EEFFun!R494</f>
        <v>0</v>
      </c>
      <c r="S24" s="257">
        <f>EEFFun!S494</f>
        <v>0</v>
      </c>
      <c r="T24" s="257">
        <f>EEFFun!T494</f>
        <v>39642.35</v>
      </c>
      <c r="U24" s="257">
        <f>EEFFun!U494</f>
        <v>75300.990000000005</v>
      </c>
      <c r="V24" s="257">
        <f>EEFFun!V494</f>
        <v>125884.6</v>
      </c>
      <c r="W24" s="257">
        <f>EEFFun!W494</f>
        <v>170967.76</v>
      </c>
      <c r="X24" s="257">
        <f>EEFFun!X494</f>
        <v>169735.26</v>
      </c>
      <c r="Y24" s="257">
        <f>EEFFun!Y494</f>
        <v>196453.01</v>
      </c>
      <c r="Z24" s="257">
        <f>EEFFun!Z494</f>
        <v>243305.25</v>
      </c>
      <c r="AA24" s="257">
        <f>EEFFun!AA494</f>
        <v>224683.92</v>
      </c>
      <c r="AB24" s="257">
        <f>EEFFun!AB494</f>
        <v>232903.8</v>
      </c>
      <c r="AC24" s="257">
        <f>EEFFun!AC494</f>
        <v>39840.22</v>
      </c>
      <c r="AD24" s="257">
        <f>EEFFun!AD494</f>
        <v>95928.95</v>
      </c>
      <c r="AE24" s="257">
        <f>EEFFun!AE494</f>
        <v>72463.78</v>
      </c>
      <c r="AF24" s="257">
        <f>EEFFun!AF494</f>
        <v>103808.35</v>
      </c>
      <c r="AG24" s="257">
        <f>EEFFun!AG494</f>
        <v>137683.9</v>
      </c>
      <c r="AH24" s="257">
        <f>EEFFun!AH494</f>
        <v>144641.82999999999</v>
      </c>
      <c r="AI24" s="257">
        <f>EEFFun!AI494</f>
        <v>111110.56</v>
      </c>
      <c r="AJ24" s="257">
        <f>EEFFun!AJ494</f>
        <v>204934.29</v>
      </c>
      <c r="AK24" s="257">
        <f>EEFFun!AK494</f>
        <v>269523.75</v>
      </c>
      <c r="AL24" s="257">
        <f>EEFFun!AL494</f>
        <v>371478.55</v>
      </c>
      <c r="AM24" s="257">
        <f>EEFFun!AM494</f>
        <v>336204.18</v>
      </c>
      <c r="AN24" s="257">
        <f>EEFFun!AN494</f>
        <v>232396.19</v>
      </c>
      <c r="AO24" s="257">
        <f>EEFFun!AO494</f>
        <v>1226.92</v>
      </c>
      <c r="AP24" s="257">
        <f>EEFFun!AP494</f>
        <v>29925.61</v>
      </c>
      <c r="AQ24" s="257">
        <f>EEFFun!AQ494</f>
        <v>36861.589999999997</v>
      </c>
      <c r="AR24" s="257">
        <f>EEFFun!AR494</f>
        <v>47695.16</v>
      </c>
      <c r="AS24" s="257">
        <f>EEFFun!AS494</f>
        <v>74373.740000000005</v>
      </c>
      <c r="AT24" s="257">
        <f>EEFFun!AT494</f>
        <v>111457.85</v>
      </c>
      <c r="AU24" s="257">
        <f>EEFFun!AU494</f>
        <v>142778.89000000001</v>
      </c>
      <c r="AV24" s="257">
        <f>EEFFun!AV494</f>
        <v>198755.1</v>
      </c>
      <c r="AW24" s="257">
        <f>EEFFun!AW494</f>
        <v>238143.64</v>
      </c>
      <c r="AX24" s="257">
        <f>EEFFun!AX494</f>
        <v>262228.34000000003</v>
      </c>
      <c r="AY24" s="257">
        <f>+RecupProv!C100</f>
        <v>22320.474721420906</v>
      </c>
      <c r="AZ24" s="257">
        <f>+RecupProv!D100</f>
        <v>21978.797164147807</v>
      </c>
      <c r="BA24" s="257">
        <f>+RecupProv!E100</f>
        <v>21603.89878956537</v>
      </c>
      <c r="BB24" s="257">
        <f>+RecupProv!F100</f>
        <v>21342.835654298076</v>
      </c>
      <c r="BC24" s="257">
        <f>+RecupProv!G100</f>
        <v>21034.31238475017</v>
      </c>
      <c r="BD24" s="257">
        <f>+RecupProv!H100</f>
        <v>20913.320267185394</v>
      </c>
      <c r="BE24" s="257">
        <f>+RecupProv!I100</f>
        <v>20597.103397366009</v>
      </c>
      <c r="BF24" s="257">
        <f>+RecupProv!J100</f>
        <v>12429.502612460696</v>
      </c>
      <c r="BG24" s="257">
        <f>+RecupProv!K100</f>
        <v>-902.03297363308957</v>
      </c>
      <c r="BH24" s="257">
        <f>+RecupProv!L100</f>
        <v>-13983.851098939369</v>
      </c>
      <c r="BI24" s="257">
        <f>+RecupProv!M100</f>
        <v>-14427.1106286266</v>
      </c>
      <c r="BJ24" s="257">
        <f>+RecupProv!N100</f>
        <v>-14726.907998249808</v>
      </c>
      <c r="BK24" s="295">
        <f>SUM($AY$24:AY24)</f>
        <v>22320.474721420906</v>
      </c>
      <c r="BL24" s="295">
        <f>SUM($AY$24:AZ24)</f>
        <v>44299.271885568713</v>
      </c>
      <c r="BM24" s="295">
        <f>SUM($AY$24:BA24)</f>
        <v>65903.170675134083</v>
      </c>
      <c r="BN24" s="295">
        <f>SUM($AY$24:BB24)</f>
        <v>87246.006329432159</v>
      </c>
      <c r="BO24" s="295">
        <f>SUM($AY$24:BC24)</f>
        <v>108280.31871418233</v>
      </c>
      <c r="BP24" s="295">
        <f>SUM($AY$24:BD24)</f>
        <v>129193.63898136772</v>
      </c>
      <c r="BQ24" s="295">
        <f>SUM($AY$24:BE24)</f>
        <v>149790.74237873373</v>
      </c>
      <c r="BR24" s="295">
        <f>SUM($AY$24:BF24)</f>
        <v>162220.24499119443</v>
      </c>
      <c r="BS24" s="295">
        <f>SUM($AY$24:BG24)</f>
        <v>161318.21201756134</v>
      </c>
      <c r="BT24" s="295">
        <f>SUM($AY$24:BH24)</f>
        <v>147334.36091862197</v>
      </c>
      <c r="BU24" s="295">
        <f>SUM($AY$24:BI24)</f>
        <v>132907.25028999537</v>
      </c>
      <c r="BV24" s="295">
        <f>SUM($AY$24:BJ24)</f>
        <v>118180.34229174556</v>
      </c>
      <c r="BW24" s="291"/>
    </row>
    <row r="25" spans="1:75" outlineLevel="1" x14ac:dyDescent="0.25">
      <c r="B25" s="246"/>
      <c r="C25" s="246" t="s">
        <v>849</v>
      </c>
      <c r="D25" s="291"/>
      <c r="E25" s="291"/>
      <c r="F25" s="291"/>
      <c r="G25" s="291"/>
      <c r="H25" s="291"/>
      <c r="I25" s="291"/>
      <c r="J25" s="291"/>
      <c r="K25" s="291"/>
      <c r="L25" s="291"/>
      <c r="M25" s="291"/>
      <c r="N25" s="291"/>
      <c r="O25" s="291"/>
      <c r="P25" s="291"/>
      <c r="Q25" s="291"/>
      <c r="R25" s="291"/>
      <c r="S25" s="291"/>
      <c r="T25" s="291"/>
      <c r="U25" s="291"/>
      <c r="V25" s="291"/>
      <c r="W25" s="291"/>
      <c r="X25" s="291"/>
      <c r="Y25" s="291"/>
      <c r="Z25" s="291"/>
      <c r="AA25" s="291"/>
      <c r="AB25" s="291"/>
      <c r="AC25" s="291"/>
      <c r="AD25" s="291"/>
      <c r="AE25" s="291"/>
      <c r="AF25" s="291"/>
      <c r="AG25" s="291"/>
      <c r="AH25" s="291"/>
      <c r="AI25" s="291"/>
      <c r="AJ25" s="291"/>
      <c r="AK25" s="291"/>
      <c r="AL25" s="291"/>
      <c r="AM25" s="291"/>
      <c r="AN25" s="291"/>
      <c r="AO25" s="291"/>
      <c r="AP25" s="291"/>
      <c r="AQ25" s="291"/>
      <c r="AR25" s="291"/>
      <c r="AS25" s="291"/>
      <c r="AT25" s="291"/>
      <c r="AU25" s="291"/>
      <c r="AV25" s="291"/>
      <c r="AW25" s="291"/>
      <c r="AX25" s="291"/>
      <c r="AY25" s="257">
        <f>DIFERPROV!D7</f>
        <v>0</v>
      </c>
      <c r="AZ25" s="257">
        <f>DIFERPROV!E7</f>
        <v>0</v>
      </c>
      <c r="BA25" s="257">
        <f>DIFERPROV!F7</f>
        <v>0</v>
      </c>
      <c r="BB25" s="257">
        <f>DIFERPROV!G7</f>
        <v>0</v>
      </c>
      <c r="BC25" s="257">
        <f>DIFERPROV!H7</f>
        <v>0</v>
      </c>
      <c r="BD25" s="257">
        <f>DIFERPROV!I7</f>
        <v>0</v>
      </c>
      <c r="BE25" s="257">
        <f>DIFERPROV!J7</f>
        <v>0</v>
      </c>
      <c r="BF25" s="257">
        <f>DIFERPROV!K7</f>
        <v>0</v>
      </c>
      <c r="BG25" s="257">
        <f>DIFERPROV!L7</f>
        <v>0</v>
      </c>
      <c r="BH25" s="257">
        <f>DIFERPROV!M7</f>
        <v>0</v>
      </c>
      <c r="BI25" s="257">
        <f>DIFERPROV!N7</f>
        <v>0</v>
      </c>
      <c r="BJ25" s="257">
        <f>DIFERPROV!O7</f>
        <v>0</v>
      </c>
      <c r="BK25" s="295">
        <f>SUM(AY$25:$BF25)</f>
        <v>0</v>
      </c>
      <c r="BL25" s="295">
        <f>SUM(AZ$25:$BF25)</f>
        <v>0</v>
      </c>
      <c r="BM25" s="295">
        <f>SUM(BA$25:$BF25)</f>
        <v>0</v>
      </c>
      <c r="BN25" s="295">
        <f>SUM(BB$25:$BF25)</f>
        <v>0</v>
      </c>
      <c r="BO25" s="295">
        <f>SUM(BC$25:$BF25)</f>
        <v>0</v>
      </c>
      <c r="BP25" s="295">
        <f>SUM(BD$25:$BF25)</f>
        <v>0</v>
      </c>
      <c r="BQ25" s="295">
        <f>SUM(BE$25:$BF25)</f>
        <v>0</v>
      </c>
      <c r="BR25" s="295">
        <f>SUM($BF$25:BF25)</f>
        <v>0</v>
      </c>
      <c r="BS25" s="295">
        <f>SUM($BF$25:BG25)</f>
        <v>0</v>
      </c>
      <c r="BT25" s="295">
        <f>SUM($BF$25:BH25)</f>
        <v>0</v>
      </c>
      <c r="BU25" s="295">
        <f>SUM($BF$25:BI25)</f>
        <v>0</v>
      </c>
      <c r="BV25" s="295">
        <f>SUM($BF$25:BJ25)</f>
        <v>0</v>
      </c>
      <c r="BW25" s="291"/>
    </row>
    <row r="26" spans="1:75" s="229" customFormat="1" outlineLevel="1" x14ac:dyDescent="0.25">
      <c r="A26" s="222">
        <v>4</v>
      </c>
      <c r="B26" s="230">
        <f>EEFFun!B495</f>
        <v>4403</v>
      </c>
      <c r="C26" s="223" t="str">
        <f>EEFFun!C495</f>
        <v>Cuentas por cobrar</v>
      </c>
      <c r="D26" s="279">
        <f>EEFFun!P495</f>
        <v>45768.95</v>
      </c>
      <c r="E26" s="295">
        <f t="shared" si="137"/>
        <v>0</v>
      </c>
      <c r="F26" s="295">
        <f t="shared" si="138"/>
        <v>0</v>
      </c>
      <c r="G26" s="295">
        <f t="shared" si="139"/>
        <v>21808.63</v>
      </c>
      <c r="H26" s="295">
        <f t="shared" si="140"/>
        <v>0</v>
      </c>
      <c r="I26" s="295">
        <f t="shared" si="141"/>
        <v>0</v>
      </c>
      <c r="J26" s="295">
        <f t="shared" si="142"/>
        <v>14862.499999999996</v>
      </c>
      <c r="K26" s="295">
        <f t="shared" si="143"/>
        <v>0</v>
      </c>
      <c r="L26" s="295">
        <f t="shared" si="144"/>
        <v>0</v>
      </c>
      <c r="M26" s="295">
        <f t="shared" si="145"/>
        <v>16653</v>
      </c>
      <c r="N26" s="295">
        <f t="shared" si="146"/>
        <v>0</v>
      </c>
      <c r="O26" s="295">
        <f t="shared" si="147"/>
        <v>0</v>
      </c>
      <c r="P26" s="295">
        <f t="shared" si="147"/>
        <v>-14959.449999999997</v>
      </c>
      <c r="Q26" s="279">
        <f>EEFFun!Q495</f>
        <v>0</v>
      </c>
      <c r="R26" s="279">
        <f>EEFFun!R495</f>
        <v>0</v>
      </c>
      <c r="S26" s="279">
        <f>EEFFun!S495</f>
        <v>21808.63</v>
      </c>
      <c r="T26" s="279">
        <f>EEFFun!T495</f>
        <v>21808.63</v>
      </c>
      <c r="U26" s="279">
        <f>EEFFun!U495</f>
        <v>21808.63</v>
      </c>
      <c r="V26" s="279">
        <f>EEFFun!V495</f>
        <v>36671.129999999997</v>
      </c>
      <c r="W26" s="279">
        <f>EEFFun!W495</f>
        <v>36671.129999999997</v>
      </c>
      <c r="X26" s="279">
        <f>EEFFun!X495</f>
        <v>36671.129999999997</v>
      </c>
      <c r="Y26" s="279">
        <f>EEFFun!Y495</f>
        <v>53324.13</v>
      </c>
      <c r="Z26" s="279">
        <f>EEFFun!Z495</f>
        <v>53324.13</v>
      </c>
      <c r="AA26" s="279">
        <f>EEFFun!AA495</f>
        <v>53324.13</v>
      </c>
      <c r="AB26" s="279">
        <f>EEFFun!AB495</f>
        <v>38364.68</v>
      </c>
      <c r="AC26" s="279">
        <f>EEFFun!AC495</f>
        <v>0</v>
      </c>
      <c r="AD26" s="279">
        <f>EEFFun!AD495</f>
        <v>0</v>
      </c>
      <c r="AE26" s="279">
        <f>EEFFun!AE495</f>
        <v>15490.13</v>
      </c>
      <c r="AF26" s="279">
        <f>EEFFun!AF495</f>
        <v>15490.13</v>
      </c>
      <c r="AG26" s="279">
        <f>EEFFun!AG495</f>
        <v>15490.13</v>
      </c>
      <c r="AH26" s="279">
        <f>EEFFun!AH495</f>
        <v>29289.43</v>
      </c>
      <c r="AI26" s="279">
        <f>EEFFun!AI495</f>
        <v>29289.43</v>
      </c>
      <c r="AJ26" s="279">
        <f>EEFFun!AJ495</f>
        <v>29289.43</v>
      </c>
      <c r="AK26" s="279">
        <f>EEFFun!AK495</f>
        <v>39805.82</v>
      </c>
      <c r="AL26" s="279">
        <f>EEFFun!AL495</f>
        <v>39805.82</v>
      </c>
      <c r="AM26" s="279">
        <f>EEFFun!AM495</f>
        <v>39805.82</v>
      </c>
      <c r="AN26" s="279">
        <f>EEFFun!AN495</f>
        <v>41185.599999999999</v>
      </c>
      <c r="AO26" s="279">
        <f>EEFFun!AO495</f>
        <v>0</v>
      </c>
      <c r="AP26" s="279">
        <f>EEFFun!AP495</f>
        <v>0</v>
      </c>
      <c r="AQ26" s="279">
        <f>EEFFun!AQ495</f>
        <v>0</v>
      </c>
      <c r="AR26" s="279">
        <f>EEFFun!AR495</f>
        <v>0</v>
      </c>
      <c r="AS26" s="279">
        <f>EEFFun!AS495</f>
        <v>0</v>
      </c>
      <c r="AT26" s="279">
        <f>EEFFun!AT495</f>
        <v>0</v>
      </c>
      <c r="AU26" s="279">
        <f>EEFFun!AU495</f>
        <v>0</v>
      </c>
      <c r="AV26" s="279">
        <f>EEFFun!AV495</f>
        <v>0</v>
      </c>
      <c r="AW26" s="279">
        <f>EEFFun!AW495</f>
        <v>0</v>
      </c>
      <c r="AX26" s="279">
        <f>EEFFun!AX495</f>
        <v>0</v>
      </c>
      <c r="AY26" s="295">
        <f>AB26</f>
        <v>38364.68</v>
      </c>
      <c r="AZ26" s="295">
        <f t="shared" ref="AZ26:AZ29" si="148">AY26</f>
        <v>38364.68</v>
      </c>
      <c r="BA26" s="295">
        <f t="shared" ref="BA26:BA29" si="149">AZ26</f>
        <v>38364.68</v>
      </c>
      <c r="BB26" s="295">
        <f t="shared" ref="BB26:BB29" si="150">BA26</f>
        <v>38364.68</v>
      </c>
      <c r="BC26" s="295">
        <f t="shared" ref="BC26:BC29" si="151">BB26</f>
        <v>38364.68</v>
      </c>
      <c r="BD26" s="295">
        <f t="shared" ref="BD26:BD29" si="152">BC26</f>
        <v>38364.68</v>
      </c>
      <c r="BE26" s="295">
        <f t="shared" ref="BE26:BE29" si="153">BD26</f>
        <v>38364.68</v>
      </c>
      <c r="BF26" s="295">
        <f t="shared" ref="BF26:BH29" si="154">BE26</f>
        <v>38364.68</v>
      </c>
      <c r="BG26" s="295">
        <f t="shared" si="154"/>
        <v>38364.68</v>
      </c>
      <c r="BH26" s="295">
        <f t="shared" si="154"/>
        <v>38364.68</v>
      </c>
      <c r="BI26" s="295">
        <f t="shared" ref="BI26:BJ26" si="155">BH26</f>
        <v>38364.68</v>
      </c>
      <c r="BJ26" s="295">
        <f t="shared" si="155"/>
        <v>38364.68</v>
      </c>
      <c r="BK26" s="295">
        <f>SUM($AY$26:AY26)</f>
        <v>38364.68</v>
      </c>
      <c r="BL26" s="295">
        <f>SUM($AY$26:AZ26)</f>
        <v>76729.36</v>
      </c>
      <c r="BM26" s="295">
        <f>SUM($AY$26:BA26)</f>
        <v>115094.04000000001</v>
      </c>
      <c r="BN26" s="295">
        <f>SUM($AY$26:BB26)</f>
        <v>153458.72</v>
      </c>
      <c r="BO26" s="295">
        <f>SUM($AY$26:BC26)</f>
        <v>191823.4</v>
      </c>
      <c r="BP26" s="295">
        <f>SUM($AY$26:BD26)</f>
        <v>230188.08</v>
      </c>
      <c r="BQ26" s="295">
        <f>SUM($AY$26:BE26)</f>
        <v>268552.76</v>
      </c>
      <c r="BR26" s="295">
        <f>SUM($AY$26:BF26)</f>
        <v>306917.44</v>
      </c>
      <c r="BS26" s="295">
        <f>SUM($AY$26:BG26)</f>
        <v>345282.12</v>
      </c>
      <c r="BT26" s="295">
        <f>SUM($AY$26:BH26)</f>
        <v>383646.8</v>
      </c>
      <c r="BU26" s="295">
        <f>SUM($AY$26:BI26)</f>
        <v>422011.48</v>
      </c>
      <c r="BV26" s="295">
        <f>SUM($AY$26:BJ26)</f>
        <v>460376.16</v>
      </c>
      <c r="BW26" s="284"/>
    </row>
    <row r="27" spans="1:75" s="229" customFormat="1" outlineLevel="1" x14ac:dyDescent="0.25">
      <c r="A27" s="222">
        <v>4</v>
      </c>
      <c r="B27" s="230">
        <f>EEFFun!B496</f>
        <v>4404</v>
      </c>
      <c r="C27" s="223" t="str">
        <f>EEFFun!C496</f>
        <v>Bienes realizables, adjudicados por pago y de arre</v>
      </c>
      <c r="D27" s="279">
        <f>EEFFun!P496</f>
        <v>5114.6499999999996</v>
      </c>
      <c r="E27" s="295">
        <f t="shared" si="137"/>
        <v>639.33000000000004</v>
      </c>
      <c r="F27" s="295">
        <f t="shared" si="138"/>
        <v>-639.33000000000004</v>
      </c>
      <c r="G27" s="295">
        <f t="shared" si="139"/>
        <v>0</v>
      </c>
      <c r="H27" s="295">
        <f t="shared" si="140"/>
        <v>0</v>
      </c>
      <c r="I27" s="295">
        <f t="shared" si="141"/>
        <v>0</v>
      </c>
      <c r="J27" s="295">
        <f t="shared" si="142"/>
        <v>0</v>
      </c>
      <c r="K27" s="295">
        <f t="shared" si="143"/>
        <v>0</v>
      </c>
      <c r="L27" s="295">
        <f t="shared" si="144"/>
        <v>0</v>
      </c>
      <c r="M27" s="295">
        <f t="shared" si="145"/>
        <v>0</v>
      </c>
      <c r="N27" s="295">
        <f t="shared" si="146"/>
        <v>0</v>
      </c>
      <c r="O27" s="295">
        <f t="shared" si="147"/>
        <v>0</v>
      </c>
      <c r="P27" s="295">
        <f t="shared" si="147"/>
        <v>0</v>
      </c>
      <c r="Q27" s="279">
        <f>EEFFun!Q496</f>
        <v>639.33000000000004</v>
      </c>
      <c r="R27" s="279">
        <f>EEFFun!R496</f>
        <v>0</v>
      </c>
      <c r="S27" s="279">
        <f>EEFFun!S496</f>
        <v>0</v>
      </c>
      <c r="T27" s="279">
        <f>EEFFun!T496</f>
        <v>0</v>
      </c>
      <c r="U27" s="279">
        <f>EEFFun!U496</f>
        <v>0</v>
      </c>
      <c r="V27" s="279">
        <f>EEFFun!V496</f>
        <v>0</v>
      </c>
      <c r="W27" s="279">
        <f>EEFFun!W496</f>
        <v>0</v>
      </c>
      <c r="X27" s="279">
        <f>EEFFun!X496</f>
        <v>0</v>
      </c>
      <c r="Y27" s="279">
        <f>EEFFun!Y496</f>
        <v>0</v>
      </c>
      <c r="Z27" s="279">
        <f>EEFFun!Z496</f>
        <v>0</v>
      </c>
      <c r="AA27" s="279">
        <f>EEFFun!AA496</f>
        <v>0</v>
      </c>
      <c r="AB27" s="279">
        <f>EEFFun!AB496</f>
        <v>0</v>
      </c>
      <c r="AC27" s="279">
        <f>EEFFun!AC496</f>
        <v>0</v>
      </c>
      <c r="AD27" s="279">
        <f>EEFFun!AD496</f>
        <v>0</v>
      </c>
      <c r="AE27" s="279">
        <f>EEFFun!AE496</f>
        <v>0</v>
      </c>
      <c r="AF27" s="279">
        <f>EEFFun!AF496</f>
        <v>0</v>
      </c>
      <c r="AG27" s="279">
        <f>EEFFun!AG496</f>
        <v>0</v>
      </c>
      <c r="AH27" s="279">
        <f>EEFFun!AH496</f>
        <v>0</v>
      </c>
      <c r="AI27" s="279">
        <f>EEFFun!AI496</f>
        <v>0</v>
      </c>
      <c r="AJ27" s="279">
        <f>EEFFun!AJ496</f>
        <v>0</v>
      </c>
      <c r="AK27" s="279">
        <f>EEFFun!AK496</f>
        <v>0</v>
      </c>
      <c r="AL27" s="279">
        <f>EEFFun!AL496</f>
        <v>0</v>
      </c>
      <c r="AM27" s="279">
        <f>EEFFun!AM496</f>
        <v>0</v>
      </c>
      <c r="AN27" s="279">
        <f>EEFFun!AN496</f>
        <v>0</v>
      </c>
      <c r="AO27" s="279">
        <f>EEFFun!AO496</f>
        <v>0</v>
      </c>
      <c r="AP27" s="279">
        <f>EEFFun!AP496</f>
        <v>0</v>
      </c>
      <c r="AQ27" s="279">
        <f>EEFFun!AQ496</f>
        <v>0</v>
      </c>
      <c r="AR27" s="279">
        <f>EEFFun!AR496</f>
        <v>0</v>
      </c>
      <c r="AS27" s="279">
        <f>EEFFun!AS496</f>
        <v>0</v>
      </c>
      <c r="AT27" s="279">
        <f>EEFFun!AT496</f>
        <v>0</v>
      </c>
      <c r="AU27" s="279">
        <f>EEFFun!AU496</f>
        <v>0</v>
      </c>
      <c r="AV27" s="279">
        <f>EEFFun!AV496</f>
        <v>0</v>
      </c>
      <c r="AW27" s="279">
        <f>EEFFun!AW496</f>
        <v>0</v>
      </c>
      <c r="AX27" s="279">
        <f>EEFFun!AX496</f>
        <v>0</v>
      </c>
      <c r="AY27" s="295">
        <f>AB27</f>
        <v>0</v>
      </c>
      <c r="AZ27" s="295">
        <f t="shared" si="148"/>
        <v>0</v>
      </c>
      <c r="BA27" s="295">
        <f t="shared" si="149"/>
        <v>0</v>
      </c>
      <c r="BB27" s="295">
        <f t="shared" si="150"/>
        <v>0</v>
      </c>
      <c r="BC27" s="295">
        <f t="shared" si="151"/>
        <v>0</v>
      </c>
      <c r="BD27" s="295">
        <f t="shared" si="152"/>
        <v>0</v>
      </c>
      <c r="BE27" s="295">
        <f t="shared" si="153"/>
        <v>0</v>
      </c>
      <c r="BF27" s="295">
        <f t="shared" si="154"/>
        <v>0</v>
      </c>
      <c r="BG27" s="295">
        <f t="shared" si="154"/>
        <v>0</v>
      </c>
      <c r="BH27" s="295">
        <f t="shared" si="154"/>
        <v>0</v>
      </c>
      <c r="BI27" s="295">
        <f t="shared" ref="BI27:BJ27" si="156">BH27</f>
        <v>0</v>
      </c>
      <c r="BJ27" s="295">
        <f t="shared" si="156"/>
        <v>0</v>
      </c>
      <c r="BK27" s="295">
        <f>SUM($AY$27:AY27)</f>
        <v>0</v>
      </c>
      <c r="BL27" s="295">
        <f>SUM($AY$27:AZ27)</f>
        <v>0</v>
      </c>
      <c r="BM27" s="295">
        <f>SUM($AY$27:BA27)</f>
        <v>0</v>
      </c>
      <c r="BN27" s="295">
        <f>SUM($AY$27:BB27)</f>
        <v>0</v>
      </c>
      <c r="BO27" s="295">
        <f>SUM($AY$27:BC27)</f>
        <v>0</v>
      </c>
      <c r="BP27" s="295">
        <f>SUM($AY$27:BD27)</f>
        <v>0</v>
      </c>
      <c r="BQ27" s="295">
        <f>SUM($AY$27:BE27)</f>
        <v>0</v>
      </c>
      <c r="BR27" s="295">
        <f>SUM($AY$27:BF27)</f>
        <v>0</v>
      </c>
      <c r="BS27" s="295">
        <f>SUM($AY$27:BG27)</f>
        <v>0</v>
      </c>
      <c r="BT27" s="295">
        <f>SUM($AY$27:BH27)</f>
        <v>0</v>
      </c>
      <c r="BU27" s="295">
        <f>SUM($AY$27:BI27)</f>
        <v>0</v>
      </c>
      <c r="BV27" s="295">
        <f>SUM($AY$27:BJ27)</f>
        <v>0</v>
      </c>
      <c r="BW27" s="284"/>
    </row>
    <row r="28" spans="1:75" s="229" customFormat="1" outlineLevel="1" x14ac:dyDescent="0.25">
      <c r="A28" s="222">
        <v>4</v>
      </c>
      <c r="B28" s="230">
        <f>EEFFun!B497</f>
        <v>4405</v>
      </c>
      <c r="C28" s="223" t="str">
        <f>EEFFun!C497</f>
        <v>Otros activos</v>
      </c>
      <c r="D28" s="279">
        <f>EEFFun!P497</f>
        <v>0</v>
      </c>
      <c r="E28" s="295">
        <f t="shared" si="137"/>
        <v>0</v>
      </c>
      <c r="F28" s="295">
        <f t="shared" si="138"/>
        <v>0</v>
      </c>
      <c r="G28" s="295">
        <f t="shared" si="139"/>
        <v>0</v>
      </c>
      <c r="H28" s="295">
        <f t="shared" si="140"/>
        <v>0</v>
      </c>
      <c r="I28" s="295">
        <f t="shared" si="141"/>
        <v>0</v>
      </c>
      <c r="J28" s="295">
        <f t="shared" si="142"/>
        <v>0</v>
      </c>
      <c r="K28" s="295">
        <f t="shared" si="143"/>
        <v>0</v>
      </c>
      <c r="L28" s="295">
        <f t="shared" si="144"/>
        <v>0</v>
      </c>
      <c r="M28" s="295">
        <f t="shared" si="145"/>
        <v>0</v>
      </c>
      <c r="N28" s="295">
        <f t="shared" si="146"/>
        <v>0</v>
      </c>
      <c r="O28" s="295">
        <f t="shared" si="147"/>
        <v>0</v>
      </c>
      <c r="P28" s="295">
        <f t="shared" si="147"/>
        <v>0</v>
      </c>
      <c r="Q28" s="279">
        <f>EEFFun!Q497</f>
        <v>0</v>
      </c>
      <c r="R28" s="279">
        <f>EEFFun!R497</f>
        <v>0</v>
      </c>
      <c r="S28" s="279">
        <f>EEFFun!S497</f>
        <v>0</v>
      </c>
      <c r="T28" s="279">
        <f>EEFFun!T497</f>
        <v>0</v>
      </c>
      <c r="U28" s="279">
        <f>EEFFun!U497</f>
        <v>0</v>
      </c>
      <c r="V28" s="279">
        <f>EEFFun!V497</f>
        <v>0</v>
      </c>
      <c r="W28" s="279">
        <f>EEFFun!W497</f>
        <v>0</v>
      </c>
      <c r="X28" s="279">
        <f>EEFFun!X497</f>
        <v>0</v>
      </c>
      <c r="Y28" s="279">
        <f>EEFFun!Y497</f>
        <v>0</v>
      </c>
      <c r="Z28" s="279">
        <f>EEFFun!Z497</f>
        <v>0</v>
      </c>
      <c r="AA28" s="279">
        <f>EEFFun!AA497</f>
        <v>0</v>
      </c>
      <c r="AB28" s="279">
        <f>EEFFun!AB497</f>
        <v>0</v>
      </c>
      <c r="AC28" s="279">
        <f>EEFFun!AC497</f>
        <v>0</v>
      </c>
      <c r="AD28" s="279">
        <f>EEFFun!AD497</f>
        <v>0</v>
      </c>
      <c r="AE28" s="279">
        <f>EEFFun!AE497</f>
        <v>69.010000000000005</v>
      </c>
      <c r="AF28" s="279">
        <f>EEFFun!AF497</f>
        <v>69.010000000000005</v>
      </c>
      <c r="AG28" s="279">
        <f>EEFFun!AG497</f>
        <v>69.010000000000005</v>
      </c>
      <c r="AH28" s="279">
        <f>EEFFun!AH497</f>
        <v>69.400000000000006</v>
      </c>
      <c r="AI28" s="279">
        <f>EEFFun!AI497</f>
        <v>69.400000000000006</v>
      </c>
      <c r="AJ28" s="279">
        <f>EEFFun!AJ497</f>
        <v>69.400000000000006</v>
      </c>
      <c r="AK28" s="279">
        <f>EEFFun!AK497</f>
        <v>70</v>
      </c>
      <c r="AL28" s="279">
        <f>EEFFun!AL497</f>
        <v>70</v>
      </c>
      <c r="AM28" s="279">
        <f>EEFFun!AM497</f>
        <v>70</v>
      </c>
      <c r="AN28" s="279">
        <f>EEFFun!AN497</f>
        <v>70</v>
      </c>
      <c r="AO28" s="279">
        <f>EEFFun!AO497</f>
        <v>0</v>
      </c>
      <c r="AP28" s="279">
        <f>EEFFun!AP497</f>
        <v>0</v>
      </c>
      <c r="AQ28" s="279">
        <f>EEFFun!AQ497</f>
        <v>0</v>
      </c>
      <c r="AR28" s="279">
        <f>EEFFun!AR497</f>
        <v>0</v>
      </c>
      <c r="AS28" s="279">
        <f>EEFFun!AS497</f>
        <v>0</v>
      </c>
      <c r="AT28" s="279">
        <f>EEFFun!AT497</f>
        <v>0</v>
      </c>
      <c r="AU28" s="279">
        <f>EEFFun!AU497</f>
        <v>0</v>
      </c>
      <c r="AV28" s="279">
        <f>EEFFun!AV497</f>
        <v>0</v>
      </c>
      <c r="AW28" s="279">
        <f>EEFFun!AW497</f>
        <v>0</v>
      </c>
      <c r="AX28" s="279">
        <f>EEFFun!AX497</f>
        <v>0</v>
      </c>
      <c r="AY28" s="295">
        <f>AB28</f>
        <v>0</v>
      </c>
      <c r="AZ28" s="295">
        <f t="shared" si="148"/>
        <v>0</v>
      </c>
      <c r="BA28" s="295">
        <f t="shared" si="149"/>
        <v>0</v>
      </c>
      <c r="BB28" s="295">
        <f t="shared" si="150"/>
        <v>0</v>
      </c>
      <c r="BC28" s="295">
        <f t="shared" si="151"/>
        <v>0</v>
      </c>
      <c r="BD28" s="295">
        <f t="shared" si="152"/>
        <v>0</v>
      </c>
      <c r="BE28" s="295">
        <f t="shared" si="153"/>
        <v>0</v>
      </c>
      <c r="BF28" s="295">
        <f t="shared" si="154"/>
        <v>0</v>
      </c>
      <c r="BG28" s="295">
        <f t="shared" si="154"/>
        <v>0</v>
      </c>
      <c r="BH28" s="295">
        <f t="shared" si="154"/>
        <v>0</v>
      </c>
      <c r="BI28" s="295">
        <f t="shared" ref="BI28:BJ28" si="157">BH28</f>
        <v>0</v>
      </c>
      <c r="BJ28" s="295">
        <f t="shared" si="157"/>
        <v>0</v>
      </c>
      <c r="BK28" s="295">
        <f>SUM($AY$28:AY28)</f>
        <v>0</v>
      </c>
      <c r="BL28" s="295">
        <f>SUM($AY$28:AZ28)</f>
        <v>0</v>
      </c>
      <c r="BM28" s="295">
        <f>SUM($AY$28:BA28)</f>
        <v>0</v>
      </c>
      <c r="BN28" s="295">
        <f>SUM($AY$28:BB28)</f>
        <v>0</v>
      </c>
      <c r="BO28" s="295">
        <f>SUM($AY$28:BC28)</f>
        <v>0</v>
      </c>
      <c r="BP28" s="295">
        <f>SUM($AY$28:BD28)</f>
        <v>0</v>
      </c>
      <c r="BQ28" s="295">
        <f>SUM($AY$28:BE28)</f>
        <v>0</v>
      </c>
      <c r="BR28" s="295">
        <f>SUM($AY$28:BF28)</f>
        <v>0</v>
      </c>
      <c r="BS28" s="295">
        <f>SUM($AY$28:BG28)</f>
        <v>0</v>
      </c>
      <c r="BT28" s="295">
        <f>SUM($AY$28:BH28)</f>
        <v>0</v>
      </c>
      <c r="BU28" s="295">
        <f>SUM($AY$28:BI28)</f>
        <v>0</v>
      </c>
      <c r="BV28" s="295">
        <f>SUM($AY$28:BJ28)</f>
        <v>0</v>
      </c>
      <c r="BW28" s="284"/>
    </row>
    <row r="29" spans="1:75" s="229" customFormat="1" outlineLevel="1" x14ac:dyDescent="0.25">
      <c r="A29" s="222">
        <v>4</v>
      </c>
      <c r="B29" s="230">
        <f>EEFFun!B498</f>
        <v>4406</v>
      </c>
      <c r="C29" s="223" t="str">
        <f>EEFFun!C498</f>
        <v>Operaciones contingentes</v>
      </c>
      <c r="D29" s="279">
        <f>EEFFun!P498</f>
        <v>0</v>
      </c>
      <c r="E29" s="295">
        <f t="shared" ref="E29" si="158">Q29</f>
        <v>0</v>
      </c>
      <c r="F29" s="295">
        <f t="shared" ref="F29" si="159">R29-Q29</f>
        <v>0</v>
      </c>
      <c r="G29" s="295">
        <f t="shared" ref="G29" si="160">S29-R29</f>
        <v>0</v>
      </c>
      <c r="H29" s="295">
        <f t="shared" ref="H29" si="161">T29-S29</f>
        <v>0</v>
      </c>
      <c r="I29" s="295">
        <f t="shared" ref="I29" si="162">U29-T29</f>
        <v>0</v>
      </c>
      <c r="J29" s="295">
        <f t="shared" ref="J29" si="163">V29-U29</f>
        <v>551.86</v>
      </c>
      <c r="K29" s="295">
        <f t="shared" ref="K29" si="164">W29-V29</f>
        <v>0</v>
      </c>
      <c r="L29" s="295">
        <f t="shared" ref="L29" si="165">X29-W29</f>
        <v>0</v>
      </c>
      <c r="M29" s="295">
        <f t="shared" ref="M29" si="166">Y29-X29</f>
        <v>0</v>
      </c>
      <c r="N29" s="295">
        <f t="shared" ref="N29" si="167">Z29-Y29</f>
        <v>0</v>
      </c>
      <c r="O29" s="295">
        <f t="shared" ref="O29:P29" si="168">AA29-Z29</f>
        <v>0</v>
      </c>
      <c r="P29" s="295">
        <f t="shared" si="168"/>
        <v>0</v>
      </c>
      <c r="Q29" s="279">
        <f>EEFFun!Q498</f>
        <v>0</v>
      </c>
      <c r="R29" s="279">
        <f>EEFFun!R498</f>
        <v>0</v>
      </c>
      <c r="S29" s="279">
        <f>EEFFun!S498</f>
        <v>0</v>
      </c>
      <c r="T29" s="279">
        <f>EEFFun!T498</f>
        <v>0</v>
      </c>
      <c r="U29" s="279">
        <f>EEFFun!U498</f>
        <v>0</v>
      </c>
      <c r="V29" s="279">
        <f>EEFFun!V498</f>
        <v>551.86</v>
      </c>
      <c r="W29" s="279">
        <f>EEFFun!W498</f>
        <v>551.86</v>
      </c>
      <c r="X29" s="279">
        <f>EEFFun!X498</f>
        <v>551.86</v>
      </c>
      <c r="Y29" s="279">
        <f>EEFFun!Y498</f>
        <v>551.86</v>
      </c>
      <c r="Z29" s="279">
        <f>EEFFun!Z498</f>
        <v>551.86</v>
      </c>
      <c r="AA29" s="279">
        <f>EEFFun!AA498</f>
        <v>551.86</v>
      </c>
      <c r="AB29" s="279">
        <f>EEFFun!AB498</f>
        <v>551.86</v>
      </c>
      <c r="AC29" s="279">
        <f>EEFFun!AC498</f>
        <v>0</v>
      </c>
      <c r="AD29" s="279">
        <f>EEFFun!AD498</f>
        <v>250</v>
      </c>
      <c r="AE29" s="279">
        <f>EEFFun!AE498</f>
        <v>0</v>
      </c>
      <c r="AF29" s="279">
        <f>EEFFun!AF498</f>
        <v>0</v>
      </c>
      <c r="AG29" s="279">
        <f>EEFFun!AG498</f>
        <v>0</v>
      </c>
      <c r="AH29" s="279">
        <f>EEFFun!AH498</f>
        <v>0</v>
      </c>
      <c r="AI29" s="279">
        <f>EEFFun!AI498</f>
        <v>0</v>
      </c>
      <c r="AJ29" s="279">
        <f>EEFFun!AJ498</f>
        <v>0</v>
      </c>
      <c r="AK29" s="279">
        <f>EEFFun!AK498</f>
        <v>0</v>
      </c>
      <c r="AL29" s="279">
        <f>EEFFun!AL498</f>
        <v>0</v>
      </c>
      <c r="AM29" s="279">
        <f>EEFFun!AM498</f>
        <v>0</v>
      </c>
      <c r="AN29" s="279">
        <f>EEFFun!AN498</f>
        <v>0</v>
      </c>
      <c r="AO29" s="279">
        <f>EEFFun!AO498</f>
        <v>0</v>
      </c>
      <c r="AP29" s="279">
        <f>EEFFun!AP498</f>
        <v>0</v>
      </c>
      <c r="AQ29" s="279">
        <f>EEFFun!AQ498</f>
        <v>0</v>
      </c>
      <c r="AR29" s="279">
        <f>EEFFun!AR498</f>
        <v>0</v>
      </c>
      <c r="AS29" s="279">
        <f>EEFFun!AS498</f>
        <v>0</v>
      </c>
      <c r="AT29" s="279">
        <f>EEFFun!AT498</f>
        <v>0</v>
      </c>
      <c r="AU29" s="279">
        <f>EEFFun!AU498</f>
        <v>0</v>
      </c>
      <c r="AV29" s="279">
        <f>EEFFun!AV498</f>
        <v>0</v>
      </c>
      <c r="AW29" s="279">
        <f>EEFFun!AW498</f>
        <v>0</v>
      </c>
      <c r="AX29" s="279">
        <f>EEFFun!AX498</f>
        <v>0</v>
      </c>
      <c r="AY29" s="295">
        <f>AB29</f>
        <v>551.86</v>
      </c>
      <c r="AZ29" s="295">
        <f t="shared" si="148"/>
        <v>551.86</v>
      </c>
      <c r="BA29" s="295">
        <f t="shared" si="149"/>
        <v>551.86</v>
      </c>
      <c r="BB29" s="295">
        <f t="shared" si="150"/>
        <v>551.86</v>
      </c>
      <c r="BC29" s="295">
        <f t="shared" si="151"/>
        <v>551.86</v>
      </c>
      <c r="BD29" s="295">
        <f t="shared" si="152"/>
        <v>551.86</v>
      </c>
      <c r="BE29" s="295">
        <f t="shared" si="153"/>
        <v>551.86</v>
      </c>
      <c r="BF29" s="295">
        <f t="shared" si="154"/>
        <v>551.86</v>
      </c>
      <c r="BG29" s="295">
        <f t="shared" si="154"/>
        <v>551.86</v>
      </c>
      <c r="BH29" s="295">
        <f t="shared" si="154"/>
        <v>551.86</v>
      </c>
      <c r="BI29" s="295">
        <f t="shared" ref="BI29:BJ29" si="169">BH29</f>
        <v>551.86</v>
      </c>
      <c r="BJ29" s="295">
        <f t="shared" si="169"/>
        <v>551.86</v>
      </c>
      <c r="BK29" s="295">
        <f>SUM($AY$29:AY29)</f>
        <v>551.86</v>
      </c>
      <c r="BL29" s="295">
        <f>SUM($AY$29:AZ29)</f>
        <v>1103.72</v>
      </c>
      <c r="BM29" s="295">
        <f>SUM($AY$29:BA29)</f>
        <v>1655.58</v>
      </c>
      <c r="BN29" s="295">
        <f>SUM($AY$29:BB29)</f>
        <v>2207.44</v>
      </c>
      <c r="BO29" s="295">
        <f>SUM($AY$29:BC29)</f>
        <v>2759.3</v>
      </c>
      <c r="BP29" s="295">
        <f>SUM($AY$29:BD29)</f>
        <v>3311.1600000000003</v>
      </c>
      <c r="BQ29" s="295">
        <f>SUM($AY$29:BE29)</f>
        <v>3863.0200000000004</v>
      </c>
      <c r="BR29" s="295">
        <f>SUM($AY$29:BF29)</f>
        <v>4414.88</v>
      </c>
      <c r="BS29" s="295">
        <f>SUM($AY$29:BG29)</f>
        <v>4966.74</v>
      </c>
      <c r="BT29" s="295">
        <f>SUM($AY$29:BH29)</f>
        <v>5518.5999999999995</v>
      </c>
      <c r="BU29" s="295">
        <f>SUM($AY$29:BI29)</f>
        <v>6070.4599999999991</v>
      </c>
      <c r="BV29" s="295">
        <f>SUM($AY$29:BJ29)</f>
        <v>6622.3199999999988</v>
      </c>
      <c r="BW29" s="284"/>
    </row>
    <row r="30" spans="1:75" s="229" customFormat="1" x14ac:dyDescent="0.25">
      <c r="A30" s="222">
        <v>2</v>
      </c>
      <c r="B30" s="223">
        <f>EEFFun!B499</f>
        <v>45</v>
      </c>
      <c r="C30" s="223" t="str">
        <f>EEFFun!C499</f>
        <v>GASTOS DE OPERACION</v>
      </c>
      <c r="D30" s="279">
        <f>EEFFun!P499</f>
        <v>2895307.96</v>
      </c>
      <c r="E30" s="297">
        <f t="shared" ref="E30:H30" si="170">E31+E59+E62+E97+E113+E117+E121</f>
        <v>195140.80000000002</v>
      </c>
      <c r="F30" s="297">
        <f t="shared" si="170"/>
        <v>187679.35</v>
      </c>
      <c r="G30" s="297">
        <f t="shared" si="170"/>
        <v>185960.39</v>
      </c>
      <c r="H30" s="297">
        <f t="shared" si="170"/>
        <v>195455.13</v>
      </c>
      <c r="I30" s="297">
        <f t="shared" ref="I30:O30" si="171">I31+I59+I62+I97+I113+I117+I121</f>
        <v>213202.28</v>
      </c>
      <c r="J30" s="297">
        <f t="shared" si="171"/>
        <v>194370.73999999996</v>
      </c>
      <c r="K30" s="297">
        <f t="shared" si="171"/>
        <v>201048.59999999998</v>
      </c>
      <c r="L30" s="297">
        <f t="shared" si="171"/>
        <v>220209.14000000004</v>
      </c>
      <c r="M30" s="297">
        <f t="shared" si="171"/>
        <v>199543.19999999998</v>
      </c>
      <c r="N30" s="297">
        <f t="shared" si="171"/>
        <v>211532.40999999997</v>
      </c>
      <c r="O30" s="297">
        <f t="shared" si="171"/>
        <v>220919.87999999995</v>
      </c>
      <c r="P30" s="297">
        <f t="shared" ref="P30" si="172">P31+P59+P62+P97+P113+P117+P121</f>
        <v>172413.13</v>
      </c>
      <c r="Q30" s="279">
        <f>EEFFun!Q499</f>
        <v>195140.8</v>
      </c>
      <c r="R30" s="279">
        <f>EEFFun!R499</f>
        <v>382820.15</v>
      </c>
      <c r="S30" s="279">
        <f>EEFFun!S499</f>
        <v>568780.54</v>
      </c>
      <c r="T30" s="279">
        <f>EEFFun!T499</f>
        <v>764235.67</v>
      </c>
      <c r="U30" s="279">
        <f>EEFFun!U499</f>
        <v>977437.95</v>
      </c>
      <c r="V30" s="279">
        <f>EEFFun!V499</f>
        <v>1171808.69</v>
      </c>
      <c r="W30" s="279">
        <f>EEFFun!W499</f>
        <v>1372857.29</v>
      </c>
      <c r="X30" s="279">
        <f>EEFFun!X499</f>
        <v>1593066.43</v>
      </c>
      <c r="Y30" s="279">
        <f>EEFFun!Y499</f>
        <v>1792609.63</v>
      </c>
      <c r="Z30" s="279">
        <f>EEFFun!Z499</f>
        <v>2004142.04</v>
      </c>
      <c r="AA30" s="279">
        <f>EEFFun!AA499</f>
        <v>2225061.92</v>
      </c>
      <c r="AB30" s="279">
        <f>EEFFun!AB499</f>
        <v>2397475.0499999998</v>
      </c>
      <c r="AC30" s="279">
        <f>EEFFun!AC499</f>
        <v>205046.9</v>
      </c>
      <c r="AD30" s="279">
        <f>EEFFun!AD499</f>
        <v>423854.51</v>
      </c>
      <c r="AE30" s="279">
        <f>EEFFun!AE499</f>
        <v>623084.78</v>
      </c>
      <c r="AF30" s="279">
        <f>EEFFun!AF499</f>
        <v>838296.44</v>
      </c>
      <c r="AG30" s="279">
        <f>EEFFun!AG499</f>
        <v>1062842.3700000001</v>
      </c>
      <c r="AH30" s="279">
        <f>EEFFun!AH499</f>
        <v>1306380.45</v>
      </c>
      <c r="AI30" s="279">
        <f>EEFFun!AI499</f>
        <v>1552877.03</v>
      </c>
      <c r="AJ30" s="279">
        <f>EEFFun!AJ499</f>
        <v>1810124.95</v>
      </c>
      <c r="AK30" s="279">
        <f>EEFFun!AK499</f>
        <v>2067698.62</v>
      </c>
      <c r="AL30" s="279">
        <f>EEFFun!AL499</f>
        <v>2373263.5299999998</v>
      </c>
      <c r="AM30" s="279">
        <f>EEFFun!AM499</f>
        <v>2666336.34</v>
      </c>
      <c r="AN30" s="279">
        <f>EEFFun!AN499</f>
        <v>3085539.97</v>
      </c>
      <c r="AO30" s="279">
        <f>EEFFun!AO499</f>
        <v>305002.06</v>
      </c>
      <c r="AP30" s="279">
        <f>EEFFun!AP499</f>
        <v>693584.52</v>
      </c>
      <c r="AQ30" s="279">
        <f>EEFFun!AQ499</f>
        <v>1034599.55</v>
      </c>
      <c r="AR30" s="279">
        <f>EEFFun!AR499</f>
        <v>1384388.24</v>
      </c>
      <c r="AS30" s="279">
        <f>EEFFun!AS499</f>
        <v>1755698.04</v>
      </c>
      <c r="AT30" s="279">
        <f>EEFFun!AT499</f>
        <v>2138400.91</v>
      </c>
      <c r="AU30" s="279">
        <f>EEFFun!AU499</f>
        <v>2488847.7799999998</v>
      </c>
      <c r="AV30" s="279">
        <f>EEFFun!AV499</f>
        <v>2852379.79</v>
      </c>
      <c r="AW30" s="279">
        <f>EEFFun!AW499</f>
        <v>3221519.37</v>
      </c>
      <c r="AX30" s="279">
        <f>EEFFun!AX499</f>
        <v>3591148.41</v>
      </c>
      <c r="AY30" s="297">
        <f t="shared" ref="AY30" si="173">AY31+AY59+AY62+AY97+AY113+AY117+AY121</f>
        <v>323730.09018333338</v>
      </c>
      <c r="AZ30" s="297">
        <f t="shared" ref="AZ30:BJ30" si="174">AZ31+AZ59+AZ62+AZ97+AZ113+AZ117+AZ121</f>
        <v>323730.09018333338</v>
      </c>
      <c r="BA30" s="297">
        <f t="shared" si="174"/>
        <v>323730.09018333338</v>
      </c>
      <c r="BB30" s="297">
        <f t="shared" si="174"/>
        <v>307196.85738333338</v>
      </c>
      <c r="BC30" s="297">
        <f t="shared" si="174"/>
        <v>307196.85738333338</v>
      </c>
      <c r="BD30" s="297">
        <f t="shared" si="174"/>
        <v>307196.85738333338</v>
      </c>
      <c r="BE30" s="297">
        <f t="shared" si="174"/>
        <v>307196.85738333338</v>
      </c>
      <c r="BF30" s="297">
        <f t="shared" si="174"/>
        <v>307196.85738333338</v>
      </c>
      <c r="BG30" s="297">
        <f t="shared" si="174"/>
        <v>307196.85738333338</v>
      </c>
      <c r="BH30" s="297">
        <f t="shared" si="174"/>
        <v>307196.85738333338</v>
      </c>
      <c r="BI30" s="297">
        <f t="shared" si="174"/>
        <v>307196.85738333338</v>
      </c>
      <c r="BJ30" s="297">
        <f t="shared" si="174"/>
        <v>307196.85738333338</v>
      </c>
      <c r="BK30" s="297">
        <f t="shared" ref="BK30:BQ30" si="175">BK31+BK59+BK62+BK97+BK113+BK117+BK121</f>
        <v>322715.46078333334</v>
      </c>
      <c r="BL30" s="297">
        <f t="shared" si="175"/>
        <v>645430.92156666669</v>
      </c>
      <c r="BM30" s="297">
        <f t="shared" si="175"/>
        <v>968146.38235000009</v>
      </c>
      <c r="BN30" s="297">
        <f t="shared" si="175"/>
        <v>1277655.3468333334</v>
      </c>
      <c r="BO30" s="297">
        <f t="shared" si="175"/>
        <v>1587164.3113166667</v>
      </c>
      <c r="BP30" s="297">
        <f t="shared" si="175"/>
        <v>1896673.2758000004</v>
      </c>
      <c r="BQ30" s="297">
        <f t="shared" si="175"/>
        <v>2206182.2402833337</v>
      </c>
      <c r="BR30" s="297">
        <f t="shared" ref="BR30:BV30" si="176">BR31+BR59+BR62+BR97+BR113+BR117+BR121</f>
        <v>2515691.204766667</v>
      </c>
      <c r="BS30" s="297">
        <f t="shared" si="176"/>
        <v>2825200.1692500007</v>
      </c>
      <c r="BT30" s="297">
        <f t="shared" si="176"/>
        <v>3134709.133733334</v>
      </c>
      <c r="BU30" s="297">
        <f t="shared" si="176"/>
        <v>3444218.0982166673</v>
      </c>
      <c r="BV30" s="297">
        <f t="shared" si="176"/>
        <v>3753727.0627000006</v>
      </c>
      <c r="BW30" s="373"/>
    </row>
    <row r="31" spans="1:75" s="229" customFormat="1" outlineLevel="1" x14ac:dyDescent="0.25">
      <c r="A31" s="222">
        <v>4</v>
      </c>
      <c r="B31" s="223">
        <f>EEFFun!B500</f>
        <v>4501</v>
      </c>
      <c r="C31" s="223" t="str">
        <f>EEFFun!C500</f>
        <v>Gastos de personal</v>
      </c>
      <c r="D31" s="279">
        <f>EEFFun!P500</f>
        <v>1402362.93</v>
      </c>
      <c r="E31" s="297">
        <f t="shared" ref="E31" si="177">E32+E33+E36+E37+E38+E39</f>
        <v>100393.61</v>
      </c>
      <c r="F31" s="297">
        <f t="shared" ref="F31" si="178">F32+F33+F36+F37+F38+F39</f>
        <v>93353.12000000001</v>
      </c>
      <c r="G31" s="297">
        <f t="shared" ref="G31" si="179">G32+G33+G36+G37+G38+G39</f>
        <v>85172.99000000002</v>
      </c>
      <c r="H31" s="297">
        <f t="shared" ref="H31:O31" si="180">H32+H33+H36+H37+H38+H39</f>
        <v>90351.849999999991</v>
      </c>
      <c r="I31" s="297">
        <f t="shared" si="180"/>
        <v>89196.700000000012</v>
      </c>
      <c r="J31" s="297">
        <f t="shared" si="180"/>
        <v>87454.719999999972</v>
      </c>
      <c r="K31" s="297">
        <f>K32+K33+K36+K37+K38+K39</f>
        <v>85816.960000000006</v>
      </c>
      <c r="L31" s="297">
        <f t="shared" si="180"/>
        <v>95866.199999999983</v>
      </c>
      <c r="M31" s="297">
        <f t="shared" si="180"/>
        <v>89941.910000000033</v>
      </c>
      <c r="N31" s="297">
        <f t="shared" si="180"/>
        <v>100507.97999999998</v>
      </c>
      <c r="O31" s="297">
        <f t="shared" si="180"/>
        <v>100476.20999999998</v>
      </c>
      <c r="P31" s="297">
        <f t="shared" ref="P31" si="181">P32+P33+P36+P37+P38+P39</f>
        <v>107166.23000000004</v>
      </c>
      <c r="Q31" s="279">
        <f>EEFFun!Q500</f>
        <v>100393.61</v>
      </c>
      <c r="R31" s="279">
        <f>EEFFun!R500</f>
        <v>193746.73</v>
      </c>
      <c r="S31" s="279">
        <f>EEFFun!S500</f>
        <v>278919.71999999997</v>
      </c>
      <c r="T31" s="279">
        <f>EEFFun!T500</f>
        <v>369271.57</v>
      </c>
      <c r="U31" s="279">
        <f>EEFFun!U500</f>
        <v>458468.27</v>
      </c>
      <c r="V31" s="279">
        <f>EEFFun!V500</f>
        <v>545922.99</v>
      </c>
      <c r="W31" s="279">
        <f>EEFFun!W500</f>
        <v>631739.94999999995</v>
      </c>
      <c r="X31" s="279">
        <f>EEFFun!X500</f>
        <v>727606.15</v>
      </c>
      <c r="Y31" s="279">
        <f>EEFFun!Y500</f>
        <v>817548.06</v>
      </c>
      <c r="Z31" s="279">
        <f>EEFFun!Z500</f>
        <v>918056.04</v>
      </c>
      <c r="AA31" s="279">
        <f>EEFFun!AA500</f>
        <v>1018532.25</v>
      </c>
      <c r="AB31" s="279">
        <f>EEFFun!AB500</f>
        <v>1125698.48</v>
      </c>
      <c r="AC31" s="279">
        <f>EEFFun!AC500</f>
        <v>91489.05</v>
      </c>
      <c r="AD31" s="279">
        <f>EEFFun!AD500</f>
        <v>199664.63</v>
      </c>
      <c r="AE31" s="279">
        <f>EEFFun!AE500</f>
        <v>286228.59999999998</v>
      </c>
      <c r="AF31" s="279">
        <f>EEFFun!AF500</f>
        <v>381650.84</v>
      </c>
      <c r="AG31" s="279">
        <f>EEFFun!AG500</f>
        <v>468551.5</v>
      </c>
      <c r="AH31" s="279">
        <f>EEFFun!AH500</f>
        <v>562670.18000000005</v>
      </c>
      <c r="AI31" s="279">
        <f>EEFFun!AI500</f>
        <v>662114.98</v>
      </c>
      <c r="AJ31" s="279">
        <f>EEFFun!AJ500</f>
        <v>762364.56</v>
      </c>
      <c r="AK31" s="279">
        <f>EEFFun!AK500</f>
        <v>873434.3</v>
      </c>
      <c r="AL31" s="279">
        <f>EEFFun!AL500</f>
        <v>1015401.94</v>
      </c>
      <c r="AM31" s="279">
        <f>EEFFun!AM500</f>
        <v>1157623.93</v>
      </c>
      <c r="AN31" s="279">
        <f>EEFFun!AN500</f>
        <v>1365403.75</v>
      </c>
      <c r="AO31" s="279">
        <f>EEFFun!AO500</f>
        <v>143378.32999999999</v>
      </c>
      <c r="AP31" s="279">
        <f>EEFFun!AP500</f>
        <v>306454.63</v>
      </c>
      <c r="AQ31" s="279">
        <f>EEFFun!AQ500</f>
        <v>464399.75</v>
      </c>
      <c r="AR31" s="279">
        <f>EEFFun!AR500</f>
        <v>640399.57999999996</v>
      </c>
      <c r="AS31" s="279">
        <f>EEFFun!AS500</f>
        <v>806637.71</v>
      </c>
      <c r="AT31" s="279">
        <f>EEFFun!AT500</f>
        <v>973059.2</v>
      </c>
      <c r="AU31" s="279">
        <f>EEFFun!AU500</f>
        <v>1132094.79</v>
      </c>
      <c r="AV31" s="279">
        <f>EEFFun!AV500</f>
        <v>1304685.58</v>
      </c>
      <c r="AW31" s="279">
        <f>EEFFun!AW500</f>
        <v>1482318.1</v>
      </c>
      <c r="AX31" s="279">
        <f>EEFFun!AX500</f>
        <v>1653323.28</v>
      </c>
      <c r="AY31" s="297">
        <f>AY32+AY33+AY36+AY37+AY38+AY39</f>
        <v>148799.09520000004</v>
      </c>
      <c r="AZ31" s="297">
        <f t="shared" ref="AZ31:BJ31" si="182">AZ32+AZ33+AZ36+AZ37+AZ38+AZ39</f>
        <v>148799.09520000004</v>
      </c>
      <c r="BA31" s="297">
        <f t="shared" si="182"/>
        <v>148799.09520000004</v>
      </c>
      <c r="BB31" s="297">
        <f t="shared" si="182"/>
        <v>132265.86240000001</v>
      </c>
      <c r="BC31" s="297">
        <f t="shared" si="182"/>
        <v>132265.86240000001</v>
      </c>
      <c r="BD31" s="297">
        <f t="shared" si="182"/>
        <v>132265.86240000001</v>
      </c>
      <c r="BE31" s="297">
        <f t="shared" si="182"/>
        <v>132265.86240000001</v>
      </c>
      <c r="BF31" s="297">
        <f t="shared" si="182"/>
        <v>132265.86240000001</v>
      </c>
      <c r="BG31" s="297">
        <f t="shared" si="182"/>
        <v>132265.86240000001</v>
      </c>
      <c r="BH31" s="297">
        <f t="shared" si="182"/>
        <v>132265.86240000001</v>
      </c>
      <c r="BI31" s="297">
        <f t="shared" si="182"/>
        <v>132265.86240000001</v>
      </c>
      <c r="BJ31" s="297">
        <f t="shared" si="182"/>
        <v>132265.86240000001</v>
      </c>
      <c r="BK31" s="297">
        <f t="shared" ref="BK31:BQ31" si="183">BK32+BK33+BK36+BK37+BK38+BK39</f>
        <v>148006.60020000002</v>
      </c>
      <c r="BL31" s="297">
        <f t="shared" si="183"/>
        <v>296013.20040000003</v>
      </c>
      <c r="BM31" s="297">
        <f t="shared" si="183"/>
        <v>444019.80060000008</v>
      </c>
      <c r="BN31" s="297">
        <f t="shared" si="183"/>
        <v>578819.90450000006</v>
      </c>
      <c r="BO31" s="297">
        <f t="shared" si="183"/>
        <v>713620.00839999993</v>
      </c>
      <c r="BP31" s="297">
        <f t="shared" si="183"/>
        <v>848420.11230000015</v>
      </c>
      <c r="BQ31" s="297">
        <f t="shared" si="183"/>
        <v>983220.21620000002</v>
      </c>
      <c r="BR31" s="297">
        <f t="shared" ref="BR31" si="184">BR32+BR33+BR36+BR37+BR38+BR39</f>
        <v>1118020.3201000001</v>
      </c>
      <c r="BS31" s="297">
        <f t="shared" ref="BS31" si="185">BS32+BS33+BS36+BS37+BS38+BS39</f>
        <v>1252820.4240000001</v>
      </c>
      <c r="BT31" s="297">
        <f t="shared" ref="BT31" si="186">BT32+BT33+BT36+BT37+BT38+BT39</f>
        <v>1387620.5279000001</v>
      </c>
      <c r="BU31" s="297">
        <f t="shared" ref="BU31" si="187">BU32+BU33+BU36+BU37+BU38+BU39</f>
        <v>1522420.6318000001</v>
      </c>
      <c r="BV31" s="297">
        <f t="shared" ref="BV31" si="188">BV32+BV33+BV36+BV37+BV38+BV39</f>
        <v>1657220.7357000001</v>
      </c>
      <c r="BW31" s="284"/>
    </row>
    <row r="32" spans="1:75" outlineLevel="1" x14ac:dyDescent="0.25">
      <c r="A32" s="222">
        <v>6</v>
      </c>
      <c r="B32" s="233">
        <f>EEFFun!B501</f>
        <v>450105</v>
      </c>
      <c r="C32" s="233" t="str">
        <f>EEFFun!C501</f>
        <v>Remuneraciones mensuales</v>
      </c>
      <c r="D32" s="257">
        <f>EEFFun!P501</f>
        <v>917022.8</v>
      </c>
      <c r="E32" s="295">
        <f>Q32</f>
        <v>64501.21</v>
      </c>
      <c r="F32" s="295">
        <f t="shared" ref="F32" si="189">R32-Q32</f>
        <v>63798.21</v>
      </c>
      <c r="G32" s="295">
        <f t="shared" ref="G32" si="190">S32-R32</f>
        <v>63164.87000000001</v>
      </c>
      <c r="H32" s="295">
        <f t="shared" ref="H32" si="191">T32-S32</f>
        <v>62621.079999999987</v>
      </c>
      <c r="I32" s="295">
        <f t="shared" ref="I32" si="192">U32-T32</f>
        <v>62898.210000000021</v>
      </c>
      <c r="J32" s="295">
        <f t="shared" ref="J32" si="193">V32-U32</f>
        <v>62739.869999999995</v>
      </c>
      <c r="K32" s="295">
        <f t="shared" ref="K32" si="194">W32-V32</f>
        <v>64139.869999999995</v>
      </c>
      <c r="L32" s="295">
        <f t="shared" ref="L32" si="195">X32-W32</f>
        <v>66047.37</v>
      </c>
      <c r="M32" s="295">
        <f t="shared" ref="M32" si="196">Y32-X32</f>
        <v>66488.97000000003</v>
      </c>
      <c r="N32" s="295">
        <f t="shared" ref="N32" si="197">Z32-Y32</f>
        <v>67207.609999999986</v>
      </c>
      <c r="O32" s="295">
        <f t="shared" ref="O32:P32" si="198">AA32-Z32</f>
        <v>66524.459999999963</v>
      </c>
      <c r="P32" s="295">
        <f t="shared" si="198"/>
        <v>66836.040000000037</v>
      </c>
      <c r="Q32" s="257">
        <f>EEFFun!Q501</f>
        <v>64501.21</v>
      </c>
      <c r="R32" s="257">
        <f>EEFFun!R501</f>
        <v>128299.42</v>
      </c>
      <c r="S32" s="257">
        <f>EEFFun!S501</f>
        <v>191464.29</v>
      </c>
      <c r="T32" s="257">
        <f>EEFFun!T501</f>
        <v>254085.37</v>
      </c>
      <c r="U32" s="257">
        <f>EEFFun!U501</f>
        <v>316983.58</v>
      </c>
      <c r="V32" s="257">
        <f>EEFFun!V501</f>
        <v>379723.45</v>
      </c>
      <c r="W32" s="257">
        <f>EEFFun!W501</f>
        <v>443863.32</v>
      </c>
      <c r="X32" s="257">
        <f>EEFFun!X501</f>
        <v>509910.69</v>
      </c>
      <c r="Y32" s="257">
        <f>EEFFun!Y501</f>
        <v>576399.66</v>
      </c>
      <c r="Z32" s="257">
        <f>EEFFun!Z501</f>
        <v>643607.27</v>
      </c>
      <c r="AA32" s="257">
        <f>EEFFun!AA501</f>
        <v>710131.73</v>
      </c>
      <c r="AB32" s="257">
        <f>EEFFun!AB501</f>
        <v>776967.77</v>
      </c>
      <c r="AC32" s="257">
        <f>EEFFun!AC501</f>
        <v>65128.59</v>
      </c>
      <c r="AD32" s="257">
        <f>EEFFun!AD501</f>
        <v>133694.12</v>
      </c>
      <c r="AE32" s="257">
        <f>EEFFun!AE501</f>
        <v>197212.66</v>
      </c>
      <c r="AF32" s="257">
        <f>EEFFun!AF501</f>
        <v>259420.86</v>
      </c>
      <c r="AG32" s="257">
        <f>EEFFun!AG501</f>
        <v>320735.21999999997</v>
      </c>
      <c r="AH32" s="257">
        <f>EEFFun!AH501</f>
        <v>379998.93</v>
      </c>
      <c r="AI32" s="257">
        <f>EEFFun!AI501</f>
        <v>441644.14</v>
      </c>
      <c r="AJ32" s="257">
        <f>EEFFun!AJ501</f>
        <v>507938.15</v>
      </c>
      <c r="AK32" s="257">
        <f>EEFFun!AK501</f>
        <v>584133.76</v>
      </c>
      <c r="AL32" s="257">
        <f>EEFFun!AL501</f>
        <v>666796.93999999994</v>
      </c>
      <c r="AM32" s="257">
        <f>EEFFun!AM501</f>
        <v>754749.93</v>
      </c>
      <c r="AN32" s="257">
        <f>EEFFun!AN501</f>
        <v>840613.47</v>
      </c>
      <c r="AO32" s="257">
        <f>EEFFun!AO501</f>
        <v>87777.34</v>
      </c>
      <c r="AP32" s="257">
        <f>EEFFun!AP501</f>
        <v>179823.88</v>
      </c>
      <c r="AQ32" s="257">
        <f>EEFFun!AQ501</f>
        <v>273770.42</v>
      </c>
      <c r="AR32" s="257">
        <f>EEFFun!AR501</f>
        <v>372132.6</v>
      </c>
      <c r="AS32" s="257">
        <f>EEFFun!AS501</f>
        <v>470333.14</v>
      </c>
      <c r="AT32" s="257">
        <f>EEFFun!AT501</f>
        <v>568075.88</v>
      </c>
      <c r="AU32" s="257">
        <f>EEFFun!AU501</f>
        <v>664156.89</v>
      </c>
      <c r="AV32" s="257">
        <f>EEFFun!AV501</f>
        <v>765809.02</v>
      </c>
      <c r="AW32" s="257">
        <f>EEFFun!AW501</f>
        <v>867542.89</v>
      </c>
      <c r="AX32" s="257">
        <f>EEFFun!AX501</f>
        <v>970364.26</v>
      </c>
      <c r="AY32" s="295">
        <f>(+$AX32/10)*90%</f>
        <v>87332.783400000015</v>
      </c>
      <c r="AZ32" s="295">
        <f t="shared" ref="AZ32:BA32" si="199">(+$AX32/10)*90%</f>
        <v>87332.783400000015</v>
      </c>
      <c r="BA32" s="295">
        <f t="shared" si="199"/>
        <v>87332.783400000015</v>
      </c>
      <c r="BB32" s="295">
        <f>(+$AX32/10)*80%</f>
        <v>77629.140800000008</v>
      </c>
      <c r="BC32" s="295">
        <f t="shared" ref="BC32:BJ32" si="200">(+$AX32/10)*80%</f>
        <v>77629.140800000008</v>
      </c>
      <c r="BD32" s="295">
        <f t="shared" si="200"/>
        <v>77629.140800000008</v>
      </c>
      <c r="BE32" s="295">
        <f t="shared" si="200"/>
        <v>77629.140800000008</v>
      </c>
      <c r="BF32" s="295">
        <f t="shared" si="200"/>
        <v>77629.140800000008</v>
      </c>
      <c r="BG32" s="295">
        <f t="shared" si="200"/>
        <v>77629.140800000008</v>
      </c>
      <c r="BH32" s="295">
        <f t="shared" si="200"/>
        <v>77629.140800000008</v>
      </c>
      <c r="BI32" s="295">
        <f t="shared" si="200"/>
        <v>77629.140800000008</v>
      </c>
      <c r="BJ32" s="295">
        <f t="shared" si="200"/>
        <v>77629.140800000008</v>
      </c>
      <c r="BK32" s="295">
        <f>SUM($AY$32:AY32)</f>
        <v>87332.783400000015</v>
      </c>
      <c r="BL32" s="295">
        <f>SUM($AY$32:AZ32)</f>
        <v>174665.56680000003</v>
      </c>
      <c r="BM32" s="295">
        <f>SUM($AY$32:BA32)</f>
        <v>261998.35020000004</v>
      </c>
      <c r="BN32" s="295">
        <f>SUM($AY$32:BB32)</f>
        <v>339627.49100000004</v>
      </c>
      <c r="BO32" s="295">
        <f>SUM($AY$32:BC32)</f>
        <v>417256.63180000003</v>
      </c>
      <c r="BP32" s="295">
        <f>SUM($AY$32:BD32)</f>
        <v>494885.77260000003</v>
      </c>
      <c r="BQ32" s="295">
        <f>SUM($AY$32:BE32)</f>
        <v>572514.91340000008</v>
      </c>
      <c r="BR32" s="295">
        <f>SUM($AY$32:BF32)</f>
        <v>650144.05420000013</v>
      </c>
      <c r="BS32" s="295">
        <f>SUM($AY$32:BG32)</f>
        <v>727773.19500000018</v>
      </c>
      <c r="BT32" s="295">
        <f>SUM($AY$32:BH32)</f>
        <v>805402.33580000023</v>
      </c>
      <c r="BU32" s="295">
        <f>SUM($AY$32:BI32)</f>
        <v>883031.47660000029</v>
      </c>
      <c r="BV32" s="295">
        <f>SUM($AY$32:BJ32)</f>
        <v>960660.61740000034</v>
      </c>
      <c r="BW32" s="291"/>
    </row>
    <row r="33" spans="1:75" outlineLevel="2" collapsed="1" x14ac:dyDescent="0.25">
      <c r="A33" s="222">
        <v>6</v>
      </c>
      <c r="B33" s="233">
        <f>EEFFun!B502</f>
        <v>450110</v>
      </c>
      <c r="C33" s="233" t="str">
        <f>EEFFun!C502</f>
        <v>Beneficios sociales</v>
      </c>
      <c r="D33" s="257">
        <f>EEFFun!P502</f>
        <v>112947.11</v>
      </c>
      <c r="E33" s="295">
        <f t="shared" ref="E33" si="201">SUM(E34:E35)</f>
        <v>8750.7000000000007</v>
      </c>
      <c r="F33" s="295">
        <f t="shared" ref="F33" si="202">SUM(F34:F35)</f>
        <v>7925.65</v>
      </c>
      <c r="G33" s="295">
        <f t="shared" ref="G33" si="203">SUM(G34:G35)</f>
        <v>7839.1600000000017</v>
      </c>
      <c r="H33" s="295">
        <f t="shared" ref="H33:O33" si="204">SUM(H34:H35)</f>
        <v>7799.31</v>
      </c>
      <c r="I33" s="295">
        <f t="shared" si="204"/>
        <v>7735.43</v>
      </c>
      <c r="J33" s="295">
        <f t="shared" si="204"/>
        <v>7746.3399999999965</v>
      </c>
      <c r="K33" s="295">
        <f t="shared" si="204"/>
        <v>8079.6300000000028</v>
      </c>
      <c r="L33" s="295">
        <f t="shared" si="204"/>
        <v>7779.8900000000031</v>
      </c>
      <c r="M33" s="295">
        <f t="shared" si="204"/>
        <v>8300.68</v>
      </c>
      <c r="N33" s="295">
        <f t="shared" si="204"/>
        <v>8293.2799999999988</v>
      </c>
      <c r="O33" s="295">
        <f t="shared" si="204"/>
        <v>8394.89</v>
      </c>
      <c r="P33" s="295">
        <f t="shared" ref="P33" si="205">SUM(P34:P35)</f>
        <v>8067.9199999999983</v>
      </c>
      <c r="Q33" s="257">
        <f>EEFFun!Q502</f>
        <v>8750.7000000000007</v>
      </c>
      <c r="R33" s="257">
        <f>EEFFun!R502</f>
        <v>16676.349999999999</v>
      </c>
      <c r="S33" s="257">
        <f>EEFFun!S502</f>
        <v>24515.51</v>
      </c>
      <c r="T33" s="257">
        <f>EEFFun!T502</f>
        <v>32314.82</v>
      </c>
      <c r="U33" s="257">
        <f>EEFFun!U502</f>
        <v>40050.25</v>
      </c>
      <c r="V33" s="257">
        <f>EEFFun!V502</f>
        <v>47796.59</v>
      </c>
      <c r="W33" s="257">
        <f>EEFFun!W502</f>
        <v>55876.22</v>
      </c>
      <c r="X33" s="257">
        <f>EEFFun!X502</f>
        <v>63656.11</v>
      </c>
      <c r="Y33" s="257">
        <f>EEFFun!Y502</f>
        <v>71956.789999999994</v>
      </c>
      <c r="Z33" s="257">
        <f>EEFFun!Z502</f>
        <v>80250.070000000007</v>
      </c>
      <c r="AA33" s="257">
        <f>EEFFun!AA502</f>
        <v>88644.96</v>
      </c>
      <c r="AB33" s="257">
        <f>EEFFun!AB502</f>
        <v>96712.88</v>
      </c>
      <c r="AC33" s="257">
        <f>EEFFun!AC502</f>
        <v>8253.19</v>
      </c>
      <c r="AD33" s="257">
        <f>EEFFun!AD502</f>
        <v>17166.189999999999</v>
      </c>
      <c r="AE33" s="257">
        <f>EEFFun!AE502</f>
        <v>24650.73</v>
      </c>
      <c r="AF33" s="257">
        <f>EEFFun!AF502</f>
        <v>32483.119999999999</v>
      </c>
      <c r="AG33" s="257">
        <f>EEFFun!AG502</f>
        <v>40241.75</v>
      </c>
      <c r="AH33" s="257">
        <f>EEFFun!AH502</f>
        <v>48242.59</v>
      </c>
      <c r="AI33" s="257">
        <f>EEFFun!AI502</f>
        <v>56149.78</v>
      </c>
      <c r="AJ33" s="257">
        <f>EEFFun!AJ502</f>
        <v>65159.28</v>
      </c>
      <c r="AK33" s="257">
        <f>EEFFun!AK502</f>
        <v>74276.37</v>
      </c>
      <c r="AL33" s="257">
        <f>EEFFun!AL502</f>
        <v>85662.1</v>
      </c>
      <c r="AM33" s="257">
        <f>EEFFun!AM502</f>
        <v>97106.49</v>
      </c>
      <c r="AN33" s="257">
        <f>EEFFun!AN502</f>
        <v>109267.55</v>
      </c>
      <c r="AO33" s="257">
        <f>EEFFun!AO502</f>
        <v>12209.95</v>
      </c>
      <c r="AP33" s="257">
        <f>EEFFun!AP502</f>
        <v>25178.560000000001</v>
      </c>
      <c r="AQ33" s="257">
        <f>EEFFun!AQ502</f>
        <v>38224.26</v>
      </c>
      <c r="AR33" s="257">
        <f>EEFFun!AR502</f>
        <v>52472.27</v>
      </c>
      <c r="AS33" s="257">
        <f>EEFFun!AS502</f>
        <v>66621.460000000006</v>
      </c>
      <c r="AT33" s="257">
        <f>EEFFun!AT502</f>
        <v>81031.75</v>
      </c>
      <c r="AU33" s="257">
        <f>EEFFun!AU502</f>
        <v>95001.45</v>
      </c>
      <c r="AV33" s="257">
        <f>EEFFun!AV502</f>
        <v>110041.23</v>
      </c>
      <c r="AW33" s="257">
        <f>EEFFun!AW502</f>
        <v>124858.9</v>
      </c>
      <c r="AX33" s="257">
        <f>EEFFun!AX502</f>
        <v>139490.97</v>
      </c>
      <c r="AY33" s="295">
        <f t="shared" ref="AY33:BJ37" si="206">(+$AX33/10)*90%</f>
        <v>12554.1873</v>
      </c>
      <c r="AZ33" s="295">
        <f t="shared" si="206"/>
        <v>12554.1873</v>
      </c>
      <c r="BA33" s="295">
        <f t="shared" si="206"/>
        <v>12554.1873</v>
      </c>
      <c r="BB33" s="295">
        <f t="shared" ref="BB33:BJ36" si="207">(+$AX33/10)*80%</f>
        <v>11159.277600000001</v>
      </c>
      <c r="BC33" s="295">
        <f t="shared" si="207"/>
        <v>11159.277600000001</v>
      </c>
      <c r="BD33" s="295">
        <f t="shared" si="207"/>
        <v>11159.277600000001</v>
      </c>
      <c r="BE33" s="295">
        <f t="shared" si="207"/>
        <v>11159.277600000001</v>
      </c>
      <c r="BF33" s="295">
        <f t="shared" si="207"/>
        <v>11159.277600000001</v>
      </c>
      <c r="BG33" s="295">
        <f t="shared" si="207"/>
        <v>11159.277600000001</v>
      </c>
      <c r="BH33" s="295">
        <f t="shared" si="207"/>
        <v>11159.277600000001</v>
      </c>
      <c r="BI33" s="295">
        <f t="shared" si="207"/>
        <v>11159.277600000001</v>
      </c>
      <c r="BJ33" s="295">
        <f t="shared" si="207"/>
        <v>11159.277600000001</v>
      </c>
      <c r="BK33" s="295">
        <f t="shared" ref="BK33:BQ33" si="208">SUM(BK34:BK35)</f>
        <v>12554.187300000001</v>
      </c>
      <c r="BL33" s="295">
        <f t="shared" si="208"/>
        <v>25108.374600000003</v>
      </c>
      <c r="BM33" s="295">
        <f t="shared" si="208"/>
        <v>37662.561900000001</v>
      </c>
      <c r="BN33" s="295">
        <f t="shared" si="208"/>
        <v>48821.839500000002</v>
      </c>
      <c r="BO33" s="295">
        <f t="shared" si="208"/>
        <v>59981.117100000003</v>
      </c>
      <c r="BP33" s="295">
        <f t="shared" si="208"/>
        <v>71140.394700000004</v>
      </c>
      <c r="BQ33" s="295">
        <f t="shared" si="208"/>
        <v>82299.672300000006</v>
      </c>
      <c r="BR33" s="295">
        <f t="shared" ref="BR33" si="209">SUM(BR34:BR35)</f>
        <v>93458.949900000007</v>
      </c>
      <c r="BS33" s="295">
        <f t="shared" ref="BS33" si="210">SUM(BS34:BS35)</f>
        <v>104618.22749999999</v>
      </c>
      <c r="BT33" s="295">
        <f t="shared" ref="BT33" si="211">SUM(BT34:BT35)</f>
        <v>115777.50509999999</v>
      </c>
      <c r="BU33" s="295">
        <f t="shared" ref="BU33" si="212">SUM(BU34:BU35)</f>
        <v>126936.78269999998</v>
      </c>
      <c r="BV33" s="295">
        <f t="shared" ref="BV33" si="213">SUM(BV34:BV35)</f>
        <v>138096.06029999998</v>
      </c>
      <c r="BW33" s="291"/>
    </row>
    <row r="34" spans="1:75" outlineLevel="2" collapsed="1" x14ac:dyDescent="0.25">
      <c r="A34" s="222">
        <v>8</v>
      </c>
      <c r="B34" s="233">
        <f>EEFFun!B503</f>
        <v>45011005</v>
      </c>
      <c r="C34" s="233" t="str">
        <f>EEFFun!C503</f>
        <v>DECIMO TERCER SUELDO</v>
      </c>
      <c r="D34" s="257">
        <f>EEFFun!P503</f>
        <v>83583.09</v>
      </c>
      <c r="E34" s="295">
        <f t="shared" ref="E34:E38" si="214">Q34</f>
        <v>5824.91</v>
      </c>
      <c r="F34" s="295">
        <f t="shared" ref="F34:F38" si="215">R34-Q34</f>
        <v>5654.4</v>
      </c>
      <c r="G34" s="295">
        <f t="shared" ref="G34:G38" si="216">S34-R34</f>
        <v>5624.1600000000017</v>
      </c>
      <c r="H34" s="295">
        <f t="shared" ref="H34:H38" si="217">T34-S34</f>
        <v>5624.93</v>
      </c>
      <c r="I34" s="295">
        <f t="shared" ref="I34:I38" si="218">U34-T34</f>
        <v>5514.18</v>
      </c>
      <c r="J34" s="295">
        <f t="shared" ref="J34:J38" si="219">V34-U34</f>
        <v>5491.3399999999965</v>
      </c>
      <c r="K34" s="295">
        <f t="shared" ref="K34:K38" si="220">W34-V34</f>
        <v>5621.3000000000029</v>
      </c>
      <c r="L34" s="295">
        <f t="shared" ref="L34:L38" si="221">X34-W34</f>
        <v>5745.6500000000015</v>
      </c>
      <c r="M34" s="295">
        <f t="shared" ref="M34:M38" si="222">Y34-X34</f>
        <v>5914.43</v>
      </c>
      <c r="N34" s="295">
        <f t="shared" ref="N34:N38" si="223">Z34-Y34</f>
        <v>5903.2799999999988</v>
      </c>
      <c r="O34" s="295">
        <f t="shared" ref="O34:P38" si="224">AA34-Z34</f>
        <v>6036.1399999999994</v>
      </c>
      <c r="P34" s="295">
        <f t="shared" si="224"/>
        <v>5667.9199999999983</v>
      </c>
      <c r="Q34" s="257">
        <f>EEFFun!Q503</f>
        <v>5824.91</v>
      </c>
      <c r="R34" s="257">
        <f>EEFFun!R503</f>
        <v>11479.31</v>
      </c>
      <c r="S34" s="257">
        <f>EEFFun!S503</f>
        <v>17103.47</v>
      </c>
      <c r="T34" s="257">
        <f>EEFFun!T503</f>
        <v>22728.400000000001</v>
      </c>
      <c r="U34" s="257">
        <f>EEFFun!U503</f>
        <v>28242.58</v>
      </c>
      <c r="V34" s="257">
        <f>EEFFun!V503</f>
        <v>33733.919999999998</v>
      </c>
      <c r="W34" s="257">
        <f>EEFFun!W503</f>
        <v>39355.22</v>
      </c>
      <c r="X34" s="257">
        <f>EEFFun!X503</f>
        <v>45100.87</v>
      </c>
      <c r="Y34" s="257">
        <f>EEFFun!Y503</f>
        <v>51015.3</v>
      </c>
      <c r="Z34" s="257">
        <f>EEFFun!Z503</f>
        <v>56918.58</v>
      </c>
      <c r="AA34" s="257">
        <f>EEFFun!AA503</f>
        <v>62954.720000000001</v>
      </c>
      <c r="AB34" s="257">
        <f>EEFFun!AB503</f>
        <v>68622.64</v>
      </c>
      <c r="AC34" s="257">
        <f>EEFFun!AC503</f>
        <v>5674.48</v>
      </c>
      <c r="AD34" s="257">
        <f>EEFFun!AD503</f>
        <v>11737.47</v>
      </c>
      <c r="AE34" s="257">
        <f>EEFFun!AE503</f>
        <v>17273.939999999999</v>
      </c>
      <c r="AF34" s="257">
        <f>EEFFun!AF503</f>
        <v>22849.83</v>
      </c>
      <c r="AG34" s="257">
        <f>EEFFun!AG503</f>
        <v>28367.279999999999</v>
      </c>
      <c r="AH34" s="257">
        <f>EEFFun!AH503</f>
        <v>34125.67</v>
      </c>
      <c r="AI34" s="257">
        <f>EEFFun!AI503</f>
        <v>39772.519999999997</v>
      </c>
      <c r="AJ34" s="257">
        <f>EEFFun!AJ503</f>
        <v>46231.94</v>
      </c>
      <c r="AK34" s="257">
        <f>EEFFun!AK503</f>
        <v>52678.52</v>
      </c>
      <c r="AL34" s="257">
        <f>EEFFun!AL503</f>
        <v>60996.37</v>
      </c>
      <c r="AM34" s="257">
        <f>EEFFun!AM503</f>
        <v>69194</v>
      </c>
      <c r="AN34" s="257">
        <f>EEFFun!AN503</f>
        <v>78038.009999999995</v>
      </c>
      <c r="AO34" s="257">
        <f>EEFFun!AO503</f>
        <v>8498.0300000000007</v>
      </c>
      <c r="AP34" s="257">
        <f>EEFFun!AP503</f>
        <v>17841.04</v>
      </c>
      <c r="AQ34" s="257">
        <f>EEFFun!AQ503</f>
        <v>27172.37</v>
      </c>
      <c r="AR34" s="257">
        <f>EEFFun!AR503</f>
        <v>37565.01</v>
      </c>
      <c r="AS34" s="257">
        <f>EEFFun!AS503</f>
        <v>47813.14</v>
      </c>
      <c r="AT34" s="257">
        <f>EEFFun!AT503</f>
        <v>58298.86</v>
      </c>
      <c r="AU34" s="257">
        <f>EEFFun!AU503</f>
        <v>68250.240000000005</v>
      </c>
      <c r="AV34" s="257">
        <f>EEFFun!AV503</f>
        <v>79039.070000000007</v>
      </c>
      <c r="AW34" s="257">
        <f>EEFFun!AW503</f>
        <v>89868.42</v>
      </c>
      <c r="AX34" s="257">
        <f>EEFFun!AX503</f>
        <v>100462.33</v>
      </c>
      <c r="AY34" s="295">
        <f t="shared" si="206"/>
        <v>9041.6097000000009</v>
      </c>
      <c r="AZ34" s="295">
        <f t="shared" si="206"/>
        <v>9041.6097000000009</v>
      </c>
      <c r="BA34" s="295">
        <f t="shared" si="206"/>
        <v>9041.6097000000009</v>
      </c>
      <c r="BB34" s="295">
        <f t="shared" si="207"/>
        <v>8036.9864000000007</v>
      </c>
      <c r="BC34" s="295">
        <f t="shared" si="207"/>
        <v>8036.9864000000007</v>
      </c>
      <c r="BD34" s="295">
        <f t="shared" si="207"/>
        <v>8036.9864000000007</v>
      </c>
      <c r="BE34" s="295">
        <f t="shared" si="207"/>
        <v>8036.9864000000007</v>
      </c>
      <c r="BF34" s="295">
        <f t="shared" si="207"/>
        <v>8036.9864000000007</v>
      </c>
      <c r="BG34" s="295">
        <f t="shared" si="207"/>
        <v>8036.9864000000007</v>
      </c>
      <c r="BH34" s="295">
        <f t="shared" si="207"/>
        <v>8036.9864000000007</v>
      </c>
      <c r="BI34" s="295">
        <f t="shared" si="207"/>
        <v>8036.9864000000007</v>
      </c>
      <c r="BJ34" s="295">
        <f t="shared" si="207"/>
        <v>8036.9864000000007</v>
      </c>
      <c r="BK34" s="295">
        <f>SUM($AY$34:AY34)</f>
        <v>9041.6097000000009</v>
      </c>
      <c r="BL34" s="295">
        <f>SUM($AY$34:AZ34)</f>
        <v>18083.219400000002</v>
      </c>
      <c r="BM34" s="295">
        <f>SUM($AY$34:BA34)</f>
        <v>27124.829100000003</v>
      </c>
      <c r="BN34" s="295">
        <f>SUM($AY$34:BB34)</f>
        <v>35161.815500000004</v>
      </c>
      <c r="BO34" s="295">
        <f>SUM($AY$34:BC34)</f>
        <v>43198.801900000006</v>
      </c>
      <c r="BP34" s="295">
        <f>SUM($AY$34:BD34)</f>
        <v>51235.788300000007</v>
      </c>
      <c r="BQ34" s="295">
        <f>SUM($AY$34:BE34)</f>
        <v>59272.774700000009</v>
      </c>
      <c r="BR34" s="295">
        <f>SUM($AY$34:BF34)</f>
        <v>67309.761100000003</v>
      </c>
      <c r="BS34" s="295">
        <f>SUM($AY$34:BG34)</f>
        <v>75346.747499999998</v>
      </c>
      <c r="BT34" s="295">
        <f>SUM($AY$34:BH34)</f>
        <v>83383.733899999992</v>
      </c>
      <c r="BU34" s="295">
        <f>SUM($AY$34:BI34)</f>
        <v>91420.720299999986</v>
      </c>
      <c r="BV34" s="295">
        <f>SUM($AY$34:BJ34)</f>
        <v>99457.706699999981</v>
      </c>
      <c r="BW34" s="291"/>
    </row>
    <row r="35" spans="1:75" outlineLevel="2" collapsed="1" x14ac:dyDescent="0.25">
      <c r="A35" s="222">
        <v>8</v>
      </c>
      <c r="B35" s="233">
        <f>EEFFun!B504</f>
        <v>45011010</v>
      </c>
      <c r="C35" s="233" t="str">
        <f>EEFFun!C504</f>
        <v>DECIMO CUARTO SUELDO</v>
      </c>
      <c r="D35" s="257">
        <f>EEFFun!P504</f>
        <v>29364.02</v>
      </c>
      <c r="E35" s="295">
        <f t="shared" si="214"/>
        <v>2925.79</v>
      </c>
      <c r="F35" s="295">
        <f t="shared" si="215"/>
        <v>2271.25</v>
      </c>
      <c r="G35" s="295">
        <f t="shared" si="216"/>
        <v>2215</v>
      </c>
      <c r="H35" s="295">
        <f t="shared" si="217"/>
        <v>2174.38</v>
      </c>
      <c r="I35" s="295">
        <f t="shared" si="218"/>
        <v>2221.25</v>
      </c>
      <c r="J35" s="295">
        <f t="shared" si="219"/>
        <v>2255</v>
      </c>
      <c r="K35" s="295">
        <f t="shared" si="220"/>
        <v>2458.33</v>
      </c>
      <c r="L35" s="295">
        <f t="shared" si="221"/>
        <v>2034.2400000000016</v>
      </c>
      <c r="M35" s="295">
        <f t="shared" si="222"/>
        <v>2386.25</v>
      </c>
      <c r="N35" s="295">
        <f t="shared" si="223"/>
        <v>2390</v>
      </c>
      <c r="O35" s="295">
        <f t="shared" si="224"/>
        <v>2358.75</v>
      </c>
      <c r="P35" s="295">
        <f t="shared" si="224"/>
        <v>2400</v>
      </c>
      <c r="Q35" s="257">
        <f>EEFFun!Q504</f>
        <v>2925.79</v>
      </c>
      <c r="R35" s="257">
        <f>EEFFun!R504</f>
        <v>5197.04</v>
      </c>
      <c r="S35" s="257">
        <f>EEFFun!S504</f>
        <v>7412.04</v>
      </c>
      <c r="T35" s="257">
        <f>EEFFun!T504</f>
        <v>9586.42</v>
      </c>
      <c r="U35" s="257">
        <f>EEFFun!U504</f>
        <v>11807.67</v>
      </c>
      <c r="V35" s="257">
        <f>EEFFun!V504</f>
        <v>14062.67</v>
      </c>
      <c r="W35" s="257">
        <f>EEFFun!W504</f>
        <v>16521</v>
      </c>
      <c r="X35" s="257">
        <f>EEFFun!X504</f>
        <v>18555.240000000002</v>
      </c>
      <c r="Y35" s="257">
        <f>EEFFun!Y504</f>
        <v>20941.490000000002</v>
      </c>
      <c r="Z35" s="257">
        <f>EEFFun!Z504</f>
        <v>23331.49</v>
      </c>
      <c r="AA35" s="257">
        <f>EEFFun!AA504</f>
        <v>25690.240000000002</v>
      </c>
      <c r="AB35" s="257">
        <f>EEFFun!AB504</f>
        <v>28090.240000000002</v>
      </c>
      <c r="AC35" s="257">
        <f>EEFFun!AC504</f>
        <v>2578.71</v>
      </c>
      <c r="AD35" s="257">
        <f>EEFFun!AD504</f>
        <v>5428.72</v>
      </c>
      <c r="AE35" s="257">
        <f>EEFFun!AE504</f>
        <v>7376.79</v>
      </c>
      <c r="AF35" s="257">
        <f>EEFFun!AF504</f>
        <v>9633.2900000000009</v>
      </c>
      <c r="AG35" s="257">
        <f>EEFFun!AG504</f>
        <v>11874.47</v>
      </c>
      <c r="AH35" s="257">
        <f>EEFFun!AH504</f>
        <v>14116.92</v>
      </c>
      <c r="AI35" s="257">
        <f>EEFFun!AI504</f>
        <v>16377.26</v>
      </c>
      <c r="AJ35" s="257">
        <f>EEFFun!AJ504</f>
        <v>18927.34</v>
      </c>
      <c r="AK35" s="257">
        <f>EEFFun!AK504</f>
        <v>21597.85</v>
      </c>
      <c r="AL35" s="257">
        <f>EEFFun!AL504</f>
        <v>24665.73</v>
      </c>
      <c r="AM35" s="257">
        <f>EEFFun!AM504</f>
        <v>27912.49</v>
      </c>
      <c r="AN35" s="257">
        <f>EEFFun!AN504</f>
        <v>31229.54</v>
      </c>
      <c r="AO35" s="257">
        <f>EEFFun!AO504</f>
        <v>3711.92</v>
      </c>
      <c r="AP35" s="257">
        <f>EEFFun!AP504</f>
        <v>7337.52</v>
      </c>
      <c r="AQ35" s="257">
        <f>EEFFun!AQ504</f>
        <v>11051.89</v>
      </c>
      <c r="AR35" s="257">
        <f>EEFFun!AR504</f>
        <v>14907.26</v>
      </c>
      <c r="AS35" s="257">
        <f>EEFFun!AS504</f>
        <v>18808.32</v>
      </c>
      <c r="AT35" s="257">
        <f>EEFFun!AT504</f>
        <v>22732.89</v>
      </c>
      <c r="AU35" s="257">
        <f>EEFFun!AU504</f>
        <v>26751.21</v>
      </c>
      <c r="AV35" s="257">
        <f>EEFFun!AV504</f>
        <v>31002.16</v>
      </c>
      <c r="AW35" s="257">
        <f>EEFFun!AW504</f>
        <v>34990.480000000003</v>
      </c>
      <c r="AX35" s="257">
        <f>EEFFun!AX504</f>
        <v>39028.639999999999</v>
      </c>
      <c r="AY35" s="295">
        <f t="shared" si="206"/>
        <v>3512.5776000000001</v>
      </c>
      <c r="AZ35" s="295">
        <f t="shared" si="206"/>
        <v>3512.5776000000001</v>
      </c>
      <c r="BA35" s="295">
        <f t="shared" si="206"/>
        <v>3512.5776000000001</v>
      </c>
      <c r="BB35" s="295">
        <f t="shared" si="207"/>
        <v>3122.2912000000001</v>
      </c>
      <c r="BC35" s="295">
        <f t="shared" si="207"/>
        <v>3122.2912000000001</v>
      </c>
      <c r="BD35" s="295">
        <f t="shared" si="207"/>
        <v>3122.2912000000001</v>
      </c>
      <c r="BE35" s="295">
        <f t="shared" si="207"/>
        <v>3122.2912000000001</v>
      </c>
      <c r="BF35" s="295">
        <f t="shared" si="207"/>
        <v>3122.2912000000001</v>
      </c>
      <c r="BG35" s="295">
        <f t="shared" si="207"/>
        <v>3122.2912000000001</v>
      </c>
      <c r="BH35" s="295">
        <f t="shared" si="207"/>
        <v>3122.2912000000001</v>
      </c>
      <c r="BI35" s="295">
        <f t="shared" si="207"/>
        <v>3122.2912000000001</v>
      </c>
      <c r="BJ35" s="295">
        <f t="shared" si="207"/>
        <v>3122.2912000000001</v>
      </c>
      <c r="BK35" s="295">
        <f>SUM($AY$35:AY35)</f>
        <v>3512.5776000000001</v>
      </c>
      <c r="BL35" s="295">
        <f>SUM($AY$35:AZ35)</f>
        <v>7025.1552000000001</v>
      </c>
      <c r="BM35" s="295">
        <f>SUM($AY$35:BA35)</f>
        <v>10537.7328</v>
      </c>
      <c r="BN35" s="295">
        <f>SUM($AY$35:BB35)</f>
        <v>13660.023999999999</v>
      </c>
      <c r="BO35" s="295">
        <f>SUM($AY$35:BC35)</f>
        <v>16782.315200000001</v>
      </c>
      <c r="BP35" s="295">
        <f>SUM($AY$35:BD35)</f>
        <v>19904.606400000001</v>
      </c>
      <c r="BQ35" s="295">
        <f>SUM($AY$35:BE35)</f>
        <v>23026.8976</v>
      </c>
      <c r="BR35" s="295">
        <f>SUM($AY$35:BF35)</f>
        <v>26149.1888</v>
      </c>
      <c r="BS35" s="295">
        <f>SUM($AY$35:BG35)</f>
        <v>29271.48</v>
      </c>
      <c r="BT35" s="295">
        <f>SUM($AY$35:BH35)</f>
        <v>32393.771199999999</v>
      </c>
      <c r="BU35" s="295">
        <f>SUM($AY$35:BI35)</f>
        <v>35516.062400000003</v>
      </c>
      <c r="BV35" s="295">
        <f>SUM($AY$35:BJ35)</f>
        <v>38638.353600000002</v>
      </c>
      <c r="BW35" s="291"/>
    </row>
    <row r="36" spans="1:75" outlineLevel="2" collapsed="1" x14ac:dyDescent="0.25">
      <c r="A36" s="222">
        <v>6</v>
      </c>
      <c r="B36" s="233">
        <f>EEFFun!B505</f>
        <v>450120</v>
      </c>
      <c r="C36" s="233" t="str">
        <f>EEFFun!C505</f>
        <v>Aportes al IESS</v>
      </c>
      <c r="D36" s="257">
        <f>EEFFun!P505</f>
        <v>123437.65</v>
      </c>
      <c r="E36" s="295">
        <f t="shared" si="214"/>
        <v>8658.6299999999992</v>
      </c>
      <c r="F36" s="295">
        <f t="shared" si="215"/>
        <v>8433.8900000000012</v>
      </c>
      <c r="G36" s="295">
        <f t="shared" si="216"/>
        <v>8379.8499999999985</v>
      </c>
      <c r="H36" s="295">
        <f t="shared" si="217"/>
        <v>8392.66</v>
      </c>
      <c r="I36" s="295">
        <f t="shared" si="218"/>
        <v>8254.93</v>
      </c>
      <c r="J36" s="295">
        <f t="shared" si="219"/>
        <v>7996.739999999998</v>
      </c>
      <c r="K36" s="295">
        <f t="shared" si="220"/>
        <v>8312.5300000000061</v>
      </c>
      <c r="L36" s="295">
        <f t="shared" si="221"/>
        <v>8457.3799999999974</v>
      </c>
      <c r="M36" s="295">
        <f t="shared" si="222"/>
        <v>8700.8399999999965</v>
      </c>
      <c r="N36" s="295">
        <f t="shared" si="223"/>
        <v>8663.14</v>
      </c>
      <c r="O36" s="295">
        <f t="shared" si="224"/>
        <v>8961.2100000000064</v>
      </c>
      <c r="P36" s="295">
        <f t="shared" si="224"/>
        <v>8795.7299999999959</v>
      </c>
      <c r="Q36" s="257">
        <f>EEFFun!Q505</f>
        <v>8658.6299999999992</v>
      </c>
      <c r="R36" s="257">
        <f>EEFFun!R505</f>
        <v>17092.52</v>
      </c>
      <c r="S36" s="257">
        <f>EEFFun!S505</f>
        <v>25472.37</v>
      </c>
      <c r="T36" s="257">
        <f>EEFFun!T505</f>
        <v>33865.03</v>
      </c>
      <c r="U36" s="257">
        <f>EEFFun!U505</f>
        <v>42119.96</v>
      </c>
      <c r="V36" s="257">
        <f>EEFFun!V505</f>
        <v>50116.7</v>
      </c>
      <c r="W36" s="257">
        <f>EEFFun!W505</f>
        <v>58429.23</v>
      </c>
      <c r="X36" s="257">
        <f>EEFFun!X505</f>
        <v>66886.61</v>
      </c>
      <c r="Y36" s="257">
        <f>EEFFun!Y505</f>
        <v>75587.45</v>
      </c>
      <c r="Z36" s="257">
        <f>EEFFun!Z505</f>
        <v>84250.59</v>
      </c>
      <c r="AA36" s="257">
        <f>EEFFun!AA505</f>
        <v>93211.8</v>
      </c>
      <c r="AB36" s="257">
        <f>EEFFun!AB505</f>
        <v>102007.53</v>
      </c>
      <c r="AC36" s="257">
        <f>EEFFun!AC505</f>
        <v>8409.7999999999993</v>
      </c>
      <c r="AD36" s="257">
        <f>EEFFun!AD505</f>
        <v>17486.93</v>
      </c>
      <c r="AE36" s="257">
        <f>EEFFun!AE505</f>
        <v>25883.71</v>
      </c>
      <c r="AF36" s="257">
        <f>EEFFun!AF505</f>
        <v>34371.68</v>
      </c>
      <c r="AG36" s="257">
        <f>EEFFun!AG505</f>
        <v>42562.63</v>
      </c>
      <c r="AH36" s="257">
        <f>EEFFun!AH505</f>
        <v>51189.67</v>
      </c>
      <c r="AI36" s="257">
        <f>EEFFun!AI505</f>
        <v>59760.76</v>
      </c>
      <c r="AJ36" s="257">
        <f>EEFFun!AJ505</f>
        <v>69060.759999999995</v>
      </c>
      <c r="AK36" s="257">
        <f>EEFFun!AK505</f>
        <v>78461</v>
      </c>
      <c r="AL36" s="257">
        <f>EEFFun!AL505</f>
        <v>90571.85</v>
      </c>
      <c r="AM36" s="257">
        <f>EEFFun!AM505</f>
        <v>102286.32</v>
      </c>
      <c r="AN36" s="257">
        <f>EEFFun!AN505</f>
        <v>115702</v>
      </c>
      <c r="AO36" s="257">
        <f>EEFFun!AO505</f>
        <v>12550.15</v>
      </c>
      <c r="AP36" s="257">
        <f>EEFFun!AP505</f>
        <v>26239.35</v>
      </c>
      <c r="AQ36" s="257">
        <f>EEFFun!AQ505</f>
        <v>39869.78</v>
      </c>
      <c r="AR36" s="257">
        <f>EEFFun!AR505</f>
        <v>55107.78</v>
      </c>
      <c r="AS36" s="257">
        <f>EEFFun!AS505</f>
        <v>70007.59</v>
      </c>
      <c r="AT36" s="257">
        <f>EEFFun!AT505</f>
        <v>85493.57</v>
      </c>
      <c r="AU36" s="257">
        <f>EEFFun!AU505</f>
        <v>99960.86</v>
      </c>
      <c r="AV36" s="257">
        <f>EEFFun!AV505</f>
        <v>115946.79</v>
      </c>
      <c r="AW36" s="257">
        <f>EEFFun!AW505</f>
        <v>131923.54</v>
      </c>
      <c r="AX36" s="257">
        <f>EEFFun!AX505</f>
        <v>147504.97</v>
      </c>
      <c r="AY36" s="295">
        <f t="shared" si="206"/>
        <v>13275.4473</v>
      </c>
      <c r="AZ36" s="295">
        <f t="shared" si="206"/>
        <v>13275.4473</v>
      </c>
      <c r="BA36" s="295">
        <f t="shared" si="206"/>
        <v>13275.4473</v>
      </c>
      <c r="BB36" s="295">
        <f t="shared" si="207"/>
        <v>11800.3976</v>
      </c>
      <c r="BC36" s="295">
        <f t="shared" si="207"/>
        <v>11800.3976</v>
      </c>
      <c r="BD36" s="295">
        <f t="shared" si="207"/>
        <v>11800.3976</v>
      </c>
      <c r="BE36" s="295">
        <f t="shared" si="207"/>
        <v>11800.3976</v>
      </c>
      <c r="BF36" s="295">
        <f t="shared" si="207"/>
        <v>11800.3976</v>
      </c>
      <c r="BG36" s="295">
        <f t="shared" si="207"/>
        <v>11800.3976</v>
      </c>
      <c r="BH36" s="295">
        <f t="shared" si="207"/>
        <v>11800.3976</v>
      </c>
      <c r="BI36" s="295">
        <f t="shared" si="207"/>
        <v>11800.3976</v>
      </c>
      <c r="BJ36" s="295">
        <f t="shared" si="207"/>
        <v>11800.3976</v>
      </c>
      <c r="BK36" s="295">
        <f>SUM($AY$36:AY36)</f>
        <v>13275.4473</v>
      </c>
      <c r="BL36" s="295">
        <f>SUM($AY$36:AZ36)</f>
        <v>26550.8946</v>
      </c>
      <c r="BM36" s="295">
        <f>SUM($AY$36:BA36)</f>
        <v>39826.341899999999</v>
      </c>
      <c r="BN36" s="295">
        <f>SUM($AY$36:BB36)</f>
        <v>51626.739499999996</v>
      </c>
      <c r="BO36" s="295">
        <f>SUM($AY$36:BC36)</f>
        <v>63427.137099999993</v>
      </c>
      <c r="BP36" s="295">
        <f>SUM($AY$36:BD36)</f>
        <v>75227.534699999989</v>
      </c>
      <c r="BQ36" s="295">
        <f>SUM($AY$36:BE36)</f>
        <v>87027.932299999986</v>
      </c>
      <c r="BR36" s="295">
        <f>SUM($AY$36:BF36)</f>
        <v>98828.329899999982</v>
      </c>
      <c r="BS36" s="295">
        <f>SUM($AY$36:BG36)</f>
        <v>110628.72749999998</v>
      </c>
      <c r="BT36" s="295">
        <f>SUM($AY$36:BH36)</f>
        <v>122429.12509999998</v>
      </c>
      <c r="BU36" s="295">
        <f>SUM($AY$36:BI36)</f>
        <v>134229.52269999997</v>
      </c>
      <c r="BV36" s="295">
        <f>SUM($AY$36:BJ36)</f>
        <v>146029.92029999997</v>
      </c>
      <c r="BW36" s="291"/>
    </row>
    <row r="37" spans="1:75" outlineLevel="2" collapsed="1" x14ac:dyDescent="0.25">
      <c r="A37" s="222">
        <v>6</v>
      </c>
      <c r="B37" s="233">
        <f>EEFFun!B506</f>
        <v>450130</v>
      </c>
      <c r="C37" s="233" t="str">
        <f>EEFFun!C506</f>
        <v>Pensiones y jubilaciones</v>
      </c>
      <c r="D37" s="257">
        <f>EEFFun!P506</f>
        <v>9337</v>
      </c>
      <c r="E37" s="295">
        <f t="shared" si="214"/>
        <v>0</v>
      </c>
      <c r="F37" s="295">
        <f t="shared" si="215"/>
        <v>0</v>
      </c>
      <c r="G37" s="295">
        <f t="shared" si="216"/>
        <v>0</v>
      </c>
      <c r="H37" s="295">
        <f t="shared" si="217"/>
        <v>0</v>
      </c>
      <c r="I37" s="295">
        <f t="shared" si="218"/>
        <v>0</v>
      </c>
      <c r="J37" s="295">
        <f t="shared" si="219"/>
        <v>0</v>
      </c>
      <c r="K37" s="295">
        <f t="shared" si="220"/>
        <v>0</v>
      </c>
      <c r="L37" s="295">
        <f t="shared" si="221"/>
        <v>0</v>
      </c>
      <c r="M37" s="295">
        <f t="shared" si="222"/>
        <v>0</v>
      </c>
      <c r="N37" s="295">
        <f t="shared" si="223"/>
        <v>0</v>
      </c>
      <c r="O37" s="295">
        <f t="shared" si="224"/>
        <v>0</v>
      </c>
      <c r="P37" s="295">
        <f t="shared" si="224"/>
        <v>6967.6</v>
      </c>
      <c r="Q37" s="257">
        <f>EEFFun!Q506</f>
        <v>0</v>
      </c>
      <c r="R37" s="257">
        <f>EEFFun!R506</f>
        <v>0</v>
      </c>
      <c r="S37" s="257">
        <f>EEFFun!S506</f>
        <v>0</v>
      </c>
      <c r="T37" s="257">
        <f>EEFFun!T506</f>
        <v>0</v>
      </c>
      <c r="U37" s="257">
        <f>EEFFun!U506</f>
        <v>0</v>
      </c>
      <c r="V37" s="257">
        <f>EEFFun!V506</f>
        <v>0</v>
      </c>
      <c r="W37" s="257">
        <f>EEFFun!W506</f>
        <v>0</v>
      </c>
      <c r="X37" s="257">
        <f>EEFFun!X506</f>
        <v>0</v>
      </c>
      <c r="Y37" s="257">
        <f>EEFFun!Y506</f>
        <v>0</v>
      </c>
      <c r="Z37" s="257">
        <f>EEFFun!Z506</f>
        <v>0</v>
      </c>
      <c r="AA37" s="257">
        <f>EEFFun!AA506</f>
        <v>0</v>
      </c>
      <c r="AB37" s="257">
        <f>EEFFun!AB506</f>
        <v>6967.6</v>
      </c>
      <c r="AC37" s="257">
        <f>EEFFun!AC506</f>
        <v>0</v>
      </c>
      <c r="AD37" s="257">
        <f>EEFFun!AD506</f>
        <v>0</v>
      </c>
      <c r="AE37" s="257">
        <f>EEFFun!AE506</f>
        <v>0</v>
      </c>
      <c r="AF37" s="257">
        <f>EEFFun!AF506</f>
        <v>0</v>
      </c>
      <c r="AG37" s="257">
        <f>EEFFun!AG506</f>
        <v>0</v>
      </c>
      <c r="AH37" s="257">
        <f>EEFFun!AH506</f>
        <v>0</v>
      </c>
      <c r="AI37" s="257">
        <f>EEFFun!AI506</f>
        <v>0</v>
      </c>
      <c r="AJ37" s="257">
        <f>EEFFun!AJ506</f>
        <v>0</v>
      </c>
      <c r="AK37" s="257">
        <f>EEFFun!AK506</f>
        <v>0</v>
      </c>
      <c r="AL37" s="257">
        <f>EEFFun!AL506</f>
        <v>0</v>
      </c>
      <c r="AM37" s="257">
        <f>EEFFun!AM506</f>
        <v>0</v>
      </c>
      <c r="AN37" s="257">
        <f>EEFFun!AN506</f>
        <v>0</v>
      </c>
      <c r="AO37" s="257">
        <f>EEFFun!AO506</f>
        <v>0</v>
      </c>
      <c r="AP37" s="257">
        <f>EEFFun!AP506</f>
        <v>0</v>
      </c>
      <c r="AQ37" s="257">
        <f>EEFFun!AQ506</f>
        <v>0</v>
      </c>
      <c r="AR37" s="257">
        <f>EEFFun!AR506</f>
        <v>0</v>
      </c>
      <c r="AS37" s="257">
        <f>EEFFun!AS506</f>
        <v>0</v>
      </c>
      <c r="AT37" s="257">
        <f>EEFFun!AT506</f>
        <v>0</v>
      </c>
      <c r="AU37" s="257">
        <f>EEFFun!AU506</f>
        <v>0</v>
      </c>
      <c r="AV37" s="257">
        <f>EEFFun!AV506</f>
        <v>0</v>
      </c>
      <c r="AW37" s="257">
        <f>EEFFun!AW506</f>
        <v>0</v>
      </c>
      <c r="AX37" s="257">
        <f>EEFFun!AX506</f>
        <v>0</v>
      </c>
      <c r="AY37" s="295">
        <f t="shared" si="206"/>
        <v>0</v>
      </c>
      <c r="AZ37" s="295">
        <f t="shared" si="206"/>
        <v>0</v>
      </c>
      <c r="BA37" s="295">
        <f t="shared" si="206"/>
        <v>0</v>
      </c>
      <c r="BB37" s="295">
        <f t="shared" si="206"/>
        <v>0</v>
      </c>
      <c r="BC37" s="295">
        <f t="shared" si="206"/>
        <v>0</v>
      </c>
      <c r="BD37" s="295">
        <f t="shared" si="206"/>
        <v>0</v>
      </c>
      <c r="BE37" s="295">
        <f t="shared" si="206"/>
        <v>0</v>
      </c>
      <c r="BF37" s="295">
        <f t="shared" si="206"/>
        <v>0</v>
      </c>
      <c r="BG37" s="295">
        <f t="shared" si="206"/>
        <v>0</v>
      </c>
      <c r="BH37" s="295">
        <f t="shared" si="206"/>
        <v>0</v>
      </c>
      <c r="BI37" s="295">
        <f t="shared" si="206"/>
        <v>0</v>
      </c>
      <c r="BJ37" s="295">
        <f t="shared" si="206"/>
        <v>0</v>
      </c>
      <c r="BK37" s="295">
        <f>SUM($AY$37:AY37)</f>
        <v>0</v>
      </c>
      <c r="BL37" s="295">
        <f>SUM($AY$37:AZ37)</f>
        <v>0</v>
      </c>
      <c r="BM37" s="295">
        <f>SUM($AY$37:BA37)</f>
        <v>0</v>
      </c>
      <c r="BN37" s="295">
        <f>SUM($AY$37:BB37)</f>
        <v>0</v>
      </c>
      <c r="BO37" s="295">
        <f>SUM($AY$37:BC37)</f>
        <v>0</v>
      </c>
      <c r="BP37" s="295">
        <f>SUM($AY$37:BD37)</f>
        <v>0</v>
      </c>
      <c r="BQ37" s="295">
        <f>SUM($AY$37:BE37)</f>
        <v>0</v>
      </c>
      <c r="BR37" s="295">
        <f>SUM($AY$37:BF37)</f>
        <v>0</v>
      </c>
      <c r="BS37" s="295">
        <f>SUM($AY$37:BG37)</f>
        <v>0</v>
      </c>
      <c r="BT37" s="295">
        <f>SUM($AY$37:BH37)</f>
        <v>0</v>
      </c>
      <c r="BU37" s="295">
        <f>SUM($AY$37:BI37)</f>
        <v>0</v>
      </c>
      <c r="BV37" s="295">
        <f>SUM($AY$37:BJ37)</f>
        <v>0</v>
      </c>
      <c r="BW37" s="291"/>
    </row>
    <row r="38" spans="1:75" outlineLevel="2" collapsed="1" x14ac:dyDescent="0.25">
      <c r="A38" s="222">
        <v>6</v>
      </c>
      <c r="B38" s="233">
        <f>EEFFun!B507</f>
        <v>450135</v>
      </c>
      <c r="C38" s="233" t="str">
        <f>EEFFun!C507</f>
        <v>Fondo de reserva IESS</v>
      </c>
      <c r="D38" s="257">
        <f>EEFFun!P507</f>
        <v>71170.3</v>
      </c>
      <c r="E38" s="295">
        <f t="shared" si="214"/>
        <v>5384.45</v>
      </c>
      <c r="F38" s="295">
        <f t="shared" si="215"/>
        <v>5236.3499999999995</v>
      </c>
      <c r="G38" s="295">
        <f t="shared" si="216"/>
        <v>5214.2900000000009</v>
      </c>
      <c r="H38" s="295">
        <f t="shared" si="217"/>
        <v>5279.630000000001</v>
      </c>
      <c r="I38" s="295">
        <f t="shared" si="218"/>
        <v>5144.8600000000006</v>
      </c>
      <c r="J38" s="295">
        <f t="shared" si="219"/>
        <v>5085.4299999999967</v>
      </c>
      <c r="K38" s="295">
        <f t="shared" si="220"/>
        <v>5149.6500000000051</v>
      </c>
      <c r="L38" s="295">
        <f t="shared" si="221"/>
        <v>5158.9699999999939</v>
      </c>
      <c r="M38" s="295">
        <f t="shared" si="222"/>
        <v>5190.2300000000032</v>
      </c>
      <c r="N38" s="295">
        <f t="shared" si="223"/>
        <v>5198.7699999999968</v>
      </c>
      <c r="O38" s="295">
        <f t="shared" si="224"/>
        <v>5232.07</v>
      </c>
      <c r="P38" s="295">
        <f t="shared" si="224"/>
        <v>5111.1399999999994</v>
      </c>
      <c r="Q38" s="257">
        <f>EEFFun!Q507</f>
        <v>5384.45</v>
      </c>
      <c r="R38" s="257">
        <f>EEFFun!R507</f>
        <v>10620.8</v>
      </c>
      <c r="S38" s="257">
        <f>EEFFun!S507</f>
        <v>15835.09</v>
      </c>
      <c r="T38" s="257">
        <f>EEFFun!T507</f>
        <v>21114.720000000001</v>
      </c>
      <c r="U38" s="257">
        <f>EEFFun!U507</f>
        <v>26259.58</v>
      </c>
      <c r="V38" s="257">
        <f>EEFFun!V507</f>
        <v>31345.01</v>
      </c>
      <c r="W38" s="257">
        <f>EEFFun!W507</f>
        <v>36494.660000000003</v>
      </c>
      <c r="X38" s="257">
        <f>EEFFun!X507</f>
        <v>41653.629999999997</v>
      </c>
      <c r="Y38" s="257">
        <f>EEFFun!Y507</f>
        <v>46843.86</v>
      </c>
      <c r="Z38" s="257">
        <f>EEFFun!Z507</f>
        <v>52042.63</v>
      </c>
      <c r="AA38" s="257">
        <f>EEFFun!AA507</f>
        <v>57274.7</v>
      </c>
      <c r="AB38" s="257">
        <f>EEFFun!AB507</f>
        <v>62385.84</v>
      </c>
      <c r="AC38" s="257">
        <f>EEFFun!AC507</f>
        <v>4932.95</v>
      </c>
      <c r="AD38" s="257">
        <f>EEFFun!AD507</f>
        <v>10102.379999999999</v>
      </c>
      <c r="AE38" s="257">
        <f>EEFFun!AE507</f>
        <v>14881.06</v>
      </c>
      <c r="AF38" s="257">
        <f>EEFFun!AF507</f>
        <v>19609.23</v>
      </c>
      <c r="AG38" s="257">
        <f>EEFFun!AG507</f>
        <v>24147.03</v>
      </c>
      <c r="AH38" s="257">
        <f>EEFFun!AH507</f>
        <v>28885.57</v>
      </c>
      <c r="AI38" s="257">
        <f>EEFFun!AI507</f>
        <v>33546.06</v>
      </c>
      <c r="AJ38" s="257">
        <f>EEFFun!AJ507</f>
        <v>38507.11</v>
      </c>
      <c r="AK38" s="257">
        <f>EEFFun!AK507</f>
        <v>43165.36</v>
      </c>
      <c r="AL38" s="257">
        <f>EEFFun!AL507</f>
        <v>48597.81</v>
      </c>
      <c r="AM38" s="257">
        <f>EEFFun!AM507</f>
        <v>54178.64</v>
      </c>
      <c r="AN38" s="257">
        <f>EEFFun!AN507</f>
        <v>60220.6</v>
      </c>
      <c r="AO38" s="257">
        <f>EEFFun!AO507</f>
        <v>5756.41</v>
      </c>
      <c r="AP38" s="257">
        <f>EEFFun!AP507</f>
        <v>11773.43</v>
      </c>
      <c r="AQ38" s="257">
        <f>EEFFun!AQ507</f>
        <v>17367.900000000001</v>
      </c>
      <c r="AR38" s="257">
        <f>EEFFun!AR507</f>
        <v>23211.27</v>
      </c>
      <c r="AS38" s="257">
        <f>EEFFun!AS507</f>
        <v>29119.47</v>
      </c>
      <c r="AT38" s="257">
        <f>EEFFun!AT507</f>
        <v>35400.32</v>
      </c>
      <c r="AU38" s="257">
        <f>EEFFun!AU507</f>
        <v>41556.519999999997</v>
      </c>
      <c r="AV38" s="257">
        <f>EEFFun!AV507</f>
        <v>48463.16</v>
      </c>
      <c r="AW38" s="257">
        <f>EEFFun!AW507</f>
        <v>55837.98</v>
      </c>
      <c r="AX38" s="257">
        <f>EEFFun!AX507</f>
        <v>63289.43</v>
      </c>
      <c r="AY38" s="295">
        <f t="shared" ref="AY38:BA39" si="225">(+$AX38/10)*90%</f>
        <v>5696.0487000000003</v>
      </c>
      <c r="AZ38" s="295">
        <f t="shared" si="225"/>
        <v>5696.0487000000003</v>
      </c>
      <c r="BA38" s="295">
        <f t="shared" si="225"/>
        <v>5696.0487000000003</v>
      </c>
      <c r="BB38" s="295">
        <f t="shared" ref="BB38:BJ39" si="226">(+$AX38/10)*80%</f>
        <v>5063.1544000000004</v>
      </c>
      <c r="BC38" s="295">
        <f t="shared" si="226"/>
        <v>5063.1544000000004</v>
      </c>
      <c r="BD38" s="295">
        <f t="shared" si="226"/>
        <v>5063.1544000000004</v>
      </c>
      <c r="BE38" s="295">
        <f t="shared" si="226"/>
        <v>5063.1544000000004</v>
      </c>
      <c r="BF38" s="295">
        <f t="shared" si="226"/>
        <v>5063.1544000000004</v>
      </c>
      <c r="BG38" s="295">
        <f t="shared" si="226"/>
        <v>5063.1544000000004</v>
      </c>
      <c r="BH38" s="295">
        <f t="shared" si="226"/>
        <v>5063.1544000000004</v>
      </c>
      <c r="BI38" s="295">
        <f t="shared" si="226"/>
        <v>5063.1544000000004</v>
      </c>
      <c r="BJ38" s="295">
        <f t="shared" si="226"/>
        <v>5063.1544000000004</v>
      </c>
      <c r="BK38" s="295">
        <f>SUM($AY$38:AY38)</f>
        <v>5696.0487000000003</v>
      </c>
      <c r="BL38" s="295">
        <f>SUM($AY$38:AZ38)</f>
        <v>11392.097400000001</v>
      </c>
      <c r="BM38" s="295">
        <f>SUM($AY$38:BA38)</f>
        <v>17088.146100000002</v>
      </c>
      <c r="BN38" s="295">
        <f>SUM($AY$38:BB38)</f>
        <v>22151.300500000001</v>
      </c>
      <c r="BO38" s="295">
        <f>SUM($AY$38:BC38)</f>
        <v>27214.454900000001</v>
      </c>
      <c r="BP38" s="295">
        <f>SUM($AY$38:BD38)</f>
        <v>32277.6093</v>
      </c>
      <c r="BQ38" s="295">
        <f>SUM($AY$38:BE38)</f>
        <v>37340.763700000003</v>
      </c>
      <c r="BR38" s="295">
        <f>SUM($AY$38:BF38)</f>
        <v>42403.918100000003</v>
      </c>
      <c r="BS38" s="295">
        <f>SUM($AY$38:BG38)</f>
        <v>47467.072500000002</v>
      </c>
      <c r="BT38" s="295">
        <f>SUM($AY$38:BH38)</f>
        <v>52530.226900000001</v>
      </c>
      <c r="BU38" s="295">
        <f>SUM($AY$38:BI38)</f>
        <v>57593.381300000001</v>
      </c>
      <c r="BV38" s="295">
        <f>SUM($AY$38:BJ38)</f>
        <v>62656.5357</v>
      </c>
      <c r="BW38" s="291"/>
    </row>
    <row r="39" spans="1:75" outlineLevel="2" collapsed="1" x14ac:dyDescent="0.25">
      <c r="A39" s="222">
        <v>6</v>
      </c>
      <c r="B39" s="233">
        <f>EEFFun!B508</f>
        <v>450190</v>
      </c>
      <c r="C39" s="233" t="str">
        <f>EEFFun!C508</f>
        <v>Otros</v>
      </c>
      <c r="D39" s="257">
        <f>EEFFun!P508</f>
        <v>168448.07</v>
      </c>
      <c r="E39" s="295">
        <f t="shared" ref="E39:G39" si="227">E40+E41+E47+E48+E50+E51+E52+E53+E54+E55+E56+E57+E58</f>
        <v>13098.62</v>
      </c>
      <c r="F39" s="295">
        <f t="shared" si="227"/>
        <v>7959.02</v>
      </c>
      <c r="G39" s="295">
        <f t="shared" si="227"/>
        <v>574.82000000000016</v>
      </c>
      <c r="H39" s="295">
        <f t="shared" ref="H39:J39" si="228">H40+H41+H47+H48+H49+H50+H51+H52+H53+H54+H55+H56+H57+H58</f>
        <v>6259.17</v>
      </c>
      <c r="I39" s="295">
        <f t="shared" si="228"/>
        <v>5163.2700000000004</v>
      </c>
      <c r="J39" s="295">
        <f t="shared" si="228"/>
        <v>3886.3400000000011</v>
      </c>
      <c r="K39" s="295">
        <f>K40+K41+K47+K48+K49+K50+K51+K52+K53+K54+K55+K56+K57+K58</f>
        <v>135.28000000000111</v>
      </c>
      <c r="L39" s="295">
        <f t="shared" ref="L39:P39" si="229">L40+L41+L47+L48+L49+L50+L51+L52+L53+L54+L55+L56+L57+L58</f>
        <v>8422.59</v>
      </c>
      <c r="M39" s="295">
        <f t="shared" si="229"/>
        <v>1261.1899999999991</v>
      </c>
      <c r="N39" s="295">
        <f t="shared" si="229"/>
        <v>11145.18</v>
      </c>
      <c r="O39" s="295">
        <f t="shared" si="229"/>
        <v>11363.580000000002</v>
      </c>
      <c r="P39" s="295">
        <f t="shared" si="229"/>
        <v>11387.8</v>
      </c>
      <c r="Q39" s="257">
        <f>EEFFun!Q508</f>
        <v>13098.62</v>
      </c>
      <c r="R39" s="257">
        <f>EEFFun!R508</f>
        <v>21057.64</v>
      </c>
      <c r="S39" s="257">
        <f>EEFFun!S508</f>
        <v>21632.46</v>
      </c>
      <c r="T39" s="257">
        <f>EEFFun!T508</f>
        <v>27891.63</v>
      </c>
      <c r="U39" s="257">
        <f>EEFFun!U508</f>
        <v>33054.9</v>
      </c>
      <c r="V39" s="257">
        <f>EEFFun!V508</f>
        <v>36941.24</v>
      </c>
      <c r="W39" s="257">
        <f>EEFFun!W508</f>
        <v>37076.519999999997</v>
      </c>
      <c r="X39" s="257">
        <f>EEFFun!X508</f>
        <v>45499.11</v>
      </c>
      <c r="Y39" s="257">
        <f>EEFFun!Y508</f>
        <v>46760.3</v>
      </c>
      <c r="Z39" s="257">
        <f>EEFFun!Z508</f>
        <v>57905.48</v>
      </c>
      <c r="AA39" s="257">
        <f>EEFFun!AA508</f>
        <v>69269.06</v>
      </c>
      <c r="AB39" s="257">
        <f>EEFFun!AB508</f>
        <v>80656.86</v>
      </c>
      <c r="AC39" s="257">
        <f>EEFFun!AC508</f>
        <v>4764.5200000000004</v>
      </c>
      <c r="AD39" s="257">
        <f>EEFFun!AD508</f>
        <v>21215.01</v>
      </c>
      <c r="AE39" s="257">
        <f>EEFFun!AE508</f>
        <v>23600.44</v>
      </c>
      <c r="AF39" s="257">
        <f>EEFFun!AF508</f>
        <v>35765.949999999997</v>
      </c>
      <c r="AG39" s="257">
        <f>EEFFun!AG508</f>
        <v>40864.870000000003</v>
      </c>
      <c r="AH39" s="257">
        <f>EEFFun!AH508</f>
        <v>54353.42</v>
      </c>
      <c r="AI39" s="257">
        <f>EEFFun!AI508</f>
        <v>71014.240000000005</v>
      </c>
      <c r="AJ39" s="257">
        <f>EEFFun!AJ508</f>
        <v>81699.259999999995</v>
      </c>
      <c r="AK39" s="257">
        <f>EEFFun!AK508</f>
        <v>93397.81</v>
      </c>
      <c r="AL39" s="257">
        <f>EEFFun!AL508</f>
        <v>123773.24</v>
      </c>
      <c r="AM39" s="257">
        <f>EEFFun!AM508</f>
        <v>149302.54999999999</v>
      </c>
      <c r="AN39" s="257">
        <f>EEFFun!AN508</f>
        <v>208155.2</v>
      </c>
      <c r="AO39" s="257">
        <f>EEFFun!AO508</f>
        <v>25084.48</v>
      </c>
      <c r="AP39" s="257">
        <f>EEFFun!AP508</f>
        <v>63439.41</v>
      </c>
      <c r="AQ39" s="257">
        <f>EEFFun!AQ508</f>
        <v>95167.39</v>
      </c>
      <c r="AR39" s="257">
        <f>EEFFun!AR508</f>
        <v>137475.66</v>
      </c>
      <c r="AS39" s="257">
        <f>EEFFun!AS508</f>
        <v>170556.05</v>
      </c>
      <c r="AT39" s="257">
        <f>EEFFun!AT508</f>
        <v>203057.68</v>
      </c>
      <c r="AU39" s="257">
        <f>EEFFun!AU508</f>
        <v>231419.07</v>
      </c>
      <c r="AV39" s="257">
        <f>EEFFun!AV508</f>
        <v>264425.38</v>
      </c>
      <c r="AW39" s="257">
        <f>EEFFun!AW508</f>
        <v>302154.78999999998</v>
      </c>
      <c r="AX39" s="257">
        <f>EEFFun!AX508</f>
        <v>332673.65000000002</v>
      </c>
      <c r="AY39" s="295">
        <f t="shared" si="225"/>
        <v>29940.628500000006</v>
      </c>
      <c r="AZ39" s="295">
        <f t="shared" si="225"/>
        <v>29940.628500000006</v>
      </c>
      <c r="BA39" s="295">
        <f t="shared" si="225"/>
        <v>29940.628500000006</v>
      </c>
      <c r="BB39" s="295">
        <f t="shared" si="226"/>
        <v>26613.892000000007</v>
      </c>
      <c r="BC39" s="295">
        <f t="shared" si="226"/>
        <v>26613.892000000007</v>
      </c>
      <c r="BD39" s="295">
        <f t="shared" si="226"/>
        <v>26613.892000000007</v>
      </c>
      <c r="BE39" s="295">
        <f t="shared" si="226"/>
        <v>26613.892000000007</v>
      </c>
      <c r="BF39" s="295">
        <f t="shared" si="226"/>
        <v>26613.892000000007</v>
      </c>
      <c r="BG39" s="295">
        <f t="shared" si="226"/>
        <v>26613.892000000007</v>
      </c>
      <c r="BH39" s="295">
        <f t="shared" si="226"/>
        <v>26613.892000000007</v>
      </c>
      <c r="BI39" s="295">
        <f t="shared" si="226"/>
        <v>26613.892000000007</v>
      </c>
      <c r="BJ39" s="295">
        <f t="shared" si="226"/>
        <v>26613.892000000007</v>
      </c>
      <c r="BK39" s="295">
        <f t="shared" ref="BK39:BQ39" si="230">BK40+BK41+BK47+BK48+BK50+BK51+BK52+BK53+BK54+BK55+BK56+BK57+BK58</f>
        <v>29148.133499999996</v>
      </c>
      <c r="BL39" s="295">
        <f t="shared" si="230"/>
        <v>58296.266999999993</v>
      </c>
      <c r="BM39" s="295">
        <f t="shared" si="230"/>
        <v>87444.400500000003</v>
      </c>
      <c r="BN39" s="295">
        <f t="shared" si="230"/>
        <v>116592.53399999999</v>
      </c>
      <c r="BO39" s="295">
        <f t="shared" si="230"/>
        <v>145740.66750000001</v>
      </c>
      <c r="BP39" s="295">
        <f t="shared" si="230"/>
        <v>174888.80100000004</v>
      </c>
      <c r="BQ39" s="295">
        <f t="shared" si="230"/>
        <v>204036.9345</v>
      </c>
      <c r="BR39" s="295">
        <f t="shared" ref="BR39:BV39" si="231">BR40+BR41+BR47+BR48+BR50+BR51+BR52+BR53+BR54+BR55+BR56+BR57+BR58</f>
        <v>233185.06799999997</v>
      </c>
      <c r="BS39" s="295">
        <f t="shared" si="231"/>
        <v>262333.20150000002</v>
      </c>
      <c r="BT39" s="295">
        <f t="shared" si="231"/>
        <v>291481.33499999996</v>
      </c>
      <c r="BU39" s="295">
        <f t="shared" si="231"/>
        <v>320629.46850000002</v>
      </c>
      <c r="BV39" s="295">
        <f t="shared" si="231"/>
        <v>349777.60200000007</v>
      </c>
      <c r="BW39" s="291"/>
    </row>
    <row r="40" spans="1:75" outlineLevel="2" collapsed="1" x14ac:dyDescent="0.25">
      <c r="A40" s="222">
        <v>8</v>
      </c>
      <c r="B40" s="233">
        <f>EEFFun!B509</f>
        <v>45019005</v>
      </c>
      <c r="C40" s="233" t="str">
        <f>EEFFun!C509</f>
        <v>COMISIONES</v>
      </c>
      <c r="D40" s="257">
        <f>EEFFun!P509</f>
        <v>0</v>
      </c>
      <c r="E40" s="295">
        <f>Q40</f>
        <v>0</v>
      </c>
      <c r="F40" s="295">
        <f t="shared" ref="F40" si="232">R40-Q40</f>
        <v>0</v>
      </c>
      <c r="G40" s="295">
        <f t="shared" ref="G40" si="233">S40-R40</f>
        <v>0</v>
      </c>
      <c r="H40" s="295">
        <f t="shared" ref="H40" si="234">T40-S40</f>
        <v>90</v>
      </c>
      <c r="I40" s="295">
        <f t="shared" ref="I40" si="235">U40-T40</f>
        <v>350</v>
      </c>
      <c r="J40" s="295">
        <f t="shared" ref="J40" si="236">V40-U40</f>
        <v>0</v>
      </c>
      <c r="K40" s="295">
        <f t="shared" ref="K40" si="237">W40-V40</f>
        <v>0</v>
      </c>
      <c r="L40" s="295">
        <f t="shared" ref="L40" si="238">X40-W40</f>
        <v>0</v>
      </c>
      <c r="M40" s="295">
        <f t="shared" ref="M40" si="239">Y40-X40</f>
        <v>0</v>
      </c>
      <c r="N40" s="295">
        <f t="shared" ref="N40" si="240">Z40-Y40</f>
        <v>0</v>
      </c>
      <c r="O40" s="295">
        <f t="shared" ref="O40:P40" si="241">AA40-Z40</f>
        <v>0</v>
      </c>
      <c r="P40" s="295">
        <f t="shared" si="241"/>
        <v>0</v>
      </c>
      <c r="Q40" s="257">
        <f>EEFFun!Q509</f>
        <v>0</v>
      </c>
      <c r="R40" s="257">
        <f>EEFFun!R509</f>
        <v>0</v>
      </c>
      <c r="S40" s="257">
        <f>EEFFun!S509</f>
        <v>0</v>
      </c>
      <c r="T40" s="257">
        <f>EEFFun!T509</f>
        <v>90</v>
      </c>
      <c r="U40" s="257">
        <f>EEFFun!U509</f>
        <v>440</v>
      </c>
      <c r="V40" s="257">
        <f>EEFFun!V509</f>
        <v>440</v>
      </c>
      <c r="W40" s="257">
        <f>EEFFun!W509</f>
        <v>440</v>
      </c>
      <c r="X40" s="257">
        <f>EEFFun!X509</f>
        <v>440</v>
      </c>
      <c r="Y40" s="257">
        <f>EEFFun!Y509</f>
        <v>440</v>
      </c>
      <c r="Z40" s="257">
        <f>EEFFun!Z509</f>
        <v>440</v>
      </c>
      <c r="AA40" s="257">
        <f>EEFFun!AA509</f>
        <v>440</v>
      </c>
      <c r="AB40" s="257">
        <f>EEFFun!AB509</f>
        <v>440</v>
      </c>
      <c r="AC40" s="257">
        <f>EEFFun!AC509</f>
        <v>0</v>
      </c>
      <c r="AD40" s="257">
        <f>EEFFun!AD509</f>
        <v>0</v>
      </c>
      <c r="AE40" s="257">
        <f>EEFFun!AE509</f>
        <v>0</v>
      </c>
      <c r="AF40" s="257">
        <f>EEFFun!AF509</f>
        <v>0</v>
      </c>
      <c r="AG40" s="257">
        <f>EEFFun!AG509</f>
        <v>0</v>
      </c>
      <c r="AH40" s="257">
        <f>EEFFun!AH509</f>
        <v>0</v>
      </c>
      <c r="AI40" s="257">
        <f>EEFFun!AI509</f>
        <v>0</v>
      </c>
      <c r="AJ40" s="257">
        <f>EEFFun!AJ509</f>
        <v>0</v>
      </c>
      <c r="AK40" s="257">
        <f>EEFFun!AK509</f>
        <v>0</v>
      </c>
      <c r="AL40" s="257">
        <f>EEFFun!AL509</f>
        <v>0</v>
      </c>
      <c r="AM40" s="257">
        <f>EEFFun!AM509</f>
        <v>0</v>
      </c>
      <c r="AN40" s="257">
        <f>EEFFun!AN509</f>
        <v>0</v>
      </c>
      <c r="AO40" s="257">
        <f>EEFFun!AO509</f>
        <v>0</v>
      </c>
      <c r="AP40" s="257">
        <f>EEFFun!AP509</f>
        <v>0</v>
      </c>
      <c r="AQ40" s="257">
        <f>EEFFun!AQ509</f>
        <v>0</v>
      </c>
      <c r="AR40" s="257">
        <f>EEFFun!AR509</f>
        <v>0</v>
      </c>
      <c r="AS40" s="257">
        <f>EEFFun!AS509</f>
        <v>0</v>
      </c>
      <c r="AT40" s="257">
        <f>EEFFun!AT509</f>
        <v>0</v>
      </c>
      <c r="AU40" s="257">
        <f>EEFFun!AU509</f>
        <v>0</v>
      </c>
      <c r="AV40" s="257">
        <f>EEFFun!AV509</f>
        <v>0</v>
      </c>
      <c r="AW40" s="257">
        <f>EEFFun!AW509</f>
        <v>0</v>
      </c>
      <c r="AX40" s="257">
        <f>EEFFun!AX509</f>
        <v>0</v>
      </c>
      <c r="AY40" s="291"/>
      <c r="AZ40" s="291"/>
      <c r="BA40" s="291"/>
      <c r="BB40" s="291"/>
      <c r="BC40" s="291"/>
      <c r="BD40" s="291"/>
      <c r="BE40" s="291"/>
      <c r="BF40" s="291"/>
      <c r="BG40" s="291"/>
      <c r="BH40" s="291"/>
      <c r="BI40" s="291"/>
      <c r="BJ40" s="291"/>
      <c r="BK40" s="295">
        <f>SUM($AY$40:AY40)</f>
        <v>0</v>
      </c>
      <c r="BL40" s="295">
        <f>SUM($AY$40:AZ40)</f>
        <v>0</v>
      </c>
      <c r="BM40" s="295">
        <f>SUM($AY$40:BA40)</f>
        <v>0</v>
      </c>
      <c r="BN40" s="295">
        <f>SUM($AY$40:BB40)</f>
        <v>0</v>
      </c>
      <c r="BO40" s="295">
        <f>SUM($AY$40:BC40)</f>
        <v>0</v>
      </c>
      <c r="BP40" s="295">
        <f>SUM($AY$40:BD40)</f>
        <v>0</v>
      </c>
      <c r="BQ40" s="295">
        <f>SUM($AY$40:BE40)</f>
        <v>0</v>
      </c>
      <c r="BR40" s="295">
        <f>SUM($AY$40:BF40)</f>
        <v>0</v>
      </c>
      <c r="BS40" s="295">
        <f>SUM($AY$40:BG40)</f>
        <v>0</v>
      </c>
      <c r="BT40" s="295">
        <f>SUM($AY$40:BH40)</f>
        <v>0</v>
      </c>
      <c r="BU40" s="295">
        <f>SUM($AY$40:BI40)</f>
        <v>0</v>
      </c>
      <c r="BV40" s="295">
        <f>SUM($AY$40:BJ40)</f>
        <v>0</v>
      </c>
      <c r="BW40" s="291"/>
    </row>
    <row r="41" spans="1:75" outlineLevel="2" collapsed="1" x14ac:dyDescent="0.25">
      <c r="A41" s="222">
        <v>8</v>
      </c>
      <c r="B41" s="233">
        <f>EEFFun!B510</f>
        <v>45019010</v>
      </c>
      <c r="C41" s="233" t="str">
        <f>EEFFun!C510</f>
        <v>COMISIONES</v>
      </c>
      <c r="D41" s="257">
        <f>EEFFun!P510</f>
        <v>68255.14</v>
      </c>
      <c r="E41" s="295">
        <f t="shared" ref="E41" si="242">SUM(E42:E46)</f>
        <v>4346.88</v>
      </c>
      <c r="F41" s="295">
        <f t="shared" ref="F41" si="243">SUM(F42:F46)</f>
        <v>2968.74</v>
      </c>
      <c r="G41" s="295">
        <f t="shared" ref="G41" si="244">SUM(G42:G46)</f>
        <v>3249.1700000000005</v>
      </c>
      <c r="H41" s="295">
        <f t="shared" ref="H41:O41" si="245">SUM(H42:H46)</f>
        <v>3794.0899999999988</v>
      </c>
      <c r="I41" s="295">
        <f t="shared" si="245"/>
        <v>2212.9400000000005</v>
      </c>
      <c r="J41" s="295">
        <f t="shared" si="245"/>
        <v>1827.0300000000002</v>
      </c>
      <c r="K41" s="295">
        <f t="shared" si="245"/>
        <v>1964.8200000000006</v>
      </c>
      <c r="L41" s="295">
        <f t="shared" si="245"/>
        <v>2047.1800000000003</v>
      </c>
      <c r="M41" s="295">
        <f t="shared" si="245"/>
        <v>3006.8999999999987</v>
      </c>
      <c r="N41" s="295">
        <f t="shared" si="245"/>
        <v>2705.4299999999994</v>
      </c>
      <c r="O41" s="295">
        <f t="shared" si="245"/>
        <v>4711.6600000000026</v>
      </c>
      <c r="P41" s="295">
        <f t="shared" ref="P41" si="246">SUM(P42:P46)</f>
        <v>2727.369999999999</v>
      </c>
      <c r="Q41" s="257">
        <f>EEFFun!Q510</f>
        <v>4346.88</v>
      </c>
      <c r="R41" s="257">
        <f>EEFFun!R510</f>
        <v>7315.62</v>
      </c>
      <c r="S41" s="257">
        <f>EEFFun!S510</f>
        <v>10564.79</v>
      </c>
      <c r="T41" s="257">
        <f>EEFFun!T510</f>
        <v>14358.88</v>
      </c>
      <c r="U41" s="257">
        <f>EEFFun!U510</f>
        <v>16571.82</v>
      </c>
      <c r="V41" s="257">
        <f>EEFFun!V510</f>
        <v>18398.849999999999</v>
      </c>
      <c r="W41" s="257">
        <f>EEFFun!W510</f>
        <v>20363.669999999998</v>
      </c>
      <c r="X41" s="257">
        <f>EEFFun!X510</f>
        <v>22410.85</v>
      </c>
      <c r="Y41" s="257">
        <f>EEFFun!Y510</f>
        <v>25417.75</v>
      </c>
      <c r="Z41" s="257">
        <f>EEFFun!Z510</f>
        <v>28123.18</v>
      </c>
      <c r="AA41" s="257">
        <f>EEFFun!AA510</f>
        <v>32834.839999999997</v>
      </c>
      <c r="AB41" s="257">
        <f>EEFFun!AB510</f>
        <v>35562.21</v>
      </c>
      <c r="AC41" s="257">
        <f>EEFFun!AC510</f>
        <v>2252.42</v>
      </c>
      <c r="AD41" s="257">
        <f>EEFFun!AD510</f>
        <v>5373.84</v>
      </c>
      <c r="AE41" s="257">
        <f>EEFFun!AE510</f>
        <v>7042.09</v>
      </c>
      <c r="AF41" s="257">
        <f>EEFFun!AF510</f>
        <v>10875.59</v>
      </c>
      <c r="AG41" s="257">
        <f>EEFFun!AG510</f>
        <v>15175.35</v>
      </c>
      <c r="AH41" s="257">
        <f>EEFFun!AH510</f>
        <v>23172.61</v>
      </c>
      <c r="AI41" s="257">
        <f>EEFFun!AI510</f>
        <v>28008.59</v>
      </c>
      <c r="AJ41" s="257">
        <f>EEFFun!AJ510</f>
        <v>35112.03</v>
      </c>
      <c r="AK41" s="257">
        <f>EEFFun!AK510</f>
        <v>35112.03</v>
      </c>
      <c r="AL41" s="257">
        <f>EEFFun!AL510</f>
        <v>50817.71</v>
      </c>
      <c r="AM41" s="257">
        <f>EEFFun!AM510</f>
        <v>59112.04</v>
      </c>
      <c r="AN41" s="257">
        <f>EEFFun!AN510</f>
        <v>78455.289999999994</v>
      </c>
      <c r="AO41" s="257">
        <f>EEFFun!AO510</f>
        <v>11781.67</v>
      </c>
      <c r="AP41" s="257">
        <f>EEFFun!AP510</f>
        <v>30171.360000000001</v>
      </c>
      <c r="AQ41" s="257">
        <f>EEFFun!AQ510</f>
        <v>44617.94</v>
      </c>
      <c r="AR41" s="257">
        <f>EEFFun!AR510</f>
        <v>69018.5</v>
      </c>
      <c r="AS41" s="257">
        <f>EEFFun!AS510</f>
        <v>90526.67</v>
      </c>
      <c r="AT41" s="257">
        <f>EEFFun!AT510</f>
        <v>116326.55</v>
      </c>
      <c r="AU41" s="257">
        <f>EEFFun!AU510</f>
        <v>137600.65</v>
      </c>
      <c r="AV41" s="257">
        <f>EEFFun!AV510</f>
        <v>162500.75</v>
      </c>
      <c r="AW41" s="257">
        <f>EEFFun!AW510</f>
        <v>187376.58</v>
      </c>
      <c r="AX41" s="257">
        <f>EEFFun!AX510</f>
        <v>208130.1</v>
      </c>
      <c r="AY41" s="295">
        <f t="shared" ref="AY41" si="247">SUM(AY42:AY46)</f>
        <v>18717.146100000002</v>
      </c>
      <c r="AZ41" s="295">
        <f t="shared" ref="AZ41:BJ41" si="248">SUM(AZ42:AZ46)</f>
        <v>18717.146100000002</v>
      </c>
      <c r="BA41" s="295">
        <f t="shared" si="248"/>
        <v>18717.146100000002</v>
      </c>
      <c r="BB41" s="295">
        <f t="shared" si="248"/>
        <v>18717.146100000002</v>
      </c>
      <c r="BC41" s="295">
        <f t="shared" si="248"/>
        <v>18717.146100000002</v>
      </c>
      <c r="BD41" s="295">
        <f t="shared" si="248"/>
        <v>18717.146100000002</v>
      </c>
      <c r="BE41" s="295">
        <f t="shared" si="248"/>
        <v>18717.146100000002</v>
      </c>
      <c r="BF41" s="295">
        <f t="shared" si="248"/>
        <v>18717.146100000002</v>
      </c>
      <c r="BG41" s="295">
        <f t="shared" si="248"/>
        <v>18717.146100000002</v>
      </c>
      <c r="BH41" s="295">
        <f t="shared" si="248"/>
        <v>18717.146100000002</v>
      </c>
      <c r="BI41" s="295">
        <f t="shared" si="248"/>
        <v>18717.146100000002</v>
      </c>
      <c r="BJ41" s="295">
        <f t="shared" si="248"/>
        <v>18717.146100000002</v>
      </c>
      <c r="BK41" s="295">
        <f t="shared" ref="BK41:BQ41" si="249">SUM(BK42:BK46)</f>
        <v>18717.146100000002</v>
      </c>
      <c r="BL41" s="295">
        <f t="shared" si="249"/>
        <v>37434.292200000004</v>
      </c>
      <c r="BM41" s="295">
        <f t="shared" si="249"/>
        <v>56151.438300000002</v>
      </c>
      <c r="BN41" s="295">
        <f t="shared" si="249"/>
        <v>74868.584400000007</v>
      </c>
      <c r="BO41" s="295">
        <f t="shared" si="249"/>
        <v>93585.730500000005</v>
      </c>
      <c r="BP41" s="295">
        <f t="shared" si="249"/>
        <v>112302.87660000002</v>
      </c>
      <c r="BQ41" s="295">
        <f t="shared" si="249"/>
        <v>131020.02270000002</v>
      </c>
      <c r="BR41" s="295">
        <f t="shared" ref="BR41" si="250">SUM(BR42:BR46)</f>
        <v>149737.16880000001</v>
      </c>
      <c r="BS41" s="295">
        <f t="shared" ref="BS41" si="251">SUM(BS42:BS46)</f>
        <v>168454.3149</v>
      </c>
      <c r="BT41" s="295">
        <f t="shared" ref="BT41" si="252">SUM(BT42:BT46)</f>
        <v>187171.46100000001</v>
      </c>
      <c r="BU41" s="295">
        <f t="shared" ref="BU41" si="253">SUM(BU42:BU46)</f>
        <v>205888.60710000002</v>
      </c>
      <c r="BV41" s="295">
        <f t="shared" ref="BV41" si="254">SUM(BV42:BV46)</f>
        <v>224605.75320000004</v>
      </c>
      <c r="BW41" s="291"/>
    </row>
    <row r="42" spans="1:75" outlineLevel="2" collapsed="1" x14ac:dyDescent="0.25">
      <c r="A42" s="222">
        <v>10</v>
      </c>
      <c r="B42" s="233">
        <f>EEFFun!B511</f>
        <v>4501901005</v>
      </c>
      <c r="C42" s="233" t="str">
        <f>EEFFun!C511</f>
        <v>PERSONAL DE CAPTACIONES</v>
      </c>
      <c r="D42" s="257">
        <f>EEFFun!P511</f>
        <v>66956.710000000006</v>
      </c>
      <c r="E42" s="295">
        <f t="shared" ref="E42:E58" si="255">Q42</f>
        <v>4346.88</v>
      </c>
      <c r="F42" s="295">
        <f t="shared" ref="F42:F58" si="256">R42-Q42</f>
        <v>-1119.19</v>
      </c>
      <c r="G42" s="295">
        <f t="shared" ref="G42:G58" si="257">S42-R42</f>
        <v>1009.1600000000003</v>
      </c>
      <c r="H42" s="295">
        <f t="shared" ref="H42:H58" si="258">T42-S42</f>
        <v>972.55999999999949</v>
      </c>
      <c r="I42" s="295">
        <f t="shared" ref="I42:I58" si="259">U42-T42</f>
        <v>616.25</v>
      </c>
      <c r="J42" s="295">
        <f t="shared" ref="J42:J58" si="260">V42-U42</f>
        <v>343.76000000000022</v>
      </c>
      <c r="K42" s="295">
        <f t="shared" ref="K42:K58" si="261">W42-V42</f>
        <v>939.60000000000036</v>
      </c>
      <c r="L42" s="295">
        <f t="shared" ref="L42:L58" si="262">X42-W42</f>
        <v>767.65999999999985</v>
      </c>
      <c r="M42" s="295">
        <f t="shared" ref="M42:M58" si="263">Y42-X42</f>
        <v>1596.7299999999996</v>
      </c>
      <c r="N42" s="295">
        <f t="shared" ref="N42:N58" si="264">Z42-Y42</f>
        <v>875.64999999999964</v>
      </c>
      <c r="O42" s="295">
        <f t="shared" ref="O42:P58" si="265">AA42-Z42</f>
        <v>2176.5600000000013</v>
      </c>
      <c r="P42" s="295">
        <f t="shared" si="265"/>
        <v>735.54999999999927</v>
      </c>
      <c r="Q42" s="257">
        <f>EEFFun!Q511</f>
        <v>4346.88</v>
      </c>
      <c r="R42" s="257">
        <f>EEFFun!R511</f>
        <v>3227.69</v>
      </c>
      <c r="S42" s="257">
        <f>EEFFun!S511</f>
        <v>4236.8500000000004</v>
      </c>
      <c r="T42" s="257">
        <f>EEFFun!T511</f>
        <v>5209.41</v>
      </c>
      <c r="U42" s="257">
        <f>EEFFun!U511</f>
        <v>5825.66</v>
      </c>
      <c r="V42" s="257">
        <f>EEFFun!V511</f>
        <v>6169.42</v>
      </c>
      <c r="W42" s="257">
        <f>EEFFun!W511</f>
        <v>7109.02</v>
      </c>
      <c r="X42" s="257">
        <f>EEFFun!X511</f>
        <v>7876.68</v>
      </c>
      <c r="Y42" s="257">
        <f>EEFFun!Y511</f>
        <v>9473.41</v>
      </c>
      <c r="Z42" s="257">
        <f>EEFFun!Z511</f>
        <v>10349.06</v>
      </c>
      <c r="AA42" s="257">
        <f>EEFFun!AA511</f>
        <v>12525.62</v>
      </c>
      <c r="AB42" s="257">
        <f>EEFFun!AB511</f>
        <v>13261.17</v>
      </c>
      <c r="AC42" s="257">
        <f>EEFFun!AC511</f>
        <v>454.44</v>
      </c>
      <c r="AD42" s="257">
        <f>EEFFun!AD511</f>
        <v>1269.46</v>
      </c>
      <c r="AE42" s="257">
        <f>EEFFun!AE511</f>
        <v>1764.93</v>
      </c>
      <c r="AF42" s="257">
        <f>EEFFun!AF511</f>
        <v>2672.29</v>
      </c>
      <c r="AG42" s="257">
        <f>EEFFun!AG511</f>
        <v>5068.9399999999996</v>
      </c>
      <c r="AH42" s="257">
        <f>EEFFun!AH511</f>
        <v>5737.42</v>
      </c>
      <c r="AI42" s="257">
        <f>EEFFun!AI511</f>
        <v>6437.26</v>
      </c>
      <c r="AJ42" s="257">
        <f>EEFFun!AJ511</f>
        <v>7329.07</v>
      </c>
      <c r="AK42" s="257">
        <f>EEFFun!AK511</f>
        <v>7329.07</v>
      </c>
      <c r="AL42" s="257">
        <f>EEFFun!AL511</f>
        <v>11248.85</v>
      </c>
      <c r="AM42" s="257">
        <f>EEFFun!AM511</f>
        <v>11518.76</v>
      </c>
      <c r="AN42" s="257">
        <f>EEFFun!AN511</f>
        <v>14701.37</v>
      </c>
      <c r="AO42" s="257">
        <f>EEFFun!AO511</f>
        <v>2306.65</v>
      </c>
      <c r="AP42" s="257">
        <f>EEFFun!AP511</f>
        <v>6893.74</v>
      </c>
      <c r="AQ42" s="257">
        <f>EEFFun!AQ511</f>
        <v>11479.28</v>
      </c>
      <c r="AR42" s="257">
        <f>EEFFun!AR511</f>
        <v>14546.7</v>
      </c>
      <c r="AS42" s="257">
        <f>EEFFun!AS511</f>
        <v>19139.27</v>
      </c>
      <c r="AT42" s="257">
        <f>EEFFun!AT511</f>
        <v>25749.75</v>
      </c>
      <c r="AU42" s="257">
        <f>EEFFun!AU511</f>
        <v>30936.15</v>
      </c>
      <c r="AV42" s="257">
        <f>EEFFun!AV511</f>
        <v>28580.03</v>
      </c>
      <c r="AW42" s="257">
        <f>EEFFun!AW511</f>
        <v>37997.879999999997</v>
      </c>
      <c r="AX42" s="257">
        <f>EEFFun!AX511</f>
        <v>45542.54</v>
      </c>
      <c r="AY42" s="295">
        <f t="shared" ref="AY42:BJ65" si="266">(+$AX42/10)*90%</f>
        <v>4098.8285999999998</v>
      </c>
      <c r="AZ42" s="295">
        <f t="shared" si="266"/>
        <v>4098.8285999999998</v>
      </c>
      <c r="BA42" s="295">
        <f t="shared" si="266"/>
        <v>4098.8285999999998</v>
      </c>
      <c r="BB42" s="295">
        <f t="shared" si="266"/>
        <v>4098.8285999999998</v>
      </c>
      <c r="BC42" s="295">
        <f t="shared" si="266"/>
        <v>4098.8285999999998</v>
      </c>
      <c r="BD42" s="295">
        <f t="shared" si="266"/>
        <v>4098.8285999999998</v>
      </c>
      <c r="BE42" s="295">
        <f t="shared" si="266"/>
        <v>4098.8285999999998</v>
      </c>
      <c r="BF42" s="295">
        <f t="shared" si="266"/>
        <v>4098.8285999999998</v>
      </c>
      <c r="BG42" s="295">
        <f t="shared" si="266"/>
        <v>4098.8285999999998</v>
      </c>
      <c r="BH42" s="295">
        <f t="shared" si="266"/>
        <v>4098.8285999999998</v>
      </c>
      <c r="BI42" s="295">
        <f t="shared" si="266"/>
        <v>4098.8285999999998</v>
      </c>
      <c r="BJ42" s="295">
        <f t="shared" si="266"/>
        <v>4098.8285999999998</v>
      </c>
      <c r="BK42" s="295">
        <f>SUM($AY$42:AY42)</f>
        <v>4098.8285999999998</v>
      </c>
      <c r="BL42" s="295">
        <f>SUM($AY$42:AZ42)</f>
        <v>8197.6571999999996</v>
      </c>
      <c r="BM42" s="295">
        <f>SUM($AY$42:BA42)</f>
        <v>12296.485799999999</v>
      </c>
      <c r="BN42" s="295">
        <f>SUM($AY$42:BB42)</f>
        <v>16395.314399999999</v>
      </c>
      <c r="BO42" s="295">
        <f>SUM($AY$42:BC42)</f>
        <v>20494.143</v>
      </c>
      <c r="BP42" s="295">
        <f>SUM($AY$42:BD42)</f>
        <v>24592.971600000001</v>
      </c>
      <c r="BQ42" s="295">
        <f>SUM($AY$42:BE42)</f>
        <v>28691.800200000001</v>
      </c>
      <c r="BR42" s="295">
        <f>SUM($AY$42:BF42)</f>
        <v>32790.628799999999</v>
      </c>
      <c r="BS42" s="295">
        <f>SUM($AY$42:BG42)</f>
        <v>36889.457399999999</v>
      </c>
      <c r="BT42" s="295">
        <f>SUM($AY$42:BH42)</f>
        <v>40988.286</v>
      </c>
      <c r="BU42" s="295">
        <f>SUM($AY$42:BI42)</f>
        <v>45087.114600000001</v>
      </c>
      <c r="BV42" s="295">
        <f>SUM($AY$42:BJ42)</f>
        <v>49185.943200000002</v>
      </c>
      <c r="BW42" s="291"/>
    </row>
    <row r="43" spans="1:75" outlineLevel="2" collapsed="1" x14ac:dyDescent="0.25">
      <c r="A43" s="222">
        <v>10</v>
      </c>
      <c r="B43" s="233">
        <f>EEFFun!B512</f>
        <v>4501901015</v>
      </c>
      <c r="C43" s="233" t="str">
        <f>EEFFun!C512</f>
        <v>PERSONAL DE COBRANZAS</v>
      </c>
      <c r="D43" s="257">
        <f>EEFFun!P512</f>
        <v>1298.43</v>
      </c>
      <c r="E43" s="295">
        <f t="shared" si="255"/>
        <v>0</v>
      </c>
      <c r="F43" s="295">
        <f t="shared" si="256"/>
        <v>1093.92</v>
      </c>
      <c r="G43" s="295">
        <f t="shared" si="257"/>
        <v>986.81</v>
      </c>
      <c r="H43" s="295">
        <f t="shared" si="258"/>
        <v>1096.4099999999999</v>
      </c>
      <c r="I43" s="295">
        <f t="shared" si="259"/>
        <v>763.55000000000018</v>
      </c>
      <c r="J43" s="295">
        <f t="shared" si="260"/>
        <v>973.66999999999962</v>
      </c>
      <c r="K43" s="295">
        <f t="shared" si="261"/>
        <v>892.30000000000018</v>
      </c>
      <c r="L43" s="295">
        <f t="shared" si="262"/>
        <v>1146.6000000000004</v>
      </c>
      <c r="M43" s="295">
        <f t="shared" si="263"/>
        <v>883.09999999999945</v>
      </c>
      <c r="N43" s="295">
        <f t="shared" si="264"/>
        <v>994.97000000000025</v>
      </c>
      <c r="O43" s="295">
        <f t="shared" si="265"/>
        <v>2309.2800000000007</v>
      </c>
      <c r="P43" s="295">
        <f t="shared" si="265"/>
        <v>1166.9599999999991</v>
      </c>
      <c r="Q43" s="257">
        <f>EEFFun!Q512</f>
        <v>0</v>
      </c>
      <c r="R43" s="257">
        <f>EEFFun!R512</f>
        <v>1093.92</v>
      </c>
      <c r="S43" s="257">
        <f>EEFFun!S512</f>
        <v>2080.73</v>
      </c>
      <c r="T43" s="257">
        <f>EEFFun!T512</f>
        <v>3177.14</v>
      </c>
      <c r="U43" s="257">
        <f>EEFFun!U512</f>
        <v>3940.69</v>
      </c>
      <c r="V43" s="257">
        <f>EEFFun!V512</f>
        <v>4914.3599999999997</v>
      </c>
      <c r="W43" s="257">
        <f>EEFFun!W512</f>
        <v>5806.66</v>
      </c>
      <c r="X43" s="257">
        <f>EEFFun!X512</f>
        <v>6953.26</v>
      </c>
      <c r="Y43" s="257">
        <f>EEFFun!Y512</f>
        <v>7836.36</v>
      </c>
      <c r="Z43" s="257">
        <f>EEFFun!Z512</f>
        <v>8831.33</v>
      </c>
      <c r="AA43" s="257">
        <f>EEFFun!AA512</f>
        <v>11140.61</v>
      </c>
      <c r="AB43" s="257">
        <f>EEFFun!AB512</f>
        <v>12307.57</v>
      </c>
      <c r="AC43" s="257">
        <f>EEFFun!AC512</f>
        <v>1259.6400000000001</v>
      </c>
      <c r="AD43" s="257">
        <f>EEFFun!AD512</f>
        <v>2738.18</v>
      </c>
      <c r="AE43" s="257">
        <f>EEFFun!AE512</f>
        <v>3563.91</v>
      </c>
      <c r="AF43" s="257">
        <f>EEFFun!AF512</f>
        <v>4587.82</v>
      </c>
      <c r="AG43" s="257">
        <f>EEFFun!AG512</f>
        <v>6490.93</v>
      </c>
      <c r="AH43" s="257">
        <f>EEFFun!AH512</f>
        <v>7815.85</v>
      </c>
      <c r="AI43" s="257">
        <f>EEFFun!AI512</f>
        <v>8957.14</v>
      </c>
      <c r="AJ43" s="257">
        <f>EEFFun!AJ512</f>
        <v>10218.61</v>
      </c>
      <c r="AK43" s="257">
        <f>EEFFun!AK512</f>
        <v>10218.61</v>
      </c>
      <c r="AL43" s="257">
        <f>EEFFun!AL512</f>
        <v>11936.78</v>
      </c>
      <c r="AM43" s="257">
        <f>EEFFun!AM512</f>
        <v>13561.2</v>
      </c>
      <c r="AN43" s="257">
        <f>EEFFun!AN512</f>
        <v>14896.84</v>
      </c>
      <c r="AO43" s="257">
        <f>EEFFun!AO512</f>
        <v>2945.02</v>
      </c>
      <c r="AP43" s="257">
        <f>EEFFun!AP512</f>
        <v>5502.62</v>
      </c>
      <c r="AQ43" s="257">
        <f>EEFFun!AQ512</f>
        <v>6883.66</v>
      </c>
      <c r="AR43" s="257">
        <f>EEFFun!AR512</f>
        <v>12988.32</v>
      </c>
      <c r="AS43" s="257">
        <f>EEFFun!AS512</f>
        <v>18063.03</v>
      </c>
      <c r="AT43" s="257">
        <f>EEFFun!AT512</f>
        <v>21498.43</v>
      </c>
      <c r="AU43" s="257">
        <f>EEFFun!AU512</f>
        <v>25236.13</v>
      </c>
      <c r="AV43" s="257">
        <f>EEFFun!AV512</f>
        <v>30079.31</v>
      </c>
      <c r="AW43" s="257">
        <f>EEFFun!AW512</f>
        <v>32852.29</v>
      </c>
      <c r="AX43" s="257">
        <f>EEFFun!AX512</f>
        <v>39041.15</v>
      </c>
      <c r="AY43" s="295">
        <f t="shared" si="266"/>
        <v>3513.7035000000001</v>
      </c>
      <c r="AZ43" s="295">
        <f t="shared" si="266"/>
        <v>3513.7035000000001</v>
      </c>
      <c r="BA43" s="295">
        <f t="shared" si="266"/>
        <v>3513.7035000000001</v>
      </c>
      <c r="BB43" s="295">
        <f t="shared" si="266"/>
        <v>3513.7035000000001</v>
      </c>
      <c r="BC43" s="295">
        <f t="shared" si="266"/>
        <v>3513.7035000000001</v>
      </c>
      <c r="BD43" s="295">
        <f t="shared" si="266"/>
        <v>3513.7035000000001</v>
      </c>
      <c r="BE43" s="295">
        <f t="shared" si="266"/>
        <v>3513.7035000000001</v>
      </c>
      <c r="BF43" s="295">
        <f t="shared" si="266"/>
        <v>3513.7035000000001</v>
      </c>
      <c r="BG43" s="295">
        <f t="shared" si="266"/>
        <v>3513.7035000000001</v>
      </c>
      <c r="BH43" s="295">
        <f t="shared" si="266"/>
        <v>3513.7035000000001</v>
      </c>
      <c r="BI43" s="295">
        <f t="shared" si="266"/>
        <v>3513.7035000000001</v>
      </c>
      <c r="BJ43" s="295">
        <f t="shared" si="266"/>
        <v>3513.7035000000001</v>
      </c>
      <c r="BK43" s="295">
        <f>SUM($AY$43:AY43)</f>
        <v>3513.7035000000001</v>
      </c>
      <c r="BL43" s="295">
        <f>SUM($AY$43:AZ43)</f>
        <v>7027.4070000000002</v>
      </c>
      <c r="BM43" s="295">
        <f>SUM($AY$43:BA43)</f>
        <v>10541.110500000001</v>
      </c>
      <c r="BN43" s="295">
        <f>SUM($AY$43:BB43)</f>
        <v>14054.814</v>
      </c>
      <c r="BO43" s="295">
        <f>SUM($AY$43:BC43)</f>
        <v>17568.517500000002</v>
      </c>
      <c r="BP43" s="295">
        <f>SUM($AY$43:BD43)</f>
        <v>21082.221000000001</v>
      </c>
      <c r="BQ43" s="295">
        <f>SUM($AY$43:BE43)</f>
        <v>24595.924500000001</v>
      </c>
      <c r="BR43" s="295">
        <f>SUM($AY$43:BF43)</f>
        <v>28109.628000000001</v>
      </c>
      <c r="BS43" s="295">
        <f>SUM($AY$43:BG43)</f>
        <v>31623.3315</v>
      </c>
      <c r="BT43" s="295">
        <f>SUM($AY$43:BH43)</f>
        <v>35137.035000000003</v>
      </c>
      <c r="BU43" s="295">
        <f>SUM($AY$43:BI43)</f>
        <v>38650.738500000007</v>
      </c>
      <c r="BV43" s="295">
        <f>SUM($AY$43:BJ43)</f>
        <v>42164.44200000001</v>
      </c>
      <c r="BW43" s="291"/>
    </row>
    <row r="44" spans="1:75" outlineLevel="2" collapsed="1" x14ac:dyDescent="0.25">
      <c r="A44" s="222">
        <v>10</v>
      </c>
      <c r="B44" s="233">
        <f>EEFFun!B513</f>
        <v>4501901020</v>
      </c>
      <c r="C44" s="233" t="str">
        <f>EEFFun!C513</f>
        <v>PERSONAL DEPARTAMENTO DE CREDITO</v>
      </c>
      <c r="D44" s="257">
        <f>EEFFun!P513</f>
        <v>0</v>
      </c>
      <c r="E44" s="295">
        <f t="shared" si="255"/>
        <v>0</v>
      </c>
      <c r="F44" s="295">
        <f t="shared" si="256"/>
        <v>1393.19</v>
      </c>
      <c r="G44" s="295">
        <f t="shared" si="257"/>
        <v>1101.17</v>
      </c>
      <c r="H44" s="295">
        <f t="shared" si="258"/>
        <v>1725.1199999999994</v>
      </c>
      <c r="I44" s="295">
        <f t="shared" si="259"/>
        <v>833.14000000000033</v>
      </c>
      <c r="J44" s="295">
        <f t="shared" si="260"/>
        <v>509.60000000000036</v>
      </c>
      <c r="K44" s="295">
        <f t="shared" si="261"/>
        <v>132.92000000000007</v>
      </c>
      <c r="L44" s="295">
        <f t="shared" si="262"/>
        <v>132.92000000000007</v>
      </c>
      <c r="M44" s="295">
        <f t="shared" si="263"/>
        <v>527.06999999999971</v>
      </c>
      <c r="N44" s="295">
        <f t="shared" si="264"/>
        <v>834.80999999999949</v>
      </c>
      <c r="O44" s="295">
        <f t="shared" si="265"/>
        <v>225.82000000000062</v>
      </c>
      <c r="P44" s="295">
        <f t="shared" si="265"/>
        <v>824.86000000000058</v>
      </c>
      <c r="Q44" s="257">
        <f>EEFFun!Q513</f>
        <v>0</v>
      </c>
      <c r="R44" s="257">
        <f>EEFFun!R513</f>
        <v>1393.19</v>
      </c>
      <c r="S44" s="257">
        <f>EEFFun!S513</f>
        <v>2494.36</v>
      </c>
      <c r="T44" s="257">
        <f>EEFFun!T513</f>
        <v>4219.4799999999996</v>
      </c>
      <c r="U44" s="257">
        <f>EEFFun!U513</f>
        <v>5052.62</v>
      </c>
      <c r="V44" s="257">
        <f>EEFFun!V513</f>
        <v>5562.22</v>
      </c>
      <c r="W44" s="257">
        <f>EEFFun!W513</f>
        <v>5695.14</v>
      </c>
      <c r="X44" s="257">
        <f>EEFFun!X513</f>
        <v>5828.06</v>
      </c>
      <c r="Y44" s="257">
        <f>EEFFun!Y513</f>
        <v>6355.13</v>
      </c>
      <c r="Z44" s="257">
        <f>EEFFun!Z513</f>
        <v>7189.94</v>
      </c>
      <c r="AA44" s="257">
        <f>EEFFun!AA513</f>
        <v>7415.76</v>
      </c>
      <c r="AB44" s="257">
        <f>EEFFun!AB513</f>
        <v>8240.6200000000008</v>
      </c>
      <c r="AC44" s="257">
        <f>EEFFun!AC513</f>
        <v>538.34</v>
      </c>
      <c r="AD44" s="257">
        <f>EEFFun!AD513</f>
        <v>1366.2</v>
      </c>
      <c r="AE44" s="257">
        <f>EEFFun!AE513</f>
        <v>1713.25</v>
      </c>
      <c r="AF44" s="257">
        <f>EEFFun!AF513</f>
        <v>3615.48</v>
      </c>
      <c r="AG44" s="257">
        <f>EEFFun!AG513</f>
        <v>3615.48</v>
      </c>
      <c r="AH44" s="257">
        <f>EEFFun!AH513</f>
        <v>9619.34</v>
      </c>
      <c r="AI44" s="257">
        <f>EEFFun!AI513</f>
        <v>12292.32</v>
      </c>
      <c r="AJ44" s="257">
        <f>EEFFun!AJ513</f>
        <v>17012.32</v>
      </c>
      <c r="AK44" s="257">
        <f>EEFFun!AK513</f>
        <v>17012.32</v>
      </c>
      <c r="AL44" s="257">
        <f>EEFFun!AL513</f>
        <v>26947.32</v>
      </c>
      <c r="AM44" s="257">
        <f>EEFFun!AM513</f>
        <v>33347.32</v>
      </c>
      <c r="AN44" s="257">
        <f>EEFFun!AN513</f>
        <v>48172.32</v>
      </c>
      <c r="AO44" s="257">
        <f>EEFFun!AO513</f>
        <v>6530</v>
      </c>
      <c r="AP44" s="257">
        <f>EEFFun!AP513</f>
        <v>17775</v>
      </c>
      <c r="AQ44" s="257">
        <f>EEFFun!AQ513</f>
        <v>26255</v>
      </c>
      <c r="AR44" s="257">
        <f>EEFFun!AR513</f>
        <v>41321.67</v>
      </c>
      <c r="AS44" s="257">
        <f>EEFFun!AS513</f>
        <v>53162.559999999998</v>
      </c>
      <c r="AT44" s="257">
        <f>EEFFun!AT513</f>
        <v>68916.56</v>
      </c>
      <c r="AU44" s="257">
        <f>EEFFun!AU513</f>
        <v>81266.559999999998</v>
      </c>
      <c r="AV44" s="257">
        <f>EEFFun!AV513</f>
        <v>103679.6</v>
      </c>
      <c r="AW44" s="257">
        <f>EEFFun!AW513</f>
        <v>116364.6</v>
      </c>
      <c r="AX44" s="257">
        <f>EEFFun!AX513</f>
        <v>123384.6</v>
      </c>
      <c r="AY44" s="295">
        <f t="shared" si="266"/>
        <v>11104.614000000001</v>
      </c>
      <c r="AZ44" s="295">
        <f t="shared" si="266"/>
        <v>11104.614000000001</v>
      </c>
      <c r="BA44" s="295">
        <f t="shared" si="266"/>
        <v>11104.614000000001</v>
      </c>
      <c r="BB44" s="295">
        <f t="shared" si="266"/>
        <v>11104.614000000001</v>
      </c>
      <c r="BC44" s="295">
        <f t="shared" si="266"/>
        <v>11104.614000000001</v>
      </c>
      <c r="BD44" s="295">
        <f t="shared" si="266"/>
        <v>11104.614000000001</v>
      </c>
      <c r="BE44" s="295">
        <f t="shared" si="266"/>
        <v>11104.614000000001</v>
      </c>
      <c r="BF44" s="295">
        <f t="shared" si="266"/>
        <v>11104.614000000001</v>
      </c>
      <c r="BG44" s="295">
        <f t="shared" si="266"/>
        <v>11104.614000000001</v>
      </c>
      <c r="BH44" s="295">
        <f t="shared" si="266"/>
        <v>11104.614000000001</v>
      </c>
      <c r="BI44" s="295">
        <f t="shared" si="266"/>
        <v>11104.614000000001</v>
      </c>
      <c r="BJ44" s="295">
        <f t="shared" si="266"/>
        <v>11104.614000000001</v>
      </c>
      <c r="BK44" s="295">
        <f>SUM($AY$44:AY44)</f>
        <v>11104.614000000001</v>
      </c>
      <c r="BL44" s="295">
        <f>SUM($AY$44:AZ44)</f>
        <v>22209.228000000003</v>
      </c>
      <c r="BM44" s="295">
        <f>SUM($AY$44:BA44)</f>
        <v>33313.842000000004</v>
      </c>
      <c r="BN44" s="295">
        <f>SUM($AY$44:BB44)</f>
        <v>44418.456000000006</v>
      </c>
      <c r="BO44" s="295">
        <f>SUM($AY$44:BC44)</f>
        <v>55523.070000000007</v>
      </c>
      <c r="BP44" s="295">
        <f>SUM($AY$44:BD44)</f>
        <v>66627.684000000008</v>
      </c>
      <c r="BQ44" s="295">
        <f>SUM($AY$44:BE44)</f>
        <v>77732.29800000001</v>
      </c>
      <c r="BR44" s="295">
        <f>SUM($AY$44:BF44)</f>
        <v>88836.912000000011</v>
      </c>
      <c r="BS44" s="295">
        <f>SUM($AY$44:BG44)</f>
        <v>99941.526000000013</v>
      </c>
      <c r="BT44" s="295">
        <f>SUM($AY$44:BH44)</f>
        <v>111046.14000000001</v>
      </c>
      <c r="BU44" s="295">
        <f>SUM($AY$44:BI44)</f>
        <v>122150.75400000002</v>
      </c>
      <c r="BV44" s="295">
        <f>SUM($AY$44:BJ44)</f>
        <v>133255.36800000002</v>
      </c>
      <c r="BW44" s="291"/>
    </row>
    <row r="45" spans="1:75" outlineLevel="2" collapsed="1" x14ac:dyDescent="0.25">
      <c r="A45" s="222">
        <v>10</v>
      </c>
      <c r="B45" s="233">
        <f>EEFFun!B514</f>
        <v>4501901025</v>
      </c>
      <c r="C45" s="233" t="str">
        <f>EEFFun!C514</f>
        <v>PERSONAL DEPARTAMENTO LEGAL</v>
      </c>
      <c r="D45" s="257">
        <f>EEFFun!P514</f>
        <v>0</v>
      </c>
      <c r="E45" s="295">
        <f t="shared" si="255"/>
        <v>0</v>
      </c>
      <c r="F45" s="295">
        <f t="shared" si="256"/>
        <v>1600.82</v>
      </c>
      <c r="G45" s="295">
        <f t="shared" si="257"/>
        <v>0</v>
      </c>
      <c r="H45" s="295">
        <f t="shared" si="258"/>
        <v>0</v>
      </c>
      <c r="I45" s="295">
        <f t="shared" si="259"/>
        <v>0</v>
      </c>
      <c r="J45" s="295">
        <f t="shared" si="260"/>
        <v>0</v>
      </c>
      <c r="K45" s="295">
        <f t="shared" si="261"/>
        <v>0</v>
      </c>
      <c r="L45" s="295">
        <f t="shared" si="262"/>
        <v>0</v>
      </c>
      <c r="M45" s="295">
        <f t="shared" si="263"/>
        <v>0</v>
      </c>
      <c r="N45" s="295">
        <f t="shared" si="264"/>
        <v>0</v>
      </c>
      <c r="O45" s="295">
        <f t="shared" si="265"/>
        <v>0</v>
      </c>
      <c r="P45" s="295">
        <f t="shared" si="265"/>
        <v>0</v>
      </c>
      <c r="Q45" s="257">
        <f>EEFFun!Q514</f>
        <v>0</v>
      </c>
      <c r="R45" s="257">
        <f>EEFFun!R514</f>
        <v>1600.82</v>
      </c>
      <c r="S45" s="257">
        <f>EEFFun!S514</f>
        <v>1600.82</v>
      </c>
      <c r="T45" s="257">
        <f>EEFFun!T514</f>
        <v>1600.82</v>
      </c>
      <c r="U45" s="257">
        <f>EEFFun!U514</f>
        <v>1600.82</v>
      </c>
      <c r="V45" s="257">
        <f>EEFFun!V514</f>
        <v>1600.82</v>
      </c>
      <c r="W45" s="257">
        <f>EEFFun!W514</f>
        <v>1600.82</v>
      </c>
      <c r="X45" s="257">
        <f>EEFFun!X514</f>
        <v>1600.82</v>
      </c>
      <c r="Y45" s="257">
        <f>EEFFun!Y514</f>
        <v>1600.82</v>
      </c>
      <c r="Z45" s="257">
        <f>EEFFun!Z514</f>
        <v>1600.82</v>
      </c>
      <c r="AA45" s="257">
        <f>EEFFun!AA514</f>
        <v>1600.82</v>
      </c>
      <c r="AB45" s="257">
        <f>EEFFun!AB514</f>
        <v>1600.82</v>
      </c>
      <c r="AC45" s="257">
        <f>EEFFun!AC514</f>
        <v>0</v>
      </c>
      <c r="AD45" s="257">
        <f>EEFFun!AD514</f>
        <v>0</v>
      </c>
      <c r="AE45" s="257">
        <f>EEFFun!AE514</f>
        <v>0</v>
      </c>
      <c r="AF45" s="257">
        <f>EEFFun!AF514</f>
        <v>0</v>
      </c>
      <c r="AG45" s="257">
        <f>EEFFun!AG514</f>
        <v>0</v>
      </c>
      <c r="AH45" s="257">
        <f>EEFFun!AH514</f>
        <v>0</v>
      </c>
      <c r="AI45" s="257">
        <f>EEFFun!AI514</f>
        <v>0</v>
      </c>
      <c r="AJ45" s="257">
        <f>EEFFun!AJ514</f>
        <v>0</v>
      </c>
      <c r="AK45" s="257">
        <f>EEFFun!AK514</f>
        <v>0</v>
      </c>
      <c r="AL45" s="257">
        <f>EEFFun!AL514</f>
        <v>0</v>
      </c>
      <c r="AM45" s="257">
        <f>EEFFun!AM514</f>
        <v>0</v>
      </c>
      <c r="AN45" s="257">
        <f>EEFFun!AN514</f>
        <v>0</v>
      </c>
      <c r="AO45" s="257">
        <f>EEFFun!AO514</f>
        <v>0</v>
      </c>
      <c r="AP45" s="257">
        <f>EEFFun!AP514</f>
        <v>0</v>
      </c>
      <c r="AQ45" s="257">
        <f>EEFFun!AQ514</f>
        <v>0</v>
      </c>
      <c r="AR45" s="257">
        <f>EEFFun!AR514</f>
        <v>0</v>
      </c>
      <c r="AS45" s="257">
        <f>EEFFun!AS514</f>
        <v>0</v>
      </c>
      <c r="AT45" s="257">
        <f>EEFFun!AT514</f>
        <v>0</v>
      </c>
      <c r="AU45" s="257">
        <f>EEFFun!AU514</f>
        <v>0</v>
      </c>
      <c r="AV45" s="257">
        <f>EEFFun!AV514</f>
        <v>0</v>
      </c>
      <c r="AW45" s="257">
        <f>EEFFun!AW514</f>
        <v>0</v>
      </c>
      <c r="AX45" s="257">
        <f>EEFFun!AX514</f>
        <v>0</v>
      </c>
      <c r="AY45" s="295">
        <f t="shared" si="266"/>
        <v>0</v>
      </c>
      <c r="AZ45" s="295">
        <f t="shared" si="266"/>
        <v>0</v>
      </c>
      <c r="BA45" s="295">
        <f t="shared" si="266"/>
        <v>0</v>
      </c>
      <c r="BB45" s="295">
        <f t="shared" si="266"/>
        <v>0</v>
      </c>
      <c r="BC45" s="295">
        <f t="shared" si="266"/>
        <v>0</v>
      </c>
      <c r="BD45" s="295">
        <f t="shared" si="266"/>
        <v>0</v>
      </c>
      <c r="BE45" s="295">
        <f t="shared" si="266"/>
        <v>0</v>
      </c>
      <c r="BF45" s="295">
        <f t="shared" si="266"/>
        <v>0</v>
      </c>
      <c r="BG45" s="295">
        <f t="shared" si="266"/>
        <v>0</v>
      </c>
      <c r="BH45" s="295">
        <f t="shared" si="266"/>
        <v>0</v>
      </c>
      <c r="BI45" s="295">
        <f t="shared" si="266"/>
        <v>0</v>
      </c>
      <c r="BJ45" s="295">
        <f t="shared" si="266"/>
        <v>0</v>
      </c>
      <c r="BK45" s="295">
        <f>SUM($AY$45:AY45)</f>
        <v>0</v>
      </c>
      <c r="BL45" s="295">
        <f>SUM($AY$45:AZ45)</f>
        <v>0</v>
      </c>
      <c r="BM45" s="295">
        <f>SUM($AY$45:BA45)</f>
        <v>0</v>
      </c>
      <c r="BN45" s="295">
        <f>SUM($AY$45:BB45)</f>
        <v>0</v>
      </c>
      <c r="BO45" s="295">
        <f>SUM($AY$45:BC45)</f>
        <v>0</v>
      </c>
      <c r="BP45" s="295">
        <f>SUM($AY$45:BD45)</f>
        <v>0</v>
      </c>
      <c r="BQ45" s="295">
        <f>SUM($AY$45:BE45)</f>
        <v>0</v>
      </c>
      <c r="BR45" s="295">
        <f>SUM($AY$45:BF45)</f>
        <v>0</v>
      </c>
      <c r="BS45" s="295">
        <f>SUM($AY$45:BG45)</f>
        <v>0</v>
      </c>
      <c r="BT45" s="295">
        <f>SUM($AY$45:BH45)</f>
        <v>0</v>
      </c>
      <c r="BU45" s="295">
        <f>SUM($AY$45:BI45)</f>
        <v>0</v>
      </c>
      <c r="BV45" s="295">
        <f>SUM($AY$45:BJ45)</f>
        <v>0</v>
      </c>
      <c r="BW45" s="291"/>
    </row>
    <row r="46" spans="1:75" outlineLevel="2" collapsed="1" x14ac:dyDescent="0.25">
      <c r="A46" s="222">
        <v>10</v>
      </c>
      <c r="B46" s="233">
        <f>EEFFun!B515</f>
        <v>4501901030</v>
      </c>
      <c r="C46" s="233" t="str">
        <f>EEFFun!C515</f>
        <v>COMISION PERSONAL OTROS</v>
      </c>
      <c r="D46" s="257">
        <f>EEFFun!P515</f>
        <v>0</v>
      </c>
      <c r="E46" s="295">
        <f t="shared" si="255"/>
        <v>0</v>
      </c>
      <c r="F46" s="295">
        <f t="shared" si="256"/>
        <v>0</v>
      </c>
      <c r="G46" s="295">
        <f t="shared" si="257"/>
        <v>152.03</v>
      </c>
      <c r="H46" s="295">
        <f t="shared" si="258"/>
        <v>0</v>
      </c>
      <c r="I46" s="295">
        <f t="shared" si="259"/>
        <v>0</v>
      </c>
      <c r="J46" s="295">
        <f t="shared" si="260"/>
        <v>0</v>
      </c>
      <c r="K46" s="295">
        <f t="shared" si="261"/>
        <v>0</v>
      </c>
      <c r="L46" s="295">
        <f t="shared" si="262"/>
        <v>0</v>
      </c>
      <c r="M46" s="295">
        <f t="shared" si="263"/>
        <v>0</v>
      </c>
      <c r="N46" s="295">
        <f t="shared" si="264"/>
        <v>0</v>
      </c>
      <c r="O46" s="295">
        <f t="shared" si="265"/>
        <v>0</v>
      </c>
      <c r="P46" s="295">
        <f t="shared" si="265"/>
        <v>0</v>
      </c>
      <c r="Q46" s="257">
        <f>EEFFun!Q515</f>
        <v>0</v>
      </c>
      <c r="R46" s="257">
        <f>EEFFun!R515</f>
        <v>0</v>
      </c>
      <c r="S46" s="257">
        <f>EEFFun!S515</f>
        <v>152.03</v>
      </c>
      <c r="T46" s="257">
        <f>EEFFun!T515</f>
        <v>152.03</v>
      </c>
      <c r="U46" s="257">
        <f>EEFFun!U515</f>
        <v>152.03</v>
      </c>
      <c r="V46" s="257">
        <f>EEFFun!V515</f>
        <v>152.03</v>
      </c>
      <c r="W46" s="257">
        <f>EEFFun!W515</f>
        <v>152.03</v>
      </c>
      <c r="X46" s="257">
        <f>EEFFun!X515</f>
        <v>152.03</v>
      </c>
      <c r="Y46" s="257">
        <f>EEFFun!Y515</f>
        <v>152.03</v>
      </c>
      <c r="Z46" s="257">
        <f>EEFFun!Z515</f>
        <v>152.03</v>
      </c>
      <c r="AA46" s="257">
        <f>EEFFun!AA515</f>
        <v>152.03</v>
      </c>
      <c r="AB46" s="257">
        <f>EEFFun!AB515</f>
        <v>152.03</v>
      </c>
      <c r="AC46" s="257">
        <f>EEFFun!AC515</f>
        <v>0</v>
      </c>
      <c r="AD46" s="257">
        <f>EEFFun!AD515</f>
        <v>0</v>
      </c>
      <c r="AE46" s="257">
        <f>EEFFun!AE515</f>
        <v>0</v>
      </c>
      <c r="AF46" s="257">
        <f>EEFFun!AF515</f>
        <v>0</v>
      </c>
      <c r="AG46" s="257">
        <f>EEFFun!AG515</f>
        <v>0</v>
      </c>
      <c r="AH46" s="257">
        <f>EEFFun!AH515</f>
        <v>0</v>
      </c>
      <c r="AI46" s="257">
        <f>EEFFun!AI515</f>
        <v>321.87</v>
      </c>
      <c r="AJ46" s="257">
        <f>EEFFun!AJ515</f>
        <v>552.03</v>
      </c>
      <c r="AK46" s="257">
        <f>EEFFun!AK515</f>
        <v>552.03</v>
      </c>
      <c r="AL46" s="257">
        <f>EEFFun!AL515</f>
        <v>684.76</v>
      </c>
      <c r="AM46" s="257">
        <f>EEFFun!AM515</f>
        <v>684.76</v>
      </c>
      <c r="AN46" s="257">
        <f>EEFFun!AN515</f>
        <v>684.76</v>
      </c>
      <c r="AO46" s="257">
        <f>EEFFun!AO515</f>
        <v>0</v>
      </c>
      <c r="AP46" s="257">
        <f>EEFFun!AP515</f>
        <v>0</v>
      </c>
      <c r="AQ46" s="257">
        <f>EEFFun!AQ515</f>
        <v>0</v>
      </c>
      <c r="AR46" s="257">
        <f>EEFFun!AR515</f>
        <v>0</v>
      </c>
      <c r="AS46" s="257">
        <f>EEFFun!AS515</f>
        <v>0</v>
      </c>
      <c r="AT46" s="257">
        <f>EEFFun!AT515</f>
        <v>0</v>
      </c>
      <c r="AU46" s="257">
        <f>EEFFun!AU515</f>
        <v>0</v>
      </c>
      <c r="AV46" s="257">
        <f>EEFFun!AV515</f>
        <v>0</v>
      </c>
      <c r="AW46" s="257">
        <f>EEFFun!AW515</f>
        <v>0</v>
      </c>
      <c r="AX46" s="257">
        <f>EEFFun!AX515</f>
        <v>0</v>
      </c>
      <c r="AY46" s="295">
        <f t="shared" si="266"/>
        <v>0</v>
      </c>
      <c r="AZ46" s="295">
        <f t="shared" si="266"/>
        <v>0</v>
      </c>
      <c r="BA46" s="295">
        <f t="shared" si="266"/>
        <v>0</v>
      </c>
      <c r="BB46" s="295">
        <f t="shared" si="266"/>
        <v>0</v>
      </c>
      <c r="BC46" s="295">
        <f t="shared" si="266"/>
        <v>0</v>
      </c>
      <c r="BD46" s="295">
        <f t="shared" si="266"/>
        <v>0</v>
      </c>
      <c r="BE46" s="295">
        <f t="shared" si="266"/>
        <v>0</v>
      </c>
      <c r="BF46" s="295">
        <f t="shared" si="266"/>
        <v>0</v>
      </c>
      <c r="BG46" s="295">
        <f t="shared" si="266"/>
        <v>0</v>
      </c>
      <c r="BH46" s="295">
        <f t="shared" si="266"/>
        <v>0</v>
      </c>
      <c r="BI46" s="295">
        <f t="shared" si="266"/>
        <v>0</v>
      </c>
      <c r="BJ46" s="295">
        <f t="shared" si="266"/>
        <v>0</v>
      </c>
      <c r="BK46" s="295">
        <f>SUM($AY$46:AY46)</f>
        <v>0</v>
      </c>
      <c r="BL46" s="295">
        <f>SUM($AY$46:AZ46)</f>
        <v>0</v>
      </c>
      <c r="BM46" s="295">
        <f>SUM($AY$46:BA46)</f>
        <v>0</v>
      </c>
      <c r="BN46" s="295">
        <f>SUM($AY$46:BB46)</f>
        <v>0</v>
      </c>
      <c r="BO46" s="295">
        <f>SUM($AY$46:BC46)</f>
        <v>0</v>
      </c>
      <c r="BP46" s="295">
        <f>SUM($AY$46:BD46)</f>
        <v>0</v>
      </c>
      <c r="BQ46" s="295">
        <f>SUM($AY$46:BE46)</f>
        <v>0</v>
      </c>
      <c r="BR46" s="295">
        <f>SUM($AY$46:BF46)</f>
        <v>0</v>
      </c>
      <c r="BS46" s="295">
        <f>SUM($AY$46:BG46)</f>
        <v>0</v>
      </c>
      <c r="BT46" s="295">
        <f>SUM($AY$46:BH46)</f>
        <v>0</v>
      </c>
      <c r="BU46" s="295">
        <f>SUM($AY$46:BI46)</f>
        <v>0</v>
      </c>
      <c r="BV46" s="295">
        <f>SUM($AY$46:BJ46)</f>
        <v>0</v>
      </c>
      <c r="BW46" s="291"/>
    </row>
    <row r="47" spans="1:75" outlineLevel="2" collapsed="1" x14ac:dyDescent="0.25">
      <c r="A47" s="222">
        <v>8</v>
      </c>
      <c r="B47" s="233">
        <f>EEFFun!B516</f>
        <v>45019015</v>
      </c>
      <c r="C47" s="233" t="str">
        <f>EEFFun!C516</f>
        <v>MOVILIZACION INTERNA</v>
      </c>
      <c r="D47" s="257">
        <f>EEFFun!P516</f>
        <v>10984.77</v>
      </c>
      <c r="E47" s="295">
        <f t="shared" si="255"/>
        <v>482.23</v>
      </c>
      <c r="F47" s="295">
        <f t="shared" si="256"/>
        <v>699.41000000000008</v>
      </c>
      <c r="G47" s="295">
        <f t="shared" si="257"/>
        <v>546.37999999999988</v>
      </c>
      <c r="H47" s="295">
        <f t="shared" si="258"/>
        <v>478.19000000000005</v>
      </c>
      <c r="I47" s="295">
        <f t="shared" si="259"/>
        <v>767.11999999999989</v>
      </c>
      <c r="J47" s="295">
        <f t="shared" si="260"/>
        <v>633.75</v>
      </c>
      <c r="K47" s="295">
        <f t="shared" si="261"/>
        <v>857.64000000000033</v>
      </c>
      <c r="L47" s="295">
        <f t="shared" si="262"/>
        <v>587.59999999999945</v>
      </c>
      <c r="M47" s="295">
        <f t="shared" si="263"/>
        <v>906.40999999999985</v>
      </c>
      <c r="N47" s="295">
        <f t="shared" si="264"/>
        <v>875.54000000000087</v>
      </c>
      <c r="O47" s="295">
        <f t="shared" si="265"/>
        <v>588.83999999999924</v>
      </c>
      <c r="P47" s="295">
        <f t="shared" si="265"/>
        <v>468.64000000000033</v>
      </c>
      <c r="Q47" s="257">
        <f>EEFFun!Q516</f>
        <v>482.23</v>
      </c>
      <c r="R47" s="257">
        <f>EEFFun!R516</f>
        <v>1181.6400000000001</v>
      </c>
      <c r="S47" s="257">
        <f>EEFFun!S516</f>
        <v>1728.02</v>
      </c>
      <c r="T47" s="257">
        <f>EEFFun!T516</f>
        <v>2206.21</v>
      </c>
      <c r="U47" s="257">
        <f>EEFFun!U516</f>
        <v>2973.33</v>
      </c>
      <c r="V47" s="257">
        <f>EEFFun!V516</f>
        <v>3607.08</v>
      </c>
      <c r="W47" s="257">
        <f>EEFFun!W516</f>
        <v>4464.72</v>
      </c>
      <c r="X47" s="257">
        <f>EEFFun!X516</f>
        <v>5052.32</v>
      </c>
      <c r="Y47" s="257">
        <f>EEFFun!Y516</f>
        <v>5958.73</v>
      </c>
      <c r="Z47" s="257">
        <f>EEFFun!Z516</f>
        <v>6834.27</v>
      </c>
      <c r="AA47" s="257">
        <f>EEFFun!AA516</f>
        <v>7423.11</v>
      </c>
      <c r="AB47" s="257">
        <f>EEFFun!AB516</f>
        <v>7891.75</v>
      </c>
      <c r="AC47" s="257">
        <f>EEFFun!AC516</f>
        <v>359.41</v>
      </c>
      <c r="AD47" s="257">
        <f>EEFFun!AD516</f>
        <v>733</v>
      </c>
      <c r="AE47" s="257">
        <f>EEFFun!AE516</f>
        <v>988.98</v>
      </c>
      <c r="AF47" s="257">
        <f>EEFFun!AF516</f>
        <v>1386.38</v>
      </c>
      <c r="AG47" s="257">
        <f>EEFFun!AG516</f>
        <v>1830.86</v>
      </c>
      <c r="AH47" s="257">
        <f>EEFFun!AH516</f>
        <v>2131.6799999999998</v>
      </c>
      <c r="AI47" s="257">
        <f>EEFFun!AI516</f>
        <v>2510.5100000000002</v>
      </c>
      <c r="AJ47" s="257">
        <f>EEFFun!AJ516</f>
        <v>3273.37</v>
      </c>
      <c r="AK47" s="257">
        <f>EEFFun!AK516</f>
        <v>3829.77</v>
      </c>
      <c r="AL47" s="257">
        <f>EEFFun!AL516</f>
        <v>5278.63</v>
      </c>
      <c r="AM47" s="257">
        <f>EEFFun!AM516</f>
        <v>5994.94</v>
      </c>
      <c r="AN47" s="257">
        <f>EEFFun!AN516</f>
        <v>6763.47</v>
      </c>
      <c r="AO47" s="257">
        <f>EEFFun!AO516</f>
        <v>812.63</v>
      </c>
      <c r="AP47" s="257">
        <f>EEFFun!AP516</f>
        <v>1518.63</v>
      </c>
      <c r="AQ47" s="257">
        <f>EEFFun!AQ516</f>
        <v>2455.02</v>
      </c>
      <c r="AR47" s="257">
        <f>EEFFun!AR516</f>
        <v>3417.98</v>
      </c>
      <c r="AS47" s="257">
        <f>EEFFun!AS516</f>
        <v>4254.0600000000004</v>
      </c>
      <c r="AT47" s="257">
        <f>EEFFun!AT516</f>
        <v>5159.74</v>
      </c>
      <c r="AU47" s="257">
        <f>EEFFun!AU516</f>
        <v>6389.43</v>
      </c>
      <c r="AV47" s="257">
        <f>EEFFun!AV516</f>
        <v>8301.6</v>
      </c>
      <c r="AW47" s="257">
        <f>EEFFun!AW516</f>
        <v>10303.93</v>
      </c>
      <c r="AX47" s="257">
        <f>EEFFun!AX516</f>
        <v>12331.94</v>
      </c>
      <c r="AY47" s="295">
        <f t="shared" si="266"/>
        <v>1109.8746000000001</v>
      </c>
      <c r="AZ47" s="295">
        <f t="shared" si="266"/>
        <v>1109.8746000000001</v>
      </c>
      <c r="BA47" s="295">
        <f t="shared" si="266"/>
        <v>1109.8746000000001</v>
      </c>
      <c r="BB47" s="295">
        <f t="shared" si="266"/>
        <v>1109.8746000000001</v>
      </c>
      <c r="BC47" s="295">
        <f t="shared" si="266"/>
        <v>1109.8746000000001</v>
      </c>
      <c r="BD47" s="295">
        <f t="shared" si="266"/>
        <v>1109.8746000000001</v>
      </c>
      <c r="BE47" s="295">
        <f t="shared" si="266"/>
        <v>1109.8746000000001</v>
      </c>
      <c r="BF47" s="295">
        <f t="shared" si="266"/>
        <v>1109.8746000000001</v>
      </c>
      <c r="BG47" s="295">
        <f t="shared" si="266"/>
        <v>1109.8746000000001</v>
      </c>
      <c r="BH47" s="295">
        <f t="shared" si="266"/>
        <v>1109.8746000000001</v>
      </c>
      <c r="BI47" s="295">
        <f t="shared" si="266"/>
        <v>1109.8746000000001</v>
      </c>
      <c r="BJ47" s="295">
        <f t="shared" si="266"/>
        <v>1109.8746000000001</v>
      </c>
      <c r="BK47" s="295">
        <f>SUM($AY$47:AY47)</f>
        <v>1109.8746000000001</v>
      </c>
      <c r="BL47" s="295">
        <f>SUM($AY$47:AZ47)</f>
        <v>2219.7492000000002</v>
      </c>
      <c r="BM47" s="295">
        <f>SUM($AY$47:BA47)</f>
        <v>3329.6238000000003</v>
      </c>
      <c r="BN47" s="295">
        <f>SUM($AY$47:BB47)</f>
        <v>4439.4984000000004</v>
      </c>
      <c r="BO47" s="295">
        <f>SUM($AY$47:BC47)</f>
        <v>5549.3730000000005</v>
      </c>
      <c r="BP47" s="295">
        <f>SUM($AY$47:BD47)</f>
        <v>6659.2476000000006</v>
      </c>
      <c r="BQ47" s="295">
        <f>SUM($AY$47:BE47)</f>
        <v>7769.1222000000007</v>
      </c>
      <c r="BR47" s="295">
        <f>SUM($AY$47:BF47)</f>
        <v>8878.9968000000008</v>
      </c>
      <c r="BS47" s="295">
        <f>SUM($AY$47:BG47)</f>
        <v>9988.8714</v>
      </c>
      <c r="BT47" s="295">
        <f>SUM($AY$47:BH47)</f>
        <v>11098.745999999999</v>
      </c>
      <c r="BU47" s="295">
        <f>SUM($AY$47:BI47)</f>
        <v>12208.620599999998</v>
      </c>
      <c r="BV47" s="295">
        <f>SUM($AY$47:BJ47)</f>
        <v>13318.495199999998</v>
      </c>
      <c r="BW47" s="291"/>
    </row>
    <row r="48" spans="1:75" outlineLevel="2" collapsed="1" x14ac:dyDescent="0.25">
      <c r="A48" s="222">
        <v>8</v>
      </c>
      <c r="B48" s="233">
        <f>EEFFun!B517</f>
        <v>45019020</v>
      </c>
      <c r="C48" s="233" t="str">
        <f>EEFFun!C517</f>
        <v>VIATICOS Y MOVILIZACION</v>
      </c>
      <c r="D48" s="257">
        <f>EEFFun!P517</f>
        <v>1832.69</v>
      </c>
      <c r="E48" s="295">
        <f t="shared" si="255"/>
        <v>123.58</v>
      </c>
      <c r="F48" s="295">
        <f t="shared" si="256"/>
        <v>71.309999999999988</v>
      </c>
      <c r="G48" s="295">
        <f t="shared" si="257"/>
        <v>0</v>
      </c>
      <c r="H48" s="295">
        <f t="shared" si="258"/>
        <v>292.13</v>
      </c>
      <c r="I48" s="295">
        <f t="shared" si="259"/>
        <v>98.110000000000014</v>
      </c>
      <c r="J48" s="295">
        <f t="shared" si="260"/>
        <v>54.539999999999964</v>
      </c>
      <c r="K48" s="295">
        <f t="shared" si="261"/>
        <v>1109.5999999999999</v>
      </c>
      <c r="L48" s="295">
        <f t="shared" si="262"/>
        <v>1397.77</v>
      </c>
      <c r="M48" s="295">
        <f t="shared" si="263"/>
        <v>1247.2399999999998</v>
      </c>
      <c r="N48" s="295">
        <f t="shared" si="264"/>
        <v>1330.7700000000004</v>
      </c>
      <c r="O48" s="295">
        <f t="shared" si="265"/>
        <v>1615.8199999999997</v>
      </c>
      <c r="P48" s="295">
        <f t="shared" si="265"/>
        <v>902.19999999999982</v>
      </c>
      <c r="Q48" s="257">
        <f>EEFFun!Q517</f>
        <v>123.58</v>
      </c>
      <c r="R48" s="257">
        <f>EEFFun!R517</f>
        <v>194.89</v>
      </c>
      <c r="S48" s="257">
        <f>EEFFun!S517</f>
        <v>194.89</v>
      </c>
      <c r="T48" s="257">
        <f>EEFFun!T517</f>
        <v>487.02</v>
      </c>
      <c r="U48" s="257">
        <f>EEFFun!U517</f>
        <v>585.13</v>
      </c>
      <c r="V48" s="257">
        <f>EEFFun!V517</f>
        <v>639.66999999999996</v>
      </c>
      <c r="W48" s="257">
        <f>EEFFun!W517</f>
        <v>1749.27</v>
      </c>
      <c r="X48" s="257">
        <f>EEFFun!X517</f>
        <v>3147.04</v>
      </c>
      <c r="Y48" s="257">
        <f>EEFFun!Y517</f>
        <v>4394.28</v>
      </c>
      <c r="Z48" s="257">
        <f>EEFFun!Z517</f>
        <v>5725.05</v>
      </c>
      <c r="AA48" s="257">
        <f>EEFFun!AA517</f>
        <v>7340.87</v>
      </c>
      <c r="AB48" s="257">
        <f>EEFFun!AB517</f>
        <v>8243.07</v>
      </c>
      <c r="AC48" s="257">
        <f>EEFFun!AC517</f>
        <v>1473.69</v>
      </c>
      <c r="AD48" s="257">
        <f>EEFFun!AD517</f>
        <v>2669.88</v>
      </c>
      <c r="AE48" s="257">
        <f>EEFFun!AE517</f>
        <v>3618.14</v>
      </c>
      <c r="AF48" s="257">
        <f>EEFFun!AF517</f>
        <v>4968</v>
      </c>
      <c r="AG48" s="257">
        <f>EEFFun!AG517</f>
        <v>5467.08</v>
      </c>
      <c r="AH48" s="257">
        <f>EEFFun!AH517</f>
        <v>6106.43</v>
      </c>
      <c r="AI48" s="257">
        <f>EEFFun!AI517</f>
        <v>7019.41</v>
      </c>
      <c r="AJ48" s="257">
        <f>EEFFun!AJ517</f>
        <v>7911.52</v>
      </c>
      <c r="AK48" s="257">
        <f>EEFFun!AK517</f>
        <v>8527.4500000000007</v>
      </c>
      <c r="AL48" s="257">
        <f>EEFFun!AL517</f>
        <v>9673.4599999999991</v>
      </c>
      <c r="AM48" s="257">
        <f>EEFFun!AM517</f>
        <v>10269.02</v>
      </c>
      <c r="AN48" s="257">
        <f>EEFFun!AN517</f>
        <v>11941.17</v>
      </c>
      <c r="AO48" s="257">
        <f>EEFFun!AO517</f>
        <v>2278.44</v>
      </c>
      <c r="AP48" s="257">
        <f>EEFFun!AP517</f>
        <v>3653.07</v>
      </c>
      <c r="AQ48" s="257">
        <f>EEFFun!AQ517</f>
        <v>6833.93</v>
      </c>
      <c r="AR48" s="257">
        <f>EEFFun!AR517</f>
        <v>8472.2199999999993</v>
      </c>
      <c r="AS48" s="257">
        <f>EEFFun!AS517</f>
        <v>10317.75</v>
      </c>
      <c r="AT48" s="257">
        <f>EEFFun!AT517</f>
        <v>11320.29</v>
      </c>
      <c r="AU48" s="257">
        <f>EEFFun!AU517</f>
        <v>13233</v>
      </c>
      <c r="AV48" s="257">
        <f>EEFFun!AV517</f>
        <v>14116.81</v>
      </c>
      <c r="AW48" s="257">
        <f>EEFFun!AW517</f>
        <v>14339.53</v>
      </c>
      <c r="AX48" s="257">
        <f>EEFFun!AX517</f>
        <v>15436.48</v>
      </c>
      <c r="AY48" s="295">
        <f t="shared" si="266"/>
        <v>1389.2831999999999</v>
      </c>
      <c r="AZ48" s="295">
        <f t="shared" si="266"/>
        <v>1389.2831999999999</v>
      </c>
      <c r="BA48" s="295">
        <f t="shared" si="266"/>
        <v>1389.2831999999999</v>
      </c>
      <c r="BB48" s="295">
        <f t="shared" si="266"/>
        <v>1389.2831999999999</v>
      </c>
      <c r="BC48" s="295">
        <f t="shared" si="266"/>
        <v>1389.2831999999999</v>
      </c>
      <c r="BD48" s="295">
        <f t="shared" si="266"/>
        <v>1389.2831999999999</v>
      </c>
      <c r="BE48" s="295">
        <f t="shared" si="266"/>
        <v>1389.2831999999999</v>
      </c>
      <c r="BF48" s="295">
        <f t="shared" si="266"/>
        <v>1389.2831999999999</v>
      </c>
      <c r="BG48" s="295">
        <f t="shared" si="266"/>
        <v>1389.2831999999999</v>
      </c>
      <c r="BH48" s="295">
        <f t="shared" si="266"/>
        <v>1389.2831999999999</v>
      </c>
      <c r="BI48" s="295">
        <f t="shared" si="266"/>
        <v>1389.2831999999999</v>
      </c>
      <c r="BJ48" s="295">
        <f t="shared" si="266"/>
        <v>1389.2831999999999</v>
      </c>
      <c r="BK48" s="295">
        <f>SUM($AY$48:AY48)</f>
        <v>1389.2831999999999</v>
      </c>
      <c r="BL48" s="295">
        <f>SUM($AY$48:AZ48)</f>
        <v>2778.5663999999997</v>
      </c>
      <c r="BM48" s="295">
        <f>SUM($AY$48:BA48)</f>
        <v>4167.8495999999996</v>
      </c>
      <c r="BN48" s="295">
        <f>SUM($AY$48:BB48)</f>
        <v>5557.1327999999994</v>
      </c>
      <c r="BO48" s="295">
        <f>SUM($AY$48:BC48)</f>
        <v>6946.4159999999993</v>
      </c>
      <c r="BP48" s="295">
        <f>SUM($AY$48:BD48)</f>
        <v>8335.6991999999991</v>
      </c>
      <c r="BQ48" s="295">
        <f>SUM($AY$48:BE48)</f>
        <v>9724.982399999999</v>
      </c>
      <c r="BR48" s="295">
        <f>SUM($AY$48:BF48)</f>
        <v>11114.265599999999</v>
      </c>
      <c r="BS48" s="295">
        <f>SUM($AY$48:BG48)</f>
        <v>12503.548799999999</v>
      </c>
      <c r="BT48" s="295">
        <f>SUM($AY$48:BH48)</f>
        <v>13892.831999999999</v>
      </c>
      <c r="BU48" s="295">
        <f>SUM($AY$48:BI48)</f>
        <v>15282.115199999998</v>
      </c>
      <c r="BV48" s="295">
        <f>SUM($AY$48:BJ48)</f>
        <v>16671.398399999998</v>
      </c>
      <c r="BW48" s="291"/>
    </row>
    <row r="49" spans="1:75" outlineLevel="2" collapsed="1" x14ac:dyDescent="0.25">
      <c r="A49" s="222">
        <v>8</v>
      </c>
      <c r="B49" s="233">
        <f>EEFFun!B518</f>
        <v>45019030</v>
      </c>
      <c r="C49" s="233" t="str">
        <f>EEFFun!C518</f>
        <v>PREMIOS AL PERSONAL</v>
      </c>
      <c r="D49" s="257">
        <f>EEFFun!P518</f>
        <v>0</v>
      </c>
      <c r="E49" s="295">
        <f t="shared" ref="E49" si="267">Q49</f>
        <v>0</v>
      </c>
      <c r="F49" s="295">
        <f t="shared" ref="F49" si="268">R49-Q49</f>
        <v>0</v>
      </c>
      <c r="G49" s="295">
        <f t="shared" ref="G49" si="269">S49-R49</f>
        <v>0</v>
      </c>
      <c r="H49" s="295">
        <f t="shared" ref="H49" si="270">T49-S49</f>
        <v>0</v>
      </c>
      <c r="I49" s="295">
        <f t="shared" ref="I49" si="271">U49-T49</f>
        <v>0</v>
      </c>
      <c r="J49" s="295">
        <f t="shared" ref="J49" si="272">V49-U49</f>
        <v>0</v>
      </c>
      <c r="K49" s="295">
        <f t="shared" ref="K49" si="273">W49-V49</f>
        <v>177.68</v>
      </c>
      <c r="L49" s="295">
        <f t="shared" ref="L49" si="274">X49-W49</f>
        <v>0</v>
      </c>
      <c r="M49" s="295">
        <f t="shared" ref="M49" si="275">Y49-X49</f>
        <v>0</v>
      </c>
      <c r="N49" s="295">
        <f t="shared" ref="N49" si="276">Z49-Y49</f>
        <v>0</v>
      </c>
      <c r="O49" s="295">
        <f t="shared" ref="O49:P49" si="277">AA49-Z49</f>
        <v>0</v>
      </c>
      <c r="P49" s="295">
        <f t="shared" si="277"/>
        <v>0</v>
      </c>
      <c r="Q49" s="257">
        <f>EEFFun!Q518</f>
        <v>0</v>
      </c>
      <c r="R49" s="257">
        <f>EEFFun!R518</f>
        <v>0</v>
      </c>
      <c r="S49" s="257">
        <f>EEFFun!S518</f>
        <v>0</v>
      </c>
      <c r="T49" s="257">
        <f>EEFFun!T518</f>
        <v>0</v>
      </c>
      <c r="U49" s="257">
        <f>EEFFun!U518</f>
        <v>0</v>
      </c>
      <c r="V49" s="257">
        <f>EEFFun!V518</f>
        <v>0</v>
      </c>
      <c r="W49" s="257">
        <f>EEFFun!W518</f>
        <v>177.68</v>
      </c>
      <c r="X49" s="257">
        <f>EEFFun!X518</f>
        <v>177.68</v>
      </c>
      <c r="Y49" s="257">
        <f>EEFFun!Y518</f>
        <v>177.68</v>
      </c>
      <c r="Z49" s="257">
        <f>EEFFun!Z518</f>
        <v>177.68</v>
      </c>
      <c r="AA49" s="257">
        <f>EEFFun!AA518</f>
        <v>177.68</v>
      </c>
      <c r="AB49" s="257">
        <f>EEFFun!AB518</f>
        <v>177.68</v>
      </c>
      <c r="AC49" s="257">
        <f>EEFFun!AC518</f>
        <v>0</v>
      </c>
      <c r="AD49" s="257">
        <f>EEFFun!AD518</f>
        <v>0</v>
      </c>
      <c r="AE49" s="257">
        <f>EEFFun!AE518</f>
        <v>0</v>
      </c>
      <c r="AF49" s="257">
        <f>EEFFun!AF518</f>
        <v>0</v>
      </c>
      <c r="AG49" s="257">
        <f>EEFFun!AG518</f>
        <v>0</v>
      </c>
      <c r="AH49" s="257">
        <f>EEFFun!AH518</f>
        <v>0</v>
      </c>
      <c r="AI49" s="257">
        <f>EEFFun!AI518</f>
        <v>0</v>
      </c>
      <c r="AJ49" s="257">
        <f>EEFFun!AJ518</f>
        <v>0</v>
      </c>
      <c r="AK49" s="257">
        <f>EEFFun!AK518</f>
        <v>0</v>
      </c>
      <c r="AL49" s="257">
        <f>EEFFun!AL518</f>
        <v>0</v>
      </c>
      <c r="AM49" s="257">
        <f>EEFFun!AM518</f>
        <v>0</v>
      </c>
      <c r="AN49" s="257">
        <f>EEFFun!AN518</f>
        <v>0</v>
      </c>
      <c r="AO49" s="257">
        <f>EEFFun!AO518</f>
        <v>0</v>
      </c>
      <c r="AP49" s="257">
        <f>EEFFun!AP518</f>
        <v>0</v>
      </c>
      <c r="AQ49" s="257">
        <f>EEFFun!AQ518</f>
        <v>0</v>
      </c>
      <c r="AR49" s="257">
        <f>EEFFun!AR518</f>
        <v>0</v>
      </c>
      <c r="AS49" s="257">
        <f>EEFFun!AS518</f>
        <v>0</v>
      </c>
      <c r="AT49" s="257">
        <f>EEFFun!AT518</f>
        <v>0</v>
      </c>
      <c r="AU49" s="257">
        <f>EEFFun!AU518</f>
        <v>0</v>
      </c>
      <c r="AV49" s="257">
        <f>EEFFun!AV518</f>
        <v>0</v>
      </c>
      <c r="AW49" s="257">
        <f>EEFFun!AW518</f>
        <v>0</v>
      </c>
      <c r="AX49" s="257">
        <f>EEFFun!AX518</f>
        <v>0</v>
      </c>
      <c r="AY49" s="295">
        <f t="shared" si="266"/>
        <v>0</v>
      </c>
      <c r="AZ49" s="295">
        <f t="shared" si="266"/>
        <v>0</v>
      </c>
      <c r="BA49" s="295">
        <f t="shared" si="266"/>
        <v>0</v>
      </c>
      <c r="BB49" s="295">
        <f t="shared" si="266"/>
        <v>0</v>
      </c>
      <c r="BC49" s="295">
        <f t="shared" si="266"/>
        <v>0</v>
      </c>
      <c r="BD49" s="295">
        <f t="shared" si="266"/>
        <v>0</v>
      </c>
      <c r="BE49" s="295">
        <f t="shared" si="266"/>
        <v>0</v>
      </c>
      <c r="BF49" s="295">
        <f t="shared" si="266"/>
        <v>0</v>
      </c>
      <c r="BG49" s="295">
        <f t="shared" si="266"/>
        <v>0</v>
      </c>
      <c r="BH49" s="295">
        <f t="shared" si="266"/>
        <v>0</v>
      </c>
      <c r="BI49" s="295">
        <f t="shared" si="266"/>
        <v>0</v>
      </c>
      <c r="BJ49" s="295">
        <f t="shared" si="266"/>
        <v>0</v>
      </c>
      <c r="BK49" s="295">
        <f>SUM($AY$48:AY49)</f>
        <v>1389.2831999999999</v>
      </c>
      <c r="BL49" s="295">
        <f>SUM($AY$48:AZ49)</f>
        <v>2778.5663999999997</v>
      </c>
      <c r="BM49" s="295">
        <f>SUM($AY$48:BA49)</f>
        <v>4167.8495999999996</v>
      </c>
      <c r="BN49" s="295">
        <f>SUM($AY$48:BB49)</f>
        <v>5557.1327999999994</v>
      </c>
      <c r="BO49" s="295">
        <f>SUM($AY$48:BC49)</f>
        <v>6946.4159999999993</v>
      </c>
      <c r="BP49" s="295">
        <f>SUM($AY$48:BD49)</f>
        <v>8335.6991999999991</v>
      </c>
      <c r="BQ49" s="295">
        <f>SUM($AY$48:BE49)</f>
        <v>9724.982399999999</v>
      </c>
      <c r="BR49" s="295">
        <f>SUM($AY$48:BF49)</f>
        <v>11114.265599999999</v>
      </c>
      <c r="BS49" s="295">
        <f>SUM($AY$48:BG49)</f>
        <v>12503.548799999999</v>
      </c>
      <c r="BT49" s="295">
        <f>SUM($AY$48:BH49)</f>
        <v>13892.831999999999</v>
      </c>
      <c r="BU49" s="295">
        <f>SUM($AY$48:BI49)</f>
        <v>15282.115199999998</v>
      </c>
      <c r="BV49" s="295">
        <f>SUM($AY$48:BJ49)</f>
        <v>16671.398399999998</v>
      </c>
      <c r="BW49" s="291"/>
    </row>
    <row r="50" spans="1:75" outlineLevel="2" collapsed="1" x14ac:dyDescent="0.25">
      <c r="A50" s="222">
        <v>8</v>
      </c>
      <c r="B50" s="233">
        <f>EEFFun!B519</f>
        <v>45019035</v>
      </c>
      <c r="C50" s="233" t="str">
        <f>EEFFun!C519</f>
        <v>BONO POR CUMPLIMIENTO</v>
      </c>
      <c r="D50" s="257">
        <f>EEFFun!P519</f>
        <v>4943.3999999999996</v>
      </c>
      <c r="E50" s="295">
        <f t="shared" si="255"/>
        <v>289.3</v>
      </c>
      <c r="F50" s="295">
        <f t="shared" si="256"/>
        <v>289.3</v>
      </c>
      <c r="G50" s="295">
        <f t="shared" si="257"/>
        <v>289.29999999999995</v>
      </c>
      <c r="H50" s="295">
        <f t="shared" si="258"/>
        <v>289.30000000000007</v>
      </c>
      <c r="I50" s="295">
        <f t="shared" si="259"/>
        <v>289.29999999999995</v>
      </c>
      <c r="J50" s="295">
        <f t="shared" si="260"/>
        <v>297.63000000000011</v>
      </c>
      <c r="K50" s="295">
        <f t="shared" si="261"/>
        <v>289.29999999999995</v>
      </c>
      <c r="L50" s="295">
        <f t="shared" si="262"/>
        <v>330.3900000000001</v>
      </c>
      <c r="M50" s="295">
        <f t="shared" si="263"/>
        <v>255.21000000000004</v>
      </c>
      <c r="N50" s="295">
        <f t="shared" si="264"/>
        <v>282.29999999999973</v>
      </c>
      <c r="O50" s="295">
        <f t="shared" si="265"/>
        <v>289.30000000000018</v>
      </c>
      <c r="P50" s="295">
        <f t="shared" si="265"/>
        <v>289.29999999999973</v>
      </c>
      <c r="Q50" s="257">
        <f>EEFFun!Q519</f>
        <v>289.3</v>
      </c>
      <c r="R50" s="257">
        <f>EEFFun!R519</f>
        <v>578.6</v>
      </c>
      <c r="S50" s="257">
        <f>EEFFun!S519</f>
        <v>867.9</v>
      </c>
      <c r="T50" s="257">
        <f>EEFFun!T519</f>
        <v>1157.2</v>
      </c>
      <c r="U50" s="257">
        <f>EEFFun!U519</f>
        <v>1446.5</v>
      </c>
      <c r="V50" s="257">
        <f>EEFFun!V519</f>
        <v>1744.13</v>
      </c>
      <c r="W50" s="257">
        <f>EEFFun!W519</f>
        <v>2033.43</v>
      </c>
      <c r="X50" s="257">
        <f>EEFFun!X519</f>
        <v>2363.8200000000002</v>
      </c>
      <c r="Y50" s="257">
        <f>EEFFun!Y519</f>
        <v>2619.0300000000002</v>
      </c>
      <c r="Z50" s="257">
        <f>EEFFun!Z519</f>
        <v>2901.33</v>
      </c>
      <c r="AA50" s="257">
        <f>EEFFun!AA519</f>
        <v>3190.63</v>
      </c>
      <c r="AB50" s="257">
        <f>EEFFun!AB519</f>
        <v>3479.93</v>
      </c>
      <c r="AC50" s="257">
        <f>EEFFun!AC519</f>
        <v>289.3</v>
      </c>
      <c r="AD50" s="257">
        <f>EEFFun!AD519</f>
        <v>578.6</v>
      </c>
      <c r="AE50" s="257">
        <f>EEFFun!AE519</f>
        <v>867.9</v>
      </c>
      <c r="AF50" s="257">
        <f>EEFFun!AF519</f>
        <v>867.9</v>
      </c>
      <c r="AG50" s="257">
        <f>EEFFun!AG519</f>
        <v>867.9</v>
      </c>
      <c r="AH50" s="257">
        <f>EEFFun!AH519</f>
        <v>867.9</v>
      </c>
      <c r="AI50" s="257">
        <f>EEFFun!AI519</f>
        <v>867.9</v>
      </c>
      <c r="AJ50" s="257">
        <f>EEFFun!AJ519</f>
        <v>867.9</v>
      </c>
      <c r="AK50" s="257">
        <f>EEFFun!AK519</f>
        <v>1167.9000000000001</v>
      </c>
      <c r="AL50" s="257">
        <f>EEFFun!AL519</f>
        <v>1667.9</v>
      </c>
      <c r="AM50" s="257">
        <f>EEFFun!AM519</f>
        <v>2067.9</v>
      </c>
      <c r="AN50" s="257">
        <f>EEFFun!AN519</f>
        <v>2337.9</v>
      </c>
      <c r="AO50" s="257">
        <f>EEFFun!AO519</f>
        <v>1448.41</v>
      </c>
      <c r="AP50" s="257">
        <f>EEFFun!AP519</f>
        <v>2280.64</v>
      </c>
      <c r="AQ50" s="257">
        <f>EEFFun!AQ519</f>
        <v>4857.97</v>
      </c>
      <c r="AR50" s="257">
        <f>EEFFun!AR519</f>
        <v>6014.53</v>
      </c>
      <c r="AS50" s="257">
        <f>EEFFun!AS519</f>
        <v>8554.89</v>
      </c>
      <c r="AT50" s="257">
        <f>EEFFun!AT519</f>
        <v>9848.2099999999991</v>
      </c>
      <c r="AU50" s="257">
        <f>EEFFun!AU519</f>
        <v>10972.51</v>
      </c>
      <c r="AV50" s="257">
        <f>EEFFun!AV519</f>
        <v>12791.86</v>
      </c>
      <c r="AW50" s="257">
        <f>EEFFun!AW519</f>
        <v>14887.91</v>
      </c>
      <c r="AX50" s="257">
        <f>EEFFun!AX519</f>
        <v>16836.8</v>
      </c>
      <c r="AY50" s="295">
        <f t="shared" si="266"/>
        <v>1515.3119999999999</v>
      </c>
      <c r="AZ50" s="295">
        <f t="shared" si="266"/>
        <v>1515.3119999999999</v>
      </c>
      <c r="BA50" s="295">
        <f t="shared" si="266"/>
        <v>1515.3119999999999</v>
      </c>
      <c r="BB50" s="295">
        <f t="shared" si="266"/>
        <v>1515.3119999999999</v>
      </c>
      <c r="BC50" s="295">
        <f t="shared" si="266"/>
        <v>1515.3119999999999</v>
      </c>
      <c r="BD50" s="295">
        <f t="shared" si="266"/>
        <v>1515.3119999999999</v>
      </c>
      <c r="BE50" s="295">
        <f t="shared" si="266"/>
        <v>1515.3119999999999</v>
      </c>
      <c r="BF50" s="295">
        <f t="shared" si="266"/>
        <v>1515.3119999999999</v>
      </c>
      <c r="BG50" s="295">
        <f t="shared" si="266"/>
        <v>1515.3119999999999</v>
      </c>
      <c r="BH50" s="295">
        <f t="shared" si="266"/>
        <v>1515.3119999999999</v>
      </c>
      <c r="BI50" s="295">
        <f t="shared" si="266"/>
        <v>1515.3119999999999</v>
      </c>
      <c r="BJ50" s="295">
        <f t="shared" si="266"/>
        <v>1515.3119999999999</v>
      </c>
      <c r="BK50" s="295">
        <f>SUM($AY$50:AY50)</f>
        <v>1515.3119999999999</v>
      </c>
      <c r="BL50" s="295">
        <f>SUM($AY$50:AZ50)</f>
        <v>3030.6239999999998</v>
      </c>
      <c r="BM50" s="295">
        <f>SUM($AY$50:BA50)</f>
        <v>4545.9359999999997</v>
      </c>
      <c r="BN50" s="295">
        <f>SUM($AY$50:BB50)</f>
        <v>6061.2479999999996</v>
      </c>
      <c r="BO50" s="295">
        <f>SUM($AY$50:BC50)</f>
        <v>7576.5599999999995</v>
      </c>
      <c r="BP50" s="295">
        <f>SUM($AY$50:BD50)</f>
        <v>9091.8719999999994</v>
      </c>
      <c r="BQ50" s="295">
        <f>SUM($AY$50:BE50)</f>
        <v>10607.183999999999</v>
      </c>
      <c r="BR50" s="295">
        <f>SUM($AY$50:BF50)</f>
        <v>12122.495999999999</v>
      </c>
      <c r="BS50" s="295">
        <f>SUM($AY$50:BG50)</f>
        <v>13637.807999999999</v>
      </c>
      <c r="BT50" s="295">
        <f>SUM($AY$50:BH50)</f>
        <v>15153.119999999999</v>
      </c>
      <c r="BU50" s="295">
        <f>SUM($AY$50:BI50)</f>
        <v>16668.432000000001</v>
      </c>
      <c r="BV50" s="295">
        <f>SUM($AY$50:BJ50)</f>
        <v>18183.743999999999</v>
      </c>
      <c r="BW50" s="291"/>
    </row>
    <row r="51" spans="1:75" outlineLevel="1" x14ac:dyDescent="0.25">
      <c r="A51" s="222">
        <v>8</v>
      </c>
      <c r="B51" s="233">
        <f>EEFFun!B520</f>
        <v>45019040</v>
      </c>
      <c r="C51" s="233" t="str">
        <f>EEFFun!C520</f>
        <v>INDEMINIZACIONES</v>
      </c>
      <c r="D51" s="257">
        <f>EEFFun!P520</f>
        <v>11450</v>
      </c>
      <c r="E51" s="295">
        <f t="shared" si="255"/>
        <v>0</v>
      </c>
      <c r="F51" s="295">
        <f t="shared" si="256"/>
        <v>0</v>
      </c>
      <c r="G51" s="295">
        <f t="shared" si="257"/>
        <v>0</v>
      </c>
      <c r="H51" s="295">
        <f t="shared" si="258"/>
        <v>0</v>
      </c>
      <c r="I51" s="295">
        <f t="shared" si="259"/>
        <v>0</v>
      </c>
      <c r="J51" s="295">
        <f t="shared" si="260"/>
        <v>0</v>
      </c>
      <c r="K51" s="295">
        <f t="shared" si="261"/>
        <v>0</v>
      </c>
      <c r="L51" s="295">
        <f t="shared" si="262"/>
        <v>0</v>
      </c>
      <c r="M51" s="295">
        <f t="shared" si="263"/>
        <v>0</v>
      </c>
      <c r="N51" s="295">
        <f t="shared" si="264"/>
        <v>0</v>
      </c>
      <c r="O51" s="295">
        <f t="shared" si="265"/>
        <v>0</v>
      </c>
      <c r="P51" s="295">
        <f t="shared" si="265"/>
        <v>0</v>
      </c>
      <c r="Q51" s="257">
        <f>EEFFun!Q520</f>
        <v>0</v>
      </c>
      <c r="R51" s="257">
        <f>EEFFun!R520</f>
        <v>0</v>
      </c>
      <c r="S51" s="257">
        <f>EEFFun!S520</f>
        <v>0</v>
      </c>
      <c r="T51" s="257">
        <f>EEFFun!T520</f>
        <v>0</v>
      </c>
      <c r="U51" s="257">
        <f>EEFFun!U520</f>
        <v>0</v>
      </c>
      <c r="V51" s="257">
        <f>EEFFun!V520</f>
        <v>0</v>
      </c>
      <c r="W51" s="257">
        <f>EEFFun!W520</f>
        <v>0</v>
      </c>
      <c r="X51" s="257">
        <f>EEFFun!X520</f>
        <v>0</v>
      </c>
      <c r="Y51" s="257">
        <f>EEFFun!Y520</f>
        <v>0</v>
      </c>
      <c r="Z51" s="257">
        <f>EEFFun!Z520</f>
        <v>0</v>
      </c>
      <c r="AA51" s="257">
        <f>EEFFun!AA520</f>
        <v>0</v>
      </c>
      <c r="AB51" s="257">
        <f>EEFFun!AB520</f>
        <v>0</v>
      </c>
      <c r="AC51" s="257">
        <f>EEFFun!AC520</f>
        <v>0</v>
      </c>
      <c r="AD51" s="257">
        <f>EEFFun!AD520</f>
        <v>0</v>
      </c>
      <c r="AE51" s="257">
        <f>EEFFun!AE520</f>
        <v>0</v>
      </c>
      <c r="AF51" s="257">
        <f>EEFFun!AF520</f>
        <v>2200.0500000000002</v>
      </c>
      <c r="AG51" s="257">
        <f>EEFFun!AG520</f>
        <v>2200.0500000000002</v>
      </c>
      <c r="AH51" s="257">
        <f>EEFFun!AH520</f>
        <v>2200.0500000000002</v>
      </c>
      <c r="AI51" s="257">
        <f>EEFFun!AI520</f>
        <v>9400.0499999999993</v>
      </c>
      <c r="AJ51" s="257">
        <f>EEFFun!AJ520</f>
        <v>18229.14</v>
      </c>
      <c r="AK51" s="257">
        <f>EEFFun!AK520</f>
        <v>23729.14</v>
      </c>
      <c r="AL51" s="257">
        <f>EEFFun!AL520</f>
        <v>29229.14</v>
      </c>
      <c r="AM51" s="257">
        <f>EEFFun!AM520</f>
        <v>34729.14</v>
      </c>
      <c r="AN51" s="257">
        <f>EEFFun!AN520</f>
        <v>40229.14</v>
      </c>
      <c r="AO51" s="257">
        <f>EEFFun!AO520</f>
        <v>5500</v>
      </c>
      <c r="AP51" s="257">
        <f>EEFFun!AP520</f>
        <v>15500</v>
      </c>
      <c r="AQ51" s="257">
        <f>EEFFun!AQ520</f>
        <v>21000</v>
      </c>
      <c r="AR51" s="257">
        <f>EEFFun!AR520</f>
        <v>25500</v>
      </c>
      <c r="AS51" s="257">
        <f>EEFFun!AS520</f>
        <v>25500</v>
      </c>
      <c r="AT51" s="257">
        <f>EEFFun!AT520</f>
        <v>25500</v>
      </c>
      <c r="AU51" s="257">
        <f>EEFFun!AU520</f>
        <v>25500</v>
      </c>
      <c r="AV51" s="257">
        <f>EEFFun!AV520</f>
        <v>25500</v>
      </c>
      <c r="AW51" s="257">
        <f>EEFFun!AW520</f>
        <v>28800</v>
      </c>
      <c r="AX51" s="257">
        <f>EEFFun!AX520</f>
        <v>28800</v>
      </c>
      <c r="AY51" s="295">
        <f t="shared" si="266"/>
        <v>2592</v>
      </c>
      <c r="AZ51" s="295">
        <f t="shared" si="266"/>
        <v>2592</v>
      </c>
      <c r="BA51" s="295">
        <f t="shared" si="266"/>
        <v>2592</v>
      </c>
      <c r="BB51" s="295">
        <f t="shared" si="266"/>
        <v>2592</v>
      </c>
      <c r="BC51" s="295">
        <f t="shared" si="266"/>
        <v>2592</v>
      </c>
      <c r="BD51" s="295">
        <f t="shared" si="266"/>
        <v>2592</v>
      </c>
      <c r="BE51" s="295">
        <f t="shared" si="266"/>
        <v>2592</v>
      </c>
      <c r="BF51" s="295">
        <f t="shared" si="266"/>
        <v>2592</v>
      </c>
      <c r="BG51" s="295">
        <f t="shared" si="266"/>
        <v>2592</v>
      </c>
      <c r="BH51" s="295">
        <f t="shared" si="266"/>
        <v>2592</v>
      </c>
      <c r="BI51" s="295">
        <f t="shared" si="266"/>
        <v>2592</v>
      </c>
      <c r="BJ51" s="295">
        <f t="shared" si="266"/>
        <v>2592</v>
      </c>
      <c r="BK51" s="295">
        <f>SUM($AY$51:AY51)</f>
        <v>2592</v>
      </c>
      <c r="BL51" s="295">
        <f>SUM($AY$51:AZ51)</f>
        <v>5184</v>
      </c>
      <c r="BM51" s="295">
        <f>SUM($AY$51:BA51)</f>
        <v>7776</v>
      </c>
      <c r="BN51" s="295">
        <f>SUM($AY$51:BB51)</f>
        <v>10368</v>
      </c>
      <c r="BO51" s="295">
        <f>SUM($AY$51:BC51)</f>
        <v>12960</v>
      </c>
      <c r="BP51" s="295">
        <f>SUM($AY$51:BD51)</f>
        <v>15552</v>
      </c>
      <c r="BQ51" s="295">
        <f>SUM($AY$51:BE51)</f>
        <v>18144</v>
      </c>
      <c r="BR51" s="295">
        <f>SUM($AY$51:BF51)</f>
        <v>20736</v>
      </c>
      <c r="BS51" s="295">
        <f>SUM($AY$51:BG51)</f>
        <v>23328</v>
      </c>
      <c r="BT51" s="295">
        <f>SUM($AY$51:BH51)</f>
        <v>25920</v>
      </c>
      <c r="BU51" s="295">
        <f>SUM($AY$51:BI51)</f>
        <v>28512</v>
      </c>
      <c r="BV51" s="295">
        <f>SUM($AY$51:BJ51)</f>
        <v>31104</v>
      </c>
      <c r="BW51" s="291"/>
    </row>
    <row r="52" spans="1:75" outlineLevel="1" x14ac:dyDescent="0.25">
      <c r="A52" s="222">
        <v>8</v>
      </c>
      <c r="B52" s="233">
        <f>EEFFun!B521</f>
        <v>45019045</v>
      </c>
      <c r="C52" s="233" t="str">
        <f>EEFFun!C521</f>
        <v>DESAHUCIO</v>
      </c>
      <c r="D52" s="257">
        <f>EEFFun!P521</f>
        <v>31374.42</v>
      </c>
      <c r="E52" s="295">
        <f t="shared" si="255"/>
        <v>163.78</v>
      </c>
      <c r="F52" s="295">
        <f t="shared" si="256"/>
        <v>0</v>
      </c>
      <c r="G52" s="295">
        <f t="shared" si="257"/>
        <v>0</v>
      </c>
      <c r="H52" s="295">
        <f t="shared" si="258"/>
        <v>166.54999999999998</v>
      </c>
      <c r="I52" s="295">
        <f t="shared" si="259"/>
        <v>381.84999999999997</v>
      </c>
      <c r="J52" s="295">
        <f t="shared" si="260"/>
        <v>70.310000000000059</v>
      </c>
      <c r="K52" s="295">
        <f t="shared" si="261"/>
        <v>463.1400000000001</v>
      </c>
      <c r="L52" s="295">
        <f t="shared" si="262"/>
        <v>0</v>
      </c>
      <c r="M52" s="295">
        <f t="shared" si="263"/>
        <v>0</v>
      </c>
      <c r="N52" s="295">
        <f t="shared" si="264"/>
        <v>1127.1099999999997</v>
      </c>
      <c r="O52" s="295">
        <f t="shared" si="265"/>
        <v>767.44</v>
      </c>
      <c r="P52" s="295">
        <f t="shared" si="265"/>
        <v>6175.7199999999993</v>
      </c>
      <c r="Q52" s="257">
        <f>EEFFun!Q521</f>
        <v>163.78</v>
      </c>
      <c r="R52" s="257">
        <f>EEFFun!R521</f>
        <v>163.78</v>
      </c>
      <c r="S52" s="257">
        <f>EEFFun!S521</f>
        <v>163.78</v>
      </c>
      <c r="T52" s="257">
        <f>EEFFun!T521</f>
        <v>330.33</v>
      </c>
      <c r="U52" s="257">
        <f>EEFFun!U521</f>
        <v>712.18</v>
      </c>
      <c r="V52" s="257">
        <f>EEFFun!V521</f>
        <v>782.49</v>
      </c>
      <c r="W52" s="257">
        <f>EEFFun!W521</f>
        <v>1245.6300000000001</v>
      </c>
      <c r="X52" s="257">
        <f>EEFFun!X521</f>
        <v>1245.6300000000001</v>
      </c>
      <c r="Y52" s="257">
        <f>EEFFun!Y521</f>
        <v>1245.6300000000001</v>
      </c>
      <c r="Z52" s="257">
        <f>EEFFun!Z521</f>
        <v>2372.7399999999998</v>
      </c>
      <c r="AA52" s="257">
        <f>EEFFun!AA521</f>
        <v>3140.18</v>
      </c>
      <c r="AB52" s="257">
        <f>EEFFun!AB521</f>
        <v>9315.9</v>
      </c>
      <c r="AC52" s="257">
        <f>EEFFun!AC521</f>
        <v>0</v>
      </c>
      <c r="AD52" s="257">
        <f>EEFFun!AD521</f>
        <v>1664.34</v>
      </c>
      <c r="AE52" s="257">
        <f>EEFFun!AE521</f>
        <v>2186.4</v>
      </c>
      <c r="AF52" s="257">
        <f>EEFFun!AF521</f>
        <v>3275.48</v>
      </c>
      <c r="AG52" s="257">
        <f>EEFFun!AG521</f>
        <v>3477.67</v>
      </c>
      <c r="AH52" s="257">
        <f>EEFFun!AH521</f>
        <v>3521.1</v>
      </c>
      <c r="AI52" s="257">
        <f>EEFFun!AI521</f>
        <v>3745.1</v>
      </c>
      <c r="AJ52" s="257">
        <f>EEFFun!AJ521</f>
        <v>3745.1</v>
      </c>
      <c r="AK52" s="257">
        <f>EEFFun!AK521</f>
        <v>3745.1</v>
      </c>
      <c r="AL52" s="257">
        <f>EEFFun!AL521</f>
        <v>3745.1</v>
      </c>
      <c r="AM52" s="257">
        <f>EEFFun!AM521</f>
        <v>8485.66</v>
      </c>
      <c r="AN52" s="257">
        <f>EEFFun!AN521</f>
        <v>18921.71</v>
      </c>
      <c r="AO52" s="257">
        <f>EEFFun!AO521</f>
        <v>0</v>
      </c>
      <c r="AP52" s="257">
        <f>EEFFun!AP521</f>
        <v>0</v>
      </c>
      <c r="AQ52" s="257">
        <f>EEFFun!AQ521</f>
        <v>0</v>
      </c>
      <c r="AR52" s="257">
        <f>EEFFun!AR521</f>
        <v>0</v>
      </c>
      <c r="AS52" s="257">
        <f>EEFFun!AS521</f>
        <v>0</v>
      </c>
      <c r="AT52" s="257">
        <f>EEFFun!AT521</f>
        <v>0</v>
      </c>
      <c r="AU52" s="257">
        <f>EEFFun!AU521</f>
        <v>0</v>
      </c>
      <c r="AV52" s="257">
        <f>EEFFun!AV521</f>
        <v>0</v>
      </c>
      <c r="AW52" s="257">
        <f>EEFFun!AW521</f>
        <v>0</v>
      </c>
      <c r="AX52" s="257">
        <f>EEFFun!AX521</f>
        <v>0</v>
      </c>
      <c r="AY52" s="295">
        <f t="shared" si="266"/>
        <v>0</v>
      </c>
      <c r="AZ52" s="295">
        <f t="shared" si="266"/>
        <v>0</v>
      </c>
      <c r="BA52" s="295">
        <f t="shared" si="266"/>
        <v>0</v>
      </c>
      <c r="BB52" s="295">
        <f t="shared" si="266"/>
        <v>0</v>
      </c>
      <c r="BC52" s="295">
        <f t="shared" si="266"/>
        <v>0</v>
      </c>
      <c r="BD52" s="295">
        <f t="shared" si="266"/>
        <v>0</v>
      </c>
      <c r="BE52" s="295">
        <f t="shared" si="266"/>
        <v>0</v>
      </c>
      <c r="BF52" s="295">
        <f t="shared" si="266"/>
        <v>0</v>
      </c>
      <c r="BG52" s="295">
        <f t="shared" si="266"/>
        <v>0</v>
      </c>
      <c r="BH52" s="295">
        <f t="shared" si="266"/>
        <v>0</v>
      </c>
      <c r="BI52" s="295">
        <f t="shared" si="266"/>
        <v>0</v>
      </c>
      <c r="BJ52" s="295">
        <f t="shared" si="266"/>
        <v>0</v>
      </c>
      <c r="BK52" s="295">
        <f>SUM($AY$52:AY52)</f>
        <v>0</v>
      </c>
      <c r="BL52" s="295">
        <f>SUM($AY$52:AZ52)</f>
        <v>0</v>
      </c>
      <c r="BM52" s="295">
        <f>SUM($AY$52:BA52)</f>
        <v>0</v>
      </c>
      <c r="BN52" s="295">
        <f>SUM($AY$52:BB52)</f>
        <v>0</v>
      </c>
      <c r="BO52" s="295">
        <f>SUM($AY$52:BC52)</f>
        <v>0</v>
      </c>
      <c r="BP52" s="295">
        <f>SUM($AY$52:BD52)</f>
        <v>0</v>
      </c>
      <c r="BQ52" s="295">
        <f>SUM($AY$52:BE52)</f>
        <v>0</v>
      </c>
      <c r="BR52" s="295">
        <f>SUM($AY$52:BF52)</f>
        <v>0</v>
      </c>
      <c r="BS52" s="295">
        <f>SUM($AY$52:BG52)</f>
        <v>0</v>
      </c>
      <c r="BT52" s="295">
        <f>SUM($AY$52:BH52)</f>
        <v>0</v>
      </c>
      <c r="BU52" s="295">
        <f>SUM($AY$52:BI52)</f>
        <v>0</v>
      </c>
      <c r="BV52" s="295">
        <f>SUM($AY$52:BJ52)</f>
        <v>0</v>
      </c>
      <c r="BW52" s="291"/>
    </row>
    <row r="53" spans="1:75" outlineLevel="1" x14ac:dyDescent="0.25">
      <c r="A53" s="222">
        <v>8</v>
      </c>
      <c r="B53" s="233">
        <f>EEFFun!B522</f>
        <v>45019050</v>
      </c>
      <c r="C53" s="233" t="str">
        <f>EEFFun!C522</f>
        <v>REFRIGERIO Y CAFETERIA</v>
      </c>
      <c r="D53" s="257">
        <f>EEFFun!P522</f>
        <v>2618.64</v>
      </c>
      <c r="E53" s="295">
        <f t="shared" si="255"/>
        <v>44.93</v>
      </c>
      <c r="F53" s="295">
        <f t="shared" si="256"/>
        <v>179.29999999999998</v>
      </c>
      <c r="G53" s="295">
        <f t="shared" si="257"/>
        <v>30.460000000000008</v>
      </c>
      <c r="H53" s="295">
        <f t="shared" si="258"/>
        <v>351.93</v>
      </c>
      <c r="I53" s="295">
        <f t="shared" si="259"/>
        <v>25.360000000000014</v>
      </c>
      <c r="J53" s="295">
        <f t="shared" si="260"/>
        <v>131.76999999999998</v>
      </c>
      <c r="K53" s="295">
        <f t="shared" si="261"/>
        <v>644.54999999999995</v>
      </c>
      <c r="L53" s="295">
        <f t="shared" si="262"/>
        <v>107.63000000000011</v>
      </c>
      <c r="M53" s="295">
        <f t="shared" si="263"/>
        <v>142.51999999999998</v>
      </c>
      <c r="N53" s="295">
        <f t="shared" si="264"/>
        <v>208.96000000000004</v>
      </c>
      <c r="O53" s="295">
        <f t="shared" si="265"/>
        <v>168.20999999999981</v>
      </c>
      <c r="P53" s="295">
        <f t="shared" si="265"/>
        <v>292.59999999999991</v>
      </c>
      <c r="Q53" s="257">
        <f>EEFFun!Q522</f>
        <v>44.93</v>
      </c>
      <c r="R53" s="257">
        <f>EEFFun!R522</f>
        <v>224.23</v>
      </c>
      <c r="S53" s="257">
        <f>EEFFun!S522</f>
        <v>254.69</v>
      </c>
      <c r="T53" s="257">
        <f>EEFFun!T522</f>
        <v>606.62</v>
      </c>
      <c r="U53" s="257">
        <f>EEFFun!U522</f>
        <v>631.98</v>
      </c>
      <c r="V53" s="257">
        <f>EEFFun!V522</f>
        <v>763.75</v>
      </c>
      <c r="W53" s="257">
        <f>EEFFun!W522</f>
        <v>1408.3</v>
      </c>
      <c r="X53" s="257">
        <f>EEFFun!X522</f>
        <v>1515.93</v>
      </c>
      <c r="Y53" s="257">
        <f>EEFFun!Y522</f>
        <v>1658.45</v>
      </c>
      <c r="Z53" s="257">
        <f>EEFFun!Z522</f>
        <v>1867.41</v>
      </c>
      <c r="AA53" s="257">
        <f>EEFFun!AA522</f>
        <v>2035.62</v>
      </c>
      <c r="AB53" s="257">
        <f>EEFFun!AB522</f>
        <v>2328.2199999999998</v>
      </c>
      <c r="AC53" s="257">
        <f>EEFFun!AC522</f>
        <v>72.22</v>
      </c>
      <c r="AD53" s="257">
        <f>EEFFun!AD522</f>
        <v>206.13</v>
      </c>
      <c r="AE53" s="257">
        <f>EEFFun!AE522</f>
        <v>297.08</v>
      </c>
      <c r="AF53" s="257">
        <f>EEFFun!AF522</f>
        <v>436.05</v>
      </c>
      <c r="AG53" s="257">
        <f>EEFFun!AG522</f>
        <v>839.23</v>
      </c>
      <c r="AH53" s="257">
        <f>EEFFun!AH522</f>
        <v>1106.1300000000001</v>
      </c>
      <c r="AI53" s="257">
        <f>EEFFun!AI522</f>
        <v>1276.19</v>
      </c>
      <c r="AJ53" s="257">
        <f>EEFFun!AJ522</f>
        <v>1523.74</v>
      </c>
      <c r="AK53" s="257">
        <f>EEFFun!AK522</f>
        <v>2059.59</v>
      </c>
      <c r="AL53" s="257">
        <f>EEFFun!AL522</f>
        <v>2647.87</v>
      </c>
      <c r="AM53" s="257">
        <f>EEFFun!AM522</f>
        <v>3065.61</v>
      </c>
      <c r="AN53" s="257">
        <f>EEFFun!AN522</f>
        <v>5155.67</v>
      </c>
      <c r="AO53" s="257">
        <f>EEFFun!AO522</f>
        <v>524.59</v>
      </c>
      <c r="AP53" s="257">
        <f>EEFFun!AP522</f>
        <v>1495.58</v>
      </c>
      <c r="AQ53" s="257">
        <f>EEFFun!AQ522</f>
        <v>1936.27</v>
      </c>
      <c r="AR53" s="257">
        <f>EEFFun!AR522</f>
        <v>3792.48</v>
      </c>
      <c r="AS53" s="257">
        <f>EEFFun!AS522</f>
        <v>5003.92</v>
      </c>
      <c r="AT53" s="257">
        <f>EEFFun!AT522</f>
        <v>6143.03</v>
      </c>
      <c r="AU53" s="257">
        <f>EEFFun!AU522</f>
        <v>6447.44</v>
      </c>
      <c r="AV53" s="257">
        <f>EEFFun!AV522</f>
        <v>7076.32</v>
      </c>
      <c r="AW53" s="257">
        <f>EEFFun!AW522</f>
        <v>7285.17</v>
      </c>
      <c r="AX53" s="257">
        <f>EEFFun!AX522</f>
        <v>7613.42</v>
      </c>
      <c r="AY53" s="295">
        <f t="shared" si="266"/>
        <v>685.20780000000002</v>
      </c>
      <c r="AZ53" s="295">
        <f t="shared" si="266"/>
        <v>685.20780000000002</v>
      </c>
      <c r="BA53" s="295">
        <f t="shared" si="266"/>
        <v>685.20780000000002</v>
      </c>
      <c r="BB53" s="295">
        <f t="shared" si="266"/>
        <v>685.20780000000002</v>
      </c>
      <c r="BC53" s="295">
        <f t="shared" si="266"/>
        <v>685.20780000000002</v>
      </c>
      <c r="BD53" s="295">
        <f t="shared" si="266"/>
        <v>685.20780000000002</v>
      </c>
      <c r="BE53" s="295">
        <f t="shared" si="266"/>
        <v>685.20780000000002</v>
      </c>
      <c r="BF53" s="295">
        <f t="shared" si="266"/>
        <v>685.20780000000002</v>
      </c>
      <c r="BG53" s="295">
        <f t="shared" si="266"/>
        <v>685.20780000000002</v>
      </c>
      <c r="BH53" s="295">
        <f t="shared" si="266"/>
        <v>685.20780000000002</v>
      </c>
      <c r="BI53" s="295">
        <f t="shared" si="266"/>
        <v>685.20780000000002</v>
      </c>
      <c r="BJ53" s="295">
        <f t="shared" si="266"/>
        <v>685.20780000000002</v>
      </c>
      <c r="BK53" s="295">
        <f>SUM($AY$53:AY53)</f>
        <v>685.20780000000002</v>
      </c>
      <c r="BL53" s="295">
        <f>SUM($AY$53:AZ53)</f>
        <v>1370.4156</v>
      </c>
      <c r="BM53" s="295">
        <f>SUM($AY$53:BA53)</f>
        <v>2055.6233999999999</v>
      </c>
      <c r="BN53" s="295">
        <f>SUM($AY$53:BB53)</f>
        <v>2740.8312000000001</v>
      </c>
      <c r="BO53" s="295">
        <f>SUM($AY$53:BC53)</f>
        <v>3426.0390000000002</v>
      </c>
      <c r="BP53" s="295">
        <f>SUM($AY$53:BD53)</f>
        <v>4111.2467999999999</v>
      </c>
      <c r="BQ53" s="295">
        <f>SUM($AY$53:BE53)</f>
        <v>4796.4546</v>
      </c>
      <c r="BR53" s="295">
        <f>SUM($AY$53:BF53)</f>
        <v>5481.6624000000002</v>
      </c>
      <c r="BS53" s="295">
        <f>SUM($AY$53:BG53)</f>
        <v>6166.8702000000003</v>
      </c>
      <c r="BT53" s="295">
        <f>SUM($AY$53:BH53)</f>
        <v>6852.0780000000004</v>
      </c>
      <c r="BU53" s="295">
        <f>SUM($AY$53:BI53)</f>
        <v>7537.2858000000006</v>
      </c>
      <c r="BV53" s="295">
        <f>SUM($AY$53:BJ53)</f>
        <v>8222.4935999999998</v>
      </c>
      <c r="BW53" s="291"/>
    </row>
    <row r="54" spans="1:75" outlineLevel="1" x14ac:dyDescent="0.25">
      <c r="A54" s="222">
        <v>8</v>
      </c>
      <c r="B54" s="233">
        <f>EEFFun!B523</f>
        <v>45019055</v>
      </c>
      <c r="C54" s="233" t="str">
        <f>EEFFun!C523</f>
        <v>UNIFORMES</v>
      </c>
      <c r="D54" s="257">
        <f>EEFFun!P523</f>
        <v>330.5</v>
      </c>
      <c r="E54" s="295">
        <f t="shared" si="255"/>
        <v>0</v>
      </c>
      <c r="F54" s="295">
        <f t="shared" si="256"/>
        <v>0</v>
      </c>
      <c r="G54" s="295">
        <f t="shared" si="257"/>
        <v>0</v>
      </c>
      <c r="H54" s="295">
        <f t="shared" si="258"/>
        <v>0</v>
      </c>
      <c r="I54" s="295">
        <f t="shared" si="259"/>
        <v>0</v>
      </c>
      <c r="J54" s="295">
        <f t="shared" si="260"/>
        <v>0</v>
      </c>
      <c r="K54" s="295">
        <f t="shared" si="261"/>
        <v>0</v>
      </c>
      <c r="L54" s="295">
        <f t="shared" si="262"/>
        <v>0</v>
      </c>
      <c r="M54" s="295">
        <f t="shared" si="263"/>
        <v>0</v>
      </c>
      <c r="N54" s="295">
        <f t="shared" si="264"/>
        <v>704.55</v>
      </c>
      <c r="O54" s="295">
        <f t="shared" si="265"/>
        <v>0</v>
      </c>
      <c r="P54" s="295">
        <f t="shared" si="265"/>
        <v>0</v>
      </c>
      <c r="Q54" s="257">
        <f>EEFFun!Q523</f>
        <v>0</v>
      </c>
      <c r="R54" s="257">
        <f>EEFFun!R523</f>
        <v>0</v>
      </c>
      <c r="S54" s="257">
        <f>EEFFun!S523</f>
        <v>0</v>
      </c>
      <c r="T54" s="257">
        <f>EEFFun!T523</f>
        <v>0</v>
      </c>
      <c r="U54" s="257">
        <f>EEFFun!U523</f>
        <v>0</v>
      </c>
      <c r="V54" s="257">
        <f>EEFFun!V523</f>
        <v>0</v>
      </c>
      <c r="W54" s="257">
        <f>EEFFun!W523</f>
        <v>0</v>
      </c>
      <c r="X54" s="257">
        <f>EEFFun!X523</f>
        <v>0</v>
      </c>
      <c r="Y54" s="257">
        <f>EEFFun!Y523</f>
        <v>0</v>
      </c>
      <c r="Z54" s="257">
        <f>EEFFun!Z523</f>
        <v>704.55</v>
      </c>
      <c r="AA54" s="257">
        <f>EEFFun!AA523</f>
        <v>704.55</v>
      </c>
      <c r="AB54" s="257">
        <f>EEFFun!AB523</f>
        <v>704.55</v>
      </c>
      <c r="AC54" s="257">
        <f>EEFFun!AC523</f>
        <v>0</v>
      </c>
      <c r="AD54" s="257">
        <f>EEFFun!AD523</f>
        <v>0</v>
      </c>
      <c r="AE54" s="257">
        <f>EEFFun!AE523</f>
        <v>47.32</v>
      </c>
      <c r="AF54" s="257">
        <f>EEFFun!AF523</f>
        <v>47.32</v>
      </c>
      <c r="AG54" s="257">
        <f>EEFFun!AG523</f>
        <v>394.24</v>
      </c>
      <c r="AH54" s="257">
        <f>EEFFun!AH523</f>
        <v>394.24</v>
      </c>
      <c r="AI54" s="257">
        <f>EEFFun!AI523</f>
        <v>410.39</v>
      </c>
      <c r="AJ54" s="257">
        <f>EEFFun!AJ523</f>
        <v>410.39</v>
      </c>
      <c r="AK54" s="257">
        <f>EEFFun!AK523</f>
        <v>410.39</v>
      </c>
      <c r="AL54" s="257">
        <f>EEFFun!AL523</f>
        <v>410.39</v>
      </c>
      <c r="AM54" s="257">
        <f>EEFFun!AM523</f>
        <v>410.39</v>
      </c>
      <c r="AN54" s="257">
        <f>EEFFun!AN523</f>
        <v>10916.63</v>
      </c>
      <c r="AO54" s="257">
        <f>EEFFun!AO523</f>
        <v>0</v>
      </c>
      <c r="AP54" s="257">
        <f>EEFFun!AP523</f>
        <v>0</v>
      </c>
      <c r="AQ54" s="257">
        <f>EEFFun!AQ523</f>
        <v>0</v>
      </c>
      <c r="AR54" s="257">
        <f>EEFFun!AR523</f>
        <v>0</v>
      </c>
      <c r="AS54" s="257">
        <f>EEFFun!AS523</f>
        <v>0</v>
      </c>
      <c r="AT54" s="257">
        <f>EEFFun!AT523</f>
        <v>0</v>
      </c>
      <c r="AU54" s="257">
        <f>EEFFun!AU523</f>
        <v>0</v>
      </c>
      <c r="AV54" s="257">
        <f>EEFFun!AV523</f>
        <v>0</v>
      </c>
      <c r="AW54" s="257">
        <f>EEFFun!AW523</f>
        <v>0</v>
      </c>
      <c r="AX54" s="257">
        <f>EEFFun!AX523</f>
        <v>0</v>
      </c>
      <c r="AY54" s="295">
        <f t="shared" si="266"/>
        <v>0</v>
      </c>
      <c r="AZ54" s="295">
        <f t="shared" si="266"/>
        <v>0</v>
      </c>
      <c r="BA54" s="295">
        <f t="shared" si="266"/>
        <v>0</v>
      </c>
      <c r="BB54" s="295">
        <f t="shared" si="266"/>
        <v>0</v>
      </c>
      <c r="BC54" s="295">
        <f t="shared" si="266"/>
        <v>0</v>
      </c>
      <c r="BD54" s="295">
        <f t="shared" si="266"/>
        <v>0</v>
      </c>
      <c r="BE54" s="295">
        <f t="shared" si="266"/>
        <v>0</v>
      </c>
      <c r="BF54" s="295">
        <f t="shared" si="266"/>
        <v>0</v>
      </c>
      <c r="BG54" s="295">
        <f t="shared" si="266"/>
        <v>0</v>
      </c>
      <c r="BH54" s="295">
        <f t="shared" si="266"/>
        <v>0</v>
      </c>
      <c r="BI54" s="295">
        <f t="shared" si="266"/>
        <v>0</v>
      </c>
      <c r="BJ54" s="295">
        <f t="shared" si="266"/>
        <v>0</v>
      </c>
      <c r="BK54" s="295">
        <f>SUM($AY$54:AY54)</f>
        <v>0</v>
      </c>
      <c r="BL54" s="295">
        <f>SUM($AY$54:AZ54)</f>
        <v>0</v>
      </c>
      <c r="BM54" s="295">
        <f>SUM($AY$54:BA54)</f>
        <v>0</v>
      </c>
      <c r="BN54" s="295">
        <f>SUM($AY$54:BB54)</f>
        <v>0</v>
      </c>
      <c r="BO54" s="295">
        <f>SUM($AY$54:BC54)</f>
        <v>0</v>
      </c>
      <c r="BP54" s="295">
        <f>SUM($AY$54:BD54)</f>
        <v>0</v>
      </c>
      <c r="BQ54" s="295">
        <f>SUM($AY$54:BE54)</f>
        <v>0</v>
      </c>
      <c r="BR54" s="295">
        <f>SUM($AY$54:BF54)</f>
        <v>0</v>
      </c>
      <c r="BS54" s="295">
        <f>SUM($AY$54:BG54)</f>
        <v>0</v>
      </c>
      <c r="BT54" s="295">
        <f>SUM($AY$54:BH54)</f>
        <v>0</v>
      </c>
      <c r="BU54" s="295">
        <f>SUM($AY$54:BI54)</f>
        <v>0</v>
      </c>
      <c r="BV54" s="295">
        <f>SUM($AY$54:BJ54)</f>
        <v>0</v>
      </c>
      <c r="BW54" s="291"/>
    </row>
    <row r="55" spans="1:75" s="229" customFormat="1" outlineLevel="1" x14ac:dyDescent="0.25">
      <c r="A55" s="239">
        <v>8</v>
      </c>
      <c r="B55" s="233">
        <f>EEFFun!B524</f>
        <v>45019060</v>
      </c>
      <c r="C55" s="233" t="str">
        <f>EEFFun!C524</f>
        <v>VACACIONES PAGADAS</v>
      </c>
      <c r="D55" s="257">
        <f>EEFFun!P524</f>
        <v>0</v>
      </c>
      <c r="E55" s="295">
        <f t="shared" si="255"/>
        <v>0</v>
      </c>
      <c r="F55" s="295">
        <f t="shared" si="256"/>
        <v>55.17</v>
      </c>
      <c r="G55" s="295">
        <f t="shared" si="257"/>
        <v>2.2199999999999989</v>
      </c>
      <c r="H55" s="295">
        <f t="shared" si="258"/>
        <v>19.849999999999994</v>
      </c>
      <c r="I55" s="295">
        <f t="shared" si="259"/>
        <v>48.14</v>
      </c>
      <c r="J55" s="295">
        <f t="shared" si="260"/>
        <v>12.5</v>
      </c>
      <c r="K55" s="295">
        <f t="shared" si="261"/>
        <v>24.310000000000002</v>
      </c>
      <c r="L55" s="295">
        <f t="shared" si="262"/>
        <v>25.550000000000011</v>
      </c>
      <c r="M55" s="295">
        <f t="shared" si="263"/>
        <v>0</v>
      </c>
      <c r="N55" s="295">
        <f t="shared" si="264"/>
        <v>38.609999999999985</v>
      </c>
      <c r="O55" s="295">
        <f t="shared" si="265"/>
        <v>11.640000000000015</v>
      </c>
      <c r="P55" s="295">
        <f t="shared" si="265"/>
        <v>0</v>
      </c>
      <c r="Q55" s="257">
        <f>EEFFun!Q524</f>
        <v>0</v>
      </c>
      <c r="R55" s="257">
        <f>EEFFun!R524</f>
        <v>55.17</v>
      </c>
      <c r="S55" s="257">
        <f>EEFFun!S524</f>
        <v>57.39</v>
      </c>
      <c r="T55" s="257">
        <f>EEFFun!T524</f>
        <v>77.239999999999995</v>
      </c>
      <c r="U55" s="257">
        <f>EEFFun!U524</f>
        <v>125.38</v>
      </c>
      <c r="V55" s="257">
        <f>EEFFun!V524</f>
        <v>137.88</v>
      </c>
      <c r="W55" s="257">
        <f>EEFFun!W524</f>
        <v>162.19</v>
      </c>
      <c r="X55" s="257">
        <f>EEFFun!X524</f>
        <v>187.74</v>
      </c>
      <c r="Y55" s="257">
        <f>EEFFun!Y524</f>
        <v>187.74</v>
      </c>
      <c r="Z55" s="257">
        <f>EEFFun!Z524</f>
        <v>226.35</v>
      </c>
      <c r="AA55" s="257">
        <f>EEFFun!AA524</f>
        <v>237.99</v>
      </c>
      <c r="AB55" s="257">
        <f>EEFFun!AB524</f>
        <v>237.99</v>
      </c>
      <c r="AC55" s="257">
        <f>EEFFun!AC524</f>
        <v>0</v>
      </c>
      <c r="AD55" s="257">
        <f>EEFFun!AD524</f>
        <v>528.04999999999995</v>
      </c>
      <c r="AE55" s="257">
        <f>EEFFun!AE524</f>
        <v>571.72</v>
      </c>
      <c r="AF55" s="257">
        <f>EEFFun!AF524</f>
        <v>619.30999999999995</v>
      </c>
      <c r="AG55" s="257">
        <f>EEFFun!AG524</f>
        <v>657.09</v>
      </c>
      <c r="AH55" s="257">
        <f>EEFFun!AH524</f>
        <v>741.14</v>
      </c>
      <c r="AI55" s="257">
        <f>EEFFun!AI524</f>
        <v>743.72</v>
      </c>
      <c r="AJ55" s="257">
        <f>EEFFun!AJ524</f>
        <v>751.78</v>
      </c>
      <c r="AK55" s="257">
        <f>EEFFun!AK524</f>
        <v>765.58</v>
      </c>
      <c r="AL55" s="257">
        <f>EEFFun!AL524</f>
        <v>811.13</v>
      </c>
      <c r="AM55" s="257">
        <f>EEFFun!AM524</f>
        <v>1000.08</v>
      </c>
      <c r="AN55" s="257">
        <f>EEFFun!AN524</f>
        <v>1086.21</v>
      </c>
      <c r="AO55" s="257">
        <f>EEFFun!AO524</f>
        <v>18.059999999999999</v>
      </c>
      <c r="AP55" s="257">
        <f>EEFFun!AP524</f>
        <v>358.82</v>
      </c>
      <c r="AQ55" s="257">
        <f>EEFFun!AQ524</f>
        <v>358.82</v>
      </c>
      <c r="AR55" s="257">
        <f>EEFFun!AR524</f>
        <v>358.82</v>
      </c>
      <c r="AS55" s="257">
        <f>EEFFun!AS524</f>
        <v>684.79</v>
      </c>
      <c r="AT55" s="257">
        <f>EEFFun!AT524</f>
        <v>687.29</v>
      </c>
      <c r="AU55" s="257">
        <f>EEFFun!AU524</f>
        <v>703.12</v>
      </c>
      <c r="AV55" s="257">
        <f>EEFFun!AV524</f>
        <v>737.15</v>
      </c>
      <c r="AW55" s="257">
        <f>EEFFun!AW524</f>
        <v>878.02</v>
      </c>
      <c r="AX55" s="257">
        <f>EEFFun!AX524</f>
        <v>878.02</v>
      </c>
      <c r="AY55" s="295">
        <f t="shared" si="266"/>
        <v>79.021799999999999</v>
      </c>
      <c r="AZ55" s="295">
        <f t="shared" si="266"/>
        <v>79.021799999999999</v>
      </c>
      <c r="BA55" s="295">
        <f t="shared" si="266"/>
        <v>79.021799999999999</v>
      </c>
      <c r="BB55" s="295">
        <f t="shared" si="266"/>
        <v>79.021799999999999</v>
      </c>
      <c r="BC55" s="295">
        <f t="shared" si="266"/>
        <v>79.021799999999999</v>
      </c>
      <c r="BD55" s="295">
        <f t="shared" si="266"/>
        <v>79.021799999999999</v>
      </c>
      <c r="BE55" s="295">
        <f t="shared" si="266"/>
        <v>79.021799999999999</v>
      </c>
      <c r="BF55" s="295">
        <f t="shared" si="266"/>
        <v>79.021799999999999</v>
      </c>
      <c r="BG55" s="295">
        <f t="shared" si="266"/>
        <v>79.021799999999999</v>
      </c>
      <c r="BH55" s="295">
        <f t="shared" si="266"/>
        <v>79.021799999999999</v>
      </c>
      <c r="BI55" s="295">
        <f t="shared" si="266"/>
        <v>79.021799999999999</v>
      </c>
      <c r="BJ55" s="295">
        <f t="shared" si="266"/>
        <v>79.021799999999999</v>
      </c>
      <c r="BK55" s="295">
        <f>SUM($AY$55:AY55)</f>
        <v>79.021799999999999</v>
      </c>
      <c r="BL55" s="295">
        <f>SUM($AY$55:AZ55)</f>
        <v>158.0436</v>
      </c>
      <c r="BM55" s="295">
        <f>SUM($AY$55:BA55)</f>
        <v>237.06540000000001</v>
      </c>
      <c r="BN55" s="295">
        <f>SUM($AY$55:BB55)</f>
        <v>316.0872</v>
      </c>
      <c r="BO55" s="295">
        <f>SUM($AY$55:BC55)</f>
        <v>395.10899999999998</v>
      </c>
      <c r="BP55" s="295">
        <f>SUM($AY$55:BD55)</f>
        <v>474.13079999999997</v>
      </c>
      <c r="BQ55" s="295">
        <f>SUM($AY$55:BE55)</f>
        <v>553.15260000000001</v>
      </c>
      <c r="BR55" s="295">
        <f>SUM($AY$55:BF55)</f>
        <v>632.17439999999999</v>
      </c>
      <c r="BS55" s="295">
        <f>SUM($AY$55:BG55)</f>
        <v>711.19619999999998</v>
      </c>
      <c r="BT55" s="295">
        <f>SUM($AY$55:BH55)</f>
        <v>790.21799999999996</v>
      </c>
      <c r="BU55" s="295">
        <f>SUM($AY$55:BI55)</f>
        <v>869.23979999999995</v>
      </c>
      <c r="BV55" s="295">
        <f>SUM($AY$55:BJ55)</f>
        <v>948.26159999999993</v>
      </c>
      <c r="BW55" s="374"/>
    </row>
    <row r="56" spans="1:75" outlineLevel="1" x14ac:dyDescent="0.25">
      <c r="A56" s="222">
        <v>8</v>
      </c>
      <c r="B56" s="233">
        <f>EEFFun!B525</f>
        <v>45019070</v>
      </c>
      <c r="C56" s="233" t="str">
        <f>EEFFun!C525</f>
        <v>PROVISION VACACIONES</v>
      </c>
      <c r="D56" s="257">
        <f>EEFFun!P525</f>
        <v>100.14</v>
      </c>
      <c r="E56" s="295">
        <f t="shared" si="255"/>
        <v>7271.9</v>
      </c>
      <c r="F56" s="295">
        <f t="shared" si="256"/>
        <v>3319.7700000000004</v>
      </c>
      <c r="G56" s="295">
        <f t="shared" si="257"/>
        <v>-4781.7300000000005</v>
      </c>
      <c r="H56" s="295">
        <f t="shared" si="258"/>
        <v>225.11000000000058</v>
      </c>
      <c r="I56" s="295">
        <f t="shared" si="259"/>
        <v>614.42999999999938</v>
      </c>
      <c r="J56" s="295">
        <f t="shared" si="260"/>
        <v>362.29000000000087</v>
      </c>
      <c r="K56" s="295">
        <f t="shared" si="261"/>
        <v>-5771.7800000000007</v>
      </c>
      <c r="L56" s="295">
        <f t="shared" si="262"/>
        <v>3433.12</v>
      </c>
      <c r="M56" s="295">
        <f t="shared" si="263"/>
        <v>-4673.1099999999997</v>
      </c>
      <c r="N56" s="295">
        <f t="shared" si="264"/>
        <v>3495.89</v>
      </c>
      <c r="O56" s="295">
        <f t="shared" si="265"/>
        <v>2824.32</v>
      </c>
      <c r="P56" s="295">
        <f t="shared" si="265"/>
        <v>15.949999999999818</v>
      </c>
      <c r="Q56" s="257">
        <f>EEFFun!Q525</f>
        <v>7271.9</v>
      </c>
      <c r="R56" s="257">
        <f>EEFFun!R525</f>
        <v>10591.67</v>
      </c>
      <c r="S56" s="257">
        <f>EEFFun!S525</f>
        <v>5809.94</v>
      </c>
      <c r="T56" s="257">
        <f>EEFFun!T525</f>
        <v>6035.05</v>
      </c>
      <c r="U56" s="257">
        <f>EEFFun!U525</f>
        <v>6649.48</v>
      </c>
      <c r="V56" s="257">
        <f>EEFFun!V525</f>
        <v>7011.77</v>
      </c>
      <c r="W56" s="257">
        <f>EEFFun!W525</f>
        <v>1239.99</v>
      </c>
      <c r="X56" s="257">
        <f>EEFFun!X525</f>
        <v>4673.1099999999997</v>
      </c>
      <c r="Y56" s="257">
        <f>EEFFun!Y525</f>
        <v>0</v>
      </c>
      <c r="Z56" s="257">
        <f>EEFFun!Z525</f>
        <v>3495.89</v>
      </c>
      <c r="AA56" s="257">
        <f>EEFFun!AA525</f>
        <v>6320.21</v>
      </c>
      <c r="AB56" s="257">
        <f>EEFFun!AB525</f>
        <v>6336.16</v>
      </c>
      <c r="AC56" s="257">
        <f>EEFFun!AC525</f>
        <v>-94.17</v>
      </c>
      <c r="AD56" s="257">
        <f>EEFFun!AD525</f>
        <v>2973.5</v>
      </c>
      <c r="AE56" s="257">
        <f>EEFFun!AE525</f>
        <v>204.12</v>
      </c>
      <c r="AF56" s="257">
        <f>EEFFun!AF525</f>
        <v>2937.16</v>
      </c>
      <c r="AG56" s="257">
        <f>EEFFun!AG525</f>
        <v>1426.67</v>
      </c>
      <c r="AH56" s="257">
        <f>EEFFun!AH525</f>
        <v>5207.3900000000003</v>
      </c>
      <c r="AI56" s="257">
        <f>EEFFun!AI525</f>
        <v>7751.61</v>
      </c>
      <c r="AJ56" s="257">
        <f>EEFFun!AJ525</f>
        <v>0</v>
      </c>
      <c r="AK56" s="257">
        <f>EEFFun!AK525</f>
        <v>3800.55</v>
      </c>
      <c r="AL56" s="257">
        <f>EEFFun!AL525</f>
        <v>7778.62</v>
      </c>
      <c r="AM56" s="257">
        <f>EEFFun!AM525</f>
        <v>12023.71</v>
      </c>
      <c r="AN56" s="257">
        <f>EEFFun!AN525</f>
        <v>15821.36</v>
      </c>
      <c r="AO56" s="257">
        <f>EEFFun!AO525</f>
        <v>2344.66</v>
      </c>
      <c r="AP56" s="257">
        <f>EEFFun!AP525</f>
        <v>7356.19</v>
      </c>
      <c r="AQ56" s="257">
        <f>EEFFun!AQ525</f>
        <v>11053.82</v>
      </c>
      <c r="AR56" s="257">
        <f>EEFFun!AR525</f>
        <v>15351.39</v>
      </c>
      <c r="AS56" s="257">
        <f>EEFFun!AS525</f>
        <v>19732.21</v>
      </c>
      <c r="AT56" s="257">
        <f>EEFFun!AT525</f>
        <v>21378.79</v>
      </c>
      <c r="AU56" s="257">
        <f>EEFFun!AU525</f>
        <v>23285.72</v>
      </c>
      <c r="AV56" s="257">
        <f>EEFFun!AV525</f>
        <v>23865.37</v>
      </c>
      <c r="AW56" s="257">
        <f>EEFFun!AW525</f>
        <v>25888.9</v>
      </c>
      <c r="AX56" s="257">
        <f>EEFFun!AX525</f>
        <v>29641.17</v>
      </c>
      <c r="AY56" s="295">
        <f t="shared" si="266"/>
        <v>2667.7052999999996</v>
      </c>
      <c r="AZ56" s="295">
        <f t="shared" si="266"/>
        <v>2667.7052999999996</v>
      </c>
      <c r="BA56" s="295">
        <f t="shared" si="266"/>
        <v>2667.7052999999996</v>
      </c>
      <c r="BB56" s="295">
        <f t="shared" si="266"/>
        <v>2667.7052999999996</v>
      </c>
      <c r="BC56" s="295">
        <f t="shared" si="266"/>
        <v>2667.7052999999996</v>
      </c>
      <c r="BD56" s="295">
        <f t="shared" si="266"/>
        <v>2667.7052999999996</v>
      </c>
      <c r="BE56" s="295">
        <f t="shared" si="266"/>
        <v>2667.7052999999996</v>
      </c>
      <c r="BF56" s="295">
        <f t="shared" si="266"/>
        <v>2667.7052999999996</v>
      </c>
      <c r="BG56" s="295">
        <f t="shared" si="266"/>
        <v>2667.7052999999996</v>
      </c>
      <c r="BH56" s="295">
        <f t="shared" si="266"/>
        <v>2667.7052999999996</v>
      </c>
      <c r="BI56" s="295">
        <f t="shared" si="266"/>
        <v>2667.7052999999996</v>
      </c>
      <c r="BJ56" s="295">
        <f t="shared" si="266"/>
        <v>2667.7052999999996</v>
      </c>
      <c r="BK56" s="295">
        <f>SUM($AY$56:AY56)</f>
        <v>2667.7052999999996</v>
      </c>
      <c r="BL56" s="295">
        <f>SUM($AY$56:AZ56)</f>
        <v>5335.4105999999992</v>
      </c>
      <c r="BM56" s="295">
        <f>SUM($AY$56:BA56)</f>
        <v>8003.1158999999989</v>
      </c>
      <c r="BN56" s="295">
        <f>SUM($AY$56:BB56)</f>
        <v>10670.821199999998</v>
      </c>
      <c r="BO56" s="295">
        <f>SUM($AY$56:BC56)</f>
        <v>13338.526499999998</v>
      </c>
      <c r="BP56" s="295">
        <f>SUM($AY$56:BD56)</f>
        <v>16006.231799999998</v>
      </c>
      <c r="BQ56" s="295">
        <f>SUM($AY$56:BE56)</f>
        <v>18673.937099999996</v>
      </c>
      <c r="BR56" s="295">
        <f>SUM($AY$56:BF56)</f>
        <v>21341.642399999997</v>
      </c>
      <c r="BS56" s="295">
        <f>SUM($AY$56:BG56)</f>
        <v>24009.347699999998</v>
      </c>
      <c r="BT56" s="295">
        <f>SUM($AY$56:BH56)</f>
        <v>26677.053</v>
      </c>
      <c r="BU56" s="295">
        <f>SUM($AY$56:BI56)</f>
        <v>29344.758300000001</v>
      </c>
      <c r="BV56" s="295">
        <f>SUM($AY$56:BJ56)</f>
        <v>32012.463600000003</v>
      </c>
      <c r="BW56" s="291"/>
    </row>
    <row r="57" spans="1:75" outlineLevel="1" x14ac:dyDescent="0.25">
      <c r="A57" s="222">
        <v>8</v>
      </c>
      <c r="B57" s="233">
        <f>EEFFun!B526</f>
        <v>45019075</v>
      </c>
      <c r="C57" s="233" t="str">
        <f>EEFFun!C526</f>
        <v>OTROS GASTOS DE NOMINA</v>
      </c>
      <c r="D57" s="257">
        <f>EEFFun!P526</f>
        <v>30739.37</v>
      </c>
      <c r="E57" s="295">
        <f t="shared" si="255"/>
        <v>0</v>
      </c>
      <c r="F57" s="295">
        <f t="shared" si="256"/>
        <v>0</v>
      </c>
      <c r="G57" s="295">
        <f t="shared" si="257"/>
        <v>863</v>
      </c>
      <c r="H57" s="295">
        <f t="shared" si="258"/>
        <v>176</v>
      </c>
      <c r="I57" s="295">
        <f t="shared" si="259"/>
        <v>0</v>
      </c>
      <c r="J57" s="295">
        <f t="shared" si="260"/>
        <v>120.5</v>
      </c>
      <c r="K57" s="295">
        <f t="shared" si="261"/>
        <v>0</v>
      </c>
      <c r="L57" s="295">
        <f t="shared" si="262"/>
        <v>117.32999999999993</v>
      </c>
      <c r="M57" s="295">
        <f t="shared" si="263"/>
        <v>0</v>
      </c>
      <c r="N57" s="295">
        <f t="shared" si="264"/>
        <v>0</v>
      </c>
      <c r="O57" s="295">
        <f t="shared" si="265"/>
        <v>10.330000000000155</v>
      </c>
      <c r="P57" s="295">
        <f t="shared" si="265"/>
        <v>140</v>
      </c>
      <c r="Q57" s="257">
        <f>EEFFun!Q526</f>
        <v>0</v>
      </c>
      <c r="R57" s="257">
        <f>EEFFun!R526</f>
        <v>0</v>
      </c>
      <c r="S57" s="257">
        <f>EEFFun!S526</f>
        <v>863</v>
      </c>
      <c r="T57" s="257">
        <f>EEFFun!T526</f>
        <v>1039</v>
      </c>
      <c r="U57" s="257">
        <f>EEFFun!U526</f>
        <v>1039</v>
      </c>
      <c r="V57" s="257">
        <f>EEFFun!V526</f>
        <v>1159.5</v>
      </c>
      <c r="W57" s="257">
        <f>EEFFun!W526</f>
        <v>1159.5</v>
      </c>
      <c r="X57" s="257">
        <f>EEFFun!X526</f>
        <v>1276.83</v>
      </c>
      <c r="Y57" s="257">
        <f>EEFFun!Y526</f>
        <v>1276.83</v>
      </c>
      <c r="Z57" s="257">
        <f>EEFFun!Z526</f>
        <v>1276.83</v>
      </c>
      <c r="AA57" s="257">
        <f>EEFFun!AA526</f>
        <v>1287.1600000000001</v>
      </c>
      <c r="AB57" s="257">
        <f>EEFFun!AB526</f>
        <v>1427.16</v>
      </c>
      <c r="AC57" s="257">
        <f>EEFFun!AC526</f>
        <v>35.630000000000003</v>
      </c>
      <c r="AD57" s="257">
        <f>EEFFun!AD526</f>
        <v>5735.63</v>
      </c>
      <c r="AE57" s="257">
        <f>EEFFun!AE526</f>
        <v>6648.63</v>
      </c>
      <c r="AF57" s="257">
        <f>EEFFun!AF526</f>
        <v>6648.63</v>
      </c>
      <c r="AG57" s="257">
        <f>EEFFun!AG526</f>
        <v>6648.63</v>
      </c>
      <c r="AH57" s="257">
        <f>EEFFun!AH526</f>
        <v>6648.63</v>
      </c>
      <c r="AI57" s="257">
        <f>EEFFun!AI526</f>
        <v>6648.63</v>
      </c>
      <c r="AJ57" s="257">
        <f>EEFFun!AJ526</f>
        <v>6866.13</v>
      </c>
      <c r="AK57" s="257">
        <f>EEFFun!AK526</f>
        <v>6866.13</v>
      </c>
      <c r="AL57" s="257">
        <f>EEFFun!AL526</f>
        <v>7953.09</v>
      </c>
      <c r="AM57" s="257">
        <f>EEFFun!AM526</f>
        <v>7953.09</v>
      </c>
      <c r="AN57" s="257">
        <f>EEFFun!AN526</f>
        <v>12147.67</v>
      </c>
      <c r="AO57" s="257">
        <f>EEFFun!AO526</f>
        <v>0</v>
      </c>
      <c r="AP57" s="257">
        <f>EEFFun!AP526</f>
        <v>0</v>
      </c>
      <c r="AQ57" s="257">
        <f>EEFFun!AQ526</f>
        <v>0</v>
      </c>
      <c r="AR57" s="257">
        <f>EEFFun!AR526</f>
        <v>0</v>
      </c>
      <c r="AS57" s="257">
        <f>EEFFun!AS526</f>
        <v>0</v>
      </c>
      <c r="AT57" s="257">
        <f>EEFFun!AT526</f>
        <v>0</v>
      </c>
      <c r="AU57" s="257">
        <f>EEFFun!AU526</f>
        <v>0</v>
      </c>
      <c r="AV57" s="257">
        <f>EEFFun!AV526</f>
        <v>0</v>
      </c>
      <c r="AW57" s="257">
        <f>EEFFun!AW526</f>
        <v>0</v>
      </c>
      <c r="AX57" s="257">
        <f>EEFFun!AX526</f>
        <v>0</v>
      </c>
      <c r="AY57" s="295">
        <f t="shared" si="266"/>
        <v>0</v>
      </c>
      <c r="AZ57" s="295">
        <f t="shared" si="266"/>
        <v>0</v>
      </c>
      <c r="BA57" s="295">
        <f t="shared" si="266"/>
        <v>0</v>
      </c>
      <c r="BB57" s="295">
        <f t="shared" si="266"/>
        <v>0</v>
      </c>
      <c r="BC57" s="295">
        <f t="shared" si="266"/>
        <v>0</v>
      </c>
      <c r="BD57" s="295">
        <f t="shared" si="266"/>
        <v>0</v>
      </c>
      <c r="BE57" s="295">
        <f t="shared" si="266"/>
        <v>0</v>
      </c>
      <c r="BF57" s="295">
        <f t="shared" si="266"/>
        <v>0</v>
      </c>
      <c r="BG57" s="295">
        <f t="shared" si="266"/>
        <v>0</v>
      </c>
      <c r="BH57" s="295">
        <f t="shared" si="266"/>
        <v>0</v>
      </c>
      <c r="BI57" s="295">
        <f t="shared" si="266"/>
        <v>0</v>
      </c>
      <c r="BJ57" s="295">
        <f t="shared" si="266"/>
        <v>0</v>
      </c>
      <c r="BK57" s="295">
        <f>SUM($AY$57:AY57)</f>
        <v>0</v>
      </c>
      <c r="BL57" s="295">
        <f>SUM($AY$57:AZ57)</f>
        <v>0</v>
      </c>
      <c r="BM57" s="295">
        <f>SUM($AY$57:BA57)</f>
        <v>0</v>
      </c>
      <c r="BN57" s="295">
        <f>SUM($AY$57:BB57)</f>
        <v>0</v>
      </c>
      <c r="BO57" s="295">
        <f>SUM($AY$57:BC57)</f>
        <v>0</v>
      </c>
      <c r="BP57" s="295">
        <f>SUM($AY$57:BD57)</f>
        <v>0</v>
      </c>
      <c r="BQ57" s="295">
        <f>SUM($AY$57:BE57)</f>
        <v>0</v>
      </c>
      <c r="BR57" s="295">
        <f>SUM($AY$57:BF57)</f>
        <v>0</v>
      </c>
      <c r="BS57" s="295">
        <f>SUM($AY$57:BG57)</f>
        <v>0</v>
      </c>
      <c r="BT57" s="295">
        <f>SUM($AY$57:BH57)</f>
        <v>0</v>
      </c>
      <c r="BU57" s="295">
        <f>SUM($AY$57:BI57)</f>
        <v>0</v>
      </c>
      <c r="BV57" s="295">
        <f>SUM($AY$57:BJ57)</f>
        <v>0</v>
      </c>
      <c r="BW57" s="291"/>
    </row>
    <row r="58" spans="1:75" s="229" customFormat="1" outlineLevel="1" x14ac:dyDescent="0.25">
      <c r="A58" s="239">
        <v>8</v>
      </c>
      <c r="B58" s="233">
        <f>EEFFun!B527</f>
        <v>45019080</v>
      </c>
      <c r="C58" s="233" t="str">
        <f>EEFFun!C527</f>
        <v>HORAS EXTRAS</v>
      </c>
      <c r="D58" s="257">
        <f>EEFFun!P527</f>
        <v>5819</v>
      </c>
      <c r="E58" s="295">
        <f t="shared" si="255"/>
        <v>376.02</v>
      </c>
      <c r="F58" s="295">
        <f t="shared" si="256"/>
        <v>376.02</v>
      </c>
      <c r="G58" s="295">
        <f t="shared" si="257"/>
        <v>376.02</v>
      </c>
      <c r="H58" s="295">
        <f t="shared" si="258"/>
        <v>376.02</v>
      </c>
      <c r="I58" s="295">
        <f t="shared" si="259"/>
        <v>376.02</v>
      </c>
      <c r="J58" s="295">
        <f t="shared" si="260"/>
        <v>376.02</v>
      </c>
      <c r="K58" s="295">
        <f t="shared" si="261"/>
        <v>376.02</v>
      </c>
      <c r="L58" s="295">
        <f t="shared" si="262"/>
        <v>376.02</v>
      </c>
      <c r="M58" s="295">
        <f t="shared" si="263"/>
        <v>376.02</v>
      </c>
      <c r="N58" s="295">
        <f t="shared" si="264"/>
        <v>376.02</v>
      </c>
      <c r="O58" s="295">
        <f t="shared" si="265"/>
        <v>376.02000000000044</v>
      </c>
      <c r="P58" s="295">
        <f t="shared" si="265"/>
        <v>376.01999999999953</v>
      </c>
      <c r="Q58" s="257">
        <f>EEFFun!Q527</f>
        <v>376.02</v>
      </c>
      <c r="R58" s="257">
        <f>EEFFun!R527</f>
        <v>752.04</v>
      </c>
      <c r="S58" s="257">
        <f>EEFFun!S527</f>
        <v>1128.06</v>
      </c>
      <c r="T58" s="257">
        <f>EEFFun!T527</f>
        <v>1504.08</v>
      </c>
      <c r="U58" s="257">
        <f>EEFFun!U527</f>
        <v>1880.1</v>
      </c>
      <c r="V58" s="257">
        <f>EEFFun!V527</f>
        <v>2256.12</v>
      </c>
      <c r="W58" s="257">
        <f>EEFFun!W527</f>
        <v>2632.14</v>
      </c>
      <c r="X58" s="257">
        <f>EEFFun!X527</f>
        <v>3008.16</v>
      </c>
      <c r="Y58" s="257">
        <f>EEFFun!Y527</f>
        <v>3384.18</v>
      </c>
      <c r="Z58" s="257">
        <f>EEFFun!Z527</f>
        <v>3760.2</v>
      </c>
      <c r="AA58" s="257">
        <f>EEFFun!AA527</f>
        <v>4136.22</v>
      </c>
      <c r="AB58" s="257">
        <f>EEFFun!AB527</f>
        <v>4512.24</v>
      </c>
      <c r="AC58" s="257">
        <f>EEFFun!AC527</f>
        <v>376.02</v>
      </c>
      <c r="AD58" s="257">
        <f>EEFFun!AD527</f>
        <v>752.04</v>
      </c>
      <c r="AE58" s="257">
        <f>EEFFun!AE527</f>
        <v>1128.06</v>
      </c>
      <c r="AF58" s="257">
        <f>EEFFun!AF527</f>
        <v>1504.08</v>
      </c>
      <c r="AG58" s="257">
        <f>EEFFun!AG527</f>
        <v>1880.1</v>
      </c>
      <c r="AH58" s="257">
        <f>EEFFun!AH527</f>
        <v>2256.12</v>
      </c>
      <c r="AI58" s="257">
        <f>EEFFun!AI527</f>
        <v>2632.14</v>
      </c>
      <c r="AJ58" s="257">
        <f>EEFFun!AJ527</f>
        <v>3008.16</v>
      </c>
      <c r="AK58" s="257">
        <f>EEFFun!AK527</f>
        <v>3384.18</v>
      </c>
      <c r="AL58" s="257">
        <f>EEFFun!AL527</f>
        <v>3760.2</v>
      </c>
      <c r="AM58" s="257">
        <f>EEFFun!AM527</f>
        <v>4190.97</v>
      </c>
      <c r="AN58" s="257">
        <f>EEFFun!AN527</f>
        <v>4378.9799999999996</v>
      </c>
      <c r="AO58" s="257">
        <f>EEFFun!AO527</f>
        <v>376.02</v>
      </c>
      <c r="AP58" s="257">
        <f>EEFFun!AP527</f>
        <v>752.04</v>
      </c>
      <c r="AQ58" s="257">
        <f>EEFFun!AQ527</f>
        <v>1128.06</v>
      </c>
      <c r="AR58" s="257">
        <f>EEFFun!AR527</f>
        <v>1504.08</v>
      </c>
      <c r="AS58" s="257">
        <f>EEFFun!AS527</f>
        <v>1880.1</v>
      </c>
      <c r="AT58" s="257">
        <f>EEFFun!AT527</f>
        <v>2256.12</v>
      </c>
      <c r="AU58" s="257">
        <f>EEFFun!AU527</f>
        <v>2632.14</v>
      </c>
      <c r="AV58" s="257">
        <f>EEFFun!AV527</f>
        <v>3202.96</v>
      </c>
      <c r="AW58" s="257">
        <f>EEFFun!AW527</f>
        <v>3781.06</v>
      </c>
      <c r="AX58" s="257">
        <f>EEFFun!AX527</f>
        <v>4362.03</v>
      </c>
      <c r="AY58" s="295">
        <f t="shared" si="266"/>
        <v>392.58269999999999</v>
      </c>
      <c r="AZ58" s="295">
        <f t="shared" si="266"/>
        <v>392.58269999999999</v>
      </c>
      <c r="BA58" s="295">
        <f t="shared" si="266"/>
        <v>392.58269999999999</v>
      </c>
      <c r="BB58" s="295">
        <f t="shared" si="266"/>
        <v>392.58269999999999</v>
      </c>
      <c r="BC58" s="295">
        <f t="shared" si="266"/>
        <v>392.58269999999999</v>
      </c>
      <c r="BD58" s="295">
        <f t="shared" si="266"/>
        <v>392.58269999999999</v>
      </c>
      <c r="BE58" s="295">
        <f t="shared" si="266"/>
        <v>392.58269999999999</v>
      </c>
      <c r="BF58" s="295">
        <f t="shared" si="266"/>
        <v>392.58269999999999</v>
      </c>
      <c r="BG58" s="295">
        <f t="shared" si="266"/>
        <v>392.58269999999999</v>
      </c>
      <c r="BH58" s="295">
        <f t="shared" si="266"/>
        <v>392.58269999999999</v>
      </c>
      <c r="BI58" s="295">
        <f t="shared" si="266"/>
        <v>392.58269999999999</v>
      </c>
      <c r="BJ58" s="295">
        <f t="shared" si="266"/>
        <v>392.58269999999999</v>
      </c>
      <c r="BK58" s="295">
        <f>SUM($AY$58:AY58)</f>
        <v>392.58269999999999</v>
      </c>
      <c r="BL58" s="295">
        <f>SUM($AY$58:AZ58)</f>
        <v>785.16539999999998</v>
      </c>
      <c r="BM58" s="295">
        <f>SUM($AY$58:BA58)</f>
        <v>1177.7481</v>
      </c>
      <c r="BN58" s="295">
        <f>SUM($AY$58:BB58)</f>
        <v>1570.3308</v>
      </c>
      <c r="BO58" s="295">
        <f>SUM($AY$58:BC58)</f>
        <v>1962.9134999999999</v>
      </c>
      <c r="BP58" s="295">
        <f>SUM($AY$58:BD58)</f>
        <v>2355.4962</v>
      </c>
      <c r="BQ58" s="295">
        <f>SUM($AY$58:BE58)</f>
        <v>2748.0789</v>
      </c>
      <c r="BR58" s="295">
        <f>SUM($AY$58:BF58)</f>
        <v>3140.6615999999999</v>
      </c>
      <c r="BS58" s="295">
        <f>SUM($AY$58:BG58)</f>
        <v>3533.2442999999998</v>
      </c>
      <c r="BT58" s="295">
        <f>SUM($AY$58:BH58)</f>
        <v>3925.8269999999998</v>
      </c>
      <c r="BU58" s="295">
        <f>SUM($AY$58:BI58)</f>
        <v>4318.4097000000002</v>
      </c>
      <c r="BV58" s="295">
        <f>SUM($AY$58:BJ58)</f>
        <v>4710.9924000000001</v>
      </c>
      <c r="BW58" s="374"/>
    </row>
    <row r="59" spans="1:75" s="229" customFormat="1" outlineLevel="1" x14ac:dyDescent="0.25">
      <c r="A59" s="239">
        <v>4</v>
      </c>
      <c r="B59" s="223">
        <f>EEFFun!B528</f>
        <v>4502</v>
      </c>
      <c r="C59" s="223" t="str">
        <f>EEFFun!C528</f>
        <v>Honorarios</v>
      </c>
      <c r="D59" s="279">
        <f>EEFFun!P528</f>
        <v>189267.48</v>
      </c>
      <c r="E59" s="375">
        <f t="shared" ref="E59" si="278">SUM(E60:E61)</f>
        <v>16751.669999999998</v>
      </c>
      <c r="F59" s="375">
        <f t="shared" ref="F59" si="279">SUM(F60:F61)</f>
        <v>14246.269999999999</v>
      </c>
      <c r="G59" s="375">
        <f t="shared" ref="G59" si="280">SUM(G60:G61)</f>
        <v>12407.350000000002</v>
      </c>
      <c r="H59" s="375">
        <f t="shared" ref="H59:O59" si="281">SUM(H60:H61)</f>
        <v>15116.909999999996</v>
      </c>
      <c r="I59" s="375">
        <f t="shared" si="281"/>
        <v>17074.460000000006</v>
      </c>
      <c r="J59" s="375">
        <f t="shared" si="281"/>
        <v>11249.599999999991</v>
      </c>
      <c r="K59" s="375">
        <f t="shared" si="281"/>
        <v>10986</v>
      </c>
      <c r="L59" s="375">
        <f t="shared" si="281"/>
        <v>19056.060000000012</v>
      </c>
      <c r="M59" s="375">
        <f t="shared" si="281"/>
        <v>14286</v>
      </c>
      <c r="N59" s="375">
        <f t="shared" si="281"/>
        <v>13056</v>
      </c>
      <c r="O59" s="375">
        <f t="shared" si="281"/>
        <v>17790.959999999992</v>
      </c>
      <c r="P59" s="375">
        <f t="shared" ref="P59" si="282">SUM(P60:P61)</f>
        <v>12126</v>
      </c>
      <c r="Q59" s="279">
        <f>EEFFun!Q528</f>
        <v>16751.669999999998</v>
      </c>
      <c r="R59" s="279">
        <f>EEFFun!R528</f>
        <v>30997.94</v>
      </c>
      <c r="S59" s="279">
        <f>EEFFun!S528</f>
        <v>43405.29</v>
      </c>
      <c r="T59" s="279">
        <f>EEFFun!T528</f>
        <v>58522.2</v>
      </c>
      <c r="U59" s="279">
        <f>EEFFun!U528</f>
        <v>75596.66</v>
      </c>
      <c r="V59" s="279">
        <f>EEFFun!V528</f>
        <v>86846.26</v>
      </c>
      <c r="W59" s="279">
        <f>EEFFun!W528</f>
        <v>97832.26</v>
      </c>
      <c r="X59" s="279">
        <f>EEFFun!X528</f>
        <v>116888.32000000001</v>
      </c>
      <c r="Y59" s="279">
        <f>EEFFun!Y528</f>
        <v>131174.32</v>
      </c>
      <c r="Z59" s="279">
        <f>EEFFun!Z528</f>
        <v>144230.32</v>
      </c>
      <c r="AA59" s="279">
        <f>EEFFun!AA528</f>
        <v>162021.28</v>
      </c>
      <c r="AB59" s="279">
        <f>EEFFun!AB528</f>
        <v>174147.28</v>
      </c>
      <c r="AC59" s="279">
        <f>EEFFun!AC528</f>
        <v>20436</v>
      </c>
      <c r="AD59" s="279">
        <f>EEFFun!AD528</f>
        <v>36972</v>
      </c>
      <c r="AE59" s="279">
        <f>EEFFun!AE528</f>
        <v>50708</v>
      </c>
      <c r="AF59" s="279">
        <f>EEFFun!AF528</f>
        <v>63484.92</v>
      </c>
      <c r="AG59" s="279">
        <f>EEFFun!AG528</f>
        <v>75080</v>
      </c>
      <c r="AH59" s="279">
        <f>EEFFun!AH528</f>
        <v>95297.78</v>
      </c>
      <c r="AI59" s="279">
        <f>EEFFun!AI528</f>
        <v>109736.25</v>
      </c>
      <c r="AJ59" s="279">
        <f>EEFFun!AJ528</f>
        <v>125367.67999999999</v>
      </c>
      <c r="AK59" s="279">
        <f>EEFFun!AK528</f>
        <v>141151.88</v>
      </c>
      <c r="AL59" s="279">
        <f>EEFFun!AL528</f>
        <v>161789.25</v>
      </c>
      <c r="AM59" s="279">
        <f>EEFFun!AM528</f>
        <v>177797.29</v>
      </c>
      <c r="AN59" s="279">
        <f>EEFFun!AN528</f>
        <v>204565.1</v>
      </c>
      <c r="AO59" s="279">
        <f>EEFFun!AO528</f>
        <v>19778.330000000002</v>
      </c>
      <c r="AP59" s="279">
        <f>EEFFun!AP528</f>
        <v>35163.97</v>
      </c>
      <c r="AQ59" s="279">
        <f>EEFFun!AQ528</f>
        <v>51657.36</v>
      </c>
      <c r="AR59" s="279">
        <f>EEFFun!AR528</f>
        <v>70308.14</v>
      </c>
      <c r="AS59" s="279">
        <f>EEFFun!AS528</f>
        <v>96702.43</v>
      </c>
      <c r="AT59" s="279">
        <f>EEFFun!AT528</f>
        <v>117001.53</v>
      </c>
      <c r="AU59" s="279">
        <f>EEFFun!AU528</f>
        <v>139053.42000000001</v>
      </c>
      <c r="AV59" s="279">
        <f>EEFFun!AV528</f>
        <v>159432.97</v>
      </c>
      <c r="AW59" s="279">
        <f>EEFFun!AW528</f>
        <v>187411.66</v>
      </c>
      <c r="AX59" s="279">
        <f>EEFFun!AX528</f>
        <v>212503.63</v>
      </c>
      <c r="AY59" s="375">
        <f t="shared" ref="AY59" si="283">SUM(AY60:AY61)</f>
        <v>19125.326700000001</v>
      </c>
      <c r="AZ59" s="375">
        <f t="shared" ref="AZ59:BJ59" si="284">SUM(AZ60:AZ61)</f>
        <v>19125.326700000001</v>
      </c>
      <c r="BA59" s="375">
        <f t="shared" si="284"/>
        <v>19125.326700000001</v>
      </c>
      <c r="BB59" s="375">
        <f t="shared" si="284"/>
        <v>19125.326700000001</v>
      </c>
      <c r="BC59" s="375">
        <f t="shared" si="284"/>
        <v>19125.326700000001</v>
      </c>
      <c r="BD59" s="375">
        <f t="shared" si="284"/>
        <v>19125.326700000001</v>
      </c>
      <c r="BE59" s="375">
        <f t="shared" si="284"/>
        <v>19125.326700000001</v>
      </c>
      <c r="BF59" s="375">
        <f t="shared" si="284"/>
        <v>19125.326700000001</v>
      </c>
      <c r="BG59" s="375">
        <f t="shared" si="284"/>
        <v>19125.326700000001</v>
      </c>
      <c r="BH59" s="375">
        <f t="shared" si="284"/>
        <v>19125.326700000001</v>
      </c>
      <c r="BI59" s="375">
        <f t="shared" si="284"/>
        <v>19125.326700000001</v>
      </c>
      <c r="BJ59" s="375">
        <f t="shared" si="284"/>
        <v>19125.326700000001</v>
      </c>
      <c r="BK59" s="375">
        <f t="shared" ref="BK59:BQ59" si="285">SUM(BK60:BK61)</f>
        <v>19125.326700000001</v>
      </c>
      <c r="BL59" s="375">
        <f t="shared" si="285"/>
        <v>38250.653400000003</v>
      </c>
      <c r="BM59" s="375">
        <f t="shared" si="285"/>
        <v>57375.980100000001</v>
      </c>
      <c r="BN59" s="375">
        <f t="shared" si="285"/>
        <v>76501.306800000006</v>
      </c>
      <c r="BO59" s="375">
        <f t="shared" si="285"/>
        <v>95626.633500000011</v>
      </c>
      <c r="BP59" s="375">
        <f t="shared" si="285"/>
        <v>114751.96020000002</v>
      </c>
      <c r="BQ59" s="375">
        <f t="shared" si="285"/>
        <v>133877.28690000001</v>
      </c>
      <c r="BR59" s="375">
        <f t="shared" ref="BR59" si="286">SUM(BR60:BR61)</f>
        <v>153002.61360000001</v>
      </c>
      <c r="BS59" s="375">
        <f t="shared" ref="BS59" si="287">SUM(BS60:BS61)</f>
        <v>172127.94030000002</v>
      </c>
      <c r="BT59" s="375">
        <f t="shared" ref="BT59" si="288">SUM(BT60:BT61)</f>
        <v>191253.26700000002</v>
      </c>
      <c r="BU59" s="375">
        <f t="shared" ref="BU59" si="289">SUM(BU60:BU61)</f>
        <v>210378.59370000003</v>
      </c>
      <c r="BV59" s="375">
        <f t="shared" ref="BV59" si="290">SUM(BV60:BV61)</f>
        <v>229503.92040000003</v>
      </c>
      <c r="BW59" s="284"/>
    </row>
    <row r="60" spans="1:75" outlineLevel="1" x14ac:dyDescent="0.25">
      <c r="A60" s="222">
        <v>6</v>
      </c>
      <c r="B60" s="233">
        <f>EEFFun!B529</f>
        <v>450205</v>
      </c>
      <c r="C60" s="233" t="str">
        <f>EEFFun!C529</f>
        <v>Directores</v>
      </c>
      <c r="D60" s="257">
        <f>EEFFun!P529</f>
        <v>20275.57</v>
      </c>
      <c r="E60" s="295">
        <f t="shared" ref="E60:E61" si="291">Q60</f>
        <v>1450</v>
      </c>
      <c r="F60" s="295">
        <f t="shared" ref="F60:F61" si="292">R60-Q60</f>
        <v>1400</v>
      </c>
      <c r="G60" s="295">
        <f t="shared" ref="G60:G61" si="293">S60-R60</f>
        <v>1150</v>
      </c>
      <c r="H60" s="295">
        <f t="shared" ref="H60:H61" si="294">T60-S60</f>
        <v>1100</v>
      </c>
      <c r="I60" s="295">
        <f t="shared" ref="I60:I61" si="295">U60-T60</f>
        <v>1700</v>
      </c>
      <c r="J60" s="295">
        <f t="shared" ref="J60:J61" si="296">V60-U60</f>
        <v>1300</v>
      </c>
      <c r="K60" s="295">
        <f t="shared" ref="K60:K61" si="297">W60-V60</f>
        <v>1400</v>
      </c>
      <c r="L60" s="295">
        <f t="shared" ref="L60:L61" si="298">X60-W60</f>
        <v>2375</v>
      </c>
      <c r="M60" s="295">
        <f t="shared" ref="M60:M61" si="299">Y60-X60</f>
        <v>1750</v>
      </c>
      <c r="N60" s="295">
        <f t="shared" ref="N60:N61" si="300">Z60-Y60</f>
        <v>1000</v>
      </c>
      <c r="O60" s="295">
        <f t="shared" ref="O60:P61" si="301">AA60-Z60</f>
        <v>1900</v>
      </c>
      <c r="P60" s="295">
        <f t="shared" si="301"/>
        <v>3000</v>
      </c>
      <c r="Q60" s="257">
        <f>EEFFun!Q529</f>
        <v>1450</v>
      </c>
      <c r="R60" s="257">
        <f>EEFFun!R529</f>
        <v>2850</v>
      </c>
      <c r="S60" s="257">
        <f>EEFFun!S529</f>
        <v>4000</v>
      </c>
      <c r="T60" s="257">
        <f>EEFFun!T529</f>
        <v>5100</v>
      </c>
      <c r="U60" s="257">
        <f>EEFFun!U529</f>
        <v>6800</v>
      </c>
      <c r="V60" s="257">
        <f>EEFFun!V529</f>
        <v>8100</v>
      </c>
      <c r="W60" s="257">
        <f>EEFFun!W529</f>
        <v>9500</v>
      </c>
      <c r="X60" s="257">
        <f>EEFFun!X529</f>
        <v>11875</v>
      </c>
      <c r="Y60" s="257">
        <f>EEFFun!Y529</f>
        <v>13625</v>
      </c>
      <c r="Z60" s="257">
        <f>EEFFun!Z529</f>
        <v>14625</v>
      </c>
      <c r="AA60" s="257">
        <f>EEFFun!AA529</f>
        <v>16525</v>
      </c>
      <c r="AB60" s="257">
        <f>EEFFun!AB529</f>
        <v>19525</v>
      </c>
      <c r="AC60" s="257">
        <f>EEFFun!AC529</f>
        <v>1350</v>
      </c>
      <c r="AD60" s="257">
        <f>EEFFun!AD529</f>
        <v>3050</v>
      </c>
      <c r="AE60" s="257">
        <f>EEFFun!AE529</f>
        <v>3950</v>
      </c>
      <c r="AF60" s="257">
        <f>EEFFun!AF529</f>
        <v>4950</v>
      </c>
      <c r="AG60" s="257">
        <f>EEFFun!AG529</f>
        <v>7150</v>
      </c>
      <c r="AH60" s="257">
        <f>EEFFun!AH529</f>
        <v>8450</v>
      </c>
      <c r="AI60" s="257">
        <f>EEFFun!AI529</f>
        <v>10200</v>
      </c>
      <c r="AJ60" s="257">
        <f>EEFFun!AJ529</f>
        <v>10650</v>
      </c>
      <c r="AK60" s="257">
        <f>EEFFun!AK529</f>
        <v>12750</v>
      </c>
      <c r="AL60" s="257">
        <f>EEFFun!AL529</f>
        <v>13800</v>
      </c>
      <c r="AM60" s="257">
        <f>EEFFun!AM529</f>
        <v>15800</v>
      </c>
      <c r="AN60" s="257">
        <f>EEFFun!AN529</f>
        <v>16300</v>
      </c>
      <c r="AO60" s="257">
        <f>EEFFun!AO529</f>
        <v>1550</v>
      </c>
      <c r="AP60" s="257">
        <f>EEFFun!AP529</f>
        <v>3700</v>
      </c>
      <c r="AQ60" s="257">
        <f>EEFFun!AQ529</f>
        <v>4150</v>
      </c>
      <c r="AR60" s="257">
        <f>EEFFun!AR529</f>
        <v>5900</v>
      </c>
      <c r="AS60" s="257">
        <f>EEFFun!AS529</f>
        <v>7200</v>
      </c>
      <c r="AT60" s="257">
        <f>EEFFun!AT529</f>
        <v>8650</v>
      </c>
      <c r="AU60" s="257">
        <f>EEFFun!AU529</f>
        <v>10050</v>
      </c>
      <c r="AV60" s="257">
        <f>EEFFun!AV529</f>
        <v>12950</v>
      </c>
      <c r="AW60" s="257">
        <f>EEFFun!AW529</f>
        <v>16200</v>
      </c>
      <c r="AX60" s="257">
        <f>EEFFun!AX529</f>
        <v>18750</v>
      </c>
      <c r="AY60" s="295">
        <f t="shared" si="266"/>
        <v>1687.5</v>
      </c>
      <c r="AZ60" s="295">
        <f t="shared" si="266"/>
        <v>1687.5</v>
      </c>
      <c r="BA60" s="295">
        <f t="shared" si="266"/>
        <v>1687.5</v>
      </c>
      <c r="BB60" s="295">
        <f t="shared" si="266"/>
        <v>1687.5</v>
      </c>
      <c r="BC60" s="295">
        <f t="shared" si="266"/>
        <v>1687.5</v>
      </c>
      <c r="BD60" s="295">
        <f t="shared" si="266"/>
        <v>1687.5</v>
      </c>
      <c r="BE60" s="295">
        <f t="shared" si="266"/>
        <v>1687.5</v>
      </c>
      <c r="BF60" s="295">
        <f t="shared" si="266"/>
        <v>1687.5</v>
      </c>
      <c r="BG60" s="295">
        <f t="shared" si="266"/>
        <v>1687.5</v>
      </c>
      <c r="BH60" s="295">
        <f t="shared" si="266"/>
        <v>1687.5</v>
      </c>
      <c r="BI60" s="295">
        <f t="shared" si="266"/>
        <v>1687.5</v>
      </c>
      <c r="BJ60" s="295">
        <f t="shared" si="266"/>
        <v>1687.5</v>
      </c>
      <c r="BK60" s="295">
        <f>SUM($AY$60:AY60)</f>
        <v>1687.5</v>
      </c>
      <c r="BL60" s="295">
        <f>SUM($AY$60:AZ60)</f>
        <v>3375</v>
      </c>
      <c r="BM60" s="295">
        <f>SUM($AY$60:BA60)</f>
        <v>5062.5</v>
      </c>
      <c r="BN60" s="295">
        <f>SUM($AY$60:BB60)</f>
        <v>6750</v>
      </c>
      <c r="BO60" s="295">
        <f>SUM($AY$60:BC60)</f>
        <v>8437.5</v>
      </c>
      <c r="BP60" s="295">
        <f>SUM($AY$60:BD60)</f>
        <v>10125</v>
      </c>
      <c r="BQ60" s="295">
        <f>SUM($AY$60:BE60)</f>
        <v>11812.5</v>
      </c>
      <c r="BR60" s="295">
        <f>SUM($AY$60:BF60)</f>
        <v>13500</v>
      </c>
      <c r="BS60" s="295">
        <f>SUM($AY$60:BG60)</f>
        <v>15187.5</v>
      </c>
      <c r="BT60" s="295">
        <f>SUM($AY$60:BH60)</f>
        <v>16875</v>
      </c>
      <c r="BU60" s="295">
        <f>SUM($AY$60:BI60)</f>
        <v>18562.5</v>
      </c>
      <c r="BV60" s="295">
        <f>SUM($AY$60:BJ60)</f>
        <v>20250</v>
      </c>
      <c r="BW60" s="376"/>
    </row>
    <row r="61" spans="1:75" outlineLevel="1" x14ac:dyDescent="0.25">
      <c r="A61" s="222">
        <v>6</v>
      </c>
      <c r="B61" s="233">
        <f>EEFFun!B530</f>
        <v>450210</v>
      </c>
      <c r="C61" s="233" t="str">
        <f>EEFFun!C530</f>
        <v>Honorarios profesionales</v>
      </c>
      <c r="D61" s="257">
        <f>EEFFun!P530</f>
        <v>168991.91</v>
      </c>
      <c r="E61" s="295">
        <f t="shared" si="291"/>
        <v>15301.67</v>
      </c>
      <c r="F61" s="295">
        <f t="shared" si="292"/>
        <v>12846.269999999999</v>
      </c>
      <c r="G61" s="295">
        <f t="shared" si="293"/>
        <v>11257.350000000002</v>
      </c>
      <c r="H61" s="295">
        <f t="shared" si="294"/>
        <v>14016.909999999996</v>
      </c>
      <c r="I61" s="295">
        <f t="shared" si="295"/>
        <v>15374.460000000006</v>
      </c>
      <c r="J61" s="295">
        <f t="shared" si="296"/>
        <v>9949.5999999999913</v>
      </c>
      <c r="K61" s="295">
        <f t="shared" si="297"/>
        <v>9586</v>
      </c>
      <c r="L61" s="295">
        <f t="shared" si="298"/>
        <v>16681.060000000012</v>
      </c>
      <c r="M61" s="295">
        <f t="shared" si="299"/>
        <v>12536</v>
      </c>
      <c r="N61" s="295">
        <f t="shared" si="300"/>
        <v>12056</v>
      </c>
      <c r="O61" s="295">
        <f t="shared" si="301"/>
        <v>15890.959999999992</v>
      </c>
      <c r="P61" s="295">
        <f t="shared" si="301"/>
        <v>9126</v>
      </c>
      <c r="Q61" s="257">
        <f>EEFFun!Q530</f>
        <v>15301.67</v>
      </c>
      <c r="R61" s="257">
        <f>EEFFun!R530</f>
        <v>28147.94</v>
      </c>
      <c r="S61" s="257">
        <f>EEFFun!S530</f>
        <v>39405.29</v>
      </c>
      <c r="T61" s="257">
        <f>EEFFun!T530</f>
        <v>53422.2</v>
      </c>
      <c r="U61" s="257">
        <f>EEFFun!U530</f>
        <v>68796.66</v>
      </c>
      <c r="V61" s="257">
        <f>EEFFun!V530</f>
        <v>78746.259999999995</v>
      </c>
      <c r="W61" s="257">
        <f>EEFFun!W530</f>
        <v>88332.26</v>
      </c>
      <c r="X61" s="257">
        <f>EEFFun!X530</f>
        <v>105013.32</v>
      </c>
      <c r="Y61" s="257">
        <f>EEFFun!Y530</f>
        <v>117549.32</v>
      </c>
      <c r="Z61" s="257">
        <f>EEFFun!Z530</f>
        <v>129605.32</v>
      </c>
      <c r="AA61" s="257">
        <f>EEFFun!AA530</f>
        <v>145496.28</v>
      </c>
      <c r="AB61" s="257">
        <f>EEFFun!AB530</f>
        <v>154622.28</v>
      </c>
      <c r="AC61" s="257">
        <f>EEFFun!AC530</f>
        <v>19086</v>
      </c>
      <c r="AD61" s="257">
        <f>EEFFun!AD530</f>
        <v>33922</v>
      </c>
      <c r="AE61" s="257">
        <f>EEFFun!AE530</f>
        <v>46758</v>
      </c>
      <c r="AF61" s="257">
        <f>EEFFun!AF530</f>
        <v>58534.92</v>
      </c>
      <c r="AG61" s="257">
        <f>EEFFun!AG530</f>
        <v>67930</v>
      </c>
      <c r="AH61" s="257">
        <f>EEFFun!AH530</f>
        <v>86847.78</v>
      </c>
      <c r="AI61" s="257">
        <f>EEFFun!AI530</f>
        <v>99536.25</v>
      </c>
      <c r="AJ61" s="257">
        <f>EEFFun!AJ530</f>
        <v>114717.68</v>
      </c>
      <c r="AK61" s="257">
        <f>EEFFun!AK530</f>
        <v>128401.88</v>
      </c>
      <c r="AL61" s="257">
        <f>EEFFun!AL530</f>
        <v>147989.25</v>
      </c>
      <c r="AM61" s="257">
        <f>EEFFun!AM530</f>
        <v>161997.29</v>
      </c>
      <c r="AN61" s="257">
        <f>EEFFun!AN530</f>
        <v>188265.1</v>
      </c>
      <c r="AO61" s="257">
        <f>EEFFun!AO530</f>
        <v>18228.330000000002</v>
      </c>
      <c r="AP61" s="257">
        <f>EEFFun!AP530</f>
        <v>31463.97</v>
      </c>
      <c r="AQ61" s="257">
        <f>EEFFun!AQ530</f>
        <v>47507.360000000001</v>
      </c>
      <c r="AR61" s="257">
        <f>EEFFun!AR530</f>
        <v>64408.14</v>
      </c>
      <c r="AS61" s="257">
        <f>EEFFun!AS530</f>
        <v>89502.43</v>
      </c>
      <c r="AT61" s="257">
        <f>EEFFun!AT530</f>
        <v>108351.53</v>
      </c>
      <c r="AU61" s="257">
        <f>EEFFun!AU530</f>
        <v>129003.42</v>
      </c>
      <c r="AV61" s="257">
        <f>EEFFun!AV530</f>
        <v>146482.97</v>
      </c>
      <c r="AW61" s="257">
        <f>EEFFun!AW530</f>
        <v>171211.66</v>
      </c>
      <c r="AX61" s="257">
        <f>EEFFun!AX530</f>
        <v>193753.63</v>
      </c>
      <c r="AY61" s="295">
        <f t="shared" si="266"/>
        <v>17437.826700000001</v>
      </c>
      <c r="AZ61" s="295">
        <f t="shared" si="266"/>
        <v>17437.826700000001</v>
      </c>
      <c r="BA61" s="295">
        <f t="shared" si="266"/>
        <v>17437.826700000001</v>
      </c>
      <c r="BB61" s="295">
        <f t="shared" si="266"/>
        <v>17437.826700000001</v>
      </c>
      <c r="BC61" s="295">
        <f t="shared" si="266"/>
        <v>17437.826700000001</v>
      </c>
      <c r="BD61" s="295">
        <f t="shared" si="266"/>
        <v>17437.826700000001</v>
      </c>
      <c r="BE61" s="295">
        <f t="shared" si="266"/>
        <v>17437.826700000001</v>
      </c>
      <c r="BF61" s="295">
        <f t="shared" si="266"/>
        <v>17437.826700000001</v>
      </c>
      <c r="BG61" s="295">
        <f t="shared" si="266"/>
        <v>17437.826700000001</v>
      </c>
      <c r="BH61" s="295">
        <f t="shared" si="266"/>
        <v>17437.826700000001</v>
      </c>
      <c r="BI61" s="295">
        <f t="shared" si="266"/>
        <v>17437.826700000001</v>
      </c>
      <c r="BJ61" s="295">
        <f t="shared" si="266"/>
        <v>17437.826700000001</v>
      </c>
      <c r="BK61" s="295">
        <f>SUM($AY$61:AY61)</f>
        <v>17437.826700000001</v>
      </c>
      <c r="BL61" s="295">
        <f>SUM($AY$61:AZ61)</f>
        <v>34875.653400000003</v>
      </c>
      <c r="BM61" s="295">
        <f>SUM($AY$61:BA61)</f>
        <v>52313.480100000001</v>
      </c>
      <c r="BN61" s="295">
        <f>SUM($AY$61:BB61)</f>
        <v>69751.306800000006</v>
      </c>
      <c r="BO61" s="295">
        <f>SUM($AY$61:BC61)</f>
        <v>87189.133500000011</v>
      </c>
      <c r="BP61" s="295">
        <f>SUM($AY$61:BD61)</f>
        <v>104626.96020000002</v>
      </c>
      <c r="BQ61" s="295">
        <f>SUM($AY$61:BE61)</f>
        <v>122064.78690000002</v>
      </c>
      <c r="BR61" s="295">
        <f>SUM($AY$61:BF61)</f>
        <v>139502.61360000001</v>
      </c>
      <c r="BS61" s="295">
        <f>SUM($AY$61:BG61)</f>
        <v>156940.44030000002</v>
      </c>
      <c r="BT61" s="295">
        <f>SUM($AY$61:BH61)</f>
        <v>174378.26700000002</v>
      </c>
      <c r="BU61" s="295">
        <f>SUM($AY$61:BI61)</f>
        <v>191816.09370000003</v>
      </c>
      <c r="BV61" s="295">
        <f>SUM($AY$61:BJ61)</f>
        <v>209253.92040000003</v>
      </c>
      <c r="BW61" s="291"/>
    </row>
    <row r="62" spans="1:75" s="229" customFormat="1" outlineLevel="1" x14ac:dyDescent="0.25">
      <c r="A62" s="239">
        <v>4</v>
      </c>
      <c r="B62" s="223">
        <f>EEFFun!B531</f>
        <v>4503</v>
      </c>
      <c r="C62" s="223" t="str">
        <f>EEFFun!C531</f>
        <v>Servicios varios</v>
      </c>
      <c r="D62" s="279">
        <f>EEFFun!P531</f>
        <v>475279.78</v>
      </c>
      <c r="E62" s="375">
        <f t="shared" ref="E62" si="302">E63+E64+E67+E74+E81+E82+E85</f>
        <v>22003.35</v>
      </c>
      <c r="F62" s="375">
        <f t="shared" ref="F62" si="303">F63+F64+F67+F74+F81+F82+F85</f>
        <v>28661.07</v>
      </c>
      <c r="G62" s="375">
        <f t="shared" ref="G62" si="304">G63+G64+G67+G74+G81+G82+G85</f>
        <v>29306.73</v>
      </c>
      <c r="H62" s="375">
        <f t="shared" ref="H62:O62" si="305">H63+H64+H67+H74+H81+H82+H85</f>
        <v>37848.099999999991</v>
      </c>
      <c r="I62" s="375">
        <f t="shared" si="305"/>
        <v>37599.660000000003</v>
      </c>
      <c r="J62" s="375">
        <f t="shared" si="305"/>
        <v>21883.520000000004</v>
      </c>
      <c r="K62" s="375">
        <f t="shared" si="305"/>
        <v>41679.42</v>
      </c>
      <c r="L62" s="375">
        <f t="shared" si="305"/>
        <v>34967.520000000004</v>
      </c>
      <c r="M62" s="375">
        <f t="shared" si="305"/>
        <v>30149.050000000003</v>
      </c>
      <c r="N62" s="375">
        <f t="shared" si="305"/>
        <v>35500.840000000004</v>
      </c>
      <c r="O62" s="375">
        <f t="shared" si="305"/>
        <v>36019.42</v>
      </c>
      <c r="P62" s="375">
        <f t="shared" ref="P62" si="306">P63+P64+P67+P74+P81+P82+P85</f>
        <v>49152.07</v>
      </c>
      <c r="Q62" s="279">
        <f>EEFFun!Q531</f>
        <v>22003.35</v>
      </c>
      <c r="R62" s="279">
        <f>EEFFun!R531</f>
        <v>50664.42</v>
      </c>
      <c r="S62" s="279">
        <f>EEFFun!S531</f>
        <v>79971.149999999994</v>
      </c>
      <c r="T62" s="279">
        <f>EEFFun!T531</f>
        <v>117819.25</v>
      </c>
      <c r="U62" s="279">
        <f>EEFFun!U531</f>
        <v>155418.91</v>
      </c>
      <c r="V62" s="279">
        <f>EEFFun!V531</f>
        <v>177302.43</v>
      </c>
      <c r="W62" s="279">
        <f>EEFFun!W531</f>
        <v>218981.85</v>
      </c>
      <c r="X62" s="279">
        <f>EEFFun!X531</f>
        <v>253949.37</v>
      </c>
      <c r="Y62" s="279">
        <f>EEFFun!Y531</f>
        <v>284098.42</v>
      </c>
      <c r="Z62" s="279">
        <f>EEFFun!Z531</f>
        <v>319599.26</v>
      </c>
      <c r="AA62" s="279">
        <f>EEFFun!AA531</f>
        <v>355618.68</v>
      </c>
      <c r="AB62" s="279">
        <f>EEFFun!AB531</f>
        <v>404770.75</v>
      </c>
      <c r="AC62" s="279">
        <f>EEFFun!AC531</f>
        <v>32325.58</v>
      </c>
      <c r="AD62" s="279">
        <f>EEFFun!AD531</f>
        <v>60852.47</v>
      </c>
      <c r="AE62" s="279">
        <f>EEFFun!AE531</f>
        <v>93822.74</v>
      </c>
      <c r="AF62" s="279">
        <f>EEFFun!AF531</f>
        <v>139925.84</v>
      </c>
      <c r="AG62" s="279">
        <f>EEFFun!AG531</f>
        <v>196194.01</v>
      </c>
      <c r="AH62" s="279">
        <f>EEFFun!AH531</f>
        <v>251540.73</v>
      </c>
      <c r="AI62" s="279">
        <f>EEFFun!AI531</f>
        <v>317816.57</v>
      </c>
      <c r="AJ62" s="279">
        <f>EEFFun!AJ531</f>
        <v>365140.57</v>
      </c>
      <c r="AK62" s="279">
        <f>EEFFun!AK531</f>
        <v>418532.15</v>
      </c>
      <c r="AL62" s="279">
        <f>EEFFun!AL531</f>
        <v>477476.66</v>
      </c>
      <c r="AM62" s="279">
        <f>EEFFun!AM531</f>
        <v>543142.41</v>
      </c>
      <c r="AN62" s="279">
        <f>EEFFun!AN531</f>
        <v>628940.68999999994</v>
      </c>
      <c r="AO62" s="279">
        <f>EEFFun!AO531</f>
        <v>50961.45</v>
      </c>
      <c r="AP62" s="279">
        <f>EEFFun!AP531</f>
        <v>144776.82999999999</v>
      </c>
      <c r="AQ62" s="279">
        <f>EEFFun!AQ531</f>
        <v>225095.34</v>
      </c>
      <c r="AR62" s="279">
        <f>EEFFun!AR531</f>
        <v>300120.43</v>
      </c>
      <c r="AS62" s="279">
        <f>EEFFun!AS531</f>
        <v>387355.19</v>
      </c>
      <c r="AT62" s="279">
        <f>EEFFun!AT531</f>
        <v>486709.86</v>
      </c>
      <c r="AU62" s="279">
        <f>EEFFun!AU531</f>
        <v>568449.31999999995</v>
      </c>
      <c r="AV62" s="279">
        <f>EEFFun!AV531</f>
        <v>645794.30000000005</v>
      </c>
      <c r="AW62" s="279">
        <f>EEFFun!AW531</f>
        <v>706285.9</v>
      </c>
      <c r="AX62" s="279">
        <f>EEFFun!AX531</f>
        <v>777850.66</v>
      </c>
      <c r="AY62" s="375">
        <f t="shared" ref="AY62" si="307">AY63+AY64+AY67+AY74+AY81+AY82+AY85</f>
        <v>69903.443700000003</v>
      </c>
      <c r="AZ62" s="375">
        <f t="shared" ref="AZ62:BJ62" si="308">AZ63+AZ64+AZ67+AZ74+AZ81+AZ82+AZ85</f>
        <v>69903.443700000003</v>
      </c>
      <c r="BA62" s="375">
        <f t="shared" si="308"/>
        <v>69903.443700000003</v>
      </c>
      <c r="BB62" s="375">
        <f t="shared" si="308"/>
        <v>69903.443700000003</v>
      </c>
      <c r="BC62" s="375">
        <f t="shared" si="308"/>
        <v>69903.443700000003</v>
      </c>
      <c r="BD62" s="375">
        <f t="shared" si="308"/>
        <v>69903.443700000003</v>
      </c>
      <c r="BE62" s="375">
        <f t="shared" si="308"/>
        <v>69903.443700000003</v>
      </c>
      <c r="BF62" s="375">
        <f t="shared" si="308"/>
        <v>69903.443700000003</v>
      </c>
      <c r="BG62" s="375">
        <f t="shared" si="308"/>
        <v>69903.443700000003</v>
      </c>
      <c r="BH62" s="375">
        <f t="shared" si="308"/>
        <v>69903.443700000003</v>
      </c>
      <c r="BI62" s="375">
        <f t="shared" si="308"/>
        <v>69903.443700000003</v>
      </c>
      <c r="BJ62" s="375">
        <f t="shared" si="308"/>
        <v>69903.443700000003</v>
      </c>
      <c r="BK62" s="375">
        <f t="shared" ref="BK62:BQ62" si="309">BK63+BK64+BK67+BK74+BK81+BK82+BK85</f>
        <v>69681.309299999994</v>
      </c>
      <c r="BL62" s="375">
        <f t="shared" si="309"/>
        <v>139362.61859999999</v>
      </c>
      <c r="BM62" s="375">
        <f t="shared" si="309"/>
        <v>209043.92790000004</v>
      </c>
      <c r="BN62" s="375">
        <f t="shared" si="309"/>
        <v>278725.23719999997</v>
      </c>
      <c r="BO62" s="375">
        <f t="shared" si="309"/>
        <v>348406.54650000005</v>
      </c>
      <c r="BP62" s="375">
        <f t="shared" si="309"/>
        <v>418087.85580000008</v>
      </c>
      <c r="BQ62" s="375">
        <f t="shared" si="309"/>
        <v>487769.16510000004</v>
      </c>
      <c r="BR62" s="375">
        <f t="shared" ref="BR62" si="310">BR63+BR64+BR67+BR74+BR81+BR82+BR85</f>
        <v>557450.47439999995</v>
      </c>
      <c r="BS62" s="375">
        <f t="shared" ref="BS62" si="311">BS63+BS64+BS67+BS74+BS81+BS82+BS85</f>
        <v>627131.78370000003</v>
      </c>
      <c r="BT62" s="375">
        <f t="shared" ref="BT62" si="312">BT63+BT64+BT67+BT74+BT81+BT82+BT85</f>
        <v>696813.09300000011</v>
      </c>
      <c r="BU62" s="375">
        <f t="shared" ref="BU62" si="313">BU63+BU64+BU67+BU74+BU81+BU82+BU85</f>
        <v>766494.40230000007</v>
      </c>
      <c r="BV62" s="375">
        <f t="shared" ref="BV62" si="314">BV63+BV64+BV67+BV74+BV81+BV82+BV85</f>
        <v>836175.71160000016</v>
      </c>
      <c r="BW62" s="284"/>
    </row>
    <row r="63" spans="1:75" outlineLevel="1" x14ac:dyDescent="0.25">
      <c r="A63" s="222">
        <v>6</v>
      </c>
      <c r="B63" s="233">
        <f>EEFFun!B532</f>
        <v>450305</v>
      </c>
      <c r="C63" s="233" t="str">
        <f>EEFFun!C532</f>
        <v>Movilización, fletes y embalajes</v>
      </c>
      <c r="D63" s="257">
        <f>EEFFun!P532</f>
        <v>4563.96</v>
      </c>
      <c r="E63" s="295">
        <f>Q63</f>
        <v>333.78</v>
      </c>
      <c r="F63" s="295">
        <f t="shared" ref="F63" si="315">R63-Q63</f>
        <v>245.60000000000002</v>
      </c>
      <c r="G63" s="295">
        <f t="shared" ref="G63" si="316">S63-R63</f>
        <v>208.99</v>
      </c>
      <c r="H63" s="295">
        <f t="shared" ref="H63" si="317">T63-S63</f>
        <v>428.42999999999995</v>
      </c>
      <c r="I63" s="295">
        <f t="shared" ref="I63" si="318">U63-T63</f>
        <v>710.88000000000011</v>
      </c>
      <c r="J63" s="295">
        <f t="shared" ref="J63" si="319">V63-U63</f>
        <v>195.20999999999981</v>
      </c>
      <c r="K63" s="295">
        <f t="shared" ref="K63" si="320">W63-V63</f>
        <v>346.86000000000013</v>
      </c>
      <c r="L63" s="295">
        <f t="shared" ref="L63" si="321">X63-W63</f>
        <v>341.23</v>
      </c>
      <c r="M63" s="295">
        <f t="shared" ref="M63" si="322">Y63-X63</f>
        <v>480.32999999999993</v>
      </c>
      <c r="N63" s="295">
        <f t="shared" ref="N63" si="323">Z63-Y63</f>
        <v>496.17000000000007</v>
      </c>
      <c r="O63" s="295">
        <f t="shared" ref="O63:P63" si="324">AA63-Z63</f>
        <v>1931.6600000000003</v>
      </c>
      <c r="P63" s="295">
        <f t="shared" si="324"/>
        <v>639.54999999999927</v>
      </c>
      <c r="Q63" s="257">
        <f>EEFFun!Q532</f>
        <v>333.78</v>
      </c>
      <c r="R63" s="257">
        <f>EEFFun!R532</f>
        <v>579.38</v>
      </c>
      <c r="S63" s="257">
        <f>EEFFun!S532</f>
        <v>788.37</v>
      </c>
      <c r="T63" s="257">
        <f>EEFFun!T532</f>
        <v>1216.8</v>
      </c>
      <c r="U63" s="257">
        <f>EEFFun!U532</f>
        <v>1927.68</v>
      </c>
      <c r="V63" s="257">
        <f>EEFFun!V532</f>
        <v>2122.89</v>
      </c>
      <c r="W63" s="257">
        <f>EEFFun!W532</f>
        <v>2469.75</v>
      </c>
      <c r="X63" s="257">
        <f>EEFFun!X532</f>
        <v>2810.98</v>
      </c>
      <c r="Y63" s="257">
        <f>EEFFun!Y532</f>
        <v>3291.31</v>
      </c>
      <c r="Z63" s="257">
        <f>EEFFun!Z532</f>
        <v>3787.48</v>
      </c>
      <c r="AA63" s="257">
        <f>EEFFun!AA532</f>
        <v>5719.14</v>
      </c>
      <c r="AB63" s="257">
        <f>EEFFun!AB532</f>
        <v>6358.69</v>
      </c>
      <c r="AC63" s="257">
        <f>EEFFun!AC532</f>
        <v>640.15</v>
      </c>
      <c r="AD63" s="257">
        <f>EEFFun!AD532</f>
        <v>1304.6400000000001</v>
      </c>
      <c r="AE63" s="257">
        <f>EEFFun!AE532</f>
        <v>1793.12</v>
      </c>
      <c r="AF63" s="257">
        <f>EEFFun!AF532</f>
        <v>2532.98</v>
      </c>
      <c r="AG63" s="257">
        <f>EEFFun!AG532</f>
        <v>3202.97</v>
      </c>
      <c r="AH63" s="257">
        <f>EEFFun!AH532</f>
        <v>3827.16</v>
      </c>
      <c r="AI63" s="257">
        <f>EEFFun!AI532</f>
        <v>4991.9399999999996</v>
      </c>
      <c r="AJ63" s="257">
        <f>EEFFun!AJ532</f>
        <v>5969.91</v>
      </c>
      <c r="AK63" s="257">
        <f>EEFFun!AK532</f>
        <v>7011.1</v>
      </c>
      <c r="AL63" s="257">
        <f>EEFFun!AL532</f>
        <v>8128.32</v>
      </c>
      <c r="AM63" s="257">
        <f>EEFFun!AM532</f>
        <v>10228.620000000001</v>
      </c>
      <c r="AN63" s="257">
        <f>EEFFun!AN532</f>
        <v>13282.67</v>
      </c>
      <c r="AO63" s="257">
        <f>EEFFun!AO532</f>
        <v>321.06</v>
      </c>
      <c r="AP63" s="257">
        <f>EEFFun!AP532</f>
        <v>2874.34</v>
      </c>
      <c r="AQ63" s="257">
        <f>EEFFun!AQ532</f>
        <v>4654.8900000000003</v>
      </c>
      <c r="AR63" s="257">
        <f>EEFFun!AR532</f>
        <v>7067.9</v>
      </c>
      <c r="AS63" s="257">
        <f>EEFFun!AS532</f>
        <v>9712.75</v>
      </c>
      <c r="AT63" s="257">
        <f>EEFFun!AT532</f>
        <v>12109.31</v>
      </c>
      <c r="AU63" s="257">
        <f>EEFFun!AU532</f>
        <v>14890.5</v>
      </c>
      <c r="AV63" s="257">
        <f>EEFFun!AV532</f>
        <v>16480.349999999999</v>
      </c>
      <c r="AW63" s="257">
        <f>EEFFun!AW532</f>
        <v>17190.169999999998</v>
      </c>
      <c r="AX63" s="257">
        <f>EEFFun!AX532</f>
        <v>18424.36</v>
      </c>
      <c r="AY63" s="295">
        <f t="shared" si="266"/>
        <v>1658.1924000000001</v>
      </c>
      <c r="AZ63" s="295">
        <f t="shared" si="266"/>
        <v>1658.1924000000001</v>
      </c>
      <c r="BA63" s="295">
        <f t="shared" si="266"/>
        <v>1658.1924000000001</v>
      </c>
      <c r="BB63" s="295">
        <f t="shared" si="266"/>
        <v>1658.1924000000001</v>
      </c>
      <c r="BC63" s="295">
        <f t="shared" si="266"/>
        <v>1658.1924000000001</v>
      </c>
      <c r="BD63" s="295">
        <f t="shared" si="266"/>
        <v>1658.1924000000001</v>
      </c>
      <c r="BE63" s="295">
        <f t="shared" si="266"/>
        <v>1658.1924000000001</v>
      </c>
      <c r="BF63" s="295">
        <f t="shared" si="266"/>
        <v>1658.1924000000001</v>
      </c>
      <c r="BG63" s="295">
        <f t="shared" si="266"/>
        <v>1658.1924000000001</v>
      </c>
      <c r="BH63" s="295">
        <f t="shared" si="266"/>
        <v>1658.1924000000001</v>
      </c>
      <c r="BI63" s="295">
        <f t="shared" si="266"/>
        <v>1658.1924000000001</v>
      </c>
      <c r="BJ63" s="295">
        <f t="shared" si="266"/>
        <v>1658.1924000000001</v>
      </c>
      <c r="BK63" s="295">
        <f>SUM($AY$63:AY63)</f>
        <v>1658.1924000000001</v>
      </c>
      <c r="BL63" s="295">
        <f>SUM($AY$63:AZ63)</f>
        <v>3316.3848000000003</v>
      </c>
      <c r="BM63" s="295">
        <f>SUM($AY$63:BA63)</f>
        <v>4974.5772000000006</v>
      </c>
      <c r="BN63" s="295">
        <f>SUM($AY$63:BB63)</f>
        <v>6632.7696000000005</v>
      </c>
      <c r="BO63" s="295">
        <f>SUM($AY$63:BC63)</f>
        <v>8290.9620000000014</v>
      </c>
      <c r="BP63" s="295">
        <f>SUM($AY$63:BD63)</f>
        <v>9949.1544000000013</v>
      </c>
      <c r="BQ63" s="295">
        <f>SUM($AY$63:BE63)</f>
        <v>11607.346800000001</v>
      </c>
      <c r="BR63" s="295">
        <f>SUM($AY$63:BF63)</f>
        <v>13265.539200000001</v>
      </c>
      <c r="BS63" s="295">
        <f>SUM($AY$63:BG63)</f>
        <v>14923.731600000001</v>
      </c>
      <c r="BT63" s="295">
        <f>SUM($AY$63:BH63)</f>
        <v>16581.924000000003</v>
      </c>
      <c r="BU63" s="295">
        <f>SUM($AY$63:BI63)</f>
        <v>18240.116400000003</v>
      </c>
      <c r="BV63" s="295">
        <f>SUM($AY$63:BJ63)</f>
        <v>19898.308800000003</v>
      </c>
      <c r="BW63" s="376"/>
    </row>
    <row r="64" spans="1:75" outlineLevel="1" x14ac:dyDescent="0.25">
      <c r="A64" s="222">
        <v>6</v>
      </c>
      <c r="B64" s="233">
        <f>EEFFun!B533</f>
        <v>450310</v>
      </c>
      <c r="C64" s="233" t="str">
        <f>EEFFun!C533</f>
        <v>Servicios de guardianía</v>
      </c>
      <c r="D64" s="257">
        <f>EEFFun!P533</f>
        <v>35116.47</v>
      </c>
      <c r="E64" s="377">
        <f t="shared" ref="E64" si="325">SUM(E65:E66)</f>
        <v>2394.75</v>
      </c>
      <c r="F64" s="377">
        <f t="shared" ref="F64" si="326">SUM(F65:F66)</f>
        <v>2506.0200000000004</v>
      </c>
      <c r="G64" s="377">
        <f t="shared" ref="G64" si="327">SUM(G65:G66)</f>
        <v>2506.0199999999995</v>
      </c>
      <c r="H64" s="377">
        <f t="shared" ref="H64:O64" si="328">SUM(H65:H66)</f>
        <v>2506.0199999999995</v>
      </c>
      <c r="I64" s="377">
        <f t="shared" si="328"/>
        <v>2506.0200000000004</v>
      </c>
      <c r="J64" s="377">
        <f t="shared" si="328"/>
        <v>2506.0200000000004</v>
      </c>
      <c r="K64" s="377">
        <f t="shared" si="328"/>
        <v>2506.0199999999986</v>
      </c>
      <c r="L64" s="377">
        <f t="shared" si="328"/>
        <v>2506.0200000000004</v>
      </c>
      <c r="M64" s="377">
        <f t="shared" si="328"/>
        <v>2506.0200000000004</v>
      </c>
      <c r="N64" s="377">
        <f t="shared" si="328"/>
        <v>2506.0200000000004</v>
      </c>
      <c r="O64" s="377">
        <f t="shared" si="328"/>
        <v>2506.0200000000004</v>
      </c>
      <c r="P64" s="377">
        <f t="shared" ref="P64" si="329">SUM(P65:P66)</f>
        <v>2506.0200000000004</v>
      </c>
      <c r="Q64" s="257">
        <f>EEFFun!Q533</f>
        <v>2394.75</v>
      </c>
      <c r="R64" s="257">
        <f>EEFFun!R533</f>
        <v>4900.7700000000004</v>
      </c>
      <c r="S64" s="257">
        <f>EEFFun!S533</f>
        <v>7406.79</v>
      </c>
      <c r="T64" s="257">
        <f>EEFFun!T533</f>
        <v>9912.81</v>
      </c>
      <c r="U64" s="257">
        <f>EEFFun!U533</f>
        <v>12418.83</v>
      </c>
      <c r="V64" s="257">
        <f>EEFFun!V533</f>
        <v>14924.85</v>
      </c>
      <c r="W64" s="257">
        <f>EEFFun!W533</f>
        <v>17430.87</v>
      </c>
      <c r="X64" s="257">
        <f>EEFFun!X533</f>
        <v>19936.89</v>
      </c>
      <c r="Y64" s="257">
        <f>EEFFun!Y533</f>
        <v>22442.91</v>
      </c>
      <c r="Z64" s="257">
        <f>EEFFun!Z533</f>
        <v>24948.93</v>
      </c>
      <c r="AA64" s="257">
        <f>EEFFun!AA533</f>
        <v>27454.95</v>
      </c>
      <c r="AB64" s="257">
        <f>EEFFun!AB533</f>
        <v>29960.97</v>
      </c>
      <c r="AC64" s="257">
        <f>EEFFun!AC533</f>
        <v>2506.02</v>
      </c>
      <c r="AD64" s="257">
        <f>EEFFun!AD533</f>
        <v>5067.75</v>
      </c>
      <c r="AE64" s="257">
        <f>EEFFun!AE533</f>
        <v>7629.48</v>
      </c>
      <c r="AF64" s="257">
        <f>EEFFun!AF533</f>
        <v>10191.209999999999</v>
      </c>
      <c r="AG64" s="257">
        <f>EEFFun!AG533</f>
        <v>12752.94</v>
      </c>
      <c r="AH64" s="257">
        <f>EEFFun!AH533</f>
        <v>15314.67</v>
      </c>
      <c r="AI64" s="257">
        <f>EEFFun!AI533</f>
        <v>17876.400000000001</v>
      </c>
      <c r="AJ64" s="257">
        <f>EEFFun!AJ533</f>
        <v>20438.13</v>
      </c>
      <c r="AK64" s="257">
        <f>EEFFun!AK533</f>
        <v>23707.86</v>
      </c>
      <c r="AL64" s="257">
        <f>EEFFun!AL533</f>
        <v>27553.58</v>
      </c>
      <c r="AM64" s="257">
        <f>EEFFun!AM533</f>
        <v>30115.3</v>
      </c>
      <c r="AN64" s="257">
        <f>EEFFun!AN533</f>
        <v>32677.02</v>
      </c>
      <c r="AO64" s="257">
        <f>EEFFun!AO533</f>
        <v>2591.7199999999998</v>
      </c>
      <c r="AP64" s="257">
        <f>EEFFun!AP533</f>
        <v>5209.13</v>
      </c>
      <c r="AQ64" s="257">
        <f>EEFFun!AQ533</f>
        <v>7982.54</v>
      </c>
      <c r="AR64" s="257">
        <f>EEFFun!AR533</f>
        <v>10635.95</v>
      </c>
      <c r="AS64" s="257">
        <f>EEFFun!AS533</f>
        <v>13253.36</v>
      </c>
      <c r="AT64" s="257">
        <f>EEFFun!AT533</f>
        <v>17630.93</v>
      </c>
      <c r="AU64" s="257">
        <f>EEFFun!AU533</f>
        <v>20248.34</v>
      </c>
      <c r="AV64" s="257">
        <f>EEFFun!AV533</f>
        <v>22865.75</v>
      </c>
      <c r="AW64" s="257">
        <f>EEFFun!AW533</f>
        <v>25483.16</v>
      </c>
      <c r="AX64" s="257">
        <f>EEFFun!AX533</f>
        <v>28100.57</v>
      </c>
      <c r="AY64" s="295">
        <f t="shared" si="266"/>
        <v>2529.0513000000001</v>
      </c>
      <c r="AZ64" s="295">
        <f t="shared" si="266"/>
        <v>2529.0513000000001</v>
      </c>
      <c r="BA64" s="295">
        <f t="shared" si="266"/>
        <v>2529.0513000000001</v>
      </c>
      <c r="BB64" s="295">
        <f t="shared" si="266"/>
        <v>2529.0513000000001</v>
      </c>
      <c r="BC64" s="295">
        <f t="shared" si="266"/>
        <v>2529.0513000000001</v>
      </c>
      <c r="BD64" s="295">
        <f t="shared" si="266"/>
        <v>2529.0513000000001</v>
      </c>
      <c r="BE64" s="295">
        <f t="shared" si="266"/>
        <v>2529.0513000000001</v>
      </c>
      <c r="BF64" s="295">
        <f t="shared" si="266"/>
        <v>2529.0513000000001</v>
      </c>
      <c r="BG64" s="295">
        <f t="shared" si="266"/>
        <v>2529.0513000000001</v>
      </c>
      <c r="BH64" s="295">
        <f t="shared" si="266"/>
        <v>2529.0513000000001</v>
      </c>
      <c r="BI64" s="295">
        <f t="shared" si="266"/>
        <v>2529.0513000000001</v>
      </c>
      <c r="BJ64" s="295">
        <f t="shared" si="266"/>
        <v>2529.0513000000001</v>
      </c>
      <c r="BK64" s="377">
        <f t="shared" ref="BK64:BQ64" si="330">SUM(BK65:BK66)</f>
        <v>2370.6369000000004</v>
      </c>
      <c r="BL64" s="377">
        <f t="shared" si="330"/>
        <v>4741.2738000000008</v>
      </c>
      <c r="BM64" s="377">
        <f t="shared" si="330"/>
        <v>7111.9107000000013</v>
      </c>
      <c r="BN64" s="377">
        <f t="shared" si="330"/>
        <v>9482.5476000000017</v>
      </c>
      <c r="BO64" s="377">
        <f t="shared" si="330"/>
        <v>11853.184500000003</v>
      </c>
      <c r="BP64" s="377">
        <f t="shared" si="330"/>
        <v>14223.821400000004</v>
      </c>
      <c r="BQ64" s="377">
        <f t="shared" si="330"/>
        <v>16594.458300000006</v>
      </c>
      <c r="BR64" s="377">
        <f t="shared" ref="BR64" si="331">SUM(BR65:BR66)</f>
        <v>18965.095200000007</v>
      </c>
      <c r="BS64" s="377">
        <f t="shared" ref="BS64" si="332">SUM(BS65:BS66)</f>
        <v>21335.732100000008</v>
      </c>
      <c r="BT64" s="377">
        <f t="shared" ref="BT64" si="333">SUM(BT65:BT66)</f>
        <v>23706.36900000001</v>
      </c>
      <c r="BU64" s="377">
        <f t="shared" ref="BU64" si="334">SUM(BU65:BU66)</f>
        <v>26077.005900000011</v>
      </c>
      <c r="BV64" s="377">
        <f t="shared" ref="BV64" si="335">SUM(BV65:BV66)</f>
        <v>28447.642800000012</v>
      </c>
      <c r="BW64" s="291"/>
    </row>
    <row r="65" spans="1:75" outlineLevel="1" x14ac:dyDescent="0.25">
      <c r="A65" s="222">
        <v>8</v>
      </c>
      <c r="B65" s="233">
        <f>EEFFun!B534</f>
        <v>45031005</v>
      </c>
      <c r="C65" s="233" t="str">
        <f>EEFFun!C534</f>
        <v>COMPANIA DE SEGUROS</v>
      </c>
      <c r="D65" s="257">
        <f>EEFFun!P534</f>
        <v>35116.47</v>
      </c>
      <c r="E65" s="295">
        <f t="shared" ref="E65:E66" si="336">Q65</f>
        <v>2394.75</v>
      </c>
      <c r="F65" s="295">
        <f t="shared" ref="F65:F66" si="337">R65-Q65</f>
        <v>2506.0200000000004</v>
      </c>
      <c r="G65" s="295">
        <f t="shared" ref="G65:G66" si="338">S65-R65</f>
        <v>2506.0199999999995</v>
      </c>
      <c r="H65" s="295">
        <f t="shared" ref="H65:H66" si="339">T65-S65</f>
        <v>2506.0199999999995</v>
      </c>
      <c r="I65" s="295">
        <f t="shared" ref="I65:I66" si="340">U65-T65</f>
        <v>2506.0200000000004</v>
      </c>
      <c r="J65" s="295">
        <f t="shared" ref="J65:J66" si="341">V65-U65</f>
        <v>2506.0200000000004</v>
      </c>
      <c r="K65" s="295">
        <f t="shared" ref="K65:K66" si="342">W65-V65</f>
        <v>2506.0199999999986</v>
      </c>
      <c r="L65" s="295">
        <f t="shared" ref="L65:L66" si="343">X65-W65</f>
        <v>2506.0200000000004</v>
      </c>
      <c r="M65" s="295">
        <f t="shared" ref="M65:M66" si="344">Y65-X65</f>
        <v>2506.0200000000004</v>
      </c>
      <c r="N65" s="295">
        <f t="shared" ref="N65:N66" si="345">Z65-Y65</f>
        <v>2506.0200000000004</v>
      </c>
      <c r="O65" s="295">
        <f t="shared" ref="O65:P66" si="346">AA65-Z65</f>
        <v>2506.0200000000004</v>
      </c>
      <c r="P65" s="295">
        <f t="shared" si="346"/>
        <v>2506.0200000000004</v>
      </c>
      <c r="Q65" s="257">
        <f>EEFFun!Q534</f>
        <v>2394.75</v>
      </c>
      <c r="R65" s="257">
        <f>EEFFun!R534</f>
        <v>4900.7700000000004</v>
      </c>
      <c r="S65" s="257">
        <f>EEFFun!S534</f>
        <v>7406.79</v>
      </c>
      <c r="T65" s="257">
        <f>EEFFun!T534</f>
        <v>9912.81</v>
      </c>
      <c r="U65" s="257">
        <f>EEFFun!U534</f>
        <v>12418.83</v>
      </c>
      <c r="V65" s="257">
        <f>EEFFun!V534</f>
        <v>14924.85</v>
      </c>
      <c r="W65" s="257">
        <f>EEFFun!W534</f>
        <v>17430.87</v>
      </c>
      <c r="X65" s="257">
        <f>EEFFun!X534</f>
        <v>19936.89</v>
      </c>
      <c r="Y65" s="257">
        <f>EEFFun!Y534</f>
        <v>22442.91</v>
      </c>
      <c r="Z65" s="257">
        <f>EEFFun!Z534</f>
        <v>24948.93</v>
      </c>
      <c r="AA65" s="257">
        <f>EEFFun!AA534</f>
        <v>27454.95</v>
      </c>
      <c r="AB65" s="257">
        <f>EEFFun!AB534</f>
        <v>29960.97</v>
      </c>
      <c r="AC65" s="257">
        <f>EEFFun!AC534</f>
        <v>2506.02</v>
      </c>
      <c r="AD65" s="257">
        <f>EEFFun!AD534</f>
        <v>5067.75</v>
      </c>
      <c r="AE65" s="257">
        <f>EEFFun!AE534</f>
        <v>7629.48</v>
      </c>
      <c r="AF65" s="257">
        <f>EEFFun!AF534</f>
        <v>10191.209999999999</v>
      </c>
      <c r="AG65" s="257">
        <f>EEFFun!AG534</f>
        <v>12752.94</v>
      </c>
      <c r="AH65" s="257">
        <f>EEFFun!AH534</f>
        <v>15314.67</v>
      </c>
      <c r="AI65" s="257">
        <f>EEFFun!AI534</f>
        <v>17876.400000000001</v>
      </c>
      <c r="AJ65" s="257">
        <f>EEFFun!AJ534</f>
        <v>20438.13</v>
      </c>
      <c r="AK65" s="257">
        <f>EEFFun!AK534</f>
        <v>23707.86</v>
      </c>
      <c r="AL65" s="257">
        <f>EEFFun!AL534</f>
        <v>27553.58</v>
      </c>
      <c r="AM65" s="257">
        <f>EEFFun!AM534</f>
        <v>30115.3</v>
      </c>
      <c r="AN65" s="257">
        <f>EEFFun!AN534</f>
        <v>32677.02</v>
      </c>
      <c r="AO65" s="257">
        <f>EEFFun!AO534</f>
        <v>2591.7199999999998</v>
      </c>
      <c r="AP65" s="257">
        <f>EEFFun!AP534</f>
        <v>5209.13</v>
      </c>
      <c r="AQ65" s="257">
        <f>EEFFun!AQ534</f>
        <v>7982.54</v>
      </c>
      <c r="AR65" s="257">
        <f>EEFFun!AR534</f>
        <v>10635.95</v>
      </c>
      <c r="AS65" s="257">
        <f>EEFFun!AS534</f>
        <v>13253.36</v>
      </c>
      <c r="AT65" s="257">
        <f>EEFFun!AT534</f>
        <v>15870.77</v>
      </c>
      <c r="AU65" s="257">
        <f>EEFFun!AU534</f>
        <v>18488.18</v>
      </c>
      <c r="AV65" s="257">
        <f>EEFFun!AV534</f>
        <v>21105.59</v>
      </c>
      <c r="AW65" s="257">
        <f>EEFFun!AW534</f>
        <v>23723</v>
      </c>
      <c r="AX65" s="257">
        <f>EEFFun!AX534</f>
        <v>26340.41</v>
      </c>
      <c r="AY65" s="295">
        <f t="shared" si="266"/>
        <v>2370.6369000000004</v>
      </c>
      <c r="AZ65" s="295">
        <f t="shared" si="266"/>
        <v>2370.6369000000004</v>
      </c>
      <c r="BA65" s="295">
        <f t="shared" si="266"/>
        <v>2370.6369000000004</v>
      </c>
      <c r="BB65" s="295">
        <f t="shared" ref="BB65:BJ65" si="347">(+$AX65/10)*90%</f>
        <v>2370.6369000000004</v>
      </c>
      <c r="BC65" s="295">
        <f t="shared" si="347"/>
        <v>2370.6369000000004</v>
      </c>
      <c r="BD65" s="295">
        <f t="shared" si="347"/>
        <v>2370.6369000000004</v>
      </c>
      <c r="BE65" s="295">
        <f t="shared" si="347"/>
        <v>2370.6369000000004</v>
      </c>
      <c r="BF65" s="295">
        <f t="shared" si="347"/>
        <v>2370.6369000000004</v>
      </c>
      <c r="BG65" s="295">
        <f t="shared" si="347"/>
        <v>2370.6369000000004</v>
      </c>
      <c r="BH65" s="295">
        <f t="shared" si="347"/>
        <v>2370.6369000000004</v>
      </c>
      <c r="BI65" s="295">
        <f t="shared" si="347"/>
        <v>2370.6369000000004</v>
      </c>
      <c r="BJ65" s="295">
        <f t="shared" si="347"/>
        <v>2370.6369000000004</v>
      </c>
      <c r="BK65" s="295">
        <f>SUM($AY$65:AY65)</f>
        <v>2370.6369000000004</v>
      </c>
      <c r="BL65" s="295">
        <f>SUM($AY$65:AZ65)</f>
        <v>4741.2738000000008</v>
      </c>
      <c r="BM65" s="295">
        <f>SUM($AY$65:BA65)</f>
        <v>7111.9107000000013</v>
      </c>
      <c r="BN65" s="295">
        <f>SUM($AY$65:BB65)</f>
        <v>9482.5476000000017</v>
      </c>
      <c r="BO65" s="295">
        <f>SUM($AY$65:BC65)</f>
        <v>11853.184500000003</v>
      </c>
      <c r="BP65" s="295">
        <f>SUM($AY$65:BD65)</f>
        <v>14223.821400000004</v>
      </c>
      <c r="BQ65" s="295">
        <f>SUM($AY$65:BE65)</f>
        <v>16594.458300000006</v>
      </c>
      <c r="BR65" s="295">
        <f>SUM($AY$65:BF65)</f>
        <v>18965.095200000007</v>
      </c>
      <c r="BS65" s="295">
        <f>SUM($AY$65:BG65)</f>
        <v>21335.732100000008</v>
      </c>
      <c r="BT65" s="295">
        <f>SUM($AY$65:BH65)</f>
        <v>23706.36900000001</v>
      </c>
      <c r="BU65" s="295">
        <f>SUM($AY$65:BI65)</f>
        <v>26077.005900000011</v>
      </c>
      <c r="BV65" s="295">
        <f>SUM($AY$65:BJ65)</f>
        <v>28447.642800000012</v>
      </c>
      <c r="BW65" s="291"/>
    </row>
    <row r="66" spans="1:75" outlineLevel="1" x14ac:dyDescent="0.25">
      <c r="A66" s="222">
        <v>8</v>
      </c>
      <c r="B66" s="233">
        <f>EEFFun!B535</f>
        <v>45031010</v>
      </c>
      <c r="C66" s="233" t="str">
        <f>EEFFun!C535</f>
        <v>SERVICIOS DE NONITOREO</v>
      </c>
      <c r="D66" s="257">
        <f>EEFFun!P535</f>
        <v>0</v>
      </c>
      <c r="E66" s="295">
        <f t="shared" si="336"/>
        <v>0</v>
      </c>
      <c r="F66" s="295">
        <f t="shared" si="337"/>
        <v>0</v>
      </c>
      <c r="G66" s="295">
        <f t="shared" si="338"/>
        <v>0</v>
      </c>
      <c r="H66" s="295">
        <f t="shared" si="339"/>
        <v>0</v>
      </c>
      <c r="I66" s="295">
        <f t="shared" si="340"/>
        <v>0</v>
      </c>
      <c r="J66" s="295">
        <f t="shared" si="341"/>
        <v>0</v>
      </c>
      <c r="K66" s="295">
        <f t="shared" si="342"/>
        <v>0</v>
      </c>
      <c r="L66" s="295">
        <f t="shared" si="343"/>
        <v>0</v>
      </c>
      <c r="M66" s="295">
        <f t="shared" si="344"/>
        <v>0</v>
      </c>
      <c r="N66" s="295">
        <f t="shared" si="345"/>
        <v>0</v>
      </c>
      <c r="O66" s="295">
        <f t="shared" si="346"/>
        <v>0</v>
      </c>
      <c r="P66" s="295">
        <f t="shared" si="346"/>
        <v>0</v>
      </c>
      <c r="Q66" s="257">
        <f>EEFFun!Q535</f>
        <v>0</v>
      </c>
      <c r="R66" s="257">
        <f>EEFFun!R535</f>
        <v>0</v>
      </c>
      <c r="S66" s="257">
        <f>EEFFun!S535</f>
        <v>0</v>
      </c>
      <c r="T66" s="257">
        <f>EEFFun!T535</f>
        <v>0</v>
      </c>
      <c r="U66" s="257">
        <f>EEFFun!U535</f>
        <v>0</v>
      </c>
      <c r="V66" s="257">
        <f>EEFFun!V535</f>
        <v>0</v>
      </c>
      <c r="W66" s="257">
        <f>EEFFun!W535</f>
        <v>0</v>
      </c>
      <c r="X66" s="257">
        <f>EEFFun!X535</f>
        <v>0</v>
      </c>
      <c r="Y66" s="257">
        <f>EEFFun!Y535</f>
        <v>0</v>
      </c>
      <c r="Z66" s="257">
        <f>EEFFun!Z535</f>
        <v>0</v>
      </c>
      <c r="AA66" s="257">
        <f>EEFFun!AA535</f>
        <v>0</v>
      </c>
      <c r="AB66" s="257">
        <f>EEFFun!AB535</f>
        <v>0</v>
      </c>
      <c r="AC66" s="257">
        <f>EEFFun!AC535</f>
        <v>0</v>
      </c>
      <c r="AD66" s="257">
        <f>EEFFun!AD535</f>
        <v>0</v>
      </c>
      <c r="AE66" s="257">
        <f>EEFFun!AE535</f>
        <v>0</v>
      </c>
      <c r="AF66" s="257">
        <f>EEFFun!AF535</f>
        <v>0</v>
      </c>
      <c r="AG66" s="257">
        <f>EEFFun!AG535</f>
        <v>0</v>
      </c>
      <c r="AH66" s="257">
        <f>EEFFun!AH535</f>
        <v>0</v>
      </c>
      <c r="AI66" s="257">
        <f>EEFFun!AI535</f>
        <v>0</v>
      </c>
      <c r="AJ66" s="257">
        <f>EEFFun!AJ535</f>
        <v>0</v>
      </c>
      <c r="AK66" s="257">
        <f>EEFFun!AK535</f>
        <v>0</v>
      </c>
      <c r="AL66" s="257">
        <f>EEFFun!AL535</f>
        <v>0</v>
      </c>
      <c r="AM66" s="257">
        <f>EEFFun!AM535</f>
        <v>0</v>
      </c>
      <c r="AN66" s="257">
        <f>EEFFun!AN535</f>
        <v>0</v>
      </c>
      <c r="AO66" s="257">
        <f>EEFFun!AO535</f>
        <v>0</v>
      </c>
      <c r="AP66" s="257">
        <f>EEFFun!AP535</f>
        <v>0</v>
      </c>
      <c r="AQ66" s="257">
        <f>EEFFun!AQ535</f>
        <v>0</v>
      </c>
      <c r="AR66" s="257">
        <f>EEFFun!AR535</f>
        <v>0</v>
      </c>
      <c r="AS66" s="257">
        <f>EEFFun!AS535</f>
        <v>0</v>
      </c>
      <c r="AT66" s="257">
        <f>EEFFun!AT535</f>
        <v>0</v>
      </c>
      <c r="AU66" s="257">
        <f>EEFFun!AU535</f>
        <v>0</v>
      </c>
      <c r="AV66" s="257">
        <f>EEFFun!AV535</f>
        <v>0</v>
      </c>
      <c r="AW66" s="257">
        <f>EEFFun!AW535</f>
        <v>0</v>
      </c>
      <c r="AX66" s="257">
        <f>EEFFun!AX535</f>
        <v>0</v>
      </c>
      <c r="AY66" s="295">
        <f>+AN66*1.1/12</f>
        <v>0</v>
      </c>
      <c r="AZ66" s="295">
        <f t="shared" ref="AZ66:BJ66" si="348">+AO66*1.1/12</f>
        <v>0</v>
      </c>
      <c r="BA66" s="295">
        <f t="shared" si="348"/>
        <v>0</v>
      </c>
      <c r="BB66" s="295">
        <f t="shared" si="348"/>
        <v>0</v>
      </c>
      <c r="BC66" s="295">
        <f t="shared" si="348"/>
        <v>0</v>
      </c>
      <c r="BD66" s="295">
        <f t="shared" si="348"/>
        <v>0</v>
      </c>
      <c r="BE66" s="295">
        <f t="shared" si="348"/>
        <v>0</v>
      </c>
      <c r="BF66" s="295">
        <f t="shared" si="348"/>
        <v>0</v>
      </c>
      <c r="BG66" s="295">
        <f t="shared" si="348"/>
        <v>0</v>
      </c>
      <c r="BH66" s="295">
        <f t="shared" si="348"/>
        <v>0</v>
      </c>
      <c r="BI66" s="295">
        <f t="shared" si="348"/>
        <v>0</v>
      </c>
      <c r="BJ66" s="295">
        <f t="shared" si="348"/>
        <v>0</v>
      </c>
      <c r="BK66" s="295">
        <f>SUM($AY$66:AY66)</f>
        <v>0</v>
      </c>
      <c r="BL66" s="295">
        <f>SUM($AY$66:AZ66)</f>
        <v>0</v>
      </c>
      <c r="BM66" s="295">
        <f>SUM($AY$66:BA66)</f>
        <v>0</v>
      </c>
      <c r="BN66" s="295">
        <f>SUM($AY$66:BB66)</f>
        <v>0</v>
      </c>
      <c r="BO66" s="295">
        <f>SUM($AY$66:BC66)</f>
        <v>0</v>
      </c>
      <c r="BP66" s="295">
        <f>SUM($AY$66:BD66)</f>
        <v>0</v>
      </c>
      <c r="BQ66" s="295">
        <f>SUM($AY$66:BE66)</f>
        <v>0</v>
      </c>
      <c r="BR66" s="295">
        <f>SUM($AY$66:BF66)</f>
        <v>0</v>
      </c>
      <c r="BS66" s="295">
        <f>SUM($AY$66:BG66)</f>
        <v>0</v>
      </c>
      <c r="BT66" s="295">
        <f>SUM($AY$66:BH66)</f>
        <v>0</v>
      </c>
      <c r="BU66" s="295">
        <f>SUM($AY$66:BI66)</f>
        <v>0</v>
      </c>
      <c r="BV66" s="295">
        <f>SUM($AY$66:BJ66)</f>
        <v>0</v>
      </c>
      <c r="BW66" s="291"/>
    </row>
    <row r="67" spans="1:75" outlineLevel="1" x14ac:dyDescent="0.25">
      <c r="A67" s="222">
        <v>6</v>
      </c>
      <c r="B67" s="233">
        <f>EEFFun!B536</f>
        <v>450315</v>
      </c>
      <c r="C67" s="233" t="str">
        <f>EEFFun!C536</f>
        <v>Publicidad y propaganda</v>
      </c>
      <c r="D67" s="257">
        <f>EEFFun!P536</f>
        <v>170328.57</v>
      </c>
      <c r="E67" s="377">
        <f t="shared" ref="E67" si="349">SUM(E68:E73)</f>
        <v>7155.59</v>
      </c>
      <c r="F67" s="377">
        <f t="shared" ref="F67" si="350">SUM(F68:F73)</f>
        <v>10990</v>
      </c>
      <c r="G67" s="377">
        <f t="shared" ref="G67" si="351">SUM(G68:G73)</f>
        <v>7878.5900000000011</v>
      </c>
      <c r="H67" s="377">
        <f t="shared" ref="H67:O67" si="352">SUM(H68:H73)</f>
        <v>12511.669999999996</v>
      </c>
      <c r="I67" s="377">
        <f t="shared" si="352"/>
        <v>9759.0300000000061</v>
      </c>
      <c r="J67" s="377">
        <f t="shared" si="352"/>
        <v>3948.59</v>
      </c>
      <c r="K67" s="377">
        <f t="shared" si="352"/>
        <v>7765.91</v>
      </c>
      <c r="L67" s="377">
        <f t="shared" si="352"/>
        <v>9006.5</v>
      </c>
      <c r="M67" s="377">
        <f t="shared" si="352"/>
        <v>11410.32</v>
      </c>
      <c r="N67" s="377">
        <f t="shared" si="352"/>
        <v>14063.57</v>
      </c>
      <c r="O67" s="377">
        <f t="shared" si="352"/>
        <v>16928.5</v>
      </c>
      <c r="P67" s="377">
        <f t="shared" ref="P67" si="353">SUM(P68:P73)</f>
        <v>12787.979999999996</v>
      </c>
      <c r="Q67" s="257">
        <f>EEFFun!Q536</f>
        <v>7155.59</v>
      </c>
      <c r="R67" s="257">
        <f>EEFFun!R536</f>
        <v>18145.59</v>
      </c>
      <c r="S67" s="257">
        <f>EEFFun!S536</f>
        <v>26024.18</v>
      </c>
      <c r="T67" s="257">
        <f>EEFFun!T536</f>
        <v>38535.85</v>
      </c>
      <c r="U67" s="257">
        <f>EEFFun!U536</f>
        <v>48294.879999999997</v>
      </c>
      <c r="V67" s="257">
        <f>EEFFun!V536</f>
        <v>52243.47</v>
      </c>
      <c r="W67" s="257">
        <f>EEFFun!W536</f>
        <v>60009.38</v>
      </c>
      <c r="X67" s="257">
        <f>EEFFun!X536</f>
        <v>69015.88</v>
      </c>
      <c r="Y67" s="257">
        <f>EEFFun!Y536</f>
        <v>80426.2</v>
      </c>
      <c r="Z67" s="257">
        <f>EEFFun!Z536</f>
        <v>94489.77</v>
      </c>
      <c r="AA67" s="257">
        <f>EEFFun!AA536</f>
        <v>111418.27</v>
      </c>
      <c r="AB67" s="257">
        <f>EEFFun!AB536</f>
        <v>124206.25</v>
      </c>
      <c r="AC67" s="257">
        <f>EEFFun!AC536</f>
        <v>12008.27</v>
      </c>
      <c r="AD67" s="257">
        <f>EEFFun!AD536</f>
        <v>18001.93</v>
      </c>
      <c r="AE67" s="257">
        <f>EEFFun!AE536</f>
        <v>27574.97</v>
      </c>
      <c r="AF67" s="257">
        <f>EEFFun!AF536</f>
        <v>43219.82</v>
      </c>
      <c r="AG67" s="257">
        <f>EEFFun!AG536</f>
        <v>61832.15</v>
      </c>
      <c r="AH67" s="257">
        <f>EEFFun!AH536</f>
        <v>73578.06</v>
      </c>
      <c r="AI67" s="257">
        <f>EEFFun!AI536</f>
        <v>88008.76</v>
      </c>
      <c r="AJ67" s="257">
        <f>EEFFun!AJ536</f>
        <v>106263.33</v>
      </c>
      <c r="AK67" s="257">
        <f>EEFFun!AK536</f>
        <v>128488.54</v>
      </c>
      <c r="AL67" s="257">
        <f>EEFFun!AL536</f>
        <v>153092.09</v>
      </c>
      <c r="AM67" s="257">
        <f>EEFFun!AM536</f>
        <v>179103.64</v>
      </c>
      <c r="AN67" s="257">
        <f>EEFFun!AN536</f>
        <v>224796.73</v>
      </c>
      <c r="AO67" s="257">
        <f>EEFFun!AO536</f>
        <v>21119.16</v>
      </c>
      <c r="AP67" s="257">
        <f>EEFFun!AP536</f>
        <v>51496.84</v>
      </c>
      <c r="AQ67" s="257">
        <f>EEFFun!AQ536</f>
        <v>96695.64</v>
      </c>
      <c r="AR67" s="257">
        <f>EEFFun!AR536</f>
        <v>132033.28</v>
      </c>
      <c r="AS67" s="257">
        <f>EEFFun!AS536</f>
        <v>175089.92000000001</v>
      </c>
      <c r="AT67" s="257">
        <f>EEFFun!AT536</f>
        <v>222307.14</v>
      </c>
      <c r="AU67" s="257">
        <f>EEFFun!AU536</f>
        <v>263386.83</v>
      </c>
      <c r="AV67" s="257">
        <f>EEFFun!AV536</f>
        <v>302271.99</v>
      </c>
      <c r="AW67" s="257">
        <f>EEFFun!AW536</f>
        <v>324359.92</v>
      </c>
      <c r="AX67" s="257">
        <f>EEFFun!AX536</f>
        <v>356365.68</v>
      </c>
      <c r="AY67" s="377">
        <f t="shared" ref="AY67" si="354">SUM(AY68:AY73)</f>
        <v>32072.911199999999</v>
      </c>
      <c r="AZ67" s="377">
        <f t="shared" ref="AZ67:BJ67" si="355">SUM(AZ68:AZ73)</f>
        <v>32072.911199999999</v>
      </c>
      <c r="BA67" s="377">
        <f t="shared" si="355"/>
        <v>32072.911199999999</v>
      </c>
      <c r="BB67" s="377">
        <f t="shared" si="355"/>
        <v>32072.911199999999</v>
      </c>
      <c r="BC67" s="377">
        <f t="shared" si="355"/>
        <v>32072.911199999999</v>
      </c>
      <c r="BD67" s="377">
        <f t="shared" si="355"/>
        <v>32072.911199999999</v>
      </c>
      <c r="BE67" s="377">
        <f t="shared" si="355"/>
        <v>32072.911199999999</v>
      </c>
      <c r="BF67" s="377">
        <f t="shared" si="355"/>
        <v>32072.911199999999</v>
      </c>
      <c r="BG67" s="377">
        <f t="shared" si="355"/>
        <v>32072.911199999999</v>
      </c>
      <c r="BH67" s="377">
        <f t="shared" si="355"/>
        <v>32072.911199999999</v>
      </c>
      <c r="BI67" s="377">
        <f t="shared" si="355"/>
        <v>32072.911199999999</v>
      </c>
      <c r="BJ67" s="377">
        <f t="shared" si="355"/>
        <v>32072.911199999999</v>
      </c>
      <c r="BK67" s="377">
        <f t="shared" ref="BK67:BQ67" si="356">SUM(BK68:BK73)</f>
        <v>32072.911199999999</v>
      </c>
      <c r="BL67" s="377">
        <f t="shared" si="356"/>
        <v>64145.822399999997</v>
      </c>
      <c r="BM67" s="377">
        <f t="shared" si="356"/>
        <v>96218.733600000007</v>
      </c>
      <c r="BN67" s="377">
        <f t="shared" si="356"/>
        <v>128291.64479999999</v>
      </c>
      <c r="BO67" s="377">
        <f t="shared" si="356"/>
        <v>160364.55600000001</v>
      </c>
      <c r="BP67" s="377">
        <f t="shared" si="356"/>
        <v>192437.46720000001</v>
      </c>
      <c r="BQ67" s="377">
        <f t="shared" si="356"/>
        <v>224510.37840000002</v>
      </c>
      <c r="BR67" s="377">
        <f t="shared" ref="BR67" si="357">SUM(BR68:BR73)</f>
        <v>256583.28959999999</v>
      </c>
      <c r="BS67" s="377">
        <f t="shared" ref="BS67" si="358">SUM(BS68:BS73)</f>
        <v>288656.20079999999</v>
      </c>
      <c r="BT67" s="377">
        <f t="shared" ref="BT67" si="359">SUM(BT68:BT73)</f>
        <v>320729.11200000002</v>
      </c>
      <c r="BU67" s="377">
        <f t="shared" ref="BU67" si="360">SUM(BU68:BU73)</f>
        <v>352802.02320000005</v>
      </c>
      <c r="BV67" s="377">
        <f t="shared" ref="BV67" si="361">SUM(BV68:BV73)</f>
        <v>384874.93440000003</v>
      </c>
      <c r="BW67" s="291"/>
    </row>
    <row r="68" spans="1:75" outlineLevel="1" x14ac:dyDescent="0.25">
      <c r="A68" s="222">
        <v>8</v>
      </c>
      <c r="B68" s="233">
        <f>EEFFun!B537</f>
        <v>45031505</v>
      </c>
      <c r="C68" s="233" t="str">
        <f>EEFFun!C537</f>
        <v>PUBLICIDAD MEDIOS</v>
      </c>
      <c r="D68" s="257">
        <f>EEFFun!P537</f>
        <v>5656.86</v>
      </c>
      <c r="E68" s="295">
        <f t="shared" ref="E68:E73" si="362">Q68</f>
        <v>160.71</v>
      </c>
      <c r="F68" s="295">
        <f t="shared" ref="F68:F73" si="363">R68-Q68</f>
        <v>0</v>
      </c>
      <c r="G68" s="295">
        <f t="shared" ref="G68:G73" si="364">S68-R68</f>
        <v>447.93999999999994</v>
      </c>
      <c r="H68" s="295">
        <f t="shared" ref="H68:H73" si="365">T68-S68</f>
        <v>0</v>
      </c>
      <c r="I68" s="295">
        <f t="shared" ref="I68:I73" si="366">U68-T68</f>
        <v>612.00000000000011</v>
      </c>
      <c r="J68" s="295">
        <f t="shared" ref="J68:J73" si="367">V68-U68</f>
        <v>0</v>
      </c>
      <c r="K68" s="295">
        <f t="shared" ref="K68:K73" si="368">W68-V68</f>
        <v>0</v>
      </c>
      <c r="L68" s="295">
        <f t="shared" ref="L68:L73" si="369">X68-W68</f>
        <v>0</v>
      </c>
      <c r="M68" s="295">
        <f t="shared" ref="M68:M73" si="370">Y68-X68</f>
        <v>0</v>
      </c>
      <c r="N68" s="295">
        <f t="shared" ref="N68:N73" si="371">Z68-Y68</f>
        <v>0</v>
      </c>
      <c r="O68" s="295">
        <f t="shared" ref="O68:P73" si="372">AA68-Z68</f>
        <v>0</v>
      </c>
      <c r="P68" s="295">
        <f t="shared" si="372"/>
        <v>0</v>
      </c>
      <c r="Q68" s="257">
        <f>EEFFun!Q537</f>
        <v>160.71</v>
      </c>
      <c r="R68" s="257">
        <f>EEFFun!R537</f>
        <v>160.71</v>
      </c>
      <c r="S68" s="257">
        <f>EEFFun!S537</f>
        <v>608.65</v>
      </c>
      <c r="T68" s="257">
        <f>EEFFun!T537</f>
        <v>608.65</v>
      </c>
      <c r="U68" s="257">
        <f>EEFFun!U537</f>
        <v>1220.6500000000001</v>
      </c>
      <c r="V68" s="257">
        <f>EEFFun!V537</f>
        <v>1220.6500000000001</v>
      </c>
      <c r="W68" s="257">
        <f>EEFFun!W537</f>
        <v>1220.6500000000001</v>
      </c>
      <c r="X68" s="257">
        <f>EEFFun!X537</f>
        <v>1220.6500000000001</v>
      </c>
      <c r="Y68" s="257">
        <f>EEFFun!Y537</f>
        <v>1220.6500000000001</v>
      </c>
      <c r="Z68" s="257">
        <f>EEFFun!Z537</f>
        <v>1220.6500000000001</v>
      </c>
      <c r="AA68" s="257">
        <f>EEFFun!AA537</f>
        <v>1220.6500000000001</v>
      </c>
      <c r="AB68" s="257">
        <f>EEFFun!AB537</f>
        <v>1220.6500000000001</v>
      </c>
      <c r="AC68" s="257">
        <f>EEFFun!AC537</f>
        <v>480</v>
      </c>
      <c r="AD68" s="257">
        <f>EEFFun!AD537</f>
        <v>480</v>
      </c>
      <c r="AE68" s="257">
        <f>EEFFun!AE537</f>
        <v>480</v>
      </c>
      <c r="AF68" s="257">
        <f>EEFFun!AF537</f>
        <v>480</v>
      </c>
      <c r="AG68" s="257">
        <f>EEFFun!AG537</f>
        <v>2616</v>
      </c>
      <c r="AH68" s="257">
        <f>EEFFun!AH537</f>
        <v>2616</v>
      </c>
      <c r="AI68" s="257">
        <f>EEFFun!AI537</f>
        <v>2963</v>
      </c>
      <c r="AJ68" s="257">
        <f>EEFFun!AJ537</f>
        <v>2963</v>
      </c>
      <c r="AK68" s="257">
        <f>EEFFun!AK537</f>
        <v>2963</v>
      </c>
      <c r="AL68" s="257">
        <f>EEFFun!AL537</f>
        <v>2963</v>
      </c>
      <c r="AM68" s="257">
        <f>EEFFun!AM537</f>
        <v>2963</v>
      </c>
      <c r="AN68" s="257">
        <f>EEFFun!AN537</f>
        <v>3310</v>
      </c>
      <c r="AO68" s="257">
        <f>EEFFun!AO537</f>
        <v>979.99</v>
      </c>
      <c r="AP68" s="257">
        <f>EEFFun!AP537</f>
        <v>1459.99</v>
      </c>
      <c r="AQ68" s="257">
        <f>EEFFun!AQ537</f>
        <v>1521.59</v>
      </c>
      <c r="AR68" s="257">
        <f>EEFFun!AR537</f>
        <v>1606.99</v>
      </c>
      <c r="AS68" s="257">
        <f>EEFFun!AS537</f>
        <v>2206.9899999999998</v>
      </c>
      <c r="AT68" s="257">
        <f>EEFFun!AT537</f>
        <v>2537.4299999999998</v>
      </c>
      <c r="AU68" s="257">
        <f>EEFFun!AU537</f>
        <v>2537.4299999999998</v>
      </c>
      <c r="AV68" s="257">
        <f>EEFFun!AV537</f>
        <v>2867.87</v>
      </c>
      <c r="AW68" s="257">
        <f>EEFFun!AW537</f>
        <v>2940.41</v>
      </c>
      <c r="AX68" s="257">
        <f>EEFFun!AX537</f>
        <v>3190.41</v>
      </c>
      <c r="AY68" s="295">
        <f t="shared" ref="AY68:BJ96" si="373">(+$AX68/10)*90%</f>
        <v>287.13690000000003</v>
      </c>
      <c r="AZ68" s="295">
        <f t="shared" si="373"/>
        <v>287.13690000000003</v>
      </c>
      <c r="BA68" s="295">
        <f t="shared" si="373"/>
        <v>287.13690000000003</v>
      </c>
      <c r="BB68" s="295">
        <f t="shared" si="373"/>
        <v>287.13690000000003</v>
      </c>
      <c r="BC68" s="295">
        <f t="shared" si="373"/>
        <v>287.13690000000003</v>
      </c>
      <c r="BD68" s="295">
        <f t="shared" si="373"/>
        <v>287.13690000000003</v>
      </c>
      <c r="BE68" s="295">
        <f t="shared" si="373"/>
        <v>287.13690000000003</v>
      </c>
      <c r="BF68" s="295">
        <f t="shared" si="373"/>
        <v>287.13690000000003</v>
      </c>
      <c r="BG68" s="295">
        <f t="shared" si="373"/>
        <v>287.13690000000003</v>
      </c>
      <c r="BH68" s="295">
        <f t="shared" si="373"/>
        <v>287.13690000000003</v>
      </c>
      <c r="BI68" s="295">
        <f t="shared" si="373"/>
        <v>287.13690000000003</v>
      </c>
      <c r="BJ68" s="295">
        <f t="shared" si="373"/>
        <v>287.13690000000003</v>
      </c>
      <c r="BK68" s="295">
        <f>SUM($AY$68:AY68)</f>
        <v>287.13690000000003</v>
      </c>
      <c r="BL68" s="295">
        <f>SUM($AY$68:AZ68)</f>
        <v>574.27380000000005</v>
      </c>
      <c r="BM68" s="295">
        <f>SUM($AY$68:BA68)</f>
        <v>861.41070000000013</v>
      </c>
      <c r="BN68" s="295">
        <f>SUM($AY$68:BB68)</f>
        <v>1148.5476000000001</v>
      </c>
      <c r="BO68" s="295">
        <f>SUM($AY$68:BC68)</f>
        <v>1435.6845000000001</v>
      </c>
      <c r="BP68" s="295">
        <f>SUM($AY$68:BD68)</f>
        <v>1722.8214</v>
      </c>
      <c r="BQ68" s="295">
        <f>SUM($AY$68:BE68)</f>
        <v>2009.9583</v>
      </c>
      <c r="BR68" s="295">
        <f>SUM($AY$68:BF68)</f>
        <v>2297.0952000000002</v>
      </c>
      <c r="BS68" s="295">
        <f>SUM($AY$68:BG68)</f>
        <v>2584.2321000000002</v>
      </c>
      <c r="BT68" s="295">
        <f>SUM($AY$68:BH68)</f>
        <v>2871.3690000000001</v>
      </c>
      <c r="BU68" s="295">
        <f>SUM($AY$68:BI68)</f>
        <v>3158.5059000000001</v>
      </c>
      <c r="BV68" s="295">
        <f>SUM($AY$68:BJ68)</f>
        <v>3445.6428000000001</v>
      </c>
      <c r="BW68" s="291"/>
    </row>
    <row r="69" spans="1:75" outlineLevel="1" x14ac:dyDescent="0.25">
      <c r="A69" s="222">
        <v>8</v>
      </c>
      <c r="B69" s="233">
        <f>EEFFun!B538</f>
        <v>45031510</v>
      </c>
      <c r="C69" s="233" t="str">
        <f>EEFFun!C538</f>
        <v>PROMOCION AGENCIAS PUBLICITARIAS</v>
      </c>
      <c r="D69" s="257">
        <f>EEFFun!P538</f>
        <v>28080</v>
      </c>
      <c r="E69" s="295">
        <f t="shared" si="362"/>
        <v>0</v>
      </c>
      <c r="F69" s="295">
        <f t="shared" si="363"/>
        <v>0</v>
      </c>
      <c r="G69" s="295">
        <f t="shared" si="364"/>
        <v>78</v>
      </c>
      <c r="H69" s="295">
        <f t="shared" si="365"/>
        <v>0</v>
      </c>
      <c r="I69" s="295">
        <f t="shared" si="366"/>
        <v>0</v>
      </c>
      <c r="J69" s="295">
        <f t="shared" si="367"/>
        <v>0</v>
      </c>
      <c r="K69" s="295">
        <f t="shared" si="368"/>
        <v>0</v>
      </c>
      <c r="L69" s="295">
        <f t="shared" si="369"/>
        <v>0</v>
      </c>
      <c r="M69" s="295">
        <f t="shared" si="370"/>
        <v>0</v>
      </c>
      <c r="N69" s="295">
        <f t="shared" si="371"/>
        <v>0</v>
      </c>
      <c r="O69" s="295">
        <f t="shared" si="372"/>
        <v>0</v>
      </c>
      <c r="P69" s="295">
        <f t="shared" si="372"/>
        <v>0</v>
      </c>
      <c r="Q69" s="257">
        <f>EEFFun!Q538</f>
        <v>0</v>
      </c>
      <c r="R69" s="257">
        <f>EEFFun!R538</f>
        <v>0</v>
      </c>
      <c r="S69" s="257">
        <f>EEFFun!S538</f>
        <v>78</v>
      </c>
      <c r="T69" s="257">
        <f>EEFFun!T538</f>
        <v>78</v>
      </c>
      <c r="U69" s="257">
        <f>EEFFun!U538</f>
        <v>78</v>
      </c>
      <c r="V69" s="257">
        <f>EEFFun!V538</f>
        <v>78</v>
      </c>
      <c r="W69" s="257">
        <f>EEFFun!W538</f>
        <v>78</v>
      </c>
      <c r="X69" s="257">
        <f>EEFFun!X538</f>
        <v>78</v>
      </c>
      <c r="Y69" s="257">
        <f>EEFFun!Y538</f>
        <v>78</v>
      </c>
      <c r="Z69" s="257">
        <f>EEFFun!Z538</f>
        <v>78</v>
      </c>
      <c r="AA69" s="257">
        <f>EEFFun!AA538</f>
        <v>78</v>
      </c>
      <c r="AB69" s="257">
        <f>EEFFun!AB538</f>
        <v>78</v>
      </c>
      <c r="AC69" s="257">
        <f>EEFFun!AC538</f>
        <v>0</v>
      </c>
      <c r="AD69" s="257">
        <f>EEFFun!AD538</f>
        <v>0</v>
      </c>
      <c r="AE69" s="257">
        <f>EEFFun!AE538</f>
        <v>0</v>
      </c>
      <c r="AF69" s="257">
        <f>EEFFun!AF538</f>
        <v>0</v>
      </c>
      <c r="AG69" s="257">
        <f>EEFFun!AG538</f>
        <v>0</v>
      </c>
      <c r="AH69" s="257">
        <f>EEFFun!AH538</f>
        <v>0</v>
      </c>
      <c r="AI69" s="257">
        <f>EEFFun!AI538</f>
        <v>0</v>
      </c>
      <c r="AJ69" s="257">
        <f>EEFFun!AJ538</f>
        <v>0</v>
      </c>
      <c r="AK69" s="257">
        <f>EEFFun!AK538</f>
        <v>0</v>
      </c>
      <c r="AL69" s="257">
        <f>EEFFun!AL538</f>
        <v>0</v>
      </c>
      <c r="AM69" s="257">
        <f>EEFFun!AM538</f>
        <v>0</v>
      </c>
      <c r="AN69" s="257">
        <f>EEFFun!AN538</f>
        <v>0</v>
      </c>
      <c r="AO69" s="257">
        <f>EEFFun!AO538</f>
        <v>0</v>
      </c>
      <c r="AP69" s="257">
        <f>EEFFun!AP538</f>
        <v>0</v>
      </c>
      <c r="AQ69" s="257">
        <f>EEFFun!AQ538</f>
        <v>0</v>
      </c>
      <c r="AR69" s="257">
        <f>EEFFun!AR538</f>
        <v>0</v>
      </c>
      <c r="AS69" s="257">
        <f>EEFFun!AS538</f>
        <v>0</v>
      </c>
      <c r="AT69" s="257">
        <f>EEFFun!AT538</f>
        <v>0</v>
      </c>
      <c r="AU69" s="257">
        <f>EEFFun!AU538</f>
        <v>0</v>
      </c>
      <c r="AV69" s="257">
        <f>EEFFun!AV538</f>
        <v>0</v>
      </c>
      <c r="AW69" s="257">
        <f>EEFFun!AW538</f>
        <v>0</v>
      </c>
      <c r="AX69" s="257">
        <f>EEFFun!AX538</f>
        <v>0</v>
      </c>
      <c r="AY69" s="295">
        <f t="shared" si="373"/>
        <v>0</v>
      </c>
      <c r="AZ69" s="295">
        <f t="shared" si="373"/>
        <v>0</v>
      </c>
      <c r="BA69" s="295">
        <f t="shared" si="373"/>
        <v>0</v>
      </c>
      <c r="BB69" s="295">
        <f t="shared" si="373"/>
        <v>0</v>
      </c>
      <c r="BC69" s="295">
        <f t="shared" si="373"/>
        <v>0</v>
      </c>
      <c r="BD69" s="295">
        <f t="shared" si="373"/>
        <v>0</v>
      </c>
      <c r="BE69" s="295">
        <f t="shared" si="373"/>
        <v>0</v>
      </c>
      <c r="BF69" s="295">
        <f t="shared" si="373"/>
        <v>0</v>
      </c>
      <c r="BG69" s="295">
        <f t="shared" si="373"/>
        <v>0</v>
      </c>
      <c r="BH69" s="295">
        <f t="shared" si="373"/>
        <v>0</v>
      </c>
      <c r="BI69" s="295">
        <f t="shared" si="373"/>
        <v>0</v>
      </c>
      <c r="BJ69" s="295">
        <f t="shared" si="373"/>
        <v>0</v>
      </c>
      <c r="BK69" s="295">
        <f>SUM($AY$69:AY69)</f>
        <v>0</v>
      </c>
      <c r="BL69" s="295">
        <f>SUM($AY$69:AZ69)</f>
        <v>0</v>
      </c>
      <c r="BM69" s="295">
        <f>SUM($AY$69:BA69)</f>
        <v>0</v>
      </c>
      <c r="BN69" s="295">
        <f>SUM($AY$69:BB69)</f>
        <v>0</v>
      </c>
      <c r="BO69" s="295">
        <f>SUM($AY$69:BC69)</f>
        <v>0</v>
      </c>
      <c r="BP69" s="295">
        <f>SUM($AY$69:BD69)</f>
        <v>0</v>
      </c>
      <c r="BQ69" s="295">
        <f>SUM($AY$69:BE69)</f>
        <v>0</v>
      </c>
      <c r="BR69" s="295">
        <f>SUM($AY$69:BF69)</f>
        <v>0</v>
      </c>
      <c r="BS69" s="295">
        <f>SUM($AY$69:BG69)</f>
        <v>0</v>
      </c>
      <c r="BT69" s="295">
        <f>SUM($AY$69:BH69)</f>
        <v>0</v>
      </c>
      <c r="BU69" s="295">
        <f>SUM($AY$69:BI69)</f>
        <v>0</v>
      </c>
      <c r="BV69" s="295">
        <f>SUM($AY$69:BJ69)</f>
        <v>0</v>
      </c>
      <c r="BW69" s="291"/>
    </row>
    <row r="70" spans="1:75" outlineLevel="1" x14ac:dyDescent="0.25">
      <c r="A70" s="222">
        <v>8</v>
      </c>
      <c r="B70" s="233">
        <f>EEFFun!B539</f>
        <v>45031515</v>
      </c>
      <c r="C70" s="233" t="str">
        <f>EEFFun!C539</f>
        <v>MATERIAL PROMOCIONAL</v>
      </c>
      <c r="D70" s="257">
        <f>EEFFun!P539</f>
        <v>1578.12</v>
      </c>
      <c r="E70" s="295">
        <f t="shared" si="362"/>
        <v>0</v>
      </c>
      <c r="F70" s="295">
        <f t="shared" si="363"/>
        <v>0</v>
      </c>
      <c r="G70" s="295">
        <f t="shared" si="364"/>
        <v>0</v>
      </c>
      <c r="H70" s="295">
        <f t="shared" si="365"/>
        <v>0</v>
      </c>
      <c r="I70" s="295">
        <f t="shared" si="366"/>
        <v>0</v>
      </c>
      <c r="J70" s="295">
        <f t="shared" si="367"/>
        <v>0</v>
      </c>
      <c r="K70" s="295">
        <f t="shared" si="368"/>
        <v>1215.9100000000001</v>
      </c>
      <c r="L70" s="295">
        <f t="shared" si="369"/>
        <v>0</v>
      </c>
      <c r="M70" s="295">
        <f t="shared" si="370"/>
        <v>967.45999999999981</v>
      </c>
      <c r="N70" s="295">
        <f t="shared" si="371"/>
        <v>463.57000000000016</v>
      </c>
      <c r="O70" s="295">
        <f t="shared" si="372"/>
        <v>573.5</v>
      </c>
      <c r="P70" s="295">
        <f t="shared" si="372"/>
        <v>3246.15</v>
      </c>
      <c r="Q70" s="257">
        <f>EEFFun!Q539</f>
        <v>0</v>
      </c>
      <c r="R70" s="257">
        <f>EEFFun!R539</f>
        <v>0</v>
      </c>
      <c r="S70" s="257">
        <f>EEFFun!S539</f>
        <v>0</v>
      </c>
      <c r="T70" s="257">
        <f>EEFFun!T539</f>
        <v>0</v>
      </c>
      <c r="U70" s="257">
        <f>EEFFun!U539</f>
        <v>0</v>
      </c>
      <c r="V70" s="257">
        <f>EEFFun!V539</f>
        <v>0</v>
      </c>
      <c r="W70" s="257">
        <f>EEFFun!W539</f>
        <v>1215.9100000000001</v>
      </c>
      <c r="X70" s="257">
        <f>EEFFun!X539</f>
        <v>1215.9100000000001</v>
      </c>
      <c r="Y70" s="257">
        <f>EEFFun!Y539</f>
        <v>2183.37</v>
      </c>
      <c r="Z70" s="257">
        <f>EEFFun!Z539</f>
        <v>2646.94</v>
      </c>
      <c r="AA70" s="257">
        <f>EEFFun!AA539</f>
        <v>3220.44</v>
      </c>
      <c r="AB70" s="257">
        <f>EEFFun!AB539</f>
        <v>6466.59</v>
      </c>
      <c r="AC70" s="257">
        <f>EEFFun!AC539</f>
        <v>24</v>
      </c>
      <c r="AD70" s="257">
        <f>EEFFun!AD539</f>
        <v>-172.34</v>
      </c>
      <c r="AE70" s="257">
        <f>EEFFun!AE539</f>
        <v>260.7</v>
      </c>
      <c r="AF70" s="257">
        <f>EEFFun!AF539</f>
        <v>472.07</v>
      </c>
      <c r="AG70" s="257">
        <f>EEFFun!AG539</f>
        <v>4588.3999999999996</v>
      </c>
      <c r="AH70" s="257">
        <f>EEFFun!AH539</f>
        <v>3025.24</v>
      </c>
      <c r="AI70" s="257">
        <f>EEFFun!AI539</f>
        <v>3025.24</v>
      </c>
      <c r="AJ70" s="257">
        <f>EEFFun!AJ539</f>
        <v>4050.76</v>
      </c>
      <c r="AK70" s="257">
        <f>EEFFun!AK539</f>
        <v>4156.76</v>
      </c>
      <c r="AL70" s="257">
        <f>EEFFun!AL539</f>
        <v>5215.66</v>
      </c>
      <c r="AM70" s="257">
        <f>EEFFun!AM539</f>
        <v>5743.4</v>
      </c>
      <c r="AN70" s="257">
        <f>EEFFun!AN539</f>
        <v>9016.61</v>
      </c>
      <c r="AO70" s="257">
        <f>EEFFun!AO539</f>
        <v>1746</v>
      </c>
      <c r="AP70" s="257">
        <f>EEFFun!AP539</f>
        <v>7702</v>
      </c>
      <c r="AQ70" s="257">
        <f>EEFFun!AQ539</f>
        <v>10481.91</v>
      </c>
      <c r="AR70" s="257">
        <f>EEFFun!AR539</f>
        <v>11618.41</v>
      </c>
      <c r="AS70" s="257">
        <f>EEFFun!AS539</f>
        <v>12234.41</v>
      </c>
      <c r="AT70" s="257">
        <f>EEFFun!AT539</f>
        <v>13764.27</v>
      </c>
      <c r="AU70" s="257">
        <f>EEFFun!AU539</f>
        <v>14386.27</v>
      </c>
      <c r="AV70" s="257">
        <f>EEFFun!AV539</f>
        <v>16626.77</v>
      </c>
      <c r="AW70" s="257">
        <f>EEFFun!AW539</f>
        <v>16944.72</v>
      </c>
      <c r="AX70" s="257">
        <f>EEFFun!AX539</f>
        <v>18770.97</v>
      </c>
      <c r="AY70" s="295">
        <f t="shared" si="373"/>
        <v>1689.3873000000003</v>
      </c>
      <c r="AZ70" s="295">
        <f t="shared" si="373"/>
        <v>1689.3873000000003</v>
      </c>
      <c r="BA70" s="295">
        <f t="shared" si="373"/>
        <v>1689.3873000000003</v>
      </c>
      <c r="BB70" s="295">
        <f t="shared" si="373"/>
        <v>1689.3873000000003</v>
      </c>
      <c r="BC70" s="295">
        <f t="shared" si="373"/>
        <v>1689.3873000000003</v>
      </c>
      <c r="BD70" s="295">
        <f t="shared" si="373"/>
        <v>1689.3873000000003</v>
      </c>
      <c r="BE70" s="295">
        <f t="shared" si="373"/>
        <v>1689.3873000000003</v>
      </c>
      <c r="BF70" s="295">
        <f t="shared" si="373"/>
        <v>1689.3873000000003</v>
      </c>
      <c r="BG70" s="295">
        <f t="shared" si="373"/>
        <v>1689.3873000000003</v>
      </c>
      <c r="BH70" s="295">
        <f t="shared" si="373"/>
        <v>1689.3873000000003</v>
      </c>
      <c r="BI70" s="295">
        <f t="shared" si="373"/>
        <v>1689.3873000000003</v>
      </c>
      <c r="BJ70" s="295">
        <f t="shared" si="373"/>
        <v>1689.3873000000003</v>
      </c>
      <c r="BK70" s="295">
        <f>SUM($AY$70:AY70)</f>
        <v>1689.3873000000003</v>
      </c>
      <c r="BL70" s="295">
        <f>SUM($AY$70:AZ70)</f>
        <v>3378.7746000000006</v>
      </c>
      <c r="BM70" s="295">
        <f>SUM($AY$70:BA70)</f>
        <v>5068.161900000001</v>
      </c>
      <c r="BN70" s="295">
        <f>SUM($AY$70:BB70)</f>
        <v>6757.5492000000013</v>
      </c>
      <c r="BO70" s="295">
        <f>SUM($AY$70:BC70)</f>
        <v>8446.9365000000016</v>
      </c>
      <c r="BP70" s="295">
        <f>SUM($AY$70:BD70)</f>
        <v>10136.323800000002</v>
      </c>
      <c r="BQ70" s="295">
        <f>SUM($AY$70:BE70)</f>
        <v>11825.711100000002</v>
      </c>
      <c r="BR70" s="295">
        <f>SUM($AY$70:BF70)</f>
        <v>13515.098400000003</v>
      </c>
      <c r="BS70" s="295">
        <f>SUM($AY$70:BG70)</f>
        <v>15204.485700000003</v>
      </c>
      <c r="BT70" s="295">
        <f>SUM($AY$70:BH70)</f>
        <v>16893.873000000003</v>
      </c>
      <c r="BU70" s="295">
        <f>SUM($AY$70:BI70)</f>
        <v>18583.260300000002</v>
      </c>
      <c r="BV70" s="295">
        <f>SUM($AY$70:BJ70)</f>
        <v>20272.647600000004</v>
      </c>
      <c r="BW70" s="291"/>
    </row>
    <row r="71" spans="1:75" outlineLevel="1" x14ac:dyDescent="0.25">
      <c r="A71" s="222">
        <v>8</v>
      </c>
      <c r="B71" s="233">
        <f>EEFFun!B540</f>
        <v>45031520</v>
      </c>
      <c r="C71" s="233" t="str">
        <f>EEFFun!C540</f>
        <v>PROMOCION DE VENTAS COMERCIAL DEDUCIBLE</v>
      </c>
      <c r="D71" s="257">
        <f>EEFFun!P540</f>
        <v>23472.44</v>
      </c>
      <c r="E71" s="295">
        <f t="shared" si="362"/>
        <v>1189.8800000000001</v>
      </c>
      <c r="F71" s="295">
        <f t="shared" si="363"/>
        <v>740</v>
      </c>
      <c r="G71" s="295">
        <f t="shared" si="364"/>
        <v>1060</v>
      </c>
      <c r="H71" s="295">
        <f t="shared" si="365"/>
        <v>1300</v>
      </c>
      <c r="I71" s="295">
        <f t="shared" si="366"/>
        <v>2420</v>
      </c>
      <c r="J71" s="295">
        <f t="shared" si="367"/>
        <v>640</v>
      </c>
      <c r="K71" s="295">
        <f t="shared" si="368"/>
        <v>640</v>
      </c>
      <c r="L71" s="295">
        <f t="shared" si="369"/>
        <v>1546.4999999999991</v>
      </c>
      <c r="M71" s="295">
        <f t="shared" si="370"/>
        <v>2507.8600000000006</v>
      </c>
      <c r="N71" s="295">
        <f t="shared" si="371"/>
        <v>2950</v>
      </c>
      <c r="O71" s="295">
        <f t="shared" si="372"/>
        <v>1340</v>
      </c>
      <c r="P71" s="295">
        <f t="shared" si="372"/>
        <v>1058.5700000000015</v>
      </c>
      <c r="Q71" s="257">
        <f>EEFFun!Q540</f>
        <v>1189.8800000000001</v>
      </c>
      <c r="R71" s="257">
        <f>EEFFun!R540</f>
        <v>1929.88</v>
      </c>
      <c r="S71" s="257">
        <f>EEFFun!S540</f>
        <v>2989.88</v>
      </c>
      <c r="T71" s="257">
        <f>EEFFun!T540</f>
        <v>4289.88</v>
      </c>
      <c r="U71" s="257">
        <f>EEFFun!U540</f>
        <v>6709.88</v>
      </c>
      <c r="V71" s="257">
        <f>EEFFun!V540</f>
        <v>7349.88</v>
      </c>
      <c r="W71" s="257">
        <f>EEFFun!W540</f>
        <v>7989.88</v>
      </c>
      <c r="X71" s="257">
        <f>EEFFun!X540</f>
        <v>9536.3799999999992</v>
      </c>
      <c r="Y71" s="257">
        <f>EEFFun!Y540</f>
        <v>12044.24</v>
      </c>
      <c r="Z71" s="257">
        <f>EEFFun!Z540</f>
        <v>14994.24</v>
      </c>
      <c r="AA71" s="257">
        <f>EEFFun!AA540</f>
        <v>16334.24</v>
      </c>
      <c r="AB71" s="257">
        <f>EEFFun!AB540</f>
        <v>17392.810000000001</v>
      </c>
      <c r="AC71" s="257">
        <f>EEFFun!AC540</f>
        <v>2238.21</v>
      </c>
      <c r="AD71" s="257">
        <f>EEFFun!AD540</f>
        <v>2878.21</v>
      </c>
      <c r="AE71" s="257">
        <f>EEFFun!AE540</f>
        <v>4368.21</v>
      </c>
      <c r="AF71" s="257">
        <f>EEFFun!AF540</f>
        <v>7781.69</v>
      </c>
      <c r="AG71" s="257">
        <f>EEFFun!AG540</f>
        <v>9191.69</v>
      </c>
      <c r="AH71" s="257">
        <f>EEFFun!AH540</f>
        <v>11504.19</v>
      </c>
      <c r="AI71" s="257">
        <f>EEFFun!AI540</f>
        <v>14780.71</v>
      </c>
      <c r="AJ71" s="257">
        <f>EEFFun!AJ540</f>
        <v>20602.27</v>
      </c>
      <c r="AK71" s="257">
        <f>EEFFun!AK540</f>
        <v>24914.23</v>
      </c>
      <c r="AL71" s="257">
        <f>EEFFun!AL540</f>
        <v>31943.79</v>
      </c>
      <c r="AM71" s="257">
        <f>EEFFun!AM540</f>
        <v>37709.879999999997</v>
      </c>
      <c r="AN71" s="257">
        <f>EEFFun!AN540</f>
        <v>45577.16</v>
      </c>
      <c r="AO71" s="257">
        <f>EEFFun!AO540</f>
        <v>5165.43</v>
      </c>
      <c r="AP71" s="257">
        <f>EEFFun!AP540</f>
        <v>10652.82</v>
      </c>
      <c r="AQ71" s="257">
        <f>EEFFun!AQ540</f>
        <v>20655.86</v>
      </c>
      <c r="AR71" s="257">
        <f>EEFFun!AR540</f>
        <v>23755.86</v>
      </c>
      <c r="AS71" s="257">
        <f>EEFFun!AS540</f>
        <v>39265.64</v>
      </c>
      <c r="AT71" s="257">
        <f>EEFFun!AT540</f>
        <v>53175.87</v>
      </c>
      <c r="AU71" s="257">
        <f>EEFFun!AU540</f>
        <v>68351.3</v>
      </c>
      <c r="AV71" s="257">
        <f>EEFFun!AV540</f>
        <v>80803.05</v>
      </c>
      <c r="AW71" s="257">
        <f>EEFFun!AW540</f>
        <v>89091.49</v>
      </c>
      <c r="AX71" s="257">
        <f>EEFFun!AX540</f>
        <v>99586.66</v>
      </c>
      <c r="AY71" s="295">
        <f t="shared" si="373"/>
        <v>8962.7994000000017</v>
      </c>
      <c r="AZ71" s="295">
        <f t="shared" si="373"/>
        <v>8962.7994000000017</v>
      </c>
      <c r="BA71" s="295">
        <f t="shared" si="373"/>
        <v>8962.7994000000017</v>
      </c>
      <c r="BB71" s="295">
        <f t="shared" si="373"/>
        <v>8962.7994000000017</v>
      </c>
      <c r="BC71" s="295">
        <f t="shared" si="373"/>
        <v>8962.7994000000017</v>
      </c>
      <c r="BD71" s="295">
        <f t="shared" si="373"/>
        <v>8962.7994000000017</v>
      </c>
      <c r="BE71" s="295">
        <f t="shared" si="373"/>
        <v>8962.7994000000017</v>
      </c>
      <c r="BF71" s="295">
        <f t="shared" si="373"/>
        <v>8962.7994000000017</v>
      </c>
      <c r="BG71" s="295">
        <f t="shared" si="373"/>
        <v>8962.7994000000017</v>
      </c>
      <c r="BH71" s="295">
        <f t="shared" si="373"/>
        <v>8962.7994000000017</v>
      </c>
      <c r="BI71" s="295">
        <f t="shared" si="373"/>
        <v>8962.7994000000017</v>
      </c>
      <c r="BJ71" s="295">
        <f t="shared" si="373"/>
        <v>8962.7994000000017</v>
      </c>
      <c r="BK71" s="295">
        <f>SUM($AY$71:AY71)</f>
        <v>8962.7994000000017</v>
      </c>
      <c r="BL71" s="295">
        <f>SUM($AY$71:AZ71)</f>
        <v>17925.598800000003</v>
      </c>
      <c r="BM71" s="295">
        <f>SUM($AY$71:BA71)</f>
        <v>26888.398200000003</v>
      </c>
      <c r="BN71" s="295">
        <f>SUM($AY$71:BB71)</f>
        <v>35851.197600000007</v>
      </c>
      <c r="BO71" s="295">
        <f>SUM($AY$71:BC71)</f>
        <v>44813.99700000001</v>
      </c>
      <c r="BP71" s="295">
        <f>SUM($AY$71:BD71)</f>
        <v>53776.796400000014</v>
      </c>
      <c r="BQ71" s="295">
        <f>SUM($AY$71:BE71)</f>
        <v>62739.595800000017</v>
      </c>
      <c r="BR71" s="295">
        <f>SUM($AY$71:BF71)</f>
        <v>71702.395200000014</v>
      </c>
      <c r="BS71" s="295">
        <f>SUM($AY$71:BG71)</f>
        <v>80665.194600000017</v>
      </c>
      <c r="BT71" s="295">
        <f>SUM($AY$71:BH71)</f>
        <v>89627.994000000021</v>
      </c>
      <c r="BU71" s="295">
        <f>SUM($AY$71:BI71)</f>
        <v>98590.793400000024</v>
      </c>
      <c r="BV71" s="295">
        <f>SUM($AY$71:BJ71)</f>
        <v>107553.59280000003</v>
      </c>
      <c r="BW71" s="291"/>
    </row>
    <row r="72" spans="1:75" outlineLevel="1" x14ac:dyDescent="0.25">
      <c r="A72" s="222">
        <v>8</v>
      </c>
      <c r="B72" s="233">
        <f>EEFFun!B541</f>
        <v>45031525</v>
      </c>
      <c r="C72" s="233" t="str">
        <f>EEFFun!C541</f>
        <v>PROMOCION DE VENTAS COMERCIAL NO DEDUCIBLE</v>
      </c>
      <c r="D72" s="257">
        <f>EEFFun!P541</f>
        <v>108567.38</v>
      </c>
      <c r="E72" s="295">
        <f t="shared" si="362"/>
        <v>5805</v>
      </c>
      <c r="F72" s="295">
        <f t="shared" si="363"/>
        <v>10250</v>
      </c>
      <c r="G72" s="295">
        <f t="shared" si="364"/>
        <v>6253.2900000000009</v>
      </c>
      <c r="H72" s="295">
        <f t="shared" si="365"/>
        <v>11207.729999999996</v>
      </c>
      <c r="I72" s="295">
        <f t="shared" si="366"/>
        <v>6727.0300000000061</v>
      </c>
      <c r="J72" s="295">
        <f t="shared" si="367"/>
        <v>3220</v>
      </c>
      <c r="K72" s="295">
        <f t="shared" si="368"/>
        <v>5910</v>
      </c>
      <c r="L72" s="295">
        <f t="shared" si="369"/>
        <v>7460</v>
      </c>
      <c r="M72" s="295">
        <f t="shared" si="370"/>
        <v>7845</v>
      </c>
      <c r="N72" s="295">
        <f t="shared" si="371"/>
        <v>10650</v>
      </c>
      <c r="O72" s="295">
        <f t="shared" si="372"/>
        <v>15015</v>
      </c>
      <c r="P72" s="295">
        <f t="shared" si="372"/>
        <v>8060.0099999999948</v>
      </c>
      <c r="Q72" s="257">
        <f>EEFFun!Q541</f>
        <v>5805</v>
      </c>
      <c r="R72" s="257">
        <f>EEFFun!R541</f>
        <v>16055</v>
      </c>
      <c r="S72" s="257">
        <f>EEFFun!S541</f>
        <v>22308.29</v>
      </c>
      <c r="T72" s="257">
        <f>EEFFun!T541</f>
        <v>33516.019999999997</v>
      </c>
      <c r="U72" s="257">
        <f>EEFFun!U541</f>
        <v>40243.050000000003</v>
      </c>
      <c r="V72" s="257">
        <f>EEFFun!V541</f>
        <v>43463.05</v>
      </c>
      <c r="W72" s="257">
        <f>EEFFun!W541</f>
        <v>49373.05</v>
      </c>
      <c r="X72" s="257">
        <f>EEFFun!X541</f>
        <v>56833.05</v>
      </c>
      <c r="Y72" s="257">
        <f>EEFFun!Y541</f>
        <v>64678.05</v>
      </c>
      <c r="Z72" s="257">
        <f>EEFFun!Z541</f>
        <v>75328.05</v>
      </c>
      <c r="AA72" s="257">
        <f>EEFFun!AA541</f>
        <v>90343.05</v>
      </c>
      <c r="AB72" s="257">
        <f>EEFFun!AB541</f>
        <v>98403.06</v>
      </c>
      <c r="AC72" s="257">
        <f>EEFFun!AC541</f>
        <v>9185</v>
      </c>
      <c r="AD72" s="257">
        <f>EEFFun!AD541</f>
        <v>14735</v>
      </c>
      <c r="AE72" s="257">
        <f>EEFFun!AE541</f>
        <v>22385</v>
      </c>
      <c r="AF72" s="257">
        <f>EEFFun!AF541</f>
        <v>34405</v>
      </c>
      <c r="AG72" s="257">
        <f>EEFFun!AG541</f>
        <v>45325</v>
      </c>
      <c r="AH72" s="257">
        <f>EEFFun!AH541</f>
        <v>56295.96</v>
      </c>
      <c r="AI72" s="257">
        <f>EEFFun!AI541</f>
        <v>67005.960000000006</v>
      </c>
      <c r="AJ72" s="257">
        <f>EEFFun!AJ541</f>
        <v>78306.19</v>
      </c>
      <c r="AK72" s="257">
        <f>EEFFun!AK541</f>
        <v>95953.76</v>
      </c>
      <c r="AL72" s="257">
        <f>EEFFun!AL541</f>
        <v>112303.76</v>
      </c>
      <c r="AM72" s="257">
        <f>EEFFun!AM541</f>
        <v>131998.51999999999</v>
      </c>
      <c r="AN72" s="257">
        <f>EEFFun!AN541</f>
        <v>163700.51</v>
      </c>
      <c r="AO72" s="257">
        <f>EEFFun!AO541</f>
        <v>13190</v>
      </c>
      <c r="AP72" s="257">
        <f>EEFFun!AP541</f>
        <v>31576.400000000001</v>
      </c>
      <c r="AQ72" s="257">
        <f>EEFFun!AQ541</f>
        <v>63387.55</v>
      </c>
      <c r="AR72" s="257">
        <f>EEFFun!AR541</f>
        <v>94298.06</v>
      </c>
      <c r="AS72" s="257">
        <f>EEFFun!AS541</f>
        <v>119818.06</v>
      </c>
      <c r="AT72" s="257">
        <f>EEFFun!AT541</f>
        <v>151118.06</v>
      </c>
      <c r="AU72" s="257">
        <f>EEFFun!AU541</f>
        <v>176374.24</v>
      </c>
      <c r="AV72" s="257">
        <f>EEFFun!AV541</f>
        <v>200099.24</v>
      </c>
      <c r="AW72" s="257">
        <f>EEFFun!AW541</f>
        <v>213464.24</v>
      </c>
      <c r="AX72" s="257">
        <f>EEFFun!AX541</f>
        <v>232874.23999999999</v>
      </c>
      <c r="AY72" s="295">
        <f t="shared" si="373"/>
        <v>20958.6816</v>
      </c>
      <c r="AZ72" s="295">
        <f t="shared" si="373"/>
        <v>20958.6816</v>
      </c>
      <c r="BA72" s="295">
        <f t="shared" si="373"/>
        <v>20958.6816</v>
      </c>
      <c r="BB72" s="295">
        <f t="shared" si="373"/>
        <v>20958.6816</v>
      </c>
      <c r="BC72" s="295">
        <f t="shared" si="373"/>
        <v>20958.6816</v>
      </c>
      <c r="BD72" s="295">
        <f t="shared" si="373"/>
        <v>20958.6816</v>
      </c>
      <c r="BE72" s="295">
        <f t="shared" si="373"/>
        <v>20958.6816</v>
      </c>
      <c r="BF72" s="295">
        <f t="shared" si="373"/>
        <v>20958.6816</v>
      </c>
      <c r="BG72" s="295">
        <f t="shared" si="373"/>
        <v>20958.6816</v>
      </c>
      <c r="BH72" s="295">
        <f t="shared" si="373"/>
        <v>20958.6816</v>
      </c>
      <c r="BI72" s="295">
        <f t="shared" si="373"/>
        <v>20958.6816</v>
      </c>
      <c r="BJ72" s="295">
        <f t="shared" si="373"/>
        <v>20958.6816</v>
      </c>
      <c r="BK72" s="295">
        <f>SUM($AY$72:AY72)</f>
        <v>20958.6816</v>
      </c>
      <c r="BL72" s="295">
        <f>SUM($AY$72:AZ72)</f>
        <v>41917.3632</v>
      </c>
      <c r="BM72" s="295">
        <f>SUM($AY$72:BA72)</f>
        <v>62876.044800000003</v>
      </c>
      <c r="BN72" s="295">
        <f>SUM($AY$72:BB72)</f>
        <v>83834.7264</v>
      </c>
      <c r="BO72" s="295">
        <f>SUM($AY$72:BC72)</f>
        <v>104793.408</v>
      </c>
      <c r="BP72" s="295">
        <f>SUM($AY$72:BD72)</f>
        <v>125752.08959999999</v>
      </c>
      <c r="BQ72" s="295">
        <f>SUM($AY$72:BE72)</f>
        <v>146710.77119999999</v>
      </c>
      <c r="BR72" s="295">
        <f>SUM($AY$72:BF72)</f>
        <v>167669.4528</v>
      </c>
      <c r="BS72" s="295">
        <f>SUM($AY$72:BG72)</f>
        <v>188628.13440000001</v>
      </c>
      <c r="BT72" s="295">
        <f>SUM($AY$72:BH72)</f>
        <v>209586.81600000002</v>
      </c>
      <c r="BU72" s="295">
        <f>SUM($AY$72:BI72)</f>
        <v>230545.49760000003</v>
      </c>
      <c r="BV72" s="295">
        <f>SUM($AY$72:BJ72)</f>
        <v>251504.17920000004</v>
      </c>
      <c r="BW72" s="291"/>
    </row>
    <row r="73" spans="1:75" outlineLevel="1" x14ac:dyDescent="0.25">
      <c r="A73" s="222">
        <v>8</v>
      </c>
      <c r="B73" s="233">
        <f>EEFFun!B542</f>
        <v>45031530</v>
      </c>
      <c r="C73" s="233" t="str">
        <f>EEFFun!C542</f>
        <v>ATENCION A CLIENTES</v>
      </c>
      <c r="D73" s="257">
        <f>EEFFun!P542</f>
        <v>2973.77</v>
      </c>
      <c r="E73" s="295">
        <f t="shared" si="362"/>
        <v>0</v>
      </c>
      <c r="F73" s="295">
        <f t="shared" si="363"/>
        <v>0</v>
      </c>
      <c r="G73" s="295">
        <f t="shared" si="364"/>
        <v>39.36</v>
      </c>
      <c r="H73" s="295">
        <f t="shared" si="365"/>
        <v>3.9399999999999977</v>
      </c>
      <c r="I73" s="295">
        <f t="shared" si="366"/>
        <v>0</v>
      </c>
      <c r="J73" s="295">
        <f t="shared" si="367"/>
        <v>88.589999999999989</v>
      </c>
      <c r="K73" s="295">
        <f t="shared" si="368"/>
        <v>0</v>
      </c>
      <c r="L73" s="295">
        <f t="shared" si="369"/>
        <v>0</v>
      </c>
      <c r="M73" s="295">
        <f t="shared" si="370"/>
        <v>90</v>
      </c>
      <c r="N73" s="295">
        <f t="shared" si="371"/>
        <v>0</v>
      </c>
      <c r="O73" s="295">
        <f t="shared" si="372"/>
        <v>0</v>
      </c>
      <c r="P73" s="295">
        <f t="shared" si="372"/>
        <v>423.25</v>
      </c>
      <c r="Q73" s="257">
        <f>EEFFun!Q542</f>
        <v>0</v>
      </c>
      <c r="R73" s="257">
        <f>EEFFun!R542</f>
        <v>0</v>
      </c>
      <c r="S73" s="257">
        <f>EEFFun!S542</f>
        <v>39.36</v>
      </c>
      <c r="T73" s="257">
        <f>EEFFun!T542</f>
        <v>43.3</v>
      </c>
      <c r="U73" s="257">
        <f>EEFFun!U542</f>
        <v>43.3</v>
      </c>
      <c r="V73" s="257">
        <f>EEFFun!V542</f>
        <v>131.88999999999999</v>
      </c>
      <c r="W73" s="257">
        <f>EEFFun!W542</f>
        <v>131.88999999999999</v>
      </c>
      <c r="X73" s="257">
        <f>EEFFun!X542</f>
        <v>131.88999999999999</v>
      </c>
      <c r="Y73" s="257">
        <f>EEFFun!Y542</f>
        <v>221.89</v>
      </c>
      <c r="Z73" s="257">
        <f>EEFFun!Z542</f>
        <v>221.89</v>
      </c>
      <c r="AA73" s="257">
        <f>EEFFun!AA542</f>
        <v>221.89</v>
      </c>
      <c r="AB73" s="257">
        <f>EEFFun!AB542</f>
        <v>645.14</v>
      </c>
      <c r="AC73" s="257">
        <f>EEFFun!AC542</f>
        <v>81.06</v>
      </c>
      <c r="AD73" s="257">
        <f>EEFFun!AD542</f>
        <v>81.06</v>
      </c>
      <c r="AE73" s="257">
        <f>EEFFun!AE542</f>
        <v>81.06</v>
      </c>
      <c r="AF73" s="257">
        <f>EEFFun!AF542</f>
        <v>81.06</v>
      </c>
      <c r="AG73" s="257">
        <f>EEFFun!AG542</f>
        <v>111.06</v>
      </c>
      <c r="AH73" s="257">
        <f>EEFFun!AH542</f>
        <v>136.66999999999999</v>
      </c>
      <c r="AI73" s="257">
        <f>EEFFun!AI542</f>
        <v>233.85</v>
      </c>
      <c r="AJ73" s="257">
        <f>EEFFun!AJ542</f>
        <v>341.11</v>
      </c>
      <c r="AK73" s="257">
        <f>EEFFun!AK542</f>
        <v>500.79</v>
      </c>
      <c r="AL73" s="257">
        <f>EEFFun!AL542</f>
        <v>665.88</v>
      </c>
      <c r="AM73" s="257">
        <f>EEFFun!AM542</f>
        <v>688.84</v>
      </c>
      <c r="AN73" s="257">
        <f>EEFFun!AN542</f>
        <v>3192.45</v>
      </c>
      <c r="AO73" s="257">
        <f>EEFFun!AO542</f>
        <v>37.74</v>
      </c>
      <c r="AP73" s="257">
        <f>EEFFun!AP542</f>
        <v>105.63</v>
      </c>
      <c r="AQ73" s="257">
        <f>EEFFun!AQ542</f>
        <v>648.73</v>
      </c>
      <c r="AR73" s="257">
        <f>EEFFun!AR542</f>
        <v>753.96</v>
      </c>
      <c r="AS73" s="257">
        <f>EEFFun!AS542</f>
        <v>1564.82</v>
      </c>
      <c r="AT73" s="257">
        <f>EEFFun!AT542</f>
        <v>1711.51</v>
      </c>
      <c r="AU73" s="257">
        <f>EEFFun!AU542</f>
        <v>1737.59</v>
      </c>
      <c r="AV73" s="257">
        <f>EEFFun!AV542</f>
        <v>1875.06</v>
      </c>
      <c r="AW73" s="257">
        <f>EEFFun!AW542</f>
        <v>1919.06</v>
      </c>
      <c r="AX73" s="257">
        <f>EEFFun!AX542</f>
        <v>1943.4</v>
      </c>
      <c r="AY73" s="295">
        <f t="shared" si="373"/>
        <v>174.90600000000001</v>
      </c>
      <c r="AZ73" s="295">
        <f t="shared" si="373"/>
        <v>174.90600000000001</v>
      </c>
      <c r="BA73" s="295">
        <f t="shared" si="373"/>
        <v>174.90600000000001</v>
      </c>
      <c r="BB73" s="295">
        <f t="shared" si="373"/>
        <v>174.90600000000001</v>
      </c>
      <c r="BC73" s="295">
        <f t="shared" si="373"/>
        <v>174.90600000000001</v>
      </c>
      <c r="BD73" s="295">
        <f t="shared" si="373"/>
        <v>174.90600000000001</v>
      </c>
      <c r="BE73" s="295">
        <f t="shared" si="373"/>
        <v>174.90600000000001</v>
      </c>
      <c r="BF73" s="295">
        <f t="shared" si="373"/>
        <v>174.90600000000001</v>
      </c>
      <c r="BG73" s="295">
        <f t="shared" si="373"/>
        <v>174.90600000000001</v>
      </c>
      <c r="BH73" s="295">
        <f t="shared" si="373"/>
        <v>174.90600000000001</v>
      </c>
      <c r="BI73" s="295">
        <f t="shared" si="373"/>
        <v>174.90600000000001</v>
      </c>
      <c r="BJ73" s="295">
        <f t="shared" si="373"/>
        <v>174.90600000000001</v>
      </c>
      <c r="BK73" s="295">
        <f>SUM($AY$73:AY73)</f>
        <v>174.90600000000001</v>
      </c>
      <c r="BL73" s="295">
        <f>SUM($AY$73:AZ73)</f>
        <v>349.81200000000001</v>
      </c>
      <c r="BM73" s="295">
        <f>SUM($AY$73:BA73)</f>
        <v>524.71800000000007</v>
      </c>
      <c r="BN73" s="295">
        <f>SUM($AY$73:BB73)</f>
        <v>699.62400000000002</v>
      </c>
      <c r="BO73" s="295">
        <f>SUM($AY$73:BC73)</f>
        <v>874.53</v>
      </c>
      <c r="BP73" s="295">
        <f>SUM($AY$73:BD73)</f>
        <v>1049.4359999999999</v>
      </c>
      <c r="BQ73" s="295">
        <f>SUM($AY$73:BE73)</f>
        <v>1224.3419999999999</v>
      </c>
      <c r="BR73" s="295">
        <f>SUM($AY$73:BF73)</f>
        <v>1399.2479999999998</v>
      </c>
      <c r="BS73" s="295">
        <f>SUM($AY$73:BG73)</f>
        <v>1574.1539999999998</v>
      </c>
      <c r="BT73" s="295">
        <f>SUM($AY$73:BH73)</f>
        <v>1749.0599999999997</v>
      </c>
      <c r="BU73" s="295">
        <f>SUM($AY$73:BI73)</f>
        <v>1923.9659999999997</v>
      </c>
      <c r="BV73" s="295">
        <f>SUM($AY$73:BJ73)</f>
        <v>2098.8719999999998</v>
      </c>
      <c r="BW73" s="291"/>
    </row>
    <row r="74" spans="1:75" outlineLevel="1" x14ac:dyDescent="0.25">
      <c r="A74" s="222">
        <v>6</v>
      </c>
      <c r="B74" s="233">
        <f>EEFFun!B543</f>
        <v>450320</v>
      </c>
      <c r="C74" s="233" t="str">
        <f>EEFFun!C543</f>
        <v>Servicios básicos</v>
      </c>
      <c r="D74" s="257">
        <f>EEFFun!P543</f>
        <v>61662.05</v>
      </c>
      <c r="E74" s="295">
        <f t="shared" ref="E74" si="374">SUM(E75:E80)</f>
        <v>4037.5</v>
      </c>
      <c r="F74" s="295">
        <f t="shared" ref="F74" si="375">SUM(F75:F80)</f>
        <v>10241.439999999999</v>
      </c>
      <c r="G74" s="295">
        <f t="shared" ref="G74" si="376">SUM(G75:G80)</f>
        <v>7299.3499999999995</v>
      </c>
      <c r="H74" s="295">
        <f t="shared" ref="H74:O74" si="377">SUM(H75:H80)</f>
        <v>9409.81</v>
      </c>
      <c r="I74" s="295">
        <f t="shared" si="377"/>
        <v>6956.6</v>
      </c>
      <c r="J74" s="295">
        <f t="shared" si="377"/>
        <v>6579.7000000000016</v>
      </c>
      <c r="K74" s="295">
        <f t="shared" si="377"/>
        <v>6570.7699999999986</v>
      </c>
      <c r="L74" s="295">
        <f t="shared" si="377"/>
        <v>8106.5100000000011</v>
      </c>
      <c r="M74" s="295">
        <f t="shared" si="377"/>
        <v>7080</v>
      </c>
      <c r="N74" s="295">
        <f t="shared" si="377"/>
        <v>6556.2499999999982</v>
      </c>
      <c r="O74" s="295">
        <f t="shared" si="377"/>
        <v>7465.0299999999979</v>
      </c>
      <c r="P74" s="295">
        <f t="shared" ref="P74" si="378">SUM(P75:P80)</f>
        <v>7243.9000000000005</v>
      </c>
      <c r="Q74" s="257">
        <f>EEFFun!Q543</f>
        <v>4037.5</v>
      </c>
      <c r="R74" s="257">
        <f>EEFFun!R543</f>
        <v>14278.94</v>
      </c>
      <c r="S74" s="257">
        <f>EEFFun!S543</f>
        <v>21578.29</v>
      </c>
      <c r="T74" s="257">
        <f>EEFFun!T543</f>
        <v>30988.1</v>
      </c>
      <c r="U74" s="257">
        <f>EEFFun!U543</f>
        <v>37944.699999999997</v>
      </c>
      <c r="V74" s="257">
        <f>EEFFun!V543</f>
        <v>44524.4</v>
      </c>
      <c r="W74" s="257">
        <f>EEFFun!W543</f>
        <v>51095.17</v>
      </c>
      <c r="X74" s="257">
        <f>EEFFun!X543</f>
        <v>59201.68</v>
      </c>
      <c r="Y74" s="257">
        <f>EEFFun!Y543</f>
        <v>66281.679999999993</v>
      </c>
      <c r="Z74" s="257">
        <f>EEFFun!Z543</f>
        <v>72837.929999999993</v>
      </c>
      <c r="AA74" s="257">
        <f>EEFFun!AA543</f>
        <v>80302.960000000006</v>
      </c>
      <c r="AB74" s="257">
        <f>EEFFun!AB543</f>
        <v>87546.86</v>
      </c>
      <c r="AC74" s="257">
        <f>EEFFun!AC543</f>
        <v>6869.5</v>
      </c>
      <c r="AD74" s="257">
        <f>EEFFun!AD543</f>
        <v>14130.67</v>
      </c>
      <c r="AE74" s="257">
        <f>EEFFun!AE543</f>
        <v>20938.54</v>
      </c>
      <c r="AF74" s="257">
        <f>EEFFun!AF543</f>
        <v>28417.85</v>
      </c>
      <c r="AG74" s="257">
        <f>EEFFun!AG543</f>
        <v>35162.07</v>
      </c>
      <c r="AH74" s="257">
        <f>EEFFun!AH543</f>
        <v>42143.88</v>
      </c>
      <c r="AI74" s="257">
        <f>EEFFun!AI543</f>
        <v>49036.62</v>
      </c>
      <c r="AJ74" s="257">
        <f>EEFFun!AJ543</f>
        <v>56181.1</v>
      </c>
      <c r="AK74" s="257">
        <f>EEFFun!AK543</f>
        <v>63027.32</v>
      </c>
      <c r="AL74" s="257">
        <f>EEFFun!AL543</f>
        <v>70311.09</v>
      </c>
      <c r="AM74" s="257">
        <f>EEFFun!AM543</f>
        <v>76771.28</v>
      </c>
      <c r="AN74" s="257">
        <f>EEFFun!AN543</f>
        <v>83979.18</v>
      </c>
      <c r="AO74" s="257">
        <f>EEFFun!AO543</f>
        <v>6971.79</v>
      </c>
      <c r="AP74" s="257">
        <f>EEFFun!AP543</f>
        <v>14703.5</v>
      </c>
      <c r="AQ74" s="257">
        <f>EEFFun!AQ543</f>
        <v>21649.81</v>
      </c>
      <c r="AR74" s="257">
        <f>EEFFun!AR543</f>
        <v>31075.51</v>
      </c>
      <c r="AS74" s="257">
        <f>EEFFun!AS543</f>
        <v>39022.39</v>
      </c>
      <c r="AT74" s="257">
        <f>EEFFun!AT543</f>
        <v>47348.9</v>
      </c>
      <c r="AU74" s="257">
        <f>EEFFun!AU543</f>
        <v>54792.23</v>
      </c>
      <c r="AV74" s="257">
        <f>EEFFun!AV543</f>
        <v>62779.33</v>
      </c>
      <c r="AW74" s="257">
        <f>EEFFun!AW543</f>
        <v>71017.350000000006</v>
      </c>
      <c r="AX74" s="257">
        <f>EEFFun!AX543</f>
        <v>78017.509999999995</v>
      </c>
      <c r="AY74" s="295">
        <f t="shared" ref="AY74" si="379">SUM(AY75:AY80)</f>
        <v>6918.4602000000004</v>
      </c>
      <c r="AZ74" s="295">
        <f t="shared" ref="AZ74:BJ74" si="380">SUM(AZ75:AZ80)</f>
        <v>6918.4602000000004</v>
      </c>
      <c r="BA74" s="295">
        <f t="shared" si="380"/>
        <v>6918.4602000000004</v>
      </c>
      <c r="BB74" s="295">
        <f t="shared" si="380"/>
        <v>6918.4602000000004</v>
      </c>
      <c r="BC74" s="295">
        <f t="shared" si="380"/>
        <v>6918.4602000000004</v>
      </c>
      <c r="BD74" s="295">
        <f t="shared" si="380"/>
        <v>6918.4602000000004</v>
      </c>
      <c r="BE74" s="295">
        <f t="shared" si="380"/>
        <v>6918.4602000000004</v>
      </c>
      <c r="BF74" s="295">
        <f t="shared" si="380"/>
        <v>6918.4602000000004</v>
      </c>
      <c r="BG74" s="295">
        <f t="shared" si="380"/>
        <v>6918.4602000000004</v>
      </c>
      <c r="BH74" s="295">
        <f t="shared" si="380"/>
        <v>6918.4602000000004</v>
      </c>
      <c r="BI74" s="295">
        <f t="shared" si="380"/>
        <v>6918.4602000000004</v>
      </c>
      <c r="BJ74" s="295">
        <f t="shared" si="380"/>
        <v>6918.4602000000004</v>
      </c>
      <c r="BK74" s="295">
        <f t="shared" ref="BK74:BQ74" si="381">SUM(BK75:BK80)</f>
        <v>6918.4602000000004</v>
      </c>
      <c r="BL74" s="295">
        <f t="shared" si="381"/>
        <v>13836.920400000001</v>
      </c>
      <c r="BM74" s="295">
        <f t="shared" si="381"/>
        <v>20755.380600000004</v>
      </c>
      <c r="BN74" s="295">
        <f t="shared" si="381"/>
        <v>27673.840800000002</v>
      </c>
      <c r="BO74" s="295">
        <f t="shared" si="381"/>
        <v>34592.300999999999</v>
      </c>
      <c r="BP74" s="295">
        <f t="shared" si="381"/>
        <v>41510.761200000001</v>
      </c>
      <c r="BQ74" s="295">
        <f t="shared" si="381"/>
        <v>48429.221399999995</v>
      </c>
      <c r="BR74" s="295">
        <f t="shared" ref="BR74" si="382">SUM(BR75:BR80)</f>
        <v>55347.681599999996</v>
      </c>
      <c r="BS74" s="295">
        <f t="shared" ref="BS74" si="383">SUM(BS75:BS80)</f>
        <v>62266.141800000005</v>
      </c>
      <c r="BT74" s="295">
        <f t="shared" ref="BT74" si="384">SUM(BT75:BT80)</f>
        <v>69184.602000000014</v>
      </c>
      <c r="BU74" s="295">
        <f t="shared" ref="BU74" si="385">SUM(BU75:BU80)</f>
        <v>76103.062200000015</v>
      </c>
      <c r="BV74" s="295">
        <f t="shared" ref="BV74" si="386">SUM(BV75:BV80)</f>
        <v>83021.522400000016</v>
      </c>
      <c r="BW74" s="291"/>
    </row>
    <row r="75" spans="1:75" outlineLevel="1" x14ac:dyDescent="0.25">
      <c r="A75" s="222">
        <v>8</v>
      </c>
      <c r="B75" s="233">
        <f>EEFFun!B544</f>
        <v>45032005</v>
      </c>
      <c r="C75" s="233" t="str">
        <f>EEFFun!C544</f>
        <v>TELEFONIA FIJA</v>
      </c>
      <c r="D75" s="257">
        <f>EEFFun!P544</f>
        <v>5513.47</v>
      </c>
      <c r="E75" s="295">
        <f t="shared" ref="E75:E80" si="387">Q75</f>
        <v>464.42</v>
      </c>
      <c r="F75" s="295">
        <f t="shared" ref="F75:F81" si="388">R75-Q75</f>
        <v>435.73999999999995</v>
      </c>
      <c r="G75" s="295">
        <f t="shared" ref="G75:G81" si="389">S75-R75</f>
        <v>416.07000000000005</v>
      </c>
      <c r="H75" s="295">
        <f t="shared" ref="H75:H81" si="390">T75-S75</f>
        <v>413.03999999999996</v>
      </c>
      <c r="I75" s="295">
        <f t="shared" ref="I75:I81" si="391">U75-T75</f>
        <v>478.19000000000005</v>
      </c>
      <c r="J75" s="295">
        <f t="shared" ref="J75:J81" si="392">V75-U75</f>
        <v>440.15999999999985</v>
      </c>
      <c r="K75" s="295">
        <f t="shared" ref="K75:K81" si="393">W75-V75</f>
        <v>422.19000000000005</v>
      </c>
      <c r="L75" s="295">
        <f t="shared" ref="L75:L81" si="394">X75-W75</f>
        <v>429.75</v>
      </c>
      <c r="M75" s="295">
        <f t="shared" ref="M75:M81" si="395">Y75-X75</f>
        <v>405.46000000000004</v>
      </c>
      <c r="N75" s="295">
        <f t="shared" ref="N75:N81" si="396">Z75-Y75</f>
        <v>423.70000000000027</v>
      </c>
      <c r="O75" s="295">
        <f t="shared" ref="O75:P81" si="397">AA75-Z75</f>
        <v>411.71000000000004</v>
      </c>
      <c r="P75" s="295">
        <f t="shared" si="397"/>
        <v>351.71000000000004</v>
      </c>
      <c r="Q75" s="257">
        <f>EEFFun!Q544</f>
        <v>464.42</v>
      </c>
      <c r="R75" s="257">
        <f>EEFFun!R544</f>
        <v>900.16</v>
      </c>
      <c r="S75" s="257">
        <f>EEFFun!S544</f>
        <v>1316.23</v>
      </c>
      <c r="T75" s="257">
        <f>EEFFun!T544</f>
        <v>1729.27</v>
      </c>
      <c r="U75" s="257">
        <f>EEFFun!U544</f>
        <v>2207.46</v>
      </c>
      <c r="V75" s="257">
        <f>EEFFun!V544</f>
        <v>2647.62</v>
      </c>
      <c r="W75" s="257">
        <f>EEFFun!W544</f>
        <v>3069.81</v>
      </c>
      <c r="X75" s="257">
        <f>EEFFun!X544</f>
        <v>3499.56</v>
      </c>
      <c r="Y75" s="257">
        <f>EEFFun!Y544</f>
        <v>3905.02</v>
      </c>
      <c r="Z75" s="257">
        <f>EEFFun!Z544</f>
        <v>4328.72</v>
      </c>
      <c r="AA75" s="257">
        <f>EEFFun!AA544</f>
        <v>4740.43</v>
      </c>
      <c r="AB75" s="257">
        <f>EEFFun!AB544</f>
        <v>5092.1400000000003</v>
      </c>
      <c r="AC75" s="257">
        <f>EEFFun!AC544</f>
        <v>357.1</v>
      </c>
      <c r="AD75" s="257">
        <f>EEFFun!AD544</f>
        <v>738</v>
      </c>
      <c r="AE75" s="257">
        <f>EEFFun!AE544</f>
        <v>1089.9000000000001</v>
      </c>
      <c r="AF75" s="257">
        <f>EEFFun!AF544</f>
        <v>1466.47</v>
      </c>
      <c r="AG75" s="257">
        <f>EEFFun!AG544</f>
        <v>1814.37</v>
      </c>
      <c r="AH75" s="257">
        <f>EEFFun!AH544</f>
        <v>2173.0100000000002</v>
      </c>
      <c r="AI75" s="257">
        <f>EEFFun!AI544</f>
        <v>2522.02</v>
      </c>
      <c r="AJ75" s="257">
        <f>EEFFun!AJ544</f>
        <v>2878.7</v>
      </c>
      <c r="AK75" s="257">
        <f>EEFFun!AK544</f>
        <v>3233.52</v>
      </c>
      <c r="AL75" s="257">
        <f>EEFFun!AL544</f>
        <v>3582.96</v>
      </c>
      <c r="AM75" s="257">
        <f>EEFFun!AM544</f>
        <v>3944.72</v>
      </c>
      <c r="AN75" s="257">
        <f>EEFFun!AN544</f>
        <v>4311.57</v>
      </c>
      <c r="AO75" s="257">
        <f>EEFFun!AO544</f>
        <v>341.12</v>
      </c>
      <c r="AP75" s="257">
        <f>EEFFun!AP544</f>
        <v>659.41</v>
      </c>
      <c r="AQ75" s="257">
        <f>EEFFun!AQ544</f>
        <v>1047.55</v>
      </c>
      <c r="AR75" s="257">
        <f>EEFFun!AR544</f>
        <v>1409.05</v>
      </c>
      <c r="AS75" s="257">
        <f>EEFFun!AS544</f>
        <v>1760.1</v>
      </c>
      <c r="AT75" s="257">
        <f>EEFFun!AT544</f>
        <v>2104</v>
      </c>
      <c r="AU75" s="257">
        <f>EEFFun!AU544</f>
        <v>2461.0300000000002</v>
      </c>
      <c r="AV75" s="257">
        <f>EEFFun!AV544</f>
        <v>2813.78</v>
      </c>
      <c r="AW75" s="257">
        <f>EEFFun!AW544</f>
        <v>3165.4</v>
      </c>
      <c r="AX75" s="257">
        <f>EEFFun!AX544</f>
        <v>3511.36</v>
      </c>
      <c r="AY75" s="295">
        <f t="shared" si="373"/>
        <v>316.0224</v>
      </c>
      <c r="AZ75" s="295">
        <f t="shared" si="373"/>
        <v>316.0224</v>
      </c>
      <c r="BA75" s="295">
        <f t="shared" si="373"/>
        <v>316.0224</v>
      </c>
      <c r="BB75" s="295">
        <f t="shared" si="373"/>
        <v>316.0224</v>
      </c>
      <c r="BC75" s="295">
        <f t="shared" si="373"/>
        <v>316.0224</v>
      </c>
      <c r="BD75" s="295">
        <f t="shared" si="373"/>
        <v>316.0224</v>
      </c>
      <c r="BE75" s="295">
        <f t="shared" si="373"/>
        <v>316.0224</v>
      </c>
      <c r="BF75" s="295">
        <f t="shared" si="373"/>
        <v>316.0224</v>
      </c>
      <c r="BG75" s="295">
        <f t="shared" si="373"/>
        <v>316.0224</v>
      </c>
      <c r="BH75" s="295">
        <f t="shared" si="373"/>
        <v>316.0224</v>
      </c>
      <c r="BI75" s="295">
        <f t="shared" si="373"/>
        <v>316.0224</v>
      </c>
      <c r="BJ75" s="295">
        <f t="shared" si="373"/>
        <v>316.0224</v>
      </c>
      <c r="BK75" s="295">
        <f>SUM($AY$75:AY75)</f>
        <v>316.0224</v>
      </c>
      <c r="BL75" s="295">
        <f>SUM($AY$75:AZ75)</f>
        <v>632.04480000000001</v>
      </c>
      <c r="BM75" s="295">
        <f>SUM($AY$75:BA75)</f>
        <v>948.06719999999996</v>
      </c>
      <c r="BN75" s="295">
        <f>SUM($AY$75:BB75)</f>
        <v>1264.0896</v>
      </c>
      <c r="BO75" s="295">
        <f>SUM($AY$75:BC75)</f>
        <v>1580.1120000000001</v>
      </c>
      <c r="BP75" s="295">
        <f>SUM($AY$75:BD75)</f>
        <v>1896.1344000000001</v>
      </c>
      <c r="BQ75" s="295">
        <f>SUM($AY$75:BE75)</f>
        <v>2212.1568000000002</v>
      </c>
      <c r="BR75" s="295">
        <f>SUM($AY$75:BF75)</f>
        <v>2528.1792</v>
      </c>
      <c r="BS75" s="295">
        <f>SUM($AY$75:BG75)</f>
        <v>2844.2015999999999</v>
      </c>
      <c r="BT75" s="295">
        <f>SUM($AY$75:BH75)</f>
        <v>3160.2239999999997</v>
      </c>
      <c r="BU75" s="295">
        <f>SUM($AY$75:BI75)</f>
        <v>3476.2463999999995</v>
      </c>
      <c r="BV75" s="295">
        <f>SUM($AY$75:BJ75)</f>
        <v>3792.2687999999994</v>
      </c>
      <c r="BW75" s="291"/>
    </row>
    <row r="76" spans="1:75" outlineLevel="1" x14ac:dyDescent="0.25">
      <c r="A76" s="222">
        <v>8</v>
      </c>
      <c r="B76" s="233">
        <f>EEFFun!B545</f>
        <v>45032010</v>
      </c>
      <c r="C76" s="233" t="str">
        <f>EEFFun!C545</f>
        <v>TELEFONIA MOVIL</v>
      </c>
      <c r="D76" s="257">
        <f>EEFFun!P545</f>
        <v>7366.8</v>
      </c>
      <c r="E76" s="295">
        <f t="shared" si="387"/>
        <v>619.08000000000004</v>
      </c>
      <c r="F76" s="295">
        <f t="shared" si="388"/>
        <v>610.32000000000005</v>
      </c>
      <c r="G76" s="295">
        <f t="shared" si="389"/>
        <v>606.04</v>
      </c>
      <c r="H76" s="295">
        <f t="shared" si="390"/>
        <v>817.44</v>
      </c>
      <c r="I76" s="295">
        <f t="shared" si="391"/>
        <v>584.23999999999978</v>
      </c>
      <c r="J76" s="295">
        <f t="shared" si="392"/>
        <v>607.47000000000025</v>
      </c>
      <c r="K76" s="295">
        <f t="shared" si="393"/>
        <v>630.4399999999996</v>
      </c>
      <c r="L76" s="295">
        <f t="shared" si="394"/>
        <v>584.75</v>
      </c>
      <c r="M76" s="295">
        <f t="shared" si="395"/>
        <v>663.89000000000033</v>
      </c>
      <c r="N76" s="295">
        <f t="shared" si="396"/>
        <v>685.56999999999971</v>
      </c>
      <c r="O76" s="295">
        <f t="shared" si="397"/>
        <v>654.75</v>
      </c>
      <c r="P76" s="295">
        <f t="shared" si="397"/>
        <v>708.48999999999978</v>
      </c>
      <c r="Q76" s="257">
        <f>EEFFun!Q545</f>
        <v>619.08000000000004</v>
      </c>
      <c r="R76" s="257">
        <f>EEFFun!R545</f>
        <v>1229.4000000000001</v>
      </c>
      <c r="S76" s="257">
        <f>EEFFun!S545</f>
        <v>1835.44</v>
      </c>
      <c r="T76" s="257">
        <f>EEFFun!T545</f>
        <v>2652.88</v>
      </c>
      <c r="U76" s="257">
        <f>EEFFun!U545</f>
        <v>3237.12</v>
      </c>
      <c r="V76" s="257">
        <f>EEFFun!V545</f>
        <v>3844.59</v>
      </c>
      <c r="W76" s="257">
        <f>EEFFun!W545</f>
        <v>4475.03</v>
      </c>
      <c r="X76" s="257">
        <f>EEFFun!X545</f>
        <v>5059.78</v>
      </c>
      <c r="Y76" s="257">
        <f>EEFFun!Y545</f>
        <v>5723.67</v>
      </c>
      <c r="Z76" s="257">
        <f>EEFFun!Z545</f>
        <v>6409.24</v>
      </c>
      <c r="AA76" s="257">
        <f>EEFFun!AA545</f>
        <v>7063.99</v>
      </c>
      <c r="AB76" s="257">
        <f>EEFFun!AB545</f>
        <v>7772.48</v>
      </c>
      <c r="AC76" s="257">
        <f>EEFFun!AC545</f>
        <v>695.21</v>
      </c>
      <c r="AD76" s="257">
        <f>EEFFun!AD545</f>
        <v>1392.36</v>
      </c>
      <c r="AE76" s="257">
        <f>EEFFun!AE545</f>
        <v>2090.4</v>
      </c>
      <c r="AF76" s="257">
        <f>EEFFun!AF545</f>
        <v>2826.09</v>
      </c>
      <c r="AG76" s="257">
        <f>EEFFun!AG545</f>
        <v>3544.97</v>
      </c>
      <c r="AH76" s="257">
        <f>EEFFun!AH545</f>
        <v>4231.33</v>
      </c>
      <c r="AI76" s="257">
        <f>EEFFun!AI545</f>
        <v>4899.9799999999996</v>
      </c>
      <c r="AJ76" s="257">
        <f>EEFFun!AJ545</f>
        <v>5568.92</v>
      </c>
      <c r="AK76" s="257">
        <f>EEFFun!AK545</f>
        <v>6257.36</v>
      </c>
      <c r="AL76" s="257">
        <f>EEFFun!AL545</f>
        <v>6946.07</v>
      </c>
      <c r="AM76" s="257">
        <f>EEFFun!AM545</f>
        <v>7791.08</v>
      </c>
      <c r="AN76" s="257">
        <f>EEFFun!AN545</f>
        <v>8633.2900000000009</v>
      </c>
      <c r="AO76" s="257">
        <f>EEFFun!AO545</f>
        <v>878.66</v>
      </c>
      <c r="AP76" s="257">
        <f>EEFFun!AP545</f>
        <v>1770.47</v>
      </c>
      <c r="AQ76" s="257">
        <f>EEFFun!AQ545</f>
        <v>2674.27</v>
      </c>
      <c r="AR76" s="257">
        <f>EEFFun!AR545</f>
        <v>3610.95</v>
      </c>
      <c r="AS76" s="257">
        <f>EEFFun!AS545</f>
        <v>4539.07</v>
      </c>
      <c r="AT76" s="257">
        <f>EEFFun!AT545</f>
        <v>5483.18</v>
      </c>
      <c r="AU76" s="257">
        <f>EEFFun!AU545</f>
        <v>6522.84</v>
      </c>
      <c r="AV76" s="257">
        <f>EEFFun!AV545</f>
        <v>7472.64</v>
      </c>
      <c r="AW76" s="257">
        <f>EEFFun!AW545</f>
        <v>8443.25</v>
      </c>
      <c r="AX76" s="257">
        <f>EEFFun!AX545</f>
        <v>9502.14</v>
      </c>
      <c r="AY76" s="295">
        <f t="shared" si="373"/>
        <v>855.19259999999997</v>
      </c>
      <c r="AZ76" s="295">
        <f t="shared" si="373"/>
        <v>855.19259999999997</v>
      </c>
      <c r="BA76" s="295">
        <f t="shared" si="373"/>
        <v>855.19259999999997</v>
      </c>
      <c r="BB76" s="295">
        <f t="shared" si="373"/>
        <v>855.19259999999997</v>
      </c>
      <c r="BC76" s="295">
        <f t="shared" si="373"/>
        <v>855.19259999999997</v>
      </c>
      <c r="BD76" s="295">
        <f t="shared" si="373"/>
        <v>855.19259999999997</v>
      </c>
      <c r="BE76" s="295">
        <f t="shared" si="373"/>
        <v>855.19259999999997</v>
      </c>
      <c r="BF76" s="295">
        <f t="shared" si="373"/>
        <v>855.19259999999997</v>
      </c>
      <c r="BG76" s="295">
        <f t="shared" si="373"/>
        <v>855.19259999999997</v>
      </c>
      <c r="BH76" s="295">
        <f t="shared" si="373"/>
        <v>855.19259999999997</v>
      </c>
      <c r="BI76" s="295">
        <f t="shared" si="373"/>
        <v>855.19259999999997</v>
      </c>
      <c r="BJ76" s="295">
        <f t="shared" si="373"/>
        <v>855.19259999999997</v>
      </c>
      <c r="BK76" s="295">
        <f>SUM($AY$76:AY76)</f>
        <v>855.19259999999997</v>
      </c>
      <c r="BL76" s="295">
        <f>SUM($AY$76:AZ76)</f>
        <v>1710.3851999999999</v>
      </c>
      <c r="BM76" s="295">
        <f>SUM($AY$76:BA76)</f>
        <v>2565.5778</v>
      </c>
      <c r="BN76" s="295">
        <f>SUM($AY$76:BB76)</f>
        <v>3420.7703999999999</v>
      </c>
      <c r="BO76" s="295">
        <f>SUM($AY$76:BC76)</f>
        <v>4275.9629999999997</v>
      </c>
      <c r="BP76" s="295">
        <f>SUM($AY$76:BD76)</f>
        <v>5131.1556</v>
      </c>
      <c r="BQ76" s="295">
        <f>SUM($AY$76:BE76)</f>
        <v>5986.3482000000004</v>
      </c>
      <c r="BR76" s="295">
        <f>SUM($AY$76:BF76)</f>
        <v>6841.5408000000007</v>
      </c>
      <c r="BS76" s="295">
        <f>SUM($AY$76:BG76)</f>
        <v>7696.733400000001</v>
      </c>
      <c r="BT76" s="295">
        <f>SUM($AY$76:BH76)</f>
        <v>8551.9260000000013</v>
      </c>
      <c r="BU76" s="295">
        <f>SUM($AY$76:BI76)</f>
        <v>9407.1186000000016</v>
      </c>
      <c r="BV76" s="295">
        <f>SUM($AY$76:BJ76)</f>
        <v>10262.311200000002</v>
      </c>
      <c r="BW76" s="291"/>
    </row>
    <row r="77" spans="1:75" outlineLevel="1" x14ac:dyDescent="0.25">
      <c r="A77" s="222">
        <v>8</v>
      </c>
      <c r="B77" s="233">
        <f>EEFFun!B546</f>
        <v>45032015</v>
      </c>
      <c r="C77" s="233" t="str">
        <f>EEFFun!C546</f>
        <v>ENERGIA ELECTRICA</v>
      </c>
      <c r="D77" s="257">
        <f>EEFFun!P546</f>
        <v>41495.21</v>
      </c>
      <c r="E77" s="295">
        <f t="shared" si="387"/>
        <v>255.79</v>
      </c>
      <c r="F77" s="295">
        <f t="shared" si="388"/>
        <v>6319.66</v>
      </c>
      <c r="G77" s="295">
        <f t="shared" si="389"/>
        <v>3507.29</v>
      </c>
      <c r="H77" s="295">
        <f t="shared" si="390"/>
        <v>4985.75</v>
      </c>
      <c r="I77" s="295">
        <f t="shared" si="391"/>
        <v>3132.8000000000011</v>
      </c>
      <c r="J77" s="295">
        <f t="shared" si="392"/>
        <v>2833.8600000000006</v>
      </c>
      <c r="K77" s="295">
        <f t="shared" si="393"/>
        <v>2730.6899999999987</v>
      </c>
      <c r="L77" s="295">
        <f t="shared" si="394"/>
        <v>4312.6399999999994</v>
      </c>
      <c r="M77" s="295">
        <f t="shared" si="395"/>
        <v>3354.3500000000022</v>
      </c>
      <c r="N77" s="295">
        <f t="shared" si="396"/>
        <v>2678.8799999999974</v>
      </c>
      <c r="O77" s="295">
        <f t="shared" si="397"/>
        <v>3714.5</v>
      </c>
      <c r="P77" s="295">
        <f t="shared" si="397"/>
        <v>3349.7099999999991</v>
      </c>
      <c r="Q77" s="257">
        <f>EEFFun!Q546</f>
        <v>255.79</v>
      </c>
      <c r="R77" s="257">
        <f>EEFFun!R546</f>
        <v>6575.45</v>
      </c>
      <c r="S77" s="257">
        <f>EEFFun!S546</f>
        <v>10082.74</v>
      </c>
      <c r="T77" s="257">
        <f>EEFFun!T546</f>
        <v>15068.49</v>
      </c>
      <c r="U77" s="257">
        <f>EEFFun!U546</f>
        <v>18201.29</v>
      </c>
      <c r="V77" s="257">
        <f>EEFFun!V546</f>
        <v>21035.15</v>
      </c>
      <c r="W77" s="257">
        <f>EEFFun!W546</f>
        <v>23765.84</v>
      </c>
      <c r="X77" s="257">
        <f>EEFFun!X546</f>
        <v>28078.48</v>
      </c>
      <c r="Y77" s="257">
        <f>EEFFun!Y546</f>
        <v>31432.83</v>
      </c>
      <c r="Z77" s="257">
        <f>EEFFun!Z546</f>
        <v>34111.71</v>
      </c>
      <c r="AA77" s="257">
        <f>EEFFun!AA546</f>
        <v>37826.21</v>
      </c>
      <c r="AB77" s="257">
        <f>EEFFun!AB546</f>
        <v>41175.919999999998</v>
      </c>
      <c r="AC77" s="257">
        <f>EEFFun!AC546</f>
        <v>3167.59</v>
      </c>
      <c r="AD77" s="257">
        <f>EEFFun!AD546</f>
        <v>6662.41</v>
      </c>
      <c r="AE77" s="257">
        <f>EEFFun!AE546</f>
        <v>9722.18</v>
      </c>
      <c r="AF77" s="257">
        <f>EEFFun!AF546</f>
        <v>12951.06</v>
      </c>
      <c r="AG77" s="257">
        <f>EEFFun!AG546</f>
        <v>15938.03</v>
      </c>
      <c r="AH77" s="257">
        <f>EEFFun!AH546</f>
        <v>19184.37</v>
      </c>
      <c r="AI77" s="257">
        <f>EEFFun!AI546</f>
        <v>22354</v>
      </c>
      <c r="AJ77" s="257">
        <f>EEFFun!AJ546</f>
        <v>25737.16</v>
      </c>
      <c r="AK77" s="257">
        <f>EEFFun!AK546</f>
        <v>28857.22</v>
      </c>
      <c r="AL77" s="257">
        <f>EEFFun!AL546</f>
        <v>32337.439999999999</v>
      </c>
      <c r="AM77" s="257">
        <f>EEFFun!AM546</f>
        <v>34856.53</v>
      </c>
      <c r="AN77" s="257">
        <f>EEFFun!AN546</f>
        <v>38155.550000000003</v>
      </c>
      <c r="AO77" s="257">
        <f>EEFFun!AO546</f>
        <v>3106.86</v>
      </c>
      <c r="AP77" s="257">
        <f>EEFFun!AP546</f>
        <v>6931.98</v>
      </c>
      <c r="AQ77" s="257">
        <f>EEFFun!AQ546</f>
        <v>9911.4599999999991</v>
      </c>
      <c r="AR77" s="257">
        <f>EEFFun!AR546</f>
        <v>15247.02</v>
      </c>
      <c r="AS77" s="257">
        <f>EEFFun!AS546</f>
        <v>19086.59</v>
      </c>
      <c r="AT77" s="257">
        <f>EEFFun!AT546</f>
        <v>22987.4</v>
      </c>
      <c r="AU77" s="257">
        <f>EEFFun!AU546</f>
        <v>26314.25</v>
      </c>
      <c r="AV77" s="257">
        <f>EEFFun!AV546</f>
        <v>30267.24</v>
      </c>
      <c r="AW77" s="257">
        <f>EEFFun!AW546</f>
        <v>34456.620000000003</v>
      </c>
      <c r="AX77" s="257">
        <f>EEFFun!AX546</f>
        <v>37406.78</v>
      </c>
      <c r="AY77" s="295">
        <f t="shared" si="373"/>
        <v>3366.6102000000001</v>
      </c>
      <c r="AZ77" s="295">
        <f t="shared" si="373"/>
        <v>3366.6102000000001</v>
      </c>
      <c r="BA77" s="295">
        <f t="shared" si="373"/>
        <v>3366.6102000000001</v>
      </c>
      <c r="BB77" s="295">
        <f t="shared" si="373"/>
        <v>3366.6102000000001</v>
      </c>
      <c r="BC77" s="295">
        <f t="shared" si="373"/>
        <v>3366.6102000000001</v>
      </c>
      <c r="BD77" s="295">
        <f t="shared" si="373"/>
        <v>3366.6102000000001</v>
      </c>
      <c r="BE77" s="295">
        <f t="shared" si="373"/>
        <v>3366.6102000000001</v>
      </c>
      <c r="BF77" s="295">
        <f t="shared" si="373"/>
        <v>3366.6102000000001</v>
      </c>
      <c r="BG77" s="295">
        <f t="shared" si="373"/>
        <v>3366.6102000000001</v>
      </c>
      <c r="BH77" s="295">
        <f t="shared" si="373"/>
        <v>3366.6102000000001</v>
      </c>
      <c r="BI77" s="295">
        <f t="shared" si="373"/>
        <v>3366.6102000000001</v>
      </c>
      <c r="BJ77" s="295">
        <f t="shared" si="373"/>
        <v>3366.6102000000001</v>
      </c>
      <c r="BK77" s="295">
        <f>SUM($AY$77:AY77)</f>
        <v>3366.6102000000001</v>
      </c>
      <c r="BL77" s="295">
        <f>SUM($AY$77:AZ77)</f>
        <v>6733.2204000000002</v>
      </c>
      <c r="BM77" s="295">
        <f>SUM($AY$77:BA77)</f>
        <v>10099.830600000001</v>
      </c>
      <c r="BN77" s="295">
        <f>SUM($AY$77:BB77)</f>
        <v>13466.4408</v>
      </c>
      <c r="BO77" s="295">
        <f>SUM($AY$77:BC77)</f>
        <v>16833.050999999999</v>
      </c>
      <c r="BP77" s="295">
        <f>SUM($AY$77:BD77)</f>
        <v>20199.661199999999</v>
      </c>
      <c r="BQ77" s="295">
        <f>SUM($AY$77:BE77)</f>
        <v>23566.271399999998</v>
      </c>
      <c r="BR77" s="295">
        <f>SUM($AY$77:BF77)</f>
        <v>26932.881599999997</v>
      </c>
      <c r="BS77" s="295">
        <f>SUM($AY$77:BG77)</f>
        <v>30299.491799999996</v>
      </c>
      <c r="BT77" s="295">
        <f>SUM($AY$77:BH77)</f>
        <v>33666.101999999999</v>
      </c>
      <c r="BU77" s="295">
        <f>SUM($AY$77:BI77)</f>
        <v>37032.712200000002</v>
      </c>
      <c r="BV77" s="295">
        <f>SUM($AY$77:BJ77)</f>
        <v>40399.322400000005</v>
      </c>
      <c r="BW77" s="291"/>
    </row>
    <row r="78" spans="1:75" outlineLevel="1" x14ac:dyDescent="0.25">
      <c r="A78" s="222">
        <v>8</v>
      </c>
      <c r="B78" s="233">
        <f>EEFFun!B547</f>
        <v>45032020</v>
      </c>
      <c r="C78" s="233" t="str">
        <f>EEFFun!C547</f>
        <v>AGUA POTABLE</v>
      </c>
      <c r="D78" s="257">
        <f>EEFFun!P547</f>
        <v>652.36</v>
      </c>
      <c r="E78" s="295">
        <f t="shared" si="387"/>
        <v>0</v>
      </c>
      <c r="F78" s="295">
        <f t="shared" si="388"/>
        <v>177.51</v>
      </c>
      <c r="G78" s="295">
        <f t="shared" si="389"/>
        <v>71.740000000000009</v>
      </c>
      <c r="H78" s="295">
        <f t="shared" si="390"/>
        <v>45.370000000000005</v>
      </c>
      <c r="I78" s="295">
        <f t="shared" si="391"/>
        <v>63.159999999999968</v>
      </c>
      <c r="J78" s="295">
        <f t="shared" si="392"/>
        <v>0</v>
      </c>
      <c r="K78" s="295">
        <f t="shared" si="393"/>
        <v>142.30000000000001</v>
      </c>
      <c r="L78" s="295">
        <f t="shared" si="394"/>
        <v>134.21999999999997</v>
      </c>
      <c r="M78" s="295">
        <f t="shared" si="395"/>
        <v>11.150000000000091</v>
      </c>
      <c r="N78" s="295">
        <f t="shared" si="396"/>
        <v>122.94999999999993</v>
      </c>
      <c r="O78" s="295">
        <f t="shared" si="397"/>
        <v>38.920000000000073</v>
      </c>
      <c r="P78" s="295">
        <f t="shared" si="397"/>
        <v>188.83999999999992</v>
      </c>
      <c r="Q78" s="257">
        <f>EEFFun!Q547</f>
        <v>0</v>
      </c>
      <c r="R78" s="257">
        <f>EEFFun!R547</f>
        <v>177.51</v>
      </c>
      <c r="S78" s="257">
        <f>EEFFun!S547</f>
        <v>249.25</v>
      </c>
      <c r="T78" s="257">
        <f>EEFFun!T547</f>
        <v>294.62</v>
      </c>
      <c r="U78" s="257">
        <f>EEFFun!U547</f>
        <v>357.78</v>
      </c>
      <c r="V78" s="257">
        <f>EEFFun!V547</f>
        <v>357.78</v>
      </c>
      <c r="W78" s="257">
        <f>EEFFun!W547</f>
        <v>500.08</v>
      </c>
      <c r="X78" s="257">
        <f>EEFFun!X547</f>
        <v>634.29999999999995</v>
      </c>
      <c r="Y78" s="257">
        <f>EEFFun!Y547</f>
        <v>645.45000000000005</v>
      </c>
      <c r="Z78" s="257">
        <f>EEFFun!Z547</f>
        <v>768.4</v>
      </c>
      <c r="AA78" s="257">
        <f>EEFFun!AA547</f>
        <v>807.32</v>
      </c>
      <c r="AB78" s="257">
        <f>EEFFun!AB547</f>
        <v>996.16</v>
      </c>
      <c r="AC78" s="257">
        <f>EEFFun!AC547</f>
        <v>4.45</v>
      </c>
      <c r="AD78" s="257">
        <f>EEFFun!AD547</f>
        <v>47.6</v>
      </c>
      <c r="AE78" s="257">
        <f>EEFFun!AE547</f>
        <v>100.61</v>
      </c>
      <c r="AF78" s="257">
        <f>EEFFun!AF547</f>
        <v>143.63</v>
      </c>
      <c r="AG78" s="257">
        <f>EEFFun!AG547</f>
        <v>188.95</v>
      </c>
      <c r="AH78" s="257">
        <f>EEFFun!AH547</f>
        <v>234.27</v>
      </c>
      <c r="AI78" s="257">
        <f>EEFFun!AI547</f>
        <v>294.57</v>
      </c>
      <c r="AJ78" s="257">
        <f>EEFFun!AJ547</f>
        <v>385.12</v>
      </c>
      <c r="AK78" s="257">
        <f>EEFFun!AK547</f>
        <v>422.87</v>
      </c>
      <c r="AL78" s="257">
        <f>EEFFun!AL547</f>
        <v>543.12</v>
      </c>
      <c r="AM78" s="257">
        <f>EEFFun!AM547</f>
        <v>632.29999999999995</v>
      </c>
      <c r="AN78" s="257">
        <f>EEFFun!AN547</f>
        <v>686.97</v>
      </c>
      <c r="AO78" s="257">
        <f>EEFFun!AO547</f>
        <v>0</v>
      </c>
      <c r="AP78" s="257">
        <f>EEFFun!AP547</f>
        <v>0</v>
      </c>
      <c r="AQ78" s="257">
        <f>EEFFun!AQ547</f>
        <v>0</v>
      </c>
      <c r="AR78" s="257">
        <f>EEFFun!AR547</f>
        <v>0</v>
      </c>
      <c r="AS78" s="257">
        <f>EEFFun!AS547</f>
        <v>0</v>
      </c>
      <c r="AT78" s="257">
        <f>EEFFun!AT547</f>
        <v>0</v>
      </c>
      <c r="AU78" s="257">
        <f>EEFFun!AU547</f>
        <v>0</v>
      </c>
      <c r="AV78" s="257">
        <f>EEFFun!AV547</f>
        <v>0</v>
      </c>
      <c r="AW78" s="257">
        <f>EEFFun!AW547</f>
        <v>0</v>
      </c>
      <c r="AX78" s="257">
        <f>EEFFun!AX547</f>
        <v>0</v>
      </c>
      <c r="AY78" s="295">
        <f t="shared" si="373"/>
        <v>0</v>
      </c>
      <c r="AZ78" s="295">
        <f t="shared" si="373"/>
        <v>0</v>
      </c>
      <c r="BA78" s="295">
        <f t="shared" si="373"/>
        <v>0</v>
      </c>
      <c r="BB78" s="295">
        <f t="shared" si="373"/>
        <v>0</v>
      </c>
      <c r="BC78" s="295">
        <f t="shared" si="373"/>
        <v>0</v>
      </c>
      <c r="BD78" s="295">
        <f t="shared" si="373"/>
        <v>0</v>
      </c>
      <c r="BE78" s="295">
        <f t="shared" si="373"/>
        <v>0</v>
      </c>
      <c r="BF78" s="295">
        <f t="shared" si="373"/>
        <v>0</v>
      </c>
      <c r="BG78" s="295">
        <f t="shared" si="373"/>
        <v>0</v>
      </c>
      <c r="BH78" s="295">
        <f t="shared" si="373"/>
        <v>0</v>
      </c>
      <c r="BI78" s="295">
        <f t="shared" si="373"/>
        <v>0</v>
      </c>
      <c r="BJ78" s="295">
        <f t="shared" si="373"/>
        <v>0</v>
      </c>
      <c r="BK78" s="295">
        <f>SUM($AY$78:AY78)</f>
        <v>0</v>
      </c>
      <c r="BL78" s="295">
        <f>SUM($AY$78:AZ78)</f>
        <v>0</v>
      </c>
      <c r="BM78" s="295">
        <f>SUM($AY$78:BA78)</f>
        <v>0</v>
      </c>
      <c r="BN78" s="295">
        <f>SUM($AY$78:BB78)</f>
        <v>0</v>
      </c>
      <c r="BO78" s="295">
        <f>SUM($AY$78:BC78)</f>
        <v>0</v>
      </c>
      <c r="BP78" s="295">
        <f>SUM($AY$78:BD78)</f>
        <v>0</v>
      </c>
      <c r="BQ78" s="295">
        <f>SUM($AY$78:BE78)</f>
        <v>0</v>
      </c>
      <c r="BR78" s="295">
        <f>SUM($AY$78:BF78)</f>
        <v>0</v>
      </c>
      <c r="BS78" s="295">
        <f>SUM($AY$78:BG78)</f>
        <v>0</v>
      </c>
      <c r="BT78" s="295">
        <f>SUM($AY$78:BH78)</f>
        <v>0</v>
      </c>
      <c r="BU78" s="295">
        <f>SUM($AY$78:BI78)</f>
        <v>0</v>
      </c>
      <c r="BV78" s="295">
        <f>SUM($AY$78:BJ78)</f>
        <v>0</v>
      </c>
      <c r="BW78" s="291"/>
    </row>
    <row r="79" spans="1:75" outlineLevel="1" x14ac:dyDescent="0.25">
      <c r="A79" s="222">
        <v>8</v>
      </c>
      <c r="B79" s="233">
        <f>EEFFun!B548</f>
        <v>45032025</v>
      </c>
      <c r="C79" s="233" t="str">
        <f>EEFFun!C548</f>
        <v>ENLACE DE DATOS</v>
      </c>
      <c r="D79" s="257">
        <f>EEFFun!P548</f>
        <v>6634.21</v>
      </c>
      <c r="E79" s="295">
        <f t="shared" si="387"/>
        <v>2698.21</v>
      </c>
      <c r="F79" s="295">
        <f t="shared" si="388"/>
        <v>2698.21</v>
      </c>
      <c r="G79" s="295">
        <f t="shared" si="389"/>
        <v>2698.21</v>
      </c>
      <c r="H79" s="295">
        <f t="shared" si="390"/>
        <v>2698.21</v>
      </c>
      <c r="I79" s="295">
        <f t="shared" si="391"/>
        <v>2698.2099999999991</v>
      </c>
      <c r="J79" s="295">
        <f t="shared" si="392"/>
        <v>2698.2100000000009</v>
      </c>
      <c r="K79" s="295">
        <f t="shared" si="393"/>
        <v>2645.1499999999996</v>
      </c>
      <c r="L79" s="295">
        <f t="shared" si="394"/>
        <v>2645.1500000000015</v>
      </c>
      <c r="M79" s="295">
        <f t="shared" si="395"/>
        <v>2645.1499999999978</v>
      </c>
      <c r="N79" s="295">
        <f t="shared" si="396"/>
        <v>2645.1500000000015</v>
      </c>
      <c r="O79" s="295">
        <f t="shared" si="397"/>
        <v>2645.1499999999978</v>
      </c>
      <c r="P79" s="295">
        <f t="shared" si="397"/>
        <v>2645.1500000000015</v>
      </c>
      <c r="Q79" s="257">
        <f>EEFFun!Q548</f>
        <v>2698.21</v>
      </c>
      <c r="R79" s="257">
        <f>EEFFun!R548</f>
        <v>5396.42</v>
      </c>
      <c r="S79" s="257">
        <f>EEFFun!S548</f>
        <v>8094.63</v>
      </c>
      <c r="T79" s="257">
        <f>EEFFun!T548</f>
        <v>10792.84</v>
      </c>
      <c r="U79" s="257">
        <f>EEFFun!U548</f>
        <v>13491.05</v>
      </c>
      <c r="V79" s="257">
        <f>EEFFun!V548</f>
        <v>16189.26</v>
      </c>
      <c r="W79" s="257">
        <f>EEFFun!W548</f>
        <v>18834.41</v>
      </c>
      <c r="X79" s="257">
        <f>EEFFun!X548</f>
        <v>21479.56</v>
      </c>
      <c r="Y79" s="257">
        <f>EEFFun!Y548</f>
        <v>24124.71</v>
      </c>
      <c r="Z79" s="257">
        <f>EEFFun!Z548</f>
        <v>26769.86</v>
      </c>
      <c r="AA79" s="257">
        <f>EEFFun!AA548</f>
        <v>29415.01</v>
      </c>
      <c r="AB79" s="257">
        <f>EEFFun!AB548</f>
        <v>32060.16</v>
      </c>
      <c r="AC79" s="257">
        <f>EEFFun!AC548</f>
        <v>2645.15</v>
      </c>
      <c r="AD79" s="257">
        <f>EEFFun!AD548</f>
        <v>5290.3</v>
      </c>
      <c r="AE79" s="257">
        <f>EEFFun!AE548</f>
        <v>7935.45</v>
      </c>
      <c r="AF79" s="257">
        <f>EEFFun!AF548</f>
        <v>10580.6</v>
      </c>
      <c r="AG79" s="257">
        <f>EEFFun!AG548</f>
        <v>13225.75</v>
      </c>
      <c r="AH79" s="257">
        <f>EEFFun!AH548</f>
        <v>15870.9</v>
      </c>
      <c r="AI79" s="257">
        <f>EEFFun!AI548</f>
        <v>18516.05</v>
      </c>
      <c r="AJ79" s="257">
        <f>EEFFun!AJ548</f>
        <v>21161.200000000001</v>
      </c>
      <c r="AK79" s="257">
        <f>EEFFun!AK548</f>
        <v>23806.35</v>
      </c>
      <c r="AL79" s="257">
        <f>EEFFun!AL548</f>
        <v>26451.5</v>
      </c>
      <c r="AM79" s="257">
        <f>EEFFun!AM548</f>
        <v>29096.65</v>
      </c>
      <c r="AN79" s="257">
        <f>EEFFun!AN548</f>
        <v>31741.8</v>
      </c>
      <c r="AO79" s="257">
        <f>EEFFun!AO548</f>
        <v>2645.15</v>
      </c>
      <c r="AP79" s="257">
        <f>EEFFun!AP548</f>
        <v>5290.3</v>
      </c>
      <c r="AQ79" s="257">
        <f>EEFFun!AQ548</f>
        <v>7935.45</v>
      </c>
      <c r="AR79" s="257">
        <f>EEFFun!AR548</f>
        <v>10580.6</v>
      </c>
      <c r="AS79" s="257">
        <f>EEFFun!AS548</f>
        <v>13225.75</v>
      </c>
      <c r="AT79" s="257">
        <f>EEFFun!AT548</f>
        <v>15870.9</v>
      </c>
      <c r="AU79" s="257">
        <f>EEFFun!AU548</f>
        <v>18516.05</v>
      </c>
      <c r="AV79" s="257">
        <f>EEFFun!AV548</f>
        <v>21161.200000000001</v>
      </c>
      <c r="AW79" s="257">
        <f>EEFFun!AW548</f>
        <v>23806.35</v>
      </c>
      <c r="AX79" s="257">
        <f>EEFFun!AX548</f>
        <v>26451.5</v>
      </c>
      <c r="AY79" s="295">
        <f t="shared" si="373"/>
        <v>2380.6350000000002</v>
      </c>
      <c r="AZ79" s="295">
        <f t="shared" si="373"/>
        <v>2380.6350000000002</v>
      </c>
      <c r="BA79" s="295">
        <f t="shared" si="373"/>
        <v>2380.6350000000002</v>
      </c>
      <c r="BB79" s="295">
        <f t="shared" si="373"/>
        <v>2380.6350000000002</v>
      </c>
      <c r="BC79" s="295">
        <f t="shared" si="373"/>
        <v>2380.6350000000002</v>
      </c>
      <c r="BD79" s="295">
        <f t="shared" si="373"/>
        <v>2380.6350000000002</v>
      </c>
      <c r="BE79" s="295">
        <f t="shared" si="373"/>
        <v>2380.6350000000002</v>
      </c>
      <c r="BF79" s="295">
        <f t="shared" si="373"/>
        <v>2380.6350000000002</v>
      </c>
      <c r="BG79" s="295">
        <f t="shared" si="373"/>
        <v>2380.6350000000002</v>
      </c>
      <c r="BH79" s="295">
        <f t="shared" si="373"/>
        <v>2380.6350000000002</v>
      </c>
      <c r="BI79" s="295">
        <f t="shared" si="373"/>
        <v>2380.6350000000002</v>
      </c>
      <c r="BJ79" s="295">
        <f t="shared" si="373"/>
        <v>2380.6350000000002</v>
      </c>
      <c r="BK79" s="295">
        <f>SUM($AY$79:AY79)</f>
        <v>2380.6350000000002</v>
      </c>
      <c r="BL79" s="295">
        <f>SUM($AY$79:AZ79)</f>
        <v>4761.2700000000004</v>
      </c>
      <c r="BM79" s="295">
        <f>SUM($AY$79:BA79)</f>
        <v>7141.9050000000007</v>
      </c>
      <c r="BN79" s="295">
        <f>SUM($AY$79:BB79)</f>
        <v>9522.5400000000009</v>
      </c>
      <c r="BO79" s="295">
        <f>SUM($AY$79:BC79)</f>
        <v>11903.175000000001</v>
      </c>
      <c r="BP79" s="295">
        <f>SUM($AY$79:BD79)</f>
        <v>14283.810000000001</v>
      </c>
      <c r="BQ79" s="295">
        <f>SUM($AY$79:BE79)</f>
        <v>16664.445</v>
      </c>
      <c r="BR79" s="295">
        <f>SUM($AY$79:BF79)</f>
        <v>19045.080000000002</v>
      </c>
      <c r="BS79" s="295">
        <f>SUM($AY$79:BG79)</f>
        <v>21425.715000000004</v>
      </c>
      <c r="BT79" s="295">
        <f>SUM($AY$79:BH79)</f>
        <v>23806.350000000006</v>
      </c>
      <c r="BU79" s="295">
        <f>SUM($AY$79:BI79)</f>
        <v>26186.985000000008</v>
      </c>
      <c r="BV79" s="295">
        <f>SUM($AY$79:BJ79)</f>
        <v>28567.62000000001</v>
      </c>
      <c r="BW79" s="291"/>
    </row>
    <row r="80" spans="1:75" outlineLevel="1" x14ac:dyDescent="0.25">
      <c r="A80" s="222">
        <v>8</v>
      </c>
      <c r="B80" s="233">
        <f>EEFFun!B549</f>
        <v>45032035</v>
      </c>
      <c r="C80" s="233" t="str">
        <f>EEFFun!C549</f>
        <v>OTROS</v>
      </c>
      <c r="D80" s="257">
        <f>EEFFun!P549</f>
        <v>0</v>
      </c>
      <c r="E80" s="295">
        <f t="shared" si="387"/>
        <v>0</v>
      </c>
      <c r="F80" s="295">
        <f t="shared" si="388"/>
        <v>0</v>
      </c>
      <c r="G80" s="295">
        <f t="shared" si="389"/>
        <v>0</v>
      </c>
      <c r="H80" s="295">
        <f t="shared" si="390"/>
        <v>450</v>
      </c>
      <c r="I80" s="295">
        <f t="shared" si="391"/>
        <v>0</v>
      </c>
      <c r="J80" s="295">
        <f t="shared" si="392"/>
        <v>0</v>
      </c>
      <c r="K80" s="295">
        <f t="shared" si="393"/>
        <v>0</v>
      </c>
      <c r="L80" s="295">
        <f t="shared" si="394"/>
        <v>0</v>
      </c>
      <c r="M80" s="295">
        <f t="shared" si="395"/>
        <v>0</v>
      </c>
      <c r="N80" s="295">
        <f t="shared" si="396"/>
        <v>0</v>
      </c>
      <c r="O80" s="295">
        <f t="shared" si="397"/>
        <v>0</v>
      </c>
      <c r="P80" s="295">
        <f t="shared" si="397"/>
        <v>0</v>
      </c>
      <c r="Q80" s="257">
        <f>EEFFun!Q549</f>
        <v>0</v>
      </c>
      <c r="R80" s="257">
        <f>EEFFun!R549</f>
        <v>0</v>
      </c>
      <c r="S80" s="257">
        <f>EEFFun!S549</f>
        <v>0</v>
      </c>
      <c r="T80" s="257">
        <f>EEFFun!T549</f>
        <v>450</v>
      </c>
      <c r="U80" s="257">
        <f>EEFFun!U549</f>
        <v>450</v>
      </c>
      <c r="V80" s="257">
        <f>EEFFun!V549</f>
        <v>450</v>
      </c>
      <c r="W80" s="257">
        <f>EEFFun!W549</f>
        <v>450</v>
      </c>
      <c r="X80" s="257">
        <f>EEFFun!X549</f>
        <v>450</v>
      </c>
      <c r="Y80" s="257">
        <f>EEFFun!Y549</f>
        <v>450</v>
      </c>
      <c r="Z80" s="257">
        <f>EEFFun!Z549</f>
        <v>450</v>
      </c>
      <c r="AA80" s="257">
        <f>EEFFun!AA549</f>
        <v>450</v>
      </c>
      <c r="AB80" s="257">
        <f>EEFFun!AB549</f>
        <v>450</v>
      </c>
      <c r="AC80" s="257">
        <f>EEFFun!AC549</f>
        <v>0</v>
      </c>
      <c r="AD80" s="257">
        <f>EEFFun!AD549</f>
        <v>0</v>
      </c>
      <c r="AE80" s="257">
        <f>EEFFun!AE549</f>
        <v>0</v>
      </c>
      <c r="AF80" s="257">
        <f>EEFFun!AF549</f>
        <v>450</v>
      </c>
      <c r="AG80" s="257">
        <f>EEFFun!AG549</f>
        <v>450</v>
      </c>
      <c r="AH80" s="257">
        <f>EEFFun!AH549</f>
        <v>450</v>
      </c>
      <c r="AI80" s="257">
        <f>EEFFun!AI549</f>
        <v>450</v>
      </c>
      <c r="AJ80" s="257">
        <f>EEFFun!AJ549</f>
        <v>450</v>
      </c>
      <c r="AK80" s="257">
        <f>EEFFun!AK549</f>
        <v>450</v>
      </c>
      <c r="AL80" s="257">
        <f>EEFFun!AL549</f>
        <v>450</v>
      </c>
      <c r="AM80" s="257">
        <f>EEFFun!AM549</f>
        <v>450</v>
      </c>
      <c r="AN80" s="257">
        <f>EEFFun!AN549</f>
        <v>450</v>
      </c>
      <c r="AO80" s="257">
        <f>EEFFun!AO549</f>
        <v>0</v>
      </c>
      <c r="AP80" s="257">
        <f>EEFFun!AP549</f>
        <v>0</v>
      </c>
      <c r="AQ80" s="257">
        <f>EEFFun!AQ549</f>
        <v>0</v>
      </c>
      <c r="AR80" s="257">
        <f>EEFFun!AR549</f>
        <v>0</v>
      </c>
      <c r="AS80" s="257">
        <f>EEFFun!AS549</f>
        <v>0</v>
      </c>
      <c r="AT80" s="257">
        <f>EEFFun!AT549</f>
        <v>0</v>
      </c>
      <c r="AU80" s="257">
        <f>EEFFun!AU549</f>
        <v>0</v>
      </c>
      <c r="AV80" s="257">
        <f>EEFFun!AV549</f>
        <v>0</v>
      </c>
      <c r="AW80" s="257">
        <f>EEFFun!AW549</f>
        <v>0</v>
      </c>
      <c r="AX80" s="257">
        <f>EEFFun!AX549</f>
        <v>0</v>
      </c>
      <c r="AY80" s="295">
        <f t="shared" si="373"/>
        <v>0</v>
      </c>
      <c r="AZ80" s="295">
        <f t="shared" si="373"/>
        <v>0</v>
      </c>
      <c r="BA80" s="295">
        <f t="shared" si="373"/>
        <v>0</v>
      </c>
      <c r="BB80" s="295">
        <f t="shared" si="373"/>
        <v>0</v>
      </c>
      <c r="BC80" s="295">
        <f t="shared" si="373"/>
        <v>0</v>
      </c>
      <c r="BD80" s="295">
        <f t="shared" si="373"/>
        <v>0</v>
      </c>
      <c r="BE80" s="295">
        <f t="shared" si="373"/>
        <v>0</v>
      </c>
      <c r="BF80" s="295">
        <f t="shared" si="373"/>
        <v>0</v>
      </c>
      <c r="BG80" s="295">
        <f t="shared" si="373"/>
        <v>0</v>
      </c>
      <c r="BH80" s="295">
        <f t="shared" si="373"/>
        <v>0</v>
      </c>
      <c r="BI80" s="295">
        <f t="shared" si="373"/>
        <v>0</v>
      </c>
      <c r="BJ80" s="295">
        <f t="shared" si="373"/>
        <v>0</v>
      </c>
      <c r="BK80" s="295">
        <f>SUM($AY$80:AY80)</f>
        <v>0</v>
      </c>
      <c r="BL80" s="295">
        <f>SUM($AY$80:AZ80)</f>
        <v>0</v>
      </c>
      <c r="BM80" s="295">
        <f>SUM($AY$80:BA80)</f>
        <v>0</v>
      </c>
      <c r="BN80" s="295">
        <f>SUM($AY$80:BB80)</f>
        <v>0</v>
      </c>
      <c r="BO80" s="295">
        <f>SUM($AY$80:BC80)</f>
        <v>0</v>
      </c>
      <c r="BP80" s="295">
        <f>SUM($AY$80:BD80)</f>
        <v>0</v>
      </c>
      <c r="BQ80" s="295">
        <f>SUM($AY$80:BE80)</f>
        <v>0</v>
      </c>
      <c r="BR80" s="295">
        <f>SUM($AY$80:BF80)</f>
        <v>0</v>
      </c>
      <c r="BS80" s="295">
        <f>SUM($AY$80:BG80)</f>
        <v>0</v>
      </c>
      <c r="BT80" s="295">
        <f>SUM($AY$80:BH80)</f>
        <v>0</v>
      </c>
      <c r="BU80" s="295">
        <f>SUM($AY$80:BI80)</f>
        <v>0</v>
      </c>
      <c r="BV80" s="295">
        <f>SUM($AY$80:BJ80)</f>
        <v>0</v>
      </c>
      <c r="BW80" s="291"/>
    </row>
    <row r="81" spans="1:75" outlineLevel="1" x14ac:dyDescent="0.25">
      <c r="A81" s="222">
        <v>6</v>
      </c>
      <c r="B81" s="233">
        <f>EEFFun!B550</f>
        <v>450325</v>
      </c>
      <c r="C81" s="233" t="str">
        <f>EEFFun!C550</f>
        <v>Seguros</v>
      </c>
      <c r="D81" s="257">
        <f>EEFFun!P550</f>
        <v>68659.100000000006</v>
      </c>
      <c r="E81" s="295">
        <f>Q81</f>
        <v>0</v>
      </c>
      <c r="F81" s="295">
        <f t="shared" si="388"/>
        <v>0</v>
      </c>
      <c r="G81" s="295">
        <f t="shared" si="389"/>
        <v>0</v>
      </c>
      <c r="H81" s="295">
        <f t="shared" si="390"/>
        <v>0</v>
      </c>
      <c r="I81" s="295">
        <f t="shared" si="391"/>
        <v>8769</v>
      </c>
      <c r="J81" s="295">
        <f t="shared" si="392"/>
        <v>1742.1800000000003</v>
      </c>
      <c r="K81" s="295">
        <f t="shared" si="393"/>
        <v>1800.2600000000002</v>
      </c>
      <c r="L81" s="295">
        <f t="shared" si="394"/>
        <v>1800.2600000000002</v>
      </c>
      <c r="M81" s="295">
        <f t="shared" si="395"/>
        <v>1742.1799999999985</v>
      </c>
      <c r="N81" s="295">
        <f t="shared" si="396"/>
        <v>1800.2600000000002</v>
      </c>
      <c r="O81" s="295">
        <f t="shared" si="397"/>
        <v>-418.52000000000044</v>
      </c>
      <c r="P81" s="295">
        <f t="shared" si="397"/>
        <v>1439.8100000000013</v>
      </c>
      <c r="Q81" s="257">
        <f>EEFFun!Q550</f>
        <v>0</v>
      </c>
      <c r="R81" s="257">
        <f>EEFFun!R550</f>
        <v>0</v>
      </c>
      <c r="S81" s="257">
        <f>EEFFun!S550</f>
        <v>0</v>
      </c>
      <c r="T81" s="257">
        <f>EEFFun!T550</f>
        <v>0</v>
      </c>
      <c r="U81" s="257">
        <f>EEFFun!U550</f>
        <v>8769</v>
      </c>
      <c r="V81" s="257">
        <f>EEFFun!V550</f>
        <v>10511.18</v>
      </c>
      <c r="W81" s="257">
        <f>EEFFun!W550</f>
        <v>12311.44</v>
      </c>
      <c r="X81" s="257">
        <f>EEFFun!X550</f>
        <v>14111.7</v>
      </c>
      <c r="Y81" s="257">
        <f>EEFFun!Y550</f>
        <v>15853.88</v>
      </c>
      <c r="Z81" s="257">
        <f>EEFFun!Z550</f>
        <v>17654.14</v>
      </c>
      <c r="AA81" s="257">
        <f>EEFFun!AA550</f>
        <v>17235.62</v>
      </c>
      <c r="AB81" s="257">
        <f>EEFFun!AB550</f>
        <v>18675.43</v>
      </c>
      <c r="AC81" s="257">
        <f>EEFFun!AC550</f>
        <v>1439.81</v>
      </c>
      <c r="AD81" s="257">
        <f>EEFFun!AD550</f>
        <v>2879.62</v>
      </c>
      <c r="AE81" s="257">
        <f>EEFFun!AE550</f>
        <v>4319.43</v>
      </c>
      <c r="AF81" s="257">
        <f>EEFFun!AF550</f>
        <v>5759.24</v>
      </c>
      <c r="AG81" s="257">
        <f>EEFFun!AG550</f>
        <v>7199.05</v>
      </c>
      <c r="AH81" s="257">
        <f>EEFFun!AH550</f>
        <v>8638.86</v>
      </c>
      <c r="AI81" s="257">
        <f>EEFFun!AI550</f>
        <v>10078.67</v>
      </c>
      <c r="AJ81" s="257">
        <f>EEFFun!AJ550</f>
        <v>11518.48</v>
      </c>
      <c r="AK81" s="257">
        <f>EEFFun!AK550</f>
        <v>12958.29</v>
      </c>
      <c r="AL81" s="257">
        <f>EEFFun!AL550</f>
        <v>15698.62</v>
      </c>
      <c r="AM81" s="257">
        <f>EEFFun!AM550</f>
        <v>18000.55</v>
      </c>
      <c r="AN81" s="257">
        <f>EEFFun!AN550</f>
        <v>19309.310000000001</v>
      </c>
      <c r="AO81" s="257">
        <f>EEFFun!AO550</f>
        <v>1308.76</v>
      </c>
      <c r="AP81" s="257">
        <f>EEFFun!AP550</f>
        <v>2739.05</v>
      </c>
      <c r="AQ81" s="257">
        <f>EEFFun!AQ550</f>
        <v>4165.8999999999996</v>
      </c>
      <c r="AR81" s="257">
        <f>EEFFun!AR550</f>
        <v>5594.88</v>
      </c>
      <c r="AS81" s="257">
        <f>EEFFun!AS550</f>
        <v>7080.96</v>
      </c>
      <c r="AT81" s="257">
        <f>EEFFun!AT550</f>
        <v>8567.0400000000009</v>
      </c>
      <c r="AU81" s="257">
        <f>EEFFun!AU550</f>
        <v>10053.120000000001</v>
      </c>
      <c r="AV81" s="257">
        <f>EEFFun!AV550</f>
        <v>11549.11</v>
      </c>
      <c r="AW81" s="257">
        <f>EEFFun!AW550</f>
        <v>13043.95</v>
      </c>
      <c r="AX81" s="257">
        <f>EEFFun!AX550</f>
        <v>14633.74</v>
      </c>
      <c r="AY81" s="295">
        <f t="shared" si="373"/>
        <v>1317.0366000000001</v>
      </c>
      <c r="AZ81" s="295">
        <f t="shared" si="373"/>
        <v>1317.0366000000001</v>
      </c>
      <c r="BA81" s="295">
        <f t="shared" si="373"/>
        <v>1317.0366000000001</v>
      </c>
      <c r="BB81" s="295">
        <f t="shared" si="373"/>
        <v>1317.0366000000001</v>
      </c>
      <c r="BC81" s="295">
        <f t="shared" si="373"/>
        <v>1317.0366000000001</v>
      </c>
      <c r="BD81" s="295">
        <f t="shared" si="373"/>
        <v>1317.0366000000001</v>
      </c>
      <c r="BE81" s="295">
        <f t="shared" si="373"/>
        <v>1317.0366000000001</v>
      </c>
      <c r="BF81" s="295">
        <f t="shared" si="373"/>
        <v>1317.0366000000001</v>
      </c>
      <c r="BG81" s="295">
        <f t="shared" si="373"/>
        <v>1317.0366000000001</v>
      </c>
      <c r="BH81" s="295">
        <f t="shared" si="373"/>
        <v>1317.0366000000001</v>
      </c>
      <c r="BI81" s="295">
        <f t="shared" si="373"/>
        <v>1317.0366000000001</v>
      </c>
      <c r="BJ81" s="295">
        <f t="shared" si="373"/>
        <v>1317.0366000000001</v>
      </c>
      <c r="BK81" s="295">
        <f>SUM($AY$81:AY81)</f>
        <v>1317.0366000000001</v>
      </c>
      <c r="BL81" s="295">
        <f>SUM($AY$81:AZ81)</f>
        <v>2634.0732000000003</v>
      </c>
      <c r="BM81" s="295">
        <f>SUM($AY$81:BA81)</f>
        <v>3951.1098000000002</v>
      </c>
      <c r="BN81" s="295">
        <f>SUM($AY$81:BB81)</f>
        <v>5268.1464000000005</v>
      </c>
      <c r="BO81" s="295">
        <f>SUM($AY$81:BC81)</f>
        <v>6585.1830000000009</v>
      </c>
      <c r="BP81" s="295">
        <f>SUM($AY$81:BD81)</f>
        <v>7902.2196000000013</v>
      </c>
      <c r="BQ81" s="295">
        <f>SUM($AY$81:BE81)</f>
        <v>9219.2562000000016</v>
      </c>
      <c r="BR81" s="295">
        <f>SUM($AY$81:BF81)</f>
        <v>10536.292800000001</v>
      </c>
      <c r="BS81" s="295">
        <f>SUM($AY$81:BG81)</f>
        <v>11853.329400000001</v>
      </c>
      <c r="BT81" s="295">
        <f>SUM($AY$81:BH81)</f>
        <v>13170.366</v>
      </c>
      <c r="BU81" s="295">
        <f>SUM($AY$81:BI81)</f>
        <v>14487.402599999999</v>
      </c>
      <c r="BV81" s="295">
        <f>SUM($AY$81:BJ81)</f>
        <v>15804.439199999999</v>
      </c>
      <c r="BW81" s="291"/>
    </row>
    <row r="82" spans="1:75" outlineLevel="1" x14ac:dyDescent="0.25">
      <c r="A82" s="222">
        <v>6</v>
      </c>
      <c r="B82" s="233">
        <f>EEFFun!B551</f>
        <v>450330</v>
      </c>
      <c r="C82" s="233" t="str">
        <f>EEFFun!C551</f>
        <v>Arrendamientos</v>
      </c>
      <c r="D82" s="257">
        <f>EEFFun!P551</f>
        <v>7126.7</v>
      </c>
      <c r="E82" s="295">
        <f t="shared" ref="E82" si="398">SUM(E83:E84)</f>
        <v>1555.79</v>
      </c>
      <c r="F82" s="295">
        <f t="shared" ref="F82" si="399">SUM(F83:F84)</f>
        <v>1078.5</v>
      </c>
      <c r="G82" s="295">
        <f t="shared" ref="G82" si="400">SUM(G83:G84)</f>
        <v>1609.5</v>
      </c>
      <c r="H82" s="295">
        <f t="shared" ref="H82:O82" si="401">SUM(H83:H84)</f>
        <v>1078.5</v>
      </c>
      <c r="I82" s="295">
        <f t="shared" si="401"/>
        <v>-3231</v>
      </c>
      <c r="J82" s="295">
        <f t="shared" si="401"/>
        <v>1138.5</v>
      </c>
      <c r="K82" s="295">
        <f t="shared" si="401"/>
        <v>1078.5</v>
      </c>
      <c r="L82" s="295">
        <f t="shared" si="401"/>
        <v>1078.5</v>
      </c>
      <c r="M82" s="295">
        <f t="shared" si="401"/>
        <v>1034</v>
      </c>
      <c r="N82" s="295">
        <f t="shared" si="401"/>
        <v>719</v>
      </c>
      <c r="O82" s="295">
        <f t="shared" si="401"/>
        <v>404</v>
      </c>
      <c r="P82" s="295">
        <f t="shared" ref="P82" si="402">SUM(P83:P84)</f>
        <v>993.5</v>
      </c>
      <c r="Q82" s="257">
        <f>EEFFun!Q551</f>
        <v>1555.79</v>
      </c>
      <c r="R82" s="257">
        <f>EEFFun!R551</f>
        <v>2634.29</v>
      </c>
      <c r="S82" s="257">
        <f>EEFFun!S551</f>
        <v>4243.79</v>
      </c>
      <c r="T82" s="257">
        <f>EEFFun!T551</f>
        <v>5322.29</v>
      </c>
      <c r="U82" s="257">
        <f>EEFFun!U551</f>
        <v>2091.29</v>
      </c>
      <c r="V82" s="257">
        <f>EEFFun!V551</f>
        <v>3229.79</v>
      </c>
      <c r="W82" s="257">
        <f>EEFFun!W551</f>
        <v>4308.29</v>
      </c>
      <c r="X82" s="257">
        <f>EEFFun!X551</f>
        <v>5386.79</v>
      </c>
      <c r="Y82" s="257">
        <f>EEFFun!Y551</f>
        <v>6420.79</v>
      </c>
      <c r="Z82" s="257">
        <f>EEFFun!Z551</f>
        <v>7139.79</v>
      </c>
      <c r="AA82" s="257">
        <f>EEFFun!AA551</f>
        <v>7543.79</v>
      </c>
      <c r="AB82" s="257">
        <f>EEFFun!AB551</f>
        <v>8537.2900000000009</v>
      </c>
      <c r="AC82" s="257">
        <f>EEFFun!AC551</f>
        <v>404</v>
      </c>
      <c r="AD82" s="257">
        <f>EEFFun!AD551</f>
        <v>1026.4000000000001</v>
      </c>
      <c r="AE82" s="257">
        <f>EEFFun!AE551</f>
        <v>1104.9000000000001</v>
      </c>
      <c r="AF82" s="257">
        <f>EEFFun!AF551</f>
        <v>1508.9</v>
      </c>
      <c r="AG82" s="257">
        <f>EEFFun!AG551</f>
        <v>3536.9</v>
      </c>
      <c r="AH82" s="257">
        <f>EEFFun!AH551</f>
        <v>3940.9</v>
      </c>
      <c r="AI82" s="257">
        <f>EEFFun!AI551</f>
        <v>4334.3999999999996</v>
      </c>
      <c r="AJ82" s="257">
        <f>EEFFun!AJ551</f>
        <v>4892.42</v>
      </c>
      <c r="AK82" s="257">
        <f>EEFFun!AK551</f>
        <v>5296.42</v>
      </c>
      <c r="AL82" s="257">
        <f>EEFFun!AL551</f>
        <v>5374.92</v>
      </c>
      <c r="AM82" s="257">
        <f>EEFFun!AM551</f>
        <v>6030.92</v>
      </c>
      <c r="AN82" s="257">
        <f>EEFFun!AN551</f>
        <v>6379.42</v>
      </c>
      <c r="AO82" s="257">
        <f>EEFFun!AO551</f>
        <v>357.5</v>
      </c>
      <c r="AP82" s="257">
        <f>EEFFun!AP551</f>
        <v>715</v>
      </c>
      <c r="AQ82" s="257">
        <f>EEFFun!AQ551</f>
        <v>1045.5</v>
      </c>
      <c r="AR82" s="257">
        <f>EEFFun!AR551</f>
        <v>2002</v>
      </c>
      <c r="AS82" s="257">
        <f>EEFFun!AS551</f>
        <v>3682.5</v>
      </c>
      <c r="AT82" s="257">
        <f>EEFFun!AT551</f>
        <v>5650.6</v>
      </c>
      <c r="AU82" s="257">
        <f>EEFFun!AU551</f>
        <v>5999.1</v>
      </c>
      <c r="AV82" s="257">
        <f>EEFFun!AV551</f>
        <v>6845.44</v>
      </c>
      <c r="AW82" s="257">
        <f>EEFFun!AW551</f>
        <v>7684.47</v>
      </c>
      <c r="AX82" s="257">
        <f>EEFFun!AX551</f>
        <v>8521.7800000000007</v>
      </c>
      <c r="AY82" s="295">
        <f t="shared" si="373"/>
        <v>766.9602000000001</v>
      </c>
      <c r="AZ82" s="295">
        <f t="shared" si="373"/>
        <v>766.9602000000001</v>
      </c>
      <c r="BA82" s="295">
        <f t="shared" si="373"/>
        <v>766.9602000000001</v>
      </c>
      <c r="BB82" s="295">
        <f t="shared" si="373"/>
        <v>766.9602000000001</v>
      </c>
      <c r="BC82" s="295">
        <f t="shared" si="373"/>
        <v>766.9602000000001</v>
      </c>
      <c r="BD82" s="295">
        <f t="shared" si="373"/>
        <v>766.9602000000001</v>
      </c>
      <c r="BE82" s="295">
        <f t="shared" si="373"/>
        <v>766.9602000000001</v>
      </c>
      <c r="BF82" s="295">
        <f t="shared" si="373"/>
        <v>766.9602000000001</v>
      </c>
      <c r="BG82" s="295">
        <f t="shared" si="373"/>
        <v>766.9602000000001</v>
      </c>
      <c r="BH82" s="295">
        <f t="shared" si="373"/>
        <v>766.9602000000001</v>
      </c>
      <c r="BI82" s="295">
        <f t="shared" si="373"/>
        <v>766.9602000000001</v>
      </c>
      <c r="BJ82" s="295">
        <f t="shared" si="373"/>
        <v>766.9602000000001</v>
      </c>
      <c r="BK82" s="295">
        <f t="shared" ref="BK82:BQ82" si="403">SUM(BK83:BK84)</f>
        <v>766.9602000000001</v>
      </c>
      <c r="BL82" s="295">
        <f t="shared" si="403"/>
        <v>1533.9204000000002</v>
      </c>
      <c r="BM82" s="295">
        <f t="shared" si="403"/>
        <v>2300.8806000000004</v>
      </c>
      <c r="BN82" s="295">
        <f t="shared" si="403"/>
        <v>3067.8408000000004</v>
      </c>
      <c r="BO82" s="295">
        <f t="shared" si="403"/>
        <v>3834.8010000000004</v>
      </c>
      <c r="BP82" s="295">
        <f t="shared" si="403"/>
        <v>4601.7612000000008</v>
      </c>
      <c r="BQ82" s="295">
        <f t="shared" si="403"/>
        <v>5368.7214000000013</v>
      </c>
      <c r="BR82" s="295">
        <f t="shared" ref="BR82" si="404">SUM(BR83:BR84)</f>
        <v>6135.6816000000008</v>
      </c>
      <c r="BS82" s="295">
        <f t="shared" ref="BS82" si="405">SUM(BS83:BS84)</f>
        <v>6902.6418000000012</v>
      </c>
      <c r="BT82" s="295">
        <f t="shared" ref="BT82" si="406">SUM(BT83:BT84)</f>
        <v>7669.6020000000008</v>
      </c>
      <c r="BU82" s="295">
        <f t="shared" ref="BU82" si="407">SUM(BU83:BU84)</f>
        <v>8436.5622000000003</v>
      </c>
      <c r="BV82" s="295">
        <f t="shared" ref="BV82" si="408">SUM(BV83:BV84)</f>
        <v>9203.5224000000017</v>
      </c>
      <c r="BW82" s="291"/>
    </row>
    <row r="83" spans="1:75" outlineLevel="1" x14ac:dyDescent="0.25">
      <c r="A83" s="222">
        <v>8</v>
      </c>
      <c r="B83" s="233">
        <f>EEFFun!B552</f>
        <v>45033005</v>
      </c>
      <c r="C83" s="233" t="str">
        <f>EEFFun!C552</f>
        <v>ARRENDAMIENTOS INMUEBLES</v>
      </c>
      <c r="D83" s="257">
        <f>EEFFun!P552</f>
        <v>3786</v>
      </c>
      <c r="E83" s="295">
        <f t="shared" ref="E83:E84" si="409">Q83</f>
        <v>477.29</v>
      </c>
      <c r="F83" s="295">
        <f t="shared" ref="F83:F84" si="410">R83-Q83</f>
        <v>0</v>
      </c>
      <c r="G83" s="295">
        <f t="shared" ref="G83:G84" si="411">S83-R83</f>
        <v>531</v>
      </c>
      <c r="H83" s="295">
        <f t="shared" ref="H83:H84" si="412">T83-S83</f>
        <v>0</v>
      </c>
      <c r="I83" s="295">
        <f t="shared" ref="I83:I84" si="413">U83-T83</f>
        <v>640.5</v>
      </c>
      <c r="J83" s="295">
        <f t="shared" ref="J83:J84" si="414">V83-U83</f>
        <v>0</v>
      </c>
      <c r="K83" s="295">
        <f t="shared" ref="K83:K84" si="415">W83-V83</f>
        <v>0</v>
      </c>
      <c r="L83" s="295">
        <f t="shared" ref="L83:L84" si="416">X83-W83</f>
        <v>0</v>
      </c>
      <c r="M83" s="295">
        <f t="shared" ref="M83:M84" si="417">Y83-X83</f>
        <v>955.5</v>
      </c>
      <c r="N83" s="295">
        <f t="shared" ref="N83:N84" si="418">Z83-Y83</f>
        <v>640.5</v>
      </c>
      <c r="O83" s="295">
        <f t="shared" ref="O83:P84" si="419">AA83-Z83</f>
        <v>325.5</v>
      </c>
      <c r="P83" s="295">
        <f t="shared" si="419"/>
        <v>915</v>
      </c>
      <c r="Q83" s="257">
        <f>EEFFun!Q552</f>
        <v>477.29</v>
      </c>
      <c r="R83" s="257">
        <f>EEFFun!R552</f>
        <v>477.29</v>
      </c>
      <c r="S83" s="257">
        <f>EEFFun!S552</f>
        <v>1008.29</v>
      </c>
      <c r="T83" s="257">
        <f>EEFFun!T552</f>
        <v>1008.29</v>
      </c>
      <c r="U83" s="257">
        <f>EEFFun!U552</f>
        <v>1648.79</v>
      </c>
      <c r="V83" s="257">
        <f>EEFFun!V552</f>
        <v>1648.79</v>
      </c>
      <c r="W83" s="257">
        <f>EEFFun!W552</f>
        <v>1648.79</v>
      </c>
      <c r="X83" s="257">
        <f>EEFFun!X552</f>
        <v>1648.79</v>
      </c>
      <c r="Y83" s="257">
        <f>EEFFun!Y552</f>
        <v>2604.29</v>
      </c>
      <c r="Z83" s="257">
        <f>EEFFun!Z552</f>
        <v>3244.79</v>
      </c>
      <c r="AA83" s="257">
        <f>EEFFun!AA552</f>
        <v>3570.29</v>
      </c>
      <c r="AB83" s="257">
        <f>EEFFun!AB552</f>
        <v>4485.29</v>
      </c>
      <c r="AC83" s="257">
        <f>EEFFun!AC552</f>
        <v>325.5</v>
      </c>
      <c r="AD83" s="257">
        <f>EEFFun!AD552</f>
        <v>869.4</v>
      </c>
      <c r="AE83" s="257">
        <f>EEFFun!AE552</f>
        <v>869.4</v>
      </c>
      <c r="AF83" s="257">
        <f>EEFFun!AF552</f>
        <v>1194.9000000000001</v>
      </c>
      <c r="AG83" s="257">
        <f>EEFFun!AG552</f>
        <v>3144.4</v>
      </c>
      <c r="AH83" s="257">
        <f>EEFFun!AH552</f>
        <v>3469.9</v>
      </c>
      <c r="AI83" s="257">
        <f>EEFFun!AI552</f>
        <v>3784.9</v>
      </c>
      <c r="AJ83" s="257">
        <f>EEFFun!AJ552</f>
        <v>4264.42</v>
      </c>
      <c r="AK83" s="257">
        <f>EEFFun!AK552</f>
        <v>4589.92</v>
      </c>
      <c r="AL83" s="257">
        <f>EEFFun!AL552</f>
        <v>4589.92</v>
      </c>
      <c r="AM83" s="257">
        <f>EEFFun!AM552</f>
        <v>5167.42</v>
      </c>
      <c r="AN83" s="257">
        <f>EEFFun!AN552</f>
        <v>5437.42</v>
      </c>
      <c r="AO83" s="257">
        <f>EEFFun!AO552</f>
        <v>279</v>
      </c>
      <c r="AP83" s="257">
        <f>EEFFun!AP552</f>
        <v>558</v>
      </c>
      <c r="AQ83" s="257">
        <f>EEFFun!AQ552</f>
        <v>810</v>
      </c>
      <c r="AR83" s="257">
        <f>EEFFun!AR552</f>
        <v>1688</v>
      </c>
      <c r="AS83" s="257">
        <f>EEFFun!AS552</f>
        <v>3290</v>
      </c>
      <c r="AT83" s="257">
        <f>EEFFun!AT552</f>
        <v>5179.6000000000004</v>
      </c>
      <c r="AU83" s="257">
        <f>EEFFun!AU552</f>
        <v>5449.6</v>
      </c>
      <c r="AV83" s="257">
        <f>EEFFun!AV552</f>
        <v>5728.63</v>
      </c>
      <c r="AW83" s="257">
        <f>EEFFun!AW552</f>
        <v>6000.35</v>
      </c>
      <c r="AX83" s="257">
        <f>EEFFun!AX552</f>
        <v>6270.35</v>
      </c>
      <c r="AY83" s="295">
        <f t="shared" si="373"/>
        <v>564.33150000000012</v>
      </c>
      <c r="AZ83" s="295">
        <f t="shared" si="373"/>
        <v>564.33150000000012</v>
      </c>
      <c r="BA83" s="295">
        <f t="shared" si="373"/>
        <v>564.33150000000012</v>
      </c>
      <c r="BB83" s="295">
        <f t="shared" si="373"/>
        <v>564.33150000000012</v>
      </c>
      <c r="BC83" s="295">
        <f t="shared" si="373"/>
        <v>564.33150000000012</v>
      </c>
      <c r="BD83" s="295">
        <f t="shared" si="373"/>
        <v>564.33150000000012</v>
      </c>
      <c r="BE83" s="295">
        <f t="shared" si="373"/>
        <v>564.33150000000012</v>
      </c>
      <c r="BF83" s="295">
        <f t="shared" si="373"/>
        <v>564.33150000000012</v>
      </c>
      <c r="BG83" s="295">
        <f t="shared" si="373"/>
        <v>564.33150000000012</v>
      </c>
      <c r="BH83" s="295">
        <f t="shared" si="373"/>
        <v>564.33150000000012</v>
      </c>
      <c r="BI83" s="295">
        <f t="shared" si="373"/>
        <v>564.33150000000012</v>
      </c>
      <c r="BJ83" s="295">
        <f t="shared" si="373"/>
        <v>564.33150000000012</v>
      </c>
      <c r="BK83" s="295">
        <f>SUM($AY$83:AY83)</f>
        <v>564.33150000000012</v>
      </c>
      <c r="BL83" s="295">
        <f>SUM($AY$83:AZ83)</f>
        <v>1128.6630000000002</v>
      </c>
      <c r="BM83" s="295">
        <f>SUM($AY$83:BA83)</f>
        <v>1692.9945000000002</v>
      </c>
      <c r="BN83" s="295">
        <f>SUM($AY$83:BB83)</f>
        <v>2257.3260000000005</v>
      </c>
      <c r="BO83" s="295">
        <f>SUM($AY$83:BC83)</f>
        <v>2821.6575000000007</v>
      </c>
      <c r="BP83" s="295">
        <f>SUM($AY$83:BD83)</f>
        <v>3385.9890000000009</v>
      </c>
      <c r="BQ83" s="295">
        <f>SUM($AY$83:BE83)</f>
        <v>3950.3205000000012</v>
      </c>
      <c r="BR83" s="295">
        <f>SUM($AY$83:BF83)</f>
        <v>4514.652000000001</v>
      </c>
      <c r="BS83" s="295">
        <f>SUM($AY$83:BG83)</f>
        <v>5078.9835000000012</v>
      </c>
      <c r="BT83" s="295">
        <f>SUM($AY$83:BH83)</f>
        <v>5643.3150000000014</v>
      </c>
      <c r="BU83" s="295">
        <f>SUM($AY$83:BI83)</f>
        <v>6207.6465000000017</v>
      </c>
      <c r="BV83" s="295">
        <f>SUM($AY$83:BJ83)</f>
        <v>6771.9780000000019</v>
      </c>
      <c r="BW83" s="291"/>
    </row>
    <row r="84" spans="1:75" outlineLevel="1" x14ac:dyDescent="0.25">
      <c r="A84" s="222">
        <v>8</v>
      </c>
      <c r="B84" s="233">
        <f>EEFFun!B553</f>
        <v>45033010</v>
      </c>
      <c r="C84" s="233" t="str">
        <f>EEFFun!C553</f>
        <v>ARRENDAMIENTO EQUIPOS</v>
      </c>
      <c r="D84" s="257">
        <f>EEFFun!P553</f>
        <v>3340.7</v>
      </c>
      <c r="E84" s="295">
        <f t="shared" si="409"/>
        <v>1078.5</v>
      </c>
      <c r="F84" s="295">
        <f t="shared" si="410"/>
        <v>1078.5</v>
      </c>
      <c r="G84" s="295">
        <f t="shared" si="411"/>
        <v>1078.5</v>
      </c>
      <c r="H84" s="295">
        <f t="shared" si="412"/>
        <v>1078.5</v>
      </c>
      <c r="I84" s="295">
        <f t="shared" si="413"/>
        <v>-3871.5</v>
      </c>
      <c r="J84" s="295">
        <f t="shared" si="414"/>
        <v>1138.5</v>
      </c>
      <c r="K84" s="295">
        <f t="shared" si="415"/>
        <v>1078.5</v>
      </c>
      <c r="L84" s="295">
        <f t="shared" si="416"/>
        <v>1078.5</v>
      </c>
      <c r="M84" s="295">
        <f t="shared" si="417"/>
        <v>78.5</v>
      </c>
      <c r="N84" s="295">
        <f t="shared" si="418"/>
        <v>78.5</v>
      </c>
      <c r="O84" s="295">
        <f t="shared" si="419"/>
        <v>78.5</v>
      </c>
      <c r="P84" s="295">
        <f t="shared" si="419"/>
        <v>78.5</v>
      </c>
      <c r="Q84" s="257">
        <f>EEFFun!Q553</f>
        <v>1078.5</v>
      </c>
      <c r="R84" s="257">
        <f>EEFFun!R553</f>
        <v>2157</v>
      </c>
      <c r="S84" s="257">
        <f>EEFFun!S553</f>
        <v>3235.5</v>
      </c>
      <c r="T84" s="257">
        <f>EEFFun!T553</f>
        <v>4314</v>
      </c>
      <c r="U84" s="257">
        <f>EEFFun!U553</f>
        <v>442.5</v>
      </c>
      <c r="V84" s="257">
        <f>EEFFun!V553</f>
        <v>1581</v>
      </c>
      <c r="W84" s="257">
        <f>EEFFun!W553</f>
        <v>2659.5</v>
      </c>
      <c r="X84" s="257">
        <f>EEFFun!X553</f>
        <v>3738</v>
      </c>
      <c r="Y84" s="257">
        <f>EEFFun!Y553</f>
        <v>3816.5</v>
      </c>
      <c r="Z84" s="257">
        <f>EEFFun!Z553</f>
        <v>3895</v>
      </c>
      <c r="AA84" s="257">
        <f>EEFFun!AA553</f>
        <v>3973.5</v>
      </c>
      <c r="AB84" s="257">
        <f>EEFFun!AB553</f>
        <v>4052</v>
      </c>
      <c r="AC84" s="257">
        <f>EEFFun!AC553</f>
        <v>78.5</v>
      </c>
      <c r="AD84" s="257">
        <f>EEFFun!AD553</f>
        <v>157</v>
      </c>
      <c r="AE84" s="257">
        <f>EEFFun!AE553</f>
        <v>235.5</v>
      </c>
      <c r="AF84" s="257">
        <f>EEFFun!AF553</f>
        <v>314</v>
      </c>
      <c r="AG84" s="257">
        <f>EEFFun!AG553</f>
        <v>392.5</v>
      </c>
      <c r="AH84" s="257">
        <f>EEFFun!AH553</f>
        <v>471</v>
      </c>
      <c r="AI84" s="257">
        <f>EEFFun!AI553</f>
        <v>549.5</v>
      </c>
      <c r="AJ84" s="257">
        <f>EEFFun!AJ553</f>
        <v>628</v>
      </c>
      <c r="AK84" s="257">
        <f>EEFFun!AK553</f>
        <v>706.5</v>
      </c>
      <c r="AL84" s="257">
        <f>EEFFun!AL553</f>
        <v>785</v>
      </c>
      <c r="AM84" s="257">
        <f>EEFFun!AM553</f>
        <v>863.5</v>
      </c>
      <c r="AN84" s="257">
        <f>EEFFun!AN553</f>
        <v>942</v>
      </c>
      <c r="AO84" s="257">
        <f>EEFFun!AO553</f>
        <v>78.5</v>
      </c>
      <c r="AP84" s="257">
        <f>EEFFun!AP553</f>
        <v>157</v>
      </c>
      <c r="AQ84" s="257">
        <f>EEFFun!AQ553</f>
        <v>235.5</v>
      </c>
      <c r="AR84" s="257">
        <f>EEFFun!AR553</f>
        <v>314</v>
      </c>
      <c r="AS84" s="257">
        <f>EEFFun!AS553</f>
        <v>392.5</v>
      </c>
      <c r="AT84" s="257">
        <f>EEFFun!AT553</f>
        <v>471</v>
      </c>
      <c r="AU84" s="257">
        <f>EEFFun!AU553</f>
        <v>549.5</v>
      </c>
      <c r="AV84" s="257">
        <f>EEFFun!AV553</f>
        <v>1116.81</v>
      </c>
      <c r="AW84" s="257">
        <f>EEFFun!AW553</f>
        <v>1684.12</v>
      </c>
      <c r="AX84" s="257">
        <f>EEFFun!AX553</f>
        <v>2251.4299999999998</v>
      </c>
      <c r="AY84" s="295">
        <f t="shared" si="373"/>
        <v>202.62869999999998</v>
      </c>
      <c r="AZ84" s="295">
        <f t="shared" si="373"/>
        <v>202.62869999999998</v>
      </c>
      <c r="BA84" s="295">
        <f t="shared" si="373"/>
        <v>202.62869999999998</v>
      </c>
      <c r="BB84" s="295">
        <f t="shared" si="373"/>
        <v>202.62869999999998</v>
      </c>
      <c r="BC84" s="295">
        <f t="shared" si="373"/>
        <v>202.62869999999998</v>
      </c>
      <c r="BD84" s="295">
        <f t="shared" si="373"/>
        <v>202.62869999999998</v>
      </c>
      <c r="BE84" s="295">
        <f t="shared" si="373"/>
        <v>202.62869999999998</v>
      </c>
      <c r="BF84" s="295">
        <f t="shared" si="373"/>
        <v>202.62869999999998</v>
      </c>
      <c r="BG84" s="295">
        <f t="shared" si="373"/>
        <v>202.62869999999998</v>
      </c>
      <c r="BH84" s="295">
        <f t="shared" si="373"/>
        <v>202.62869999999998</v>
      </c>
      <c r="BI84" s="295">
        <f t="shared" si="373"/>
        <v>202.62869999999998</v>
      </c>
      <c r="BJ84" s="295">
        <f t="shared" si="373"/>
        <v>202.62869999999998</v>
      </c>
      <c r="BK84" s="295">
        <f>SUM($AY$84:AY84)</f>
        <v>202.62869999999998</v>
      </c>
      <c r="BL84" s="295">
        <f>SUM($AY$84:AZ84)</f>
        <v>405.25739999999996</v>
      </c>
      <c r="BM84" s="295">
        <f>SUM($AY$84:BA84)</f>
        <v>607.88609999999994</v>
      </c>
      <c r="BN84" s="295">
        <f>SUM($AY$84:BB84)</f>
        <v>810.51479999999992</v>
      </c>
      <c r="BO84" s="295">
        <f>SUM($AY$84:BC84)</f>
        <v>1013.1434999999999</v>
      </c>
      <c r="BP84" s="295">
        <f>SUM($AY$84:BD84)</f>
        <v>1215.7721999999999</v>
      </c>
      <c r="BQ84" s="295">
        <f>SUM($AY$84:BE84)</f>
        <v>1418.4008999999999</v>
      </c>
      <c r="BR84" s="295">
        <f>SUM($AY$84:BF84)</f>
        <v>1621.0295999999998</v>
      </c>
      <c r="BS84" s="295">
        <f>SUM($AY$84:BG84)</f>
        <v>1823.6582999999998</v>
      </c>
      <c r="BT84" s="295">
        <f>SUM($AY$84:BH84)</f>
        <v>2026.2869999999998</v>
      </c>
      <c r="BU84" s="295">
        <f>SUM($AY$84:BI84)</f>
        <v>2228.9156999999996</v>
      </c>
      <c r="BV84" s="295">
        <f>SUM($AY$84:BJ84)</f>
        <v>2431.5443999999998</v>
      </c>
      <c r="BW84" s="291"/>
    </row>
    <row r="85" spans="1:75" outlineLevel="1" x14ac:dyDescent="0.25">
      <c r="A85" s="222">
        <v>6</v>
      </c>
      <c r="B85" s="233">
        <f>EEFFun!B554</f>
        <v>450390</v>
      </c>
      <c r="C85" s="233" t="str">
        <f>EEFFun!C554</f>
        <v>Otros servicios</v>
      </c>
      <c r="D85" s="257">
        <f>EEFFun!P554</f>
        <v>127822.93</v>
      </c>
      <c r="E85" s="295">
        <f t="shared" ref="E85" si="420">SUM(E86:E95)</f>
        <v>6525.94</v>
      </c>
      <c r="F85" s="295">
        <f t="shared" ref="F85" si="421">SUM(F86:F95)</f>
        <v>3599.51</v>
      </c>
      <c r="G85" s="295">
        <f t="shared" ref="G85" si="422">SUM(G86:G95)</f>
        <v>9804.2799999999988</v>
      </c>
      <c r="H85" s="295">
        <f t="shared" ref="H85:L85" si="423">SUM(H86:H96)</f>
        <v>11913.669999999998</v>
      </c>
      <c r="I85" s="295">
        <f t="shared" si="423"/>
        <v>12129.13</v>
      </c>
      <c r="J85" s="295">
        <f t="shared" si="423"/>
        <v>5773.3200000000033</v>
      </c>
      <c r="K85" s="295">
        <f t="shared" si="423"/>
        <v>21611.1</v>
      </c>
      <c r="L85" s="295">
        <f t="shared" si="423"/>
        <v>12128.499999999998</v>
      </c>
      <c r="M85" s="295">
        <f>SUM(M86:M96)</f>
        <v>5896.2000000000044</v>
      </c>
      <c r="N85" s="295">
        <f t="shared" ref="N85:P85" si="424">SUM(N86:N96)</f>
        <v>9359.57</v>
      </c>
      <c r="O85" s="295">
        <f t="shared" si="424"/>
        <v>7202.7299999999959</v>
      </c>
      <c r="P85" s="295">
        <f t="shared" si="424"/>
        <v>23541.31</v>
      </c>
      <c r="Q85" s="257">
        <f>EEFFun!Q554</f>
        <v>6525.94</v>
      </c>
      <c r="R85" s="257">
        <f>EEFFun!R554</f>
        <v>10125.450000000001</v>
      </c>
      <c r="S85" s="257">
        <f>EEFFun!S554</f>
        <v>19929.73</v>
      </c>
      <c r="T85" s="257">
        <f>EEFFun!T554</f>
        <v>31843.4</v>
      </c>
      <c r="U85" s="257">
        <f>EEFFun!U554</f>
        <v>43972.53</v>
      </c>
      <c r="V85" s="257">
        <f>EEFFun!V554</f>
        <v>49745.85</v>
      </c>
      <c r="W85" s="257">
        <f>EEFFun!W554</f>
        <v>71356.95</v>
      </c>
      <c r="X85" s="257">
        <f>EEFFun!X554</f>
        <v>83485.45</v>
      </c>
      <c r="Y85" s="257">
        <f>EEFFun!Y554</f>
        <v>89381.65</v>
      </c>
      <c r="Z85" s="257">
        <f>EEFFun!Z554</f>
        <v>98741.22</v>
      </c>
      <c r="AA85" s="257">
        <f>EEFFun!AA554</f>
        <v>105943.95</v>
      </c>
      <c r="AB85" s="257">
        <f>EEFFun!AB554</f>
        <v>129485.26</v>
      </c>
      <c r="AC85" s="257">
        <f>EEFFun!AC554</f>
        <v>8457.83</v>
      </c>
      <c r="AD85" s="257">
        <f>EEFFun!AD554</f>
        <v>18441.46</v>
      </c>
      <c r="AE85" s="257">
        <f>EEFFun!AE554</f>
        <v>30462.3</v>
      </c>
      <c r="AF85" s="257">
        <f>EEFFun!AF554</f>
        <v>48295.839999999997</v>
      </c>
      <c r="AG85" s="257">
        <f>EEFFun!AG554</f>
        <v>72507.929999999993</v>
      </c>
      <c r="AH85" s="257">
        <f>EEFFun!AH554</f>
        <v>104097.2</v>
      </c>
      <c r="AI85" s="257">
        <f>EEFFun!AI554</f>
        <v>143489.78</v>
      </c>
      <c r="AJ85" s="257">
        <f>EEFFun!AJ554</f>
        <v>159877.20000000001</v>
      </c>
      <c r="AK85" s="257">
        <f>EEFFun!AK554</f>
        <v>178042.62</v>
      </c>
      <c r="AL85" s="257">
        <f>EEFFun!AL554</f>
        <v>197318.04</v>
      </c>
      <c r="AM85" s="257">
        <f>EEFFun!AM554</f>
        <v>222892.1</v>
      </c>
      <c r="AN85" s="257">
        <f>EEFFun!AN554</f>
        <v>248516.36</v>
      </c>
      <c r="AO85" s="257">
        <f>EEFFun!AO554</f>
        <v>18291.46</v>
      </c>
      <c r="AP85" s="257">
        <f>EEFFun!AP554</f>
        <v>67038.97</v>
      </c>
      <c r="AQ85" s="257">
        <f>EEFFun!AQ554</f>
        <v>88901.06</v>
      </c>
      <c r="AR85" s="257">
        <f>EEFFun!AR554</f>
        <v>111710.91</v>
      </c>
      <c r="AS85" s="257">
        <f>EEFFun!AS554</f>
        <v>139513.31</v>
      </c>
      <c r="AT85" s="257">
        <f>EEFFun!AT554</f>
        <v>173095.94</v>
      </c>
      <c r="AU85" s="257">
        <f>EEFFun!AU554</f>
        <v>199079.2</v>
      </c>
      <c r="AV85" s="257">
        <f>EEFFun!AV554</f>
        <v>223002.33</v>
      </c>
      <c r="AW85" s="257">
        <f>EEFFun!AW554</f>
        <v>247506.88</v>
      </c>
      <c r="AX85" s="257">
        <f>EEFFun!AX554</f>
        <v>273787.02</v>
      </c>
      <c r="AY85" s="295">
        <f t="shared" si="373"/>
        <v>24640.8318</v>
      </c>
      <c r="AZ85" s="295">
        <f t="shared" si="373"/>
        <v>24640.8318</v>
      </c>
      <c r="BA85" s="295">
        <f t="shared" si="373"/>
        <v>24640.8318</v>
      </c>
      <c r="BB85" s="295">
        <f t="shared" si="373"/>
        <v>24640.8318</v>
      </c>
      <c r="BC85" s="295">
        <f t="shared" si="373"/>
        <v>24640.8318</v>
      </c>
      <c r="BD85" s="295">
        <f t="shared" si="373"/>
        <v>24640.8318</v>
      </c>
      <c r="BE85" s="295">
        <f t="shared" si="373"/>
        <v>24640.8318</v>
      </c>
      <c r="BF85" s="295">
        <f t="shared" si="373"/>
        <v>24640.8318</v>
      </c>
      <c r="BG85" s="295">
        <f t="shared" si="373"/>
        <v>24640.8318</v>
      </c>
      <c r="BH85" s="295">
        <f t="shared" si="373"/>
        <v>24640.8318</v>
      </c>
      <c r="BI85" s="295">
        <f t="shared" si="373"/>
        <v>24640.8318</v>
      </c>
      <c r="BJ85" s="295">
        <f t="shared" si="373"/>
        <v>24640.8318</v>
      </c>
      <c r="BK85" s="295">
        <f t="shared" ref="BK85:BQ85" si="425">SUM(BK86:BK96)</f>
        <v>24577.111799999999</v>
      </c>
      <c r="BL85" s="295">
        <f t="shared" si="425"/>
        <v>49154.223599999998</v>
      </c>
      <c r="BM85" s="295">
        <f t="shared" si="425"/>
        <v>73731.335400000011</v>
      </c>
      <c r="BN85" s="295">
        <f t="shared" si="425"/>
        <v>98308.447199999995</v>
      </c>
      <c r="BO85" s="295">
        <f t="shared" si="425"/>
        <v>122885.55900000001</v>
      </c>
      <c r="BP85" s="295">
        <f t="shared" si="425"/>
        <v>147462.67080000002</v>
      </c>
      <c r="BQ85" s="295">
        <f t="shared" si="425"/>
        <v>172039.78260000004</v>
      </c>
      <c r="BR85" s="295">
        <f t="shared" ref="BR85:BV85" si="426">SUM(BR86:BR96)</f>
        <v>196616.89439999999</v>
      </c>
      <c r="BS85" s="295">
        <f t="shared" si="426"/>
        <v>221194.0062</v>
      </c>
      <c r="BT85" s="295">
        <f t="shared" si="426"/>
        <v>245771.11800000005</v>
      </c>
      <c r="BU85" s="295">
        <f t="shared" si="426"/>
        <v>270348.22979999997</v>
      </c>
      <c r="BV85" s="295">
        <f t="shared" si="426"/>
        <v>294925.34160000004</v>
      </c>
      <c r="BW85" s="291"/>
    </row>
    <row r="86" spans="1:75" outlineLevel="1" x14ac:dyDescent="0.25">
      <c r="A86" s="222">
        <v>8</v>
      </c>
      <c r="B86" s="233">
        <f>EEFFun!B555</f>
        <v>45039010</v>
      </c>
      <c r="C86" s="233" t="str">
        <f>EEFFun!C555</f>
        <v>ATENCION A CLIENTES Y PROVEEDORES</v>
      </c>
      <c r="D86" s="257">
        <f>EEFFun!P555</f>
        <v>250.63</v>
      </c>
      <c r="E86" s="295">
        <f t="shared" ref="E86:E95" si="427">Q86</f>
        <v>0</v>
      </c>
      <c r="F86" s="295">
        <f t="shared" ref="F86:F95" si="428">R86-Q86</f>
        <v>0</v>
      </c>
      <c r="G86" s="295">
        <f t="shared" ref="G86:G95" si="429">S86-R86</f>
        <v>0</v>
      </c>
      <c r="H86" s="295">
        <f t="shared" ref="H86:H95" si="430">T86-S86</f>
        <v>0</v>
      </c>
      <c r="I86" s="295">
        <f t="shared" ref="I86:I95" si="431">U86-T86</f>
        <v>0</v>
      </c>
      <c r="J86" s="295">
        <f t="shared" ref="J86:J95" si="432">V86-U86</f>
        <v>0</v>
      </c>
      <c r="K86" s="295">
        <f t="shared" ref="K86:K95" si="433">W86-V86</f>
        <v>0</v>
      </c>
      <c r="L86" s="295">
        <f t="shared" ref="L86:L95" si="434">X86-W86</f>
        <v>19331.43</v>
      </c>
      <c r="M86" s="295">
        <f t="shared" ref="M86:M95" si="435">Y86-X86</f>
        <v>-19331.43</v>
      </c>
      <c r="N86" s="295">
        <f t="shared" ref="N86:N95" si="436">Z86-Y86</f>
        <v>0</v>
      </c>
      <c r="O86" s="295">
        <f t="shared" ref="O86:P95" si="437">AA86-Z86</f>
        <v>0</v>
      </c>
      <c r="P86" s="295">
        <f t="shared" si="437"/>
        <v>0</v>
      </c>
      <c r="Q86" s="257">
        <f>EEFFun!Q555</f>
        <v>0</v>
      </c>
      <c r="R86" s="257">
        <f>EEFFun!R555</f>
        <v>0</v>
      </c>
      <c r="S86" s="257">
        <f>EEFFun!S555</f>
        <v>0</v>
      </c>
      <c r="T86" s="257">
        <f>EEFFun!T555</f>
        <v>0</v>
      </c>
      <c r="U86" s="257">
        <f>EEFFun!U555</f>
        <v>0</v>
      </c>
      <c r="V86" s="257">
        <f>EEFFun!V555</f>
        <v>0</v>
      </c>
      <c r="W86" s="257">
        <f>EEFFun!W555</f>
        <v>0</v>
      </c>
      <c r="X86" s="257">
        <f>EEFFun!X555</f>
        <v>19331.43</v>
      </c>
      <c r="Y86" s="257">
        <f>EEFFun!Y555</f>
        <v>0</v>
      </c>
      <c r="Z86" s="257">
        <f>EEFFun!Z555</f>
        <v>0</v>
      </c>
      <c r="AA86" s="257">
        <f>EEFFun!AA555</f>
        <v>0</v>
      </c>
      <c r="AB86" s="257">
        <f>EEFFun!AB555</f>
        <v>0</v>
      </c>
      <c r="AC86" s="257">
        <f>EEFFun!AC555</f>
        <v>0</v>
      </c>
      <c r="AD86" s="257">
        <f>EEFFun!AD555</f>
        <v>0</v>
      </c>
      <c r="AE86" s="257">
        <f>EEFFun!AE555</f>
        <v>0</v>
      </c>
      <c r="AF86" s="257">
        <f>EEFFun!AF555</f>
        <v>0</v>
      </c>
      <c r="AG86" s="257">
        <f>EEFFun!AG555</f>
        <v>0</v>
      </c>
      <c r="AH86" s="257">
        <f>EEFFun!AH555</f>
        <v>0</v>
      </c>
      <c r="AI86" s="257">
        <f>EEFFun!AI555</f>
        <v>0</v>
      </c>
      <c r="AJ86" s="257">
        <f>EEFFun!AJ555</f>
        <v>0</v>
      </c>
      <c r="AK86" s="257">
        <f>EEFFun!AK555</f>
        <v>0</v>
      </c>
      <c r="AL86" s="257">
        <f>EEFFun!AL555</f>
        <v>0</v>
      </c>
      <c r="AM86" s="257">
        <f>EEFFun!AM555</f>
        <v>0</v>
      </c>
      <c r="AN86" s="257">
        <f>EEFFun!AN555</f>
        <v>0</v>
      </c>
      <c r="AO86" s="257">
        <f>EEFFun!AO555</f>
        <v>10.37</v>
      </c>
      <c r="AP86" s="257">
        <f>EEFFun!AP555</f>
        <v>10.37</v>
      </c>
      <c r="AQ86" s="257">
        <f>EEFFun!AQ555</f>
        <v>10.37</v>
      </c>
      <c r="AR86" s="257">
        <f>EEFFun!AR555</f>
        <v>10.37</v>
      </c>
      <c r="AS86" s="257">
        <f>EEFFun!AS555</f>
        <v>23.41</v>
      </c>
      <c r="AT86" s="257">
        <f>EEFFun!AT555</f>
        <v>23.41</v>
      </c>
      <c r="AU86" s="257">
        <f>EEFFun!AU555</f>
        <v>23.41</v>
      </c>
      <c r="AV86" s="257">
        <f>EEFFun!AV555</f>
        <v>75.52</v>
      </c>
      <c r="AW86" s="257">
        <f>EEFFun!AW555</f>
        <v>75.52</v>
      </c>
      <c r="AX86" s="257">
        <f>EEFFun!AX555</f>
        <v>107.23</v>
      </c>
      <c r="AY86" s="295">
        <f t="shared" si="373"/>
        <v>9.6507000000000005</v>
      </c>
      <c r="AZ86" s="295">
        <f t="shared" si="373"/>
        <v>9.6507000000000005</v>
      </c>
      <c r="BA86" s="295">
        <f t="shared" si="373"/>
        <v>9.6507000000000005</v>
      </c>
      <c r="BB86" s="295">
        <f t="shared" si="373"/>
        <v>9.6507000000000005</v>
      </c>
      <c r="BC86" s="295">
        <f t="shared" si="373"/>
        <v>9.6507000000000005</v>
      </c>
      <c r="BD86" s="295">
        <f t="shared" si="373"/>
        <v>9.6507000000000005</v>
      </c>
      <c r="BE86" s="295">
        <f t="shared" si="373"/>
        <v>9.6507000000000005</v>
      </c>
      <c r="BF86" s="295">
        <f t="shared" si="373"/>
        <v>9.6507000000000005</v>
      </c>
      <c r="BG86" s="295">
        <f t="shared" si="373"/>
        <v>9.6507000000000005</v>
      </c>
      <c r="BH86" s="295">
        <f t="shared" si="373"/>
        <v>9.6507000000000005</v>
      </c>
      <c r="BI86" s="295">
        <f t="shared" si="373"/>
        <v>9.6507000000000005</v>
      </c>
      <c r="BJ86" s="295">
        <f t="shared" si="373"/>
        <v>9.6507000000000005</v>
      </c>
      <c r="BK86" s="295">
        <f>SUM($AY$86:AY86)</f>
        <v>9.6507000000000005</v>
      </c>
      <c r="BL86" s="295">
        <f>SUM($AY$86:AZ86)</f>
        <v>19.301400000000001</v>
      </c>
      <c r="BM86" s="295">
        <f>SUM($AY$86:BA86)</f>
        <v>28.952100000000002</v>
      </c>
      <c r="BN86" s="295">
        <f>SUM($AY$86:BB86)</f>
        <v>38.602800000000002</v>
      </c>
      <c r="BO86" s="295">
        <f>SUM($AY$86:BC86)</f>
        <v>48.253500000000003</v>
      </c>
      <c r="BP86" s="295">
        <f>SUM($AY$86:BD86)</f>
        <v>57.904200000000003</v>
      </c>
      <c r="BQ86" s="295">
        <f>SUM($AY$86:BE86)</f>
        <v>67.554900000000004</v>
      </c>
      <c r="BR86" s="295">
        <f>SUM($AY$86:BF86)</f>
        <v>77.205600000000004</v>
      </c>
      <c r="BS86" s="295">
        <f>SUM($AY$86:BG86)</f>
        <v>86.856300000000005</v>
      </c>
      <c r="BT86" s="295">
        <f>SUM($AY$86:BH86)</f>
        <v>96.507000000000005</v>
      </c>
      <c r="BU86" s="295">
        <f>SUM($AY$86:BI86)</f>
        <v>106.15770000000001</v>
      </c>
      <c r="BV86" s="295">
        <f>SUM($AY$86:BJ86)</f>
        <v>115.80840000000001</v>
      </c>
      <c r="BW86" s="291"/>
    </row>
    <row r="87" spans="1:75" s="229" customFormat="1" outlineLevel="1" x14ac:dyDescent="0.25">
      <c r="A87" s="239">
        <v>8</v>
      </c>
      <c r="B87" s="233">
        <f>EEFFun!B556</f>
        <v>45039015</v>
      </c>
      <c r="C87" s="233" t="str">
        <f>EEFFun!C556</f>
        <v>GASTOS LEGALES</v>
      </c>
      <c r="D87" s="257">
        <f>EEFFun!P556</f>
        <v>9260.49</v>
      </c>
      <c r="E87" s="295">
        <f t="shared" si="427"/>
        <v>1084.6099999999999</v>
      </c>
      <c r="F87" s="295">
        <f t="shared" si="428"/>
        <v>662.04000000000019</v>
      </c>
      <c r="G87" s="295">
        <f t="shared" si="429"/>
        <v>1070.1100000000001</v>
      </c>
      <c r="H87" s="295">
        <f t="shared" si="430"/>
        <v>112.72999999999956</v>
      </c>
      <c r="I87" s="295">
        <f t="shared" si="431"/>
        <v>203.15000000000009</v>
      </c>
      <c r="J87" s="295">
        <f t="shared" si="432"/>
        <v>913.36000000000013</v>
      </c>
      <c r="K87" s="295">
        <f t="shared" si="433"/>
        <v>14527.77</v>
      </c>
      <c r="L87" s="295">
        <f t="shared" si="434"/>
        <v>-9041.6200000000008</v>
      </c>
      <c r="M87" s="295">
        <f t="shared" si="435"/>
        <v>10004.44</v>
      </c>
      <c r="N87" s="295">
        <f t="shared" si="436"/>
        <v>1564.7099999999991</v>
      </c>
      <c r="O87" s="295">
        <f t="shared" si="437"/>
        <v>1093.4500000000007</v>
      </c>
      <c r="P87" s="295">
        <f t="shared" si="437"/>
        <v>1330.3400000000001</v>
      </c>
      <c r="Q87" s="257">
        <f>EEFFun!Q556</f>
        <v>1084.6099999999999</v>
      </c>
      <c r="R87" s="257">
        <f>EEFFun!R556</f>
        <v>1746.65</v>
      </c>
      <c r="S87" s="257">
        <f>EEFFun!S556</f>
        <v>2816.76</v>
      </c>
      <c r="T87" s="257">
        <f>EEFFun!T556</f>
        <v>2929.49</v>
      </c>
      <c r="U87" s="257">
        <f>EEFFun!U556</f>
        <v>3132.64</v>
      </c>
      <c r="V87" s="257">
        <f>EEFFun!V556</f>
        <v>4046</v>
      </c>
      <c r="W87" s="257">
        <f>EEFFun!W556</f>
        <v>18573.77</v>
      </c>
      <c r="X87" s="257">
        <f>EEFFun!X556</f>
        <v>9532.15</v>
      </c>
      <c r="Y87" s="257">
        <f>EEFFun!Y556</f>
        <v>19536.59</v>
      </c>
      <c r="Z87" s="257">
        <f>EEFFun!Z556</f>
        <v>21101.3</v>
      </c>
      <c r="AA87" s="257">
        <f>EEFFun!AA556</f>
        <v>22194.75</v>
      </c>
      <c r="AB87" s="257">
        <f>EEFFun!AB556</f>
        <v>23525.09</v>
      </c>
      <c r="AC87" s="257">
        <f>EEFFun!AC556</f>
        <v>3325.2</v>
      </c>
      <c r="AD87" s="257">
        <f>EEFFun!AD556</f>
        <v>4700.3500000000004</v>
      </c>
      <c r="AE87" s="257">
        <f>EEFFun!AE556</f>
        <v>5676.55</v>
      </c>
      <c r="AF87" s="257">
        <f>EEFFun!AF556</f>
        <v>6533.89</v>
      </c>
      <c r="AG87" s="257">
        <f>EEFFun!AG556</f>
        <v>11315.11</v>
      </c>
      <c r="AH87" s="257">
        <f>EEFFun!AH556</f>
        <v>13803.97</v>
      </c>
      <c r="AI87" s="257">
        <f>EEFFun!AI556</f>
        <v>18800.12</v>
      </c>
      <c r="AJ87" s="257">
        <f>EEFFun!AJ556</f>
        <v>20301.23</v>
      </c>
      <c r="AK87" s="257">
        <f>EEFFun!AK556</f>
        <v>24950.48</v>
      </c>
      <c r="AL87" s="257">
        <f>EEFFun!AL556</f>
        <v>29722.54</v>
      </c>
      <c r="AM87" s="257">
        <f>EEFFun!AM556</f>
        <v>38307.980000000003</v>
      </c>
      <c r="AN87" s="257">
        <f>EEFFun!AN556</f>
        <v>44203.199999999997</v>
      </c>
      <c r="AO87" s="257">
        <f>EEFFun!AO556</f>
        <v>4431.6499999999996</v>
      </c>
      <c r="AP87" s="257">
        <f>EEFFun!AP556</f>
        <v>22254.15</v>
      </c>
      <c r="AQ87" s="257">
        <f>EEFFun!AQ556</f>
        <v>31020.080000000002</v>
      </c>
      <c r="AR87" s="257">
        <f>EEFFun!AR556</f>
        <v>38505.18</v>
      </c>
      <c r="AS87" s="257">
        <f>EEFFun!AS556</f>
        <v>42569.35</v>
      </c>
      <c r="AT87" s="257">
        <f>EEFFun!AT556</f>
        <v>49401.13</v>
      </c>
      <c r="AU87" s="257">
        <f>EEFFun!AU556</f>
        <v>53571.26</v>
      </c>
      <c r="AV87" s="257">
        <f>EEFFun!AV556</f>
        <v>61846.34</v>
      </c>
      <c r="AW87" s="257">
        <f>EEFFun!AW556</f>
        <v>65854.59</v>
      </c>
      <c r="AX87" s="257">
        <f>EEFFun!AX556</f>
        <v>73456.73</v>
      </c>
      <c r="AY87" s="295">
        <f t="shared" si="373"/>
        <v>6611.1057000000001</v>
      </c>
      <c r="AZ87" s="295">
        <f t="shared" si="373"/>
        <v>6611.1057000000001</v>
      </c>
      <c r="BA87" s="295">
        <f t="shared" si="373"/>
        <v>6611.1057000000001</v>
      </c>
      <c r="BB87" s="295">
        <f t="shared" si="373"/>
        <v>6611.1057000000001</v>
      </c>
      <c r="BC87" s="295">
        <f t="shared" si="373"/>
        <v>6611.1057000000001</v>
      </c>
      <c r="BD87" s="295">
        <f t="shared" si="373"/>
        <v>6611.1057000000001</v>
      </c>
      <c r="BE87" s="295">
        <f t="shared" si="373"/>
        <v>6611.1057000000001</v>
      </c>
      <c r="BF87" s="295">
        <f t="shared" si="373"/>
        <v>6611.1057000000001</v>
      </c>
      <c r="BG87" s="295">
        <f t="shared" si="373"/>
        <v>6611.1057000000001</v>
      </c>
      <c r="BH87" s="295">
        <f t="shared" si="373"/>
        <v>6611.1057000000001</v>
      </c>
      <c r="BI87" s="295">
        <f t="shared" si="373"/>
        <v>6611.1057000000001</v>
      </c>
      <c r="BJ87" s="295">
        <f t="shared" si="373"/>
        <v>6611.1057000000001</v>
      </c>
      <c r="BK87" s="295">
        <f>SUM($AY$87:AY87)</f>
        <v>6611.1057000000001</v>
      </c>
      <c r="BL87" s="295">
        <f>SUM($AY$87:AZ87)</f>
        <v>13222.2114</v>
      </c>
      <c r="BM87" s="295">
        <f>SUM($AY$87:BA87)</f>
        <v>19833.3171</v>
      </c>
      <c r="BN87" s="295">
        <f>SUM($AY$87:BB87)</f>
        <v>26444.4228</v>
      </c>
      <c r="BO87" s="295">
        <f>SUM($AY$87:BC87)</f>
        <v>33055.5285</v>
      </c>
      <c r="BP87" s="295">
        <f>SUM($AY$87:BD87)</f>
        <v>39666.6342</v>
      </c>
      <c r="BQ87" s="295">
        <f>SUM($AY$87:BE87)</f>
        <v>46277.7399</v>
      </c>
      <c r="BR87" s="295">
        <f>SUM($AY$87:BF87)</f>
        <v>52888.845600000001</v>
      </c>
      <c r="BS87" s="295">
        <f>SUM($AY$87:BG87)</f>
        <v>59499.951300000001</v>
      </c>
      <c r="BT87" s="295">
        <f>SUM($AY$87:BH87)</f>
        <v>66111.057000000001</v>
      </c>
      <c r="BU87" s="295">
        <f>SUM($AY$87:BI87)</f>
        <v>72722.162700000001</v>
      </c>
      <c r="BV87" s="295">
        <f>SUM($AY$87:BJ87)</f>
        <v>79333.268400000001</v>
      </c>
      <c r="BW87" s="284"/>
    </row>
    <row r="88" spans="1:75" s="229" customFormat="1" outlineLevel="1" x14ac:dyDescent="0.25">
      <c r="A88" s="239">
        <v>8</v>
      </c>
      <c r="B88" s="233">
        <f>EEFFun!B557</f>
        <v>45039020</v>
      </c>
      <c r="C88" s="233" t="str">
        <f>EEFFun!C557</f>
        <v>GASTOS DE COBRANZAS</v>
      </c>
      <c r="D88" s="257">
        <f>EEFFun!P557</f>
        <v>0</v>
      </c>
      <c r="E88" s="295">
        <f t="shared" ref="E88" si="438">Q88</f>
        <v>0</v>
      </c>
      <c r="F88" s="295">
        <f t="shared" ref="F88" si="439">R88-Q88</f>
        <v>0</v>
      </c>
      <c r="G88" s="295">
        <f t="shared" ref="G88" si="440">S88-R88</f>
        <v>0</v>
      </c>
      <c r="H88" s="295">
        <f t="shared" ref="H88" si="441">T88-S88</f>
        <v>0</v>
      </c>
      <c r="I88" s="295">
        <f t="shared" ref="I88" si="442">U88-T88</f>
        <v>0</v>
      </c>
      <c r="J88" s="295">
        <f t="shared" ref="J88" si="443">V88-U88</f>
        <v>0</v>
      </c>
      <c r="K88" s="295">
        <f t="shared" ref="K88" si="444">W88-V88</f>
        <v>0</v>
      </c>
      <c r="L88" s="295">
        <f t="shared" ref="L88" si="445">X88-W88</f>
        <v>0</v>
      </c>
      <c r="M88" s="295">
        <f>Y88-X88</f>
        <v>169.35</v>
      </c>
      <c r="N88" s="295">
        <f t="shared" ref="N88" si="446">Z88-Y88</f>
        <v>150.00000000000003</v>
      </c>
      <c r="O88" s="295">
        <f t="shared" ref="O88:P88" si="447">AA88-Z88</f>
        <v>258.07999999999993</v>
      </c>
      <c r="P88" s="295">
        <f t="shared" si="447"/>
        <v>11150</v>
      </c>
      <c r="Q88" s="257">
        <f>EEFFun!Q557</f>
        <v>0</v>
      </c>
      <c r="R88" s="257">
        <f>EEFFun!R557</f>
        <v>0</v>
      </c>
      <c r="S88" s="257">
        <f>EEFFun!S557</f>
        <v>0</v>
      </c>
      <c r="T88" s="257">
        <f>EEFFun!T557</f>
        <v>0</v>
      </c>
      <c r="U88" s="257">
        <f>EEFFun!U557</f>
        <v>0</v>
      </c>
      <c r="V88" s="257">
        <f>EEFFun!V557</f>
        <v>0</v>
      </c>
      <c r="W88" s="257">
        <f>EEFFun!W557</f>
        <v>0</v>
      </c>
      <c r="X88" s="257">
        <f>EEFFun!X557</f>
        <v>0</v>
      </c>
      <c r="Y88" s="257">
        <f>EEFFun!Y557</f>
        <v>169.35</v>
      </c>
      <c r="Z88" s="257">
        <f>EEFFun!Z557</f>
        <v>319.35000000000002</v>
      </c>
      <c r="AA88" s="257">
        <f>EEFFun!AA557</f>
        <v>577.42999999999995</v>
      </c>
      <c r="AB88" s="257">
        <f>EEFFun!AB557</f>
        <v>11727.43</v>
      </c>
      <c r="AC88" s="257">
        <f>EEFFun!AC557</f>
        <v>345.09</v>
      </c>
      <c r="AD88" s="257">
        <f>EEFFun!AD557</f>
        <v>2328.42</v>
      </c>
      <c r="AE88" s="257">
        <f>EEFFun!AE557</f>
        <v>7780.41</v>
      </c>
      <c r="AF88" s="257">
        <f>EEFFun!AF557</f>
        <v>14014.61</v>
      </c>
      <c r="AG88" s="257">
        <f>EEFFun!AG557</f>
        <v>21545.360000000001</v>
      </c>
      <c r="AH88" s="257">
        <f>EEFFun!AH557</f>
        <v>42443.39</v>
      </c>
      <c r="AI88" s="257">
        <f>EEFFun!AI557</f>
        <v>55283.1</v>
      </c>
      <c r="AJ88" s="257">
        <f>EEFFun!AJ557</f>
        <v>62701.69</v>
      </c>
      <c r="AK88" s="257">
        <f>EEFFun!AK557</f>
        <v>65622.25</v>
      </c>
      <c r="AL88" s="257">
        <f>EEFFun!AL557</f>
        <v>71653.56</v>
      </c>
      <c r="AM88" s="257">
        <f>EEFFun!AM557</f>
        <v>78199.39</v>
      </c>
      <c r="AN88" s="257">
        <f>EEFFun!AN557</f>
        <v>83131.47</v>
      </c>
      <c r="AO88" s="257">
        <f>EEFFun!AO557</f>
        <v>6141.12</v>
      </c>
      <c r="AP88" s="257">
        <f>EEFFun!AP557</f>
        <v>12858.94</v>
      </c>
      <c r="AQ88" s="257">
        <f>EEFFun!AQ557</f>
        <v>17254.72</v>
      </c>
      <c r="AR88" s="257">
        <f>EEFFun!AR557</f>
        <v>18484.810000000001</v>
      </c>
      <c r="AS88" s="257">
        <f>EEFFun!AS557</f>
        <v>20298.32</v>
      </c>
      <c r="AT88" s="257">
        <f>EEFFun!AT557</f>
        <v>32167.75</v>
      </c>
      <c r="AU88" s="257">
        <f>EEFFun!AU557</f>
        <v>36710.06</v>
      </c>
      <c r="AV88" s="257">
        <f>EEFFun!AV557</f>
        <v>37872.080000000002</v>
      </c>
      <c r="AW88" s="257">
        <f>EEFFun!AW557</f>
        <v>45158</v>
      </c>
      <c r="AX88" s="257">
        <f>EEFFun!AX557</f>
        <v>45985.68</v>
      </c>
      <c r="AY88" s="295">
        <f t="shared" si="373"/>
        <v>4138.7112000000006</v>
      </c>
      <c r="AZ88" s="295">
        <f t="shared" si="373"/>
        <v>4138.7112000000006</v>
      </c>
      <c r="BA88" s="295">
        <f t="shared" si="373"/>
        <v>4138.7112000000006</v>
      </c>
      <c r="BB88" s="295">
        <f t="shared" si="373"/>
        <v>4138.7112000000006</v>
      </c>
      <c r="BC88" s="295">
        <f t="shared" si="373"/>
        <v>4138.7112000000006</v>
      </c>
      <c r="BD88" s="295">
        <f t="shared" si="373"/>
        <v>4138.7112000000006</v>
      </c>
      <c r="BE88" s="295">
        <f t="shared" si="373"/>
        <v>4138.7112000000006</v>
      </c>
      <c r="BF88" s="295">
        <f t="shared" si="373"/>
        <v>4138.7112000000006</v>
      </c>
      <c r="BG88" s="295">
        <f t="shared" si="373"/>
        <v>4138.7112000000006</v>
      </c>
      <c r="BH88" s="295">
        <f t="shared" si="373"/>
        <v>4138.7112000000006</v>
      </c>
      <c r="BI88" s="295">
        <f t="shared" si="373"/>
        <v>4138.7112000000006</v>
      </c>
      <c r="BJ88" s="295">
        <f t="shared" si="373"/>
        <v>4138.7112000000006</v>
      </c>
      <c r="BK88" s="295">
        <f>SUM($AY$88:AY88)</f>
        <v>4138.7112000000006</v>
      </c>
      <c r="BL88" s="295">
        <f>SUM($AY$88:AZ88)</f>
        <v>8277.4224000000013</v>
      </c>
      <c r="BM88" s="295">
        <f>SUM($AY$88:BA88)</f>
        <v>12416.133600000001</v>
      </c>
      <c r="BN88" s="295">
        <f>SUM($AY$88:BB88)</f>
        <v>16554.844800000003</v>
      </c>
      <c r="BO88" s="295">
        <f>SUM($AY$88:BC88)</f>
        <v>20693.556000000004</v>
      </c>
      <c r="BP88" s="295">
        <f>SUM($AY$88:BD88)</f>
        <v>24832.267200000006</v>
      </c>
      <c r="BQ88" s="295">
        <f>SUM($AY$88:BE88)</f>
        <v>28970.978400000007</v>
      </c>
      <c r="BR88" s="295">
        <f>SUM($AY$88:BF88)</f>
        <v>33109.689600000005</v>
      </c>
      <c r="BS88" s="295">
        <f>SUM($AY$88:BG88)</f>
        <v>37248.400800000003</v>
      </c>
      <c r="BT88" s="295">
        <f>SUM($AY$88:BH88)</f>
        <v>41387.112000000001</v>
      </c>
      <c r="BU88" s="295">
        <f>SUM($AY$88:BI88)</f>
        <v>45525.823199999999</v>
      </c>
      <c r="BV88" s="295">
        <f>SUM($AY$88:BJ88)</f>
        <v>49664.534399999997</v>
      </c>
      <c r="BW88" s="284"/>
    </row>
    <row r="89" spans="1:75" outlineLevel="1" x14ac:dyDescent="0.25">
      <c r="A89" s="222">
        <v>8</v>
      </c>
      <c r="B89" s="233">
        <f>EEFFun!B558</f>
        <v>45039025</v>
      </c>
      <c r="C89" s="233" t="str">
        <f>EEFFun!C558</f>
        <v>SERVICIOS DE AUDITORIA</v>
      </c>
      <c r="D89" s="257">
        <f>EEFFun!P558</f>
        <v>14985.72</v>
      </c>
      <c r="E89" s="295">
        <f t="shared" si="427"/>
        <v>0</v>
      </c>
      <c r="F89" s="295">
        <f t="shared" si="428"/>
        <v>0</v>
      </c>
      <c r="G89" s="295">
        <f t="shared" si="429"/>
        <v>150</v>
      </c>
      <c r="H89" s="295">
        <f t="shared" si="430"/>
        <v>4017.8599999999997</v>
      </c>
      <c r="I89" s="295">
        <f t="shared" si="431"/>
        <v>968.75</v>
      </c>
      <c r="J89" s="295">
        <f t="shared" si="432"/>
        <v>1118.75</v>
      </c>
      <c r="K89" s="295">
        <f t="shared" si="433"/>
        <v>968.75</v>
      </c>
      <c r="L89" s="295">
        <f t="shared" si="434"/>
        <v>-224.10999999999967</v>
      </c>
      <c r="M89" s="295">
        <f t="shared" si="435"/>
        <v>3500.8999999999996</v>
      </c>
      <c r="N89" s="295">
        <f t="shared" si="436"/>
        <v>968.75</v>
      </c>
      <c r="O89" s="295">
        <f t="shared" si="437"/>
        <v>968.75</v>
      </c>
      <c r="P89" s="295">
        <f t="shared" si="437"/>
        <v>968.75</v>
      </c>
      <c r="Q89" s="257">
        <f>EEFFun!Q558</f>
        <v>0</v>
      </c>
      <c r="R89" s="257">
        <f>EEFFun!R558</f>
        <v>0</v>
      </c>
      <c r="S89" s="257">
        <f>EEFFun!S558</f>
        <v>150</v>
      </c>
      <c r="T89" s="257">
        <f>EEFFun!T558</f>
        <v>4167.8599999999997</v>
      </c>
      <c r="U89" s="257">
        <f>EEFFun!U558</f>
        <v>5136.6099999999997</v>
      </c>
      <c r="V89" s="257">
        <f>EEFFun!V558</f>
        <v>6255.36</v>
      </c>
      <c r="W89" s="257">
        <f>EEFFun!W558</f>
        <v>7224.11</v>
      </c>
      <c r="X89" s="257">
        <f>EEFFun!X558</f>
        <v>7000</v>
      </c>
      <c r="Y89" s="257">
        <f>EEFFun!Y558</f>
        <v>10500.9</v>
      </c>
      <c r="Z89" s="257">
        <f>EEFFun!Z558</f>
        <v>11469.65</v>
      </c>
      <c r="AA89" s="257">
        <f>EEFFun!AA558</f>
        <v>12438.4</v>
      </c>
      <c r="AB89" s="257">
        <f>EEFFun!AB558</f>
        <v>13407.15</v>
      </c>
      <c r="AC89" s="257">
        <f>EEFFun!AC558</f>
        <v>0</v>
      </c>
      <c r="AD89" s="257">
        <f>EEFFun!AD558</f>
        <v>1291.67</v>
      </c>
      <c r="AE89" s="257">
        <f>EEFFun!AE558</f>
        <v>2583.34</v>
      </c>
      <c r="AF89" s="257">
        <f>EEFFun!AF558</f>
        <v>3875.01</v>
      </c>
      <c r="AG89" s="257">
        <f>EEFFun!AG558</f>
        <v>6409.95</v>
      </c>
      <c r="AH89" s="257">
        <f>EEFFun!AH558</f>
        <v>8993.2800000000007</v>
      </c>
      <c r="AI89" s="257">
        <f>EEFFun!AI558</f>
        <v>11576.61</v>
      </c>
      <c r="AJ89" s="257">
        <f>EEFFun!AJ558</f>
        <v>12868.28</v>
      </c>
      <c r="AK89" s="257">
        <f>EEFFun!AK558</f>
        <v>14159.95</v>
      </c>
      <c r="AL89" s="257">
        <f>EEFFun!AL558</f>
        <v>15451.62</v>
      </c>
      <c r="AM89" s="257">
        <f>EEFFun!AM558</f>
        <v>18243.29</v>
      </c>
      <c r="AN89" s="257">
        <f>EEFFun!AN558</f>
        <v>20041.46</v>
      </c>
      <c r="AO89" s="257">
        <f>EEFFun!AO558</f>
        <v>1292.82</v>
      </c>
      <c r="AP89" s="257">
        <f>EEFFun!AP558</f>
        <v>16084.49</v>
      </c>
      <c r="AQ89" s="257">
        <f>EEFFun!AQ558</f>
        <v>17376.16</v>
      </c>
      <c r="AR89" s="257">
        <f>EEFFun!AR558</f>
        <v>18667.830000000002</v>
      </c>
      <c r="AS89" s="257">
        <f>EEFFun!AS558</f>
        <v>18917.830000000002</v>
      </c>
      <c r="AT89" s="257">
        <f>EEFFun!AT558</f>
        <v>19417.830000000002</v>
      </c>
      <c r="AU89" s="257">
        <f>EEFFun!AU558</f>
        <v>19917.830000000002</v>
      </c>
      <c r="AV89" s="257">
        <f>EEFFun!AV558</f>
        <v>20167.830000000002</v>
      </c>
      <c r="AW89" s="257">
        <f>EEFFun!AW558</f>
        <v>20417.830000000002</v>
      </c>
      <c r="AX89" s="257">
        <f>EEFFun!AX558</f>
        <v>20417.830000000002</v>
      </c>
      <c r="AY89" s="295">
        <f t="shared" si="373"/>
        <v>1837.6047000000001</v>
      </c>
      <c r="AZ89" s="295">
        <f t="shared" si="373"/>
        <v>1837.6047000000001</v>
      </c>
      <c r="BA89" s="295">
        <f t="shared" si="373"/>
        <v>1837.6047000000001</v>
      </c>
      <c r="BB89" s="295">
        <f t="shared" si="373"/>
        <v>1837.6047000000001</v>
      </c>
      <c r="BC89" s="295">
        <f t="shared" si="373"/>
        <v>1837.6047000000001</v>
      </c>
      <c r="BD89" s="295">
        <f t="shared" si="373"/>
        <v>1837.6047000000001</v>
      </c>
      <c r="BE89" s="295">
        <f t="shared" si="373"/>
        <v>1837.6047000000001</v>
      </c>
      <c r="BF89" s="295">
        <f t="shared" ref="AZ89:BJ96" si="448">(+$AX89/10)*90%</f>
        <v>1837.6047000000001</v>
      </c>
      <c r="BG89" s="295">
        <f t="shared" si="448"/>
        <v>1837.6047000000001</v>
      </c>
      <c r="BH89" s="295">
        <f t="shared" si="448"/>
        <v>1837.6047000000001</v>
      </c>
      <c r="BI89" s="295">
        <f t="shared" si="448"/>
        <v>1837.6047000000001</v>
      </c>
      <c r="BJ89" s="295">
        <f t="shared" si="448"/>
        <v>1837.6047000000001</v>
      </c>
      <c r="BK89" s="295">
        <f>SUM($AY$89:AY89)</f>
        <v>1837.6047000000001</v>
      </c>
      <c r="BL89" s="295">
        <f>SUM($AY$89:AZ89)</f>
        <v>3675.2094000000002</v>
      </c>
      <c r="BM89" s="295">
        <f>SUM($AY$89:BA89)</f>
        <v>5512.8141000000005</v>
      </c>
      <c r="BN89" s="295">
        <f>SUM($AY$89:BB89)</f>
        <v>7350.4188000000004</v>
      </c>
      <c r="BO89" s="295">
        <f>SUM($AY$89:BC89)</f>
        <v>9188.0235000000011</v>
      </c>
      <c r="BP89" s="295">
        <f>SUM($AY$89:BD89)</f>
        <v>11025.628200000001</v>
      </c>
      <c r="BQ89" s="295">
        <f>SUM($AY$89:BE89)</f>
        <v>12863.232900000001</v>
      </c>
      <c r="BR89" s="295">
        <f>SUM($AY$89:BF89)</f>
        <v>14700.837600000001</v>
      </c>
      <c r="BS89" s="295">
        <f>SUM($AY$89:BG89)</f>
        <v>16538.442300000002</v>
      </c>
      <c r="BT89" s="295">
        <f>SUM($AY$89:BH89)</f>
        <v>18376.047000000002</v>
      </c>
      <c r="BU89" s="295">
        <f>SUM($AY$89:BI89)</f>
        <v>20213.651700000002</v>
      </c>
      <c r="BV89" s="295">
        <f>SUM($AY$89:BJ89)</f>
        <v>22051.256400000002</v>
      </c>
      <c r="BW89" s="291"/>
    </row>
    <row r="90" spans="1:75" outlineLevel="1" x14ac:dyDescent="0.25">
      <c r="A90" s="222">
        <v>8</v>
      </c>
      <c r="B90" s="233">
        <f>EEFFun!B559</f>
        <v>45039030</v>
      </c>
      <c r="C90" s="233" t="str">
        <f>EEFFun!C559</f>
        <v>SERVICIOS CALIFICADORA DE RIESGOS</v>
      </c>
      <c r="D90" s="257">
        <f>EEFFun!P559</f>
        <v>11658.5</v>
      </c>
      <c r="E90" s="295">
        <f t="shared" si="427"/>
        <v>1900</v>
      </c>
      <c r="F90" s="295">
        <f t="shared" si="428"/>
        <v>0</v>
      </c>
      <c r="G90" s="295">
        <f t="shared" si="429"/>
        <v>0</v>
      </c>
      <c r="H90" s="295">
        <f t="shared" si="430"/>
        <v>1900</v>
      </c>
      <c r="I90" s="295">
        <f t="shared" si="431"/>
        <v>1600</v>
      </c>
      <c r="J90" s="295">
        <f t="shared" si="432"/>
        <v>0</v>
      </c>
      <c r="K90" s="295">
        <f t="shared" si="433"/>
        <v>1600</v>
      </c>
      <c r="L90" s="295">
        <f t="shared" si="434"/>
        <v>-4562</v>
      </c>
      <c r="M90" s="295">
        <f t="shared" si="435"/>
        <v>4562</v>
      </c>
      <c r="N90" s="295">
        <f t="shared" si="436"/>
        <v>1600</v>
      </c>
      <c r="O90" s="295">
        <f t="shared" si="437"/>
        <v>0</v>
      </c>
      <c r="P90" s="295">
        <f t="shared" si="437"/>
        <v>1600</v>
      </c>
      <c r="Q90" s="257">
        <f>EEFFun!Q559</f>
        <v>1900</v>
      </c>
      <c r="R90" s="257">
        <f>EEFFun!R559</f>
        <v>1900</v>
      </c>
      <c r="S90" s="257">
        <f>EEFFun!S559</f>
        <v>1900</v>
      </c>
      <c r="T90" s="257">
        <f>EEFFun!T559</f>
        <v>3800</v>
      </c>
      <c r="U90" s="257">
        <f>EEFFun!U559</f>
        <v>5400</v>
      </c>
      <c r="V90" s="257">
        <f>EEFFun!V559</f>
        <v>5400</v>
      </c>
      <c r="W90" s="257">
        <f>EEFFun!W559</f>
        <v>7000</v>
      </c>
      <c r="X90" s="257">
        <f>EEFFun!X559</f>
        <v>2438</v>
      </c>
      <c r="Y90" s="257">
        <f>EEFFun!Y559</f>
        <v>7000</v>
      </c>
      <c r="Z90" s="257">
        <f>EEFFun!Z559</f>
        <v>8600</v>
      </c>
      <c r="AA90" s="257">
        <f>EEFFun!AA559</f>
        <v>8600</v>
      </c>
      <c r="AB90" s="257">
        <f>EEFFun!AB559</f>
        <v>10200</v>
      </c>
      <c r="AC90" s="257">
        <f>EEFFun!AC559</f>
        <v>0</v>
      </c>
      <c r="AD90" s="257">
        <f>EEFFun!AD559</f>
        <v>0</v>
      </c>
      <c r="AE90" s="257">
        <f>EEFFun!AE559</f>
        <v>0</v>
      </c>
      <c r="AF90" s="257">
        <f>EEFFun!AF559</f>
        <v>4400</v>
      </c>
      <c r="AG90" s="257">
        <f>EEFFun!AG559</f>
        <v>5000</v>
      </c>
      <c r="AH90" s="257">
        <f>EEFFun!AH559</f>
        <v>5600</v>
      </c>
      <c r="AI90" s="257">
        <f>EEFFun!AI559</f>
        <v>7800</v>
      </c>
      <c r="AJ90" s="257">
        <f>EEFFun!AJ559</f>
        <v>8400</v>
      </c>
      <c r="AK90" s="257">
        <f>EEFFun!AK559</f>
        <v>9000</v>
      </c>
      <c r="AL90" s="257">
        <f>EEFFun!AL559</f>
        <v>9600</v>
      </c>
      <c r="AM90" s="257">
        <f>EEFFun!AM559</f>
        <v>9600</v>
      </c>
      <c r="AN90" s="257">
        <f>EEFFun!AN559</f>
        <v>12400</v>
      </c>
      <c r="AO90" s="257">
        <f>EEFFun!AO559</f>
        <v>600</v>
      </c>
      <c r="AP90" s="257">
        <f>EEFFun!AP559</f>
        <v>1200</v>
      </c>
      <c r="AQ90" s="257">
        <f>EEFFun!AQ559</f>
        <v>1200</v>
      </c>
      <c r="AR90" s="257">
        <f>EEFFun!AR559</f>
        <v>1800</v>
      </c>
      <c r="AS90" s="257">
        <f>EEFFun!AS559</f>
        <v>3000</v>
      </c>
      <c r="AT90" s="257">
        <f>EEFFun!AT559</f>
        <v>3600</v>
      </c>
      <c r="AU90" s="257">
        <f>EEFFun!AU559</f>
        <v>4200</v>
      </c>
      <c r="AV90" s="257">
        <f>EEFFun!AV559</f>
        <v>4800</v>
      </c>
      <c r="AW90" s="257">
        <f>EEFFun!AW559</f>
        <v>5400</v>
      </c>
      <c r="AX90" s="257">
        <f>EEFFun!AX559</f>
        <v>6000</v>
      </c>
      <c r="AY90" s="295">
        <f t="shared" si="373"/>
        <v>540</v>
      </c>
      <c r="AZ90" s="295">
        <f t="shared" si="448"/>
        <v>540</v>
      </c>
      <c r="BA90" s="295">
        <f t="shared" si="448"/>
        <v>540</v>
      </c>
      <c r="BB90" s="295">
        <f t="shared" si="448"/>
        <v>540</v>
      </c>
      <c r="BC90" s="295">
        <f t="shared" si="448"/>
        <v>540</v>
      </c>
      <c r="BD90" s="295">
        <f t="shared" si="448"/>
        <v>540</v>
      </c>
      <c r="BE90" s="295">
        <f t="shared" si="448"/>
        <v>540</v>
      </c>
      <c r="BF90" s="295">
        <f t="shared" si="448"/>
        <v>540</v>
      </c>
      <c r="BG90" s="295">
        <f t="shared" si="448"/>
        <v>540</v>
      </c>
      <c r="BH90" s="295">
        <f t="shared" si="448"/>
        <v>540</v>
      </c>
      <c r="BI90" s="295">
        <f t="shared" si="448"/>
        <v>540</v>
      </c>
      <c r="BJ90" s="295">
        <f t="shared" si="448"/>
        <v>540</v>
      </c>
      <c r="BK90" s="295">
        <f>SUM($AY$90:AY90)</f>
        <v>540</v>
      </c>
      <c r="BL90" s="295">
        <f>SUM($AY$90:AZ90)</f>
        <v>1080</v>
      </c>
      <c r="BM90" s="295">
        <f>SUM($AY$90:BA90)</f>
        <v>1620</v>
      </c>
      <c r="BN90" s="295">
        <f>SUM($AY$90:BB90)</f>
        <v>2160</v>
      </c>
      <c r="BO90" s="295">
        <f>SUM($AY$90:BC90)</f>
        <v>2700</v>
      </c>
      <c r="BP90" s="295">
        <f>SUM($AY$90:BD90)</f>
        <v>3240</v>
      </c>
      <c r="BQ90" s="295">
        <f>SUM($AY$90:BE90)</f>
        <v>3780</v>
      </c>
      <c r="BR90" s="295">
        <f>SUM($AY$90:BF90)</f>
        <v>4320</v>
      </c>
      <c r="BS90" s="295">
        <f>SUM($AY$90:BG90)</f>
        <v>4860</v>
      </c>
      <c r="BT90" s="295">
        <f>SUM($AY$90:BH90)</f>
        <v>5400</v>
      </c>
      <c r="BU90" s="295">
        <f>SUM($AY$90:BI90)</f>
        <v>5940</v>
      </c>
      <c r="BV90" s="295">
        <f>SUM($AY$90:BJ90)</f>
        <v>6480</v>
      </c>
      <c r="BW90" s="291"/>
    </row>
    <row r="91" spans="1:75" outlineLevel="1" x14ac:dyDescent="0.25">
      <c r="A91" s="222">
        <v>8</v>
      </c>
      <c r="B91" s="233">
        <f>EEFFun!B560</f>
        <v>45039035</v>
      </c>
      <c r="C91" s="233" t="str">
        <f>EEFFun!C560</f>
        <v>SERVICIO DE ASESORIA</v>
      </c>
      <c r="D91" s="257">
        <f>EEFFun!P560</f>
        <v>8580</v>
      </c>
      <c r="E91" s="295">
        <f t="shared" si="427"/>
        <v>230</v>
      </c>
      <c r="F91" s="295">
        <f t="shared" si="428"/>
        <v>250</v>
      </c>
      <c r="G91" s="295">
        <f t="shared" si="429"/>
        <v>380</v>
      </c>
      <c r="H91" s="295">
        <f t="shared" si="430"/>
        <v>0</v>
      </c>
      <c r="I91" s="295">
        <f t="shared" si="431"/>
        <v>180</v>
      </c>
      <c r="J91" s="295">
        <f t="shared" si="432"/>
        <v>480</v>
      </c>
      <c r="K91" s="295">
        <f t="shared" si="433"/>
        <v>398</v>
      </c>
      <c r="L91" s="295">
        <f t="shared" si="434"/>
        <v>33493.61</v>
      </c>
      <c r="M91" s="295">
        <f t="shared" si="435"/>
        <v>-32723.61</v>
      </c>
      <c r="N91" s="295">
        <f t="shared" si="436"/>
        <v>250</v>
      </c>
      <c r="O91" s="295">
        <f t="shared" si="437"/>
        <v>583.32999999999993</v>
      </c>
      <c r="P91" s="295">
        <f t="shared" si="437"/>
        <v>1200</v>
      </c>
      <c r="Q91" s="257">
        <f>EEFFun!Q560</f>
        <v>230</v>
      </c>
      <c r="R91" s="257">
        <f>EEFFun!R560</f>
        <v>480</v>
      </c>
      <c r="S91" s="257">
        <f>EEFFun!S560</f>
        <v>860</v>
      </c>
      <c r="T91" s="257">
        <f>EEFFun!T560</f>
        <v>860</v>
      </c>
      <c r="U91" s="257">
        <f>EEFFun!U560</f>
        <v>1040</v>
      </c>
      <c r="V91" s="257">
        <f>EEFFun!V560</f>
        <v>1520</v>
      </c>
      <c r="W91" s="257">
        <f>EEFFun!W560</f>
        <v>1918</v>
      </c>
      <c r="X91" s="257">
        <f>EEFFun!X560</f>
        <v>35411.61</v>
      </c>
      <c r="Y91" s="257">
        <f>EEFFun!Y560</f>
        <v>2688</v>
      </c>
      <c r="Z91" s="257">
        <f>EEFFun!Z560</f>
        <v>2938</v>
      </c>
      <c r="AA91" s="257">
        <f>EEFFun!AA560</f>
        <v>3521.33</v>
      </c>
      <c r="AB91" s="257">
        <f>EEFFun!AB560</f>
        <v>4721.33</v>
      </c>
      <c r="AC91" s="257">
        <f>EEFFun!AC560</f>
        <v>500</v>
      </c>
      <c r="AD91" s="257">
        <f>EEFFun!AD560</f>
        <v>500</v>
      </c>
      <c r="AE91" s="257">
        <f>EEFFun!AE560</f>
        <v>500</v>
      </c>
      <c r="AF91" s="257">
        <f>EEFFun!AF560</f>
        <v>1250</v>
      </c>
      <c r="AG91" s="257">
        <f>EEFFun!AG560</f>
        <v>1500</v>
      </c>
      <c r="AH91" s="257">
        <f>EEFFun!AH560</f>
        <v>1750</v>
      </c>
      <c r="AI91" s="257">
        <f>EEFFun!AI560</f>
        <v>2000</v>
      </c>
      <c r="AJ91" s="257">
        <f>EEFFun!AJ560</f>
        <v>2250</v>
      </c>
      <c r="AK91" s="257">
        <f>EEFFun!AK560</f>
        <v>3000</v>
      </c>
      <c r="AL91" s="257">
        <f>EEFFun!AL560</f>
        <v>3250</v>
      </c>
      <c r="AM91" s="257">
        <f>EEFFun!AM560</f>
        <v>3500</v>
      </c>
      <c r="AN91" s="257">
        <f>EEFFun!AN560</f>
        <v>5023</v>
      </c>
      <c r="AO91" s="257">
        <f>EEFFun!AO560</f>
        <v>200</v>
      </c>
      <c r="AP91" s="257">
        <f>EEFFun!AP560</f>
        <v>200</v>
      </c>
      <c r="AQ91" s="257">
        <f>EEFFun!AQ560</f>
        <v>1875</v>
      </c>
      <c r="AR91" s="257">
        <f>EEFFun!AR560</f>
        <v>2845</v>
      </c>
      <c r="AS91" s="257">
        <f>EEFFun!AS560</f>
        <v>3095</v>
      </c>
      <c r="AT91" s="257">
        <f>EEFFun!AT560</f>
        <v>3345</v>
      </c>
      <c r="AU91" s="257">
        <f>EEFFun!AU560</f>
        <v>3595</v>
      </c>
      <c r="AV91" s="257">
        <f>EEFFun!AV560</f>
        <v>3845</v>
      </c>
      <c r="AW91" s="257">
        <f>EEFFun!AW560</f>
        <v>4095</v>
      </c>
      <c r="AX91" s="257">
        <f>EEFFun!AX560</f>
        <v>4345</v>
      </c>
      <c r="AY91" s="295">
        <f t="shared" si="373"/>
        <v>391.05</v>
      </c>
      <c r="AZ91" s="295">
        <f t="shared" si="448"/>
        <v>391.05</v>
      </c>
      <c r="BA91" s="295">
        <f t="shared" si="448"/>
        <v>391.05</v>
      </c>
      <c r="BB91" s="295">
        <f t="shared" si="448"/>
        <v>391.05</v>
      </c>
      <c r="BC91" s="295">
        <f t="shared" si="448"/>
        <v>391.05</v>
      </c>
      <c r="BD91" s="295">
        <f t="shared" si="448"/>
        <v>391.05</v>
      </c>
      <c r="BE91" s="295">
        <f t="shared" si="448"/>
        <v>391.05</v>
      </c>
      <c r="BF91" s="295">
        <f t="shared" si="448"/>
        <v>391.05</v>
      </c>
      <c r="BG91" s="295">
        <f t="shared" si="448"/>
        <v>391.05</v>
      </c>
      <c r="BH91" s="295">
        <f t="shared" si="448"/>
        <v>391.05</v>
      </c>
      <c r="BI91" s="295">
        <f t="shared" si="448"/>
        <v>391.05</v>
      </c>
      <c r="BJ91" s="295">
        <f t="shared" si="448"/>
        <v>391.05</v>
      </c>
      <c r="BK91" s="295">
        <f>SUM($AY$91:AY91)</f>
        <v>391.05</v>
      </c>
      <c r="BL91" s="295">
        <f>SUM($AY$91:AZ91)</f>
        <v>782.1</v>
      </c>
      <c r="BM91" s="295">
        <f>SUM($AY$91:BA91)</f>
        <v>1173.1500000000001</v>
      </c>
      <c r="BN91" s="295">
        <f>SUM($AY$91:BB91)</f>
        <v>1564.2</v>
      </c>
      <c r="BO91" s="295">
        <f>SUM($AY$91:BC91)</f>
        <v>1955.25</v>
      </c>
      <c r="BP91" s="295">
        <f>SUM($AY$91:BD91)</f>
        <v>2346.3000000000002</v>
      </c>
      <c r="BQ91" s="295">
        <f>SUM($AY$91:BE91)</f>
        <v>2737.3500000000004</v>
      </c>
      <c r="BR91" s="295">
        <f>SUM($AY$91:BF91)</f>
        <v>3128.4000000000005</v>
      </c>
      <c r="BS91" s="295">
        <f>SUM($AY$91:BG91)</f>
        <v>3519.4500000000007</v>
      </c>
      <c r="BT91" s="295">
        <f>SUM($AY$91:BH91)</f>
        <v>3910.5000000000009</v>
      </c>
      <c r="BU91" s="295">
        <f>SUM($AY$91:BI91)</f>
        <v>4301.5500000000011</v>
      </c>
      <c r="BV91" s="295">
        <f>SUM($AY$91:BJ91)</f>
        <v>4692.6000000000013</v>
      </c>
      <c r="BW91" s="291"/>
    </row>
    <row r="92" spans="1:75" outlineLevel="1" x14ac:dyDescent="0.25">
      <c r="A92" s="222">
        <v>8</v>
      </c>
      <c r="B92" s="233">
        <f>EEFFun!B561</f>
        <v>45039040</v>
      </c>
      <c r="C92" s="233" t="str">
        <f>EEFFun!C561</f>
        <v>SERVICIO DE ADMINISTRACION DE FIDEICOMISOS</v>
      </c>
      <c r="D92" s="257">
        <f>EEFFun!P561</f>
        <v>0</v>
      </c>
      <c r="E92" s="295">
        <f t="shared" ref="E92" si="449">Q92</f>
        <v>0</v>
      </c>
      <c r="F92" s="295">
        <f t="shared" ref="F92" si="450">R92-Q92</f>
        <v>0</v>
      </c>
      <c r="G92" s="295">
        <f t="shared" ref="G92" si="451">S92-R92</f>
        <v>0</v>
      </c>
      <c r="H92" s="295">
        <f t="shared" ref="H92" si="452">T92-S92</f>
        <v>0</v>
      </c>
      <c r="I92" s="295">
        <f t="shared" ref="I92" si="453">U92-T92</f>
        <v>0</v>
      </c>
      <c r="J92" s="295">
        <f t="shared" ref="J92" si="454">V92-U92</f>
        <v>0</v>
      </c>
      <c r="K92" s="295">
        <f t="shared" ref="K92" si="455">W92-V92</f>
        <v>0</v>
      </c>
      <c r="L92" s="295">
        <f t="shared" ref="L92" si="456">X92-W92</f>
        <v>0</v>
      </c>
      <c r="M92" s="295">
        <f t="shared" ref="M92" si="457">Y92-X92</f>
        <v>0</v>
      </c>
      <c r="N92" s="295">
        <f t="shared" ref="N92" si="458">Z92-Y92</f>
        <v>0</v>
      </c>
      <c r="O92" s="295">
        <f t="shared" ref="O92" si="459">AA92-Z92</f>
        <v>0</v>
      </c>
      <c r="P92" s="295">
        <f t="shared" ref="P92" si="460">AB92-AA92</f>
        <v>0</v>
      </c>
      <c r="Q92" s="257">
        <f>EEFFun!Q561</f>
        <v>0</v>
      </c>
      <c r="R92" s="257">
        <f>EEFFun!R561</f>
        <v>0</v>
      </c>
      <c r="S92" s="257">
        <f>EEFFun!S561</f>
        <v>0</v>
      </c>
      <c r="T92" s="257">
        <f>EEFFun!T561</f>
        <v>0</v>
      </c>
      <c r="U92" s="257">
        <f>EEFFun!U561</f>
        <v>0</v>
      </c>
      <c r="V92" s="257">
        <f>EEFFun!V561</f>
        <v>0</v>
      </c>
      <c r="W92" s="257">
        <f>EEFFun!W561</f>
        <v>0</v>
      </c>
      <c r="X92" s="257">
        <f>EEFFun!X561</f>
        <v>0</v>
      </c>
      <c r="Y92" s="257">
        <f>EEFFun!Y561</f>
        <v>0</v>
      </c>
      <c r="Z92" s="257">
        <f>EEFFun!Z561</f>
        <v>0</v>
      </c>
      <c r="AA92" s="257">
        <f>EEFFun!AA561</f>
        <v>0</v>
      </c>
      <c r="AB92" s="257">
        <f>EEFFun!AB561</f>
        <v>0</v>
      </c>
      <c r="AC92" s="257">
        <f>EEFFun!AC561</f>
        <v>0</v>
      </c>
      <c r="AD92" s="257">
        <f>EEFFun!AD561</f>
        <v>0</v>
      </c>
      <c r="AE92" s="257">
        <f>EEFFun!AE561</f>
        <v>0</v>
      </c>
      <c r="AF92" s="257">
        <f>EEFFun!AF561</f>
        <v>0</v>
      </c>
      <c r="AG92" s="257">
        <f>EEFFun!AG561</f>
        <v>1500</v>
      </c>
      <c r="AH92" s="257">
        <f>EEFFun!AH561</f>
        <v>1500</v>
      </c>
      <c r="AI92" s="257">
        <f>EEFFun!AI561</f>
        <v>1500</v>
      </c>
      <c r="AJ92" s="257">
        <f>EEFFun!AJ561</f>
        <v>1900</v>
      </c>
      <c r="AK92" s="257">
        <f>EEFFun!AK561</f>
        <v>1900</v>
      </c>
      <c r="AL92" s="257">
        <f>EEFFun!AL561</f>
        <v>1900</v>
      </c>
      <c r="AM92" s="257">
        <f>EEFFun!AM561</f>
        <v>1900</v>
      </c>
      <c r="AN92" s="257">
        <f>EEFFun!AN561</f>
        <v>1900</v>
      </c>
      <c r="AO92" s="257">
        <f>EEFFun!AO561</f>
        <v>0</v>
      </c>
      <c r="AP92" s="257">
        <f>EEFFun!AP561</f>
        <v>0</v>
      </c>
      <c r="AQ92" s="257">
        <f>EEFFun!AQ561</f>
        <v>0</v>
      </c>
      <c r="AR92" s="257">
        <f>EEFFun!AR561</f>
        <v>0</v>
      </c>
      <c r="AS92" s="257">
        <f>EEFFun!AS561</f>
        <v>0</v>
      </c>
      <c r="AT92" s="257">
        <f>EEFFun!AT561</f>
        <v>0</v>
      </c>
      <c r="AU92" s="257">
        <f>EEFFun!AU561</f>
        <v>0</v>
      </c>
      <c r="AV92" s="257">
        <f>EEFFun!AV561</f>
        <v>0</v>
      </c>
      <c r="AW92" s="257">
        <f>EEFFun!AW561</f>
        <v>0</v>
      </c>
      <c r="AX92" s="257">
        <f>EEFFun!AX561</f>
        <v>0</v>
      </c>
      <c r="AY92" s="295">
        <f t="shared" si="373"/>
        <v>0</v>
      </c>
      <c r="AZ92" s="295">
        <f t="shared" si="448"/>
        <v>0</v>
      </c>
      <c r="BA92" s="295">
        <f t="shared" si="448"/>
        <v>0</v>
      </c>
      <c r="BB92" s="295">
        <f t="shared" si="448"/>
        <v>0</v>
      </c>
      <c r="BC92" s="295">
        <f t="shared" si="448"/>
        <v>0</v>
      </c>
      <c r="BD92" s="295">
        <f t="shared" si="448"/>
        <v>0</v>
      </c>
      <c r="BE92" s="295">
        <f t="shared" si="448"/>
        <v>0</v>
      </c>
      <c r="BF92" s="295">
        <f t="shared" si="448"/>
        <v>0</v>
      </c>
      <c r="BG92" s="295">
        <f t="shared" si="448"/>
        <v>0</v>
      </c>
      <c r="BH92" s="295">
        <f t="shared" si="448"/>
        <v>0</v>
      </c>
      <c r="BI92" s="295">
        <f t="shared" si="448"/>
        <v>0</v>
      </c>
      <c r="BJ92" s="295">
        <f t="shared" si="448"/>
        <v>0</v>
      </c>
      <c r="BK92" s="295">
        <f>SUM($AY$92:AY92)</f>
        <v>0</v>
      </c>
      <c r="BL92" s="295">
        <f>SUM($AY$92:AZ92)</f>
        <v>0</v>
      </c>
      <c r="BM92" s="295">
        <f>SUM($AY$92:BA92)</f>
        <v>0</v>
      </c>
      <c r="BN92" s="295">
        <f>SUM($AY$92:BB92)</f>
        <v>0</v>
      </c>
      <c r="BO92" s="295">
        <f>SUM($AY$92:BC92)</f>
        <v>0</v>
      </c>
      <c r="BP92" s="295">
        <f>SUM($AY$92:BD92)</f>
        <v>0</v>
      </c>
      <c r="BQ92" s="295">
        <f>SUM($AY$92:BE92)</f>
        <v>0</v>
      </c>
      <c r="BR92" s="295">
        <f>SUM($AY$92:BF92)</f>
        <v>0</v>
      </c>
      <c r="BS92" s="295">
        <f>SUM($AY$92:BG92)</f>
        <v>0</v>
      </c>
      <c r="BT92" s="295">
        <f>SUM($AY$92:BH92)</f>
        <v>0</v>
      </c>
      <c r="BU92" s="295">
        <f>SUM($AY$92:BI92)</f>
        <v>0</v>
      </c>
      <c r="BV92" s="295">
        <f>SUM($AY$92:BJ92)</f>
        <v>0</v>
      </c>
      <c r="BW92" s="291"/>
    </row>
    <row r="93" spans="1:75" outlineLevel="1" x14ac:dyDescent="0.25">
      <c r="A93" s="222">
        <v>8</v>
      </c>
      <c r="B93" s="233">
        <f>EEFFun!B562</f>
        <v>45039045</v>
      </c>
      <c r="C93" s="233" t="str">
        <f>EEFFun!C562</f>
        <v>SERVICIOS OPERACIONALES</v>
      </c>
      <c r="D93" s="257">
        <f>EEFFun!P562</f>
        <v>66237.59</v>
      </c>
      <c r="E93" s="295">
        <f t="shared" si="427"/>
        <v>3311.33</v>
      </c>
      <c r="F93" s="295">
        <f t="shared" si="428"/>
        <v>2687.4700000000003</v>
      </c>
      <c r="G93" s="295">
        <f t="shared" si="429"/>
        <v>8204.1699999999983</v>
      </c>
      <c r="H93" s="295">
        <f t="shared" si="430"/>
        <v>5883.08</v>
      </c>
      <c r="I93" s="295">
        <f t="shared" si="431"/>
        <v>4177.2299999999996</v>
      </c>
      <c r="J93" s="295">
        <f t="shared" si="432"/>
        <v>3261.2100000000028</v>
      </c>
      <c r="K93" s="295">
        <f t="shared" si="433"/>
        <v>4116.5799999999981</v>
      </c>
      <c r="L93" s="295">
        <f t="shared" si="434"/>
        <v>-26641.07</v>
      </c>
      <c r="M93" s="295">
        <f t="shared" si="435"/>
        <v>33714.550000000003</v>
      </c>
      <c r="N93" s="295">
        <f t="shared" si="436"/>
        <v>3326.1100000000006</v>
      </c>
      <c r="O93" s="295">
        <f t="shared" si="437"/>
        <v>3299.1199999999953</v>
      </c>
      <c r="P93" s="295">
        <f t="shared" si="437"/>
        <v>6292.2200000000012</v>
      </c>
      <c r="Q93" s="257">
        <f>EEFFun!Q562</f>
        <v>3311.33</v>
      </c>
      <c r="R93" s="257">
        <f>EEFFun!R562</f>
        <v>5998.8</v>
      </c>
      <c r="S93" s="257">
        <f>EEFFun!S562</f>
        <v>14202.97</v>
      </c>
      <c r="T93" s="257">
        <f>EEFFun!T562</f>
        <v>20086.05</v>
      </c>
      <c r="U93" s="257">
        <f>EEFFun!U562</f>
        <v>24263.279999999999</v>
      </c>
      <c r="V93" s="257">
        <f>EEFFun!V562</f>
        <v>27524.49</v>
      </c>
      <c r="W93" s="257">
        <f>EEFFun!W562</f>
        <v>31641.07</v>
      </c>
      <c r="X93" s="257">
        <f>EEFFun!X562</f>
        <v>5000</v>
      </c>
      <c r="Y93" s="257">
        <f>EEFFun!Y562</f>
        <v>38714.550000000003</v>
      </c>
      <c r="Z93" s="257">
        <f>EEFFun!Z562</f>
        <v>42040.66</v>
      </c>
      <c r="AA93" s="257">
        <f>EEFFun!AA562</f>
        <v>45339.78</v>
      </c>
      <c r="AB93" s="257">
        <f>EEFFun!AB562</f>
        <v>51632</v>
      </c>
      <c r="AC93" s="257">
        <f>EEFFun!AC562</f>
        <v>3287.54</v>
      </c>
      <c r="AD93" s="257">
        <f>EEFFun!AD562</f>
        <v>7621.02</v>
      </c>
      <c r="AE93" s="257">
        <f>EEFFun!AE562</f>
        <v>10898.34</v>
      </c>
      <c r="AF93" s="257">
        <f>EEFFun!AF562</f>
        <v>14198.67</v>
      </c>
      <c r="AG93" s="257">
        <f>EEFFun!AG562</f>
        <v>19223.849999999999</v>
      </c>
      <c r="AH93" s="257">
        <f>EEFFun!AH562</f>
        <v>22575.23</v>
      </c>
      <c r="AI93" s="257">
        <f>EEFFun!AI562</f>
        <v>37697.980000000003</v>
      </c>
      <c r="AJ93" s="257">
        <f>EEFFun!AJ562</f>
        <v>41501.379999999997</v>
      </c>
      <c r="AK93" s="257">
        <f>EEFFun!AK562</f>
        <v>48194.68</v>
      </c>
      <c r="AL93" s="257">
        <f>EEFFun!AL562</f>
        <v>52933.440000000002</v>
      </c>
      <c r="AM93" s="257">
        <f>EEFFun!AM562</f>
        <v>58027.519999999997</v>
      </c>
      <c r="AN93" s="257">
        <f>EEFFun!AN562</f>
        <v>63283.68</v>
      </c>
      <c r="AO93" s="257">
        <f>EEFFun!AO562</f>
        <v>4888.95</v>
      </c>
      <c r="AP93" s="257">
        <f>EEFFun!AP562</f>
        <v>9838.32</v>
      </c>
      <c r="AQ93" s="257">
        <f>EEFFun!AQ562</f>
        <v>14525.68</v>
      </c>
      <c r="AR93" s="257">
        <f>EEFFun!AR562</f>
        <v>24856.71</v>
      </c>
      <c r="AS93" s="257">
        <f>EEFFun!AS562</f>
        <v>44499.48</v>
      </c>
      <c r="AT93" s="257">
        <f>EEFFun!AT562</f>
        <v>56666.78</v>
      </c>
      <c r="AU93" s="257">
        <f>EEFFun!AU562</f>
        <v>71479.41</v>
      </c>
      <c r="AV93" s="257">
        <f>EEFFun!AV562</f>
        <v>83001.83</v>
      </c>
      <c r="AW93" s="257">
        <f>EEFFun!AW562</f>
        <v>93273.27</v>
      </c>
      <c r="AX93" s="257">
        <f>EEFFun!AX562</f>
        <v>107891.62</v>
      </c>
      <c r="AY93" s="295">
        <f t="shared" si="373"/>
        <v>9710.2458000000006</v>
      </c>
      <c r="AZ93" s="295">
        <f t="shared" si="448"/>
        <v>9710.2458000000006</v>
      </c>
      <c r="BA93" s="295">
        <f t="shared" si="448"/>
        <v>9710.2458000000006</v>
      </c>
      <c r="BB93" s="295">
        <f t="shared" si="448"/>
        <v>9710.2458000000006</v>
      </c>
      <c r="BC93" s="295">
        <f t="shared" si="448"/>
        <v>9710.2458000000006</v>
      </c>
      <c r="BD93" s="295">
        <f t="shared" si="448"/>
        <v>9710.2458000000006</v>
      </c>
      <c r="BE93" s="295">
        <f t="shared" si="448"/>
        <v>9710.2458000000006</v>
      </c>
      <c r="BF93" s="295">
        <f t="shared" si="448"/>
        <v>9710.2458000000006</v>
      </c>
      <c r="BG93" s="295">
        <f t="shared" si="448"/>
        <v>9710.2458000000006</v>
      </c>
      <c r="BH93" s="295">
        <f t="shared" si="448"/>
        <v>9710.2458000000006</v>
      </c>
      <c r="BI93" s="295">
        <f t="shared" si="448"/>
        <v>9710.2458000000006</v>
      </c>
      <c r="BJ93" s="295">
        <f t="shared" si="448"/>
        <v>9710.2458000000006</v>
      </c>
      <c r="BK93" s="295">
        <f>SUM($AY$93:AY93)</f>
        <v>9710.2458000000006</v>
      </c>
      <c r="BL93" s="295">
        <f>SUM($AY$93:AZ93)</f>
        <v>19420.491600000001</v>
      </c>
      <c r="BM93" s="295">
        <f>SUM($AY$93:BA93)</f>
        <v>29130.737400000002</v>
      </c>
      <c r="BN93" s="295">
        <f>SUM($AY$93:BB93)</f>
        <v>38840.983200000002</v>
      </c>
      <c r="BO93" s="295">
        <f>SUM($AY$93:BC93)</f>
        <v>48551.229000000007</v>
      </c>
      <c r="BP93" s="295">
        <f>SUM($AY$93:BD93)</f>
        <v>58261.474800000011</v>
      </c>
      <c r="BQ93" s="295">
        <f>SUM($AY$93:BE93)</f>
        <v>67971.720600000015</v>
      </c>
      <c r="BR93" s="295">
        <f>SUM($AY$93:BF93)</f>
        <v>77681.966400000019</v>
      </c>
      <c r="BS93" s="295">
        <f>SUM($AY$93:BG93)</f>
        <v>87392.212200000024</v>
      </c>
      <c r="BT93" s="295">
        <f>SUM($AY$93:BH93)</f>
        <v>97102.458000000028</v>
      </c>
      <c r="BU93" s="295">
        <f>SUM($AY$93:BI93)</f>
        <v>106812.70380000003</v>
      </c>
      <c r="BV93" s="295">
        <f>SUM($AY$93:BJ93)</f>
        <v>116522.94960000004</v>
      </c>
      <c r="BW93" s="291"/>
    </row>
    <row r="94" spans="1:75" outlineLevel="1" x14ac:dyDescent="0.25">
      <c r="A94" s="222">
        <v>8</v>
      </c>
      <c r="B94" s="233">
        <f>EEFFun!B563</f>
        <v>45039055</v>
      </c>
      <c r="C94" s="233" t="str">
        <f>EEFFun!C563</f>
        <v>SERVICIOS CAJERO AUTOMATICO</v>
      </c>
      <c r="D94" s="257">
        <f>EEFFun!P563</f>
        <v>0</v>
      </c>
      <c r="E94" s="295">
        <f t="shared" ref="E94" si="461">Q94</f>
        <v>0</v>
      </c>
      <c r="F94" s="295">
        <f t="shared" ref="F94" si="462">R94-Q94</f>
        <v>0</v>
      </c>
      <c r="G94" s="295">
        <f t="shared" ref="G94" si="463">S94-R94</f>
        <v>0</v>
      </c>
      <c r="H94" s="295">
        <f t="shared" ref="H94" si="464">T94-S94</f>
        <v>0</v>
      </c>
      <c r="I94" s="295">
        <f t="shared" ref="I94" si="465">U94-T94</f>
        <v>0</v>
      </c>
      <c r="J94" s="295">
        <f t="shared" ref="J94" si="466">V94-U94</f>
        <v>0</v>
      </c>
      <c r="K94" s="295">
        <f t="shared" ref="K94" si="467">W94-V94</f>
        <v>0</v>
      </c>
      <c r="L94" s="295">
        <f t="shared" ref="L94" si="468">X94-W94</f>
        <v>0</v>
      </c>
      <c r="M94" s="295">
        <f t="shared" ref="M94" si="469">Y94-X94</f>
        <v>0</v>
      </c>
      <c r="N94" s="295">
        <f t="shared" ref="N94" si="470">Z94-Y94</f>
        <v>0</v>
      </c>
      <c r="O94" s="295">
        <f t="shared" ref="O94" si="471">AA94-Z94</f>
        <v>0</v>
      </c>
      <c r="P94" s="295">
        <f t="shared" ref="P94" si="472">AB94-AA94</f>
        <v>0</v>
      </c>
      <c r="Q94" s="257">
        <f>EEFFun!Q563</f>
        <v>0</v>
      </c>
      <c r="R94" s="257">
        <f>EEFFun!R563</f>
        <v>0</v>
      </c>
      <c r="S94" s="257">
        <f>EEFFun!S563</f>
        <v>0</v>
      </c>
      <c r="T94" s="257">
        <f>EEFFun!T563</f>
        <v>0</v>
      </c>
      <c r="U94" s="257">
        <f>EEFFun!U563</f>
        <v>0</v>
      </c>
      <c r="V94" s="257">
        <f>EEFFun!V563</f>
        <v>0</v>
      </c>
      <c r="W94" s="257">
        <f>EEFFun!W563</f>
        <v>0</v>
      </c>
      <c r="X94" s="257">
        <f>EEFFun!X563</f>
        <v>0</v>
      </c>
      <c r="Y94" s="257">
        <f>EEFFun!Y563</f>
        <v>0</v>
      </c>
      <c r="Z94" s="257">
        <f>EEFFun!Z563</f>
        <v>0</v>
      </c>
      <c r="AA94" s="257">
        <f>EEFFun!AA563</f>
        <v>0</v>
      </c>
      <c r="AB94" s="257">
        <f>EEFFun!AB563</f>
        <v>0</v>
      </c>
      <c r="AC94" s="257">
        <f>EEFFun!AC563</f>
        <v>0</v>
      </c>
      <c r="AD94" s="257">
        <f>EEFFun!AD563</f>
        <v>0</v>
      </c>
      <c r="AE94" s="257">
        <f>EEFFun!AE563</f>
        <v>0</v>
      </c>
      <c r="AF94" s="257">
        <f>EEFFun!AF563</f>
        <v>0</v>
      </c>
      <c r="AG94" s="257">
        <f>EEFFun!AG563</f>
        <v>0</v>
      </c>
      <c r="AH94" s="257">
        <f>EEFFun!AH563</f>
        <v>-0.01</v>
      </c>
      <c r="AI94" s="257">
        <f>EEFFun!AI563</f>
        <v>-0.01</v>
      </c>
      <c r="AJ94" s="257">
        <f>EEFFun!AJ563</f>
        <v>0</v>
      </c>
      <c r="AK94" s="257">
        <f>EEFFun!AK563</f>
        <v>0</v>
      </c>
      <c r="AL94" s="257">
        <f>EEFFun!AL563</f>
        <v>0</v>
      </c>
      <c r="AM94" s="257">
        <f>EEFFun!AM563</f>
        <v>0</v>
      </c>
      <c r="AN94" s="257">
        <f>EEFFun!AN563</f>
        <v>0</v>
      </c>
      <c r="AO94" s="257">
        <f>EEFFun!AO563</f>
        <v>0</v>
      </c>
      <c r="AP94" s="257">
        <f>EEFFun!AP563</f>
        <v>0</v>
      </c>
      <c r="AQ94" s="257">
        <f>EEFFun!AQ563</f>
        <v>0</v>
      </c>
      <c r="AR94" s="257">
        <f>EEFFun!AR563</f>
        <v>0</v>
      </c>
      <c r="AS94" s="257">
        <f>EEFFun!AS563</f>
        <v>0</v>
      </c>
      <c r="AT94" s="257">
        <f>EEFFun!AT563</f>
        <v>0</v>
      </c>
      <c r="AU94" s="257">
        <f>EEFFun!AU563</f>
        <v>0</v>
      </c>
      <c r="AV94" s="257">
        <f>EEFFun!AV563</f>
        <v>0</v>
      </c>
      <c r="AW94" s="257">
        <f>EEFFun!AW563</f>
        <v>0</v>
      </c>
      <c r="AX94" s="257">
        <f>EEFFun!AX563</f>
        <v>0</v>
      </c>
      <c r="AY94" s="295">
        <f t="shared" si="373"/>
        <v>0</v>
      </c>
      <c r="AZ94" s="295">
        <f t="shared" si="448"/>
        <v>0</v>
      </c>
      <c r="BA94" s="295">
        <f t="shared" si="448"/>
        <v>0</v>
      </c>
      <c r="BB94" s="295">
        <f t="shared" si="448"/>
        <v>0</v>
      </c>
      <c r="BC94" s="295">
        <f t="shared" si="448"/>
        <v>0</v>
      </c>
      <c r="BD94" s="295">
        <f t="shared" si="448"/>
        <v>0</v>
      </c>
      <c r="BE94" s="295">
        <f t="shared" si="448"/>
        <v>0</v>
      </c>
      <c r="BF94" s="295">
        <f t="shared" si="448"/>
        <v>0</v>
      </c>
      <c r="BG94" s="295">
        <f t="shared" si="448"/>
        <v>0</v>
      </c>
      <c r="BH94" s="295">
        <f t="shared" si="448"/>
        <v>0</v>
      </c>
      <c r="BI94" s="295">
        <f t="shared" si="448"/>
        <v>0</v>
      </c>
      <c r="BJ94" s="295">
        <f t="shared" si="448"/>
        <v>0</v>
      </c>
      <c r="BK94" s="295">
        <f>SUM($AY$94:AY94)</f>
        <v>0</v>
      </c>
      <c r="BL94" s="295">
        <f>SUM($AY$94:AZ94)</f>
        <v>0</v>
      </c>
      <c r="BM94" s="295">
        <f>SUM($AY$94:BA94)</f>
        <v>0</v>
      </c>
      <c r="BN94" s="295">
        <f>SUM($AY$94:BB94)</f>
        <v>0</v>
      </c>
      <c r="BO94" s="295">
        <f>SUM($AY$94:BC94)</f>
        <v>0</v>
      </c>
      <c r="BP94" s="295">
        <f>SUM($AY$94:BD94)</f>
        <v>0</v>
      </c>
      <c r="BQ94" s="295">
        <f>SUM($AY$94:BE94)</f>
        <v>0</v>
      </c>
      <c r="BR94" s="295">
        <f>SUM($AY$94:BF94)</f>
        <v>0</v>
      </c>
      <c r="BS94" s="295">
        <f>SUM($AY$94:BG94)</f>
        <v>0</v>
      </c>
      <c r="BT94" s="295">
        <f>SUM($AY$94:BH94)</f>
        <v>0</v>
      </c>
      <c r="BU94" s="295">
        <f>SUM($AY$94:BI94)</f>
        <v>0</v>
      </c>
      <c r="BV94" s="295">
        <f>SUM($AY$94:BJ94)</f>
        <v>0</v>
      </c>
      <c r="BW94" s="291"/>
    </row>
    <row r="95" spans="1:75" outlineLevel="1" x14ac:dyDescent="0.25">
      <c r="A95" s="222">
        <v>8</v>
      </c>
      <c r="B95" s="233">
        <f>EEFFun!B564</f>
        <v>45039060</v>
      </c>
      <c r="C95" s="233" t="str">
        <f>EEFFun!C564</f>
        <v>SERVICIOS DE SOFTWARE</v>
      </c>
      <c r="D95" s="257">
        <f>EEFFun!P564</f>
        <v>16850</v>
      </c>
      <c r="E95" s="295">
        <f t="shared" si="427"/>
        <v>0</v>
      </c>
      <c r="F95" s="295">
        <f t="shared" si="428"/>
        <v>0</v>
      </c>
      <c r="G95" s="295">
        <f t="shared" si="429"/>
        <v>0</v>
      </c>
      <c r="H95" s="295">
        <f t="shared" si="430"/>
        <v>0</v>
      </c>
      <c r="I95" s="295">
        <f t="shared" si="431"/>
        <v>5000</v>
      </c>
      <c r="J95" s="295">
        <f t="shared" si="432"/>
        <v>0</v>
      </c>
      <c r="K95" s="295">
        <f t="shared" si="433"/>
        <v>0</v>
      </c>
      <c r="L95" s="295">
        <f t="shared" si="434"/>
        <v>-227.73999999999978</v>
      </c>
      <c r="M95" s="295">
        <f t="shared" si="435"/>
        <v>1227.7399999999998</v>
      </c>
      <c r="N95" s="295">
        <f t="shared" si="436"/>
        <v>1500</v>
      </c>
      <c r="O95" s="295">
        <f t="shared" si="437"/>
        <v>1000</v>
      </c>
      <c r="P95" s="295">
        <f t="shared" si="437"/>
        <v>1000</v>
      </c>
      <c r="Q95" s="257">
        <f>EEFFun!Q564</f>
        <v>0</v>
      </c>
      <c r="R95" s="257">
        <f>EEFFun!R564</f>
        <v>0</v>
      </c>
      <c r="S95" s="257">
        <f>EEFFun!S564</f>
        <v>0</v>
      </c>
      <c r="T95" s="257">
        <f>EEFFun!T564</f>
        <v>0</v>
      </c>
      <c r="U95" s="257">
        <f>EEFFun!U564</f>
        <v>5000</v>
      </c>
      <c r="V95" s="257">
        <f>EEFFun!V564</f>
        <v>5000</v>
      </c>
      <c r="W95" s="257">
        <f>EEFFun!W564</f>
        <v>5000</v>
      </c>
      <c r="X95" s="257">
        <f>EEFFun!X564</f>
        <v>4772.26</v>
      </c>
      <c r="Y95" s="257">
        <f>EEFFun!Y564</f>
        <v>6000</v>
      </c>
      <c r="Z95" s="257">
        <f>EEFFun!Z564</f>
        <v>7500</v>
      </c>
      <c r="AA95" s="257">
        <f>EEFFun!AA564</f>
        <v>8500</v>
      </c>
      <c r="AB95" s="257">
        <f>EEFFun!AB564</f>
        <v>9500</v>
      </c>
      <c r="AC95" s="257">
        <f>EEFFun!AC564</f>
        <v>1000</v>
      </c>
      <c r="AD95" s="257">
        <f>EEFFun!AD564</f>
        <v>2000</v>
      </c>
      <c r="AE95" s="257">
        <f>EEFFun!AE564</f>
        <v>3023.66</v>
      </c>
      <c r="AF95" s="257">
        <f>EEFFun!AF564</f>
        <v>4023.66</v>
      </c>
      <c r="AG95" s="257">
        <f>EEFFun!AG564</f>
        <v>6013.66</v>
      </c>
      <c r="AH95" s="257">
        <f>EEFFun!AH564</f>
        <v>7431.34</v>
      </c>
      <c r="AI95" s="257">
        <f>EEFFun!AI564</f>
        <v>8831.98</v>
      </c>
      <c r="AJ95" s="257">
        <f>EEFFun!AJ564</f>
        <v>9954.6200000000008</v>
      </c>
      <c r="AK95" s="257">
        <f>EEFFun!AK564</f>
        <v>11215.26</v>
      </c>
      <c r="AL95" s="257">
        <f>EEFFun!AL564</f>
        <v>12481.5</v>
      </c>
      <c r="AM95" s="257">
        <f>EEFFun!AM564</f>
        <v>14788.54</v>
      </c>
      <c r="AN95" s="257">
        <f>EEFFun!AN564</f>
        <v>18149.740000000002</v>
      </c>
      <c r="AO95" s="257">
        <f>EEFFun!AO564</f>
        <v>726.55</v>
      </c>
      <c r="AP95" s="257">
        <f>EEFFun!AP564</f>
        <v>4592.7</v>
      </c>
      <c r="AQ95" s="257">
        <f>EEFFun!AQ564</f>
        <v>5639.05</v>
      </c>
      <c r="AR95" s="257">
        <f>EEFFun!AR564</f>
        <v>6441.01</v>
      </c>
      <c r="AS95" s="257">
        <f>EEFFun!AS564</f>
        <v>7009.92</v>
      </c>
      <c r="AT95" s="257">
        <f>EEFFun!AT564</f>
        <v>8374.0400000000009</v>
      </c>
      <c r="AU95" s="257">
        <f>EEFFun!AU564</f>
        <v>9482.23</v>
      </c>
      <c r="AV95" s="257">
        <f>EEFFun!AV564</f>
        <v>11293.73</v>
      </c>
      <c r="AW95" s="257">
        <f>EEFFun!AW564</f>
        <v>12924.67</v>
      </c>
      <c r="AX95" s="257">
        <f>EEFFun!AX564</f>
        <v>14874.93</v>
      </c>
      <c r="AY95" s="295">
        <f t="shared" si="373"/>
        <v>1338.7437</v>
      </c>
      <c r="AZ95" s="295">
        <f t="shared" si="448"/>
        <v>1338.7437</v>
      </c>
      <c r="BA95" s="295">
        <f t="shared" si="448"/>
        <v>1338.7437</v>
      </c>
      <c r="BB95" s="295">
        <f t="shared" si="448"/>
        <v>1338.7437</v>
      </c>
      <c r="BC95" s="295">
        <f t="shared" si="448"/>
        <v>1338.7437</v>
      </c>
      <c r="BD95" s="295">
        <f t="shared" si="448"/>
        <v>1338.7437</v>
      </c>
      <c r="BE95" s="295">
        <f t="shared" si="448"/>
        <v>1338.7437</v>
      </c>
      <c r="BF95" s="295">
        <f t="shared" si="448"/>
        <v>1338.7437</v>
      </c>
      <c r="BG95" s="295">
        <f t="shared" si="448"/>
        <v>1338.7437</v>
      </c>
      <c r="BH95" s="295">
        <f t="shared" si="448"/>
        <v>1338.7437</v>
      </c>
      <c r="BI95" s="295">
        <f t="shared" si="448"/>
        <v>1338.7437</v>
      </c>
      <c r="BJ95" s="295">
        <f t="shared" si="448"/>
        <v>1338.7437</v>
      </c>
      <c r="BK95" s="295">
        <f>SUM($AY$95:AY95)</f>
        <v>1338.7437</v>
      </c>
      <c r="BL95" s="295">
        <f>SUM($AY$95:AZ95)</f>
        <v>2677.4874</v>
      </c>
      <c r="BM95" s="295">
        <f>SUM($AY$95:BA95)</f>
        <v>4016.2311</v>
      </c>
      <c r="BN95" s="295">
        <f>SUM($AY$95:BB95)</f>
        <v>5354.9748</v>
      </c>
      <c r="BO95" s="295">
        <f>SUM($AY$95:BC95)</f>
        <v>6693.7184999999999</v>
      </c>
      <c r="BP95" s="295">
        <f>SUM($AY$95:BD95)</f>
        <v>8032.4621999999999</v>
      </c>
      <c r="BQ95" s="295">
        <f>SUM($AY$95:BE95)</f>
        <v>9371.2059000000008</v>
      </c>
      <c r="BR95" s="295">
        <f>SUM($AY$95:BF95)</f>
        <v>10709.9496</v>
      </c>
      <c r="BS95" s="295">
        <f>SUM($AY$95:BG95)</f>
        <v>12048.693299999999</v>
      </c>
      <c r="BT95" s="295">
        <f>SUM($AY$95:BH95)</f>
        <v>13387.436999999998</v>
      </c>
      <c r="BU95" s="295">
        <f>SUM($AY$95:BI95)</f>
        <v>14726.180699999997</v>
      </c>
      <c r="BV95" s="295">
        <f>SUM($AY$95:BJ95)</f>
        <v>16064.924399999996</v>
      </c>
      <c r="BW95" s="291"/>
    </row>
    <row r="96" spans="1:75" outlineLevel="1" x14ac:dyDescent="0.25">
      <c r="A96" s="222">
        <v>8</v>
      </c>
      <c r="B96" s="233">
        <f>EEFFun!B565</f>
        <v>45039065</v>
      </c>
      <c r="C96" s="233" t="str">
        <f>EEFFun!C565</f>
        <v>SERVICIOS DE IMPRESIONES</v>
      </c>
      <c r="D96" s="257">
        <f>EEFFun!P565</f>
        <v>0</v>
      </c>
      <c r="E96" s="295">
        <f t="shared" ref="E96" si="473">Q96</f>
        <v>0</v>
      </c>
      <c r="F96" s="295">
        <f t="shared" ref="F96" si="474">R96-Q96</f>
        <v>0</v>
      </c>
      <c r="G96" s="295">
        <f t="shared" ref="G96" si="475">S96-R96</f>
        <v>0</v>
      </c>
      <c r="H96" s="295">
        <f t="shared" ref="H96" si="476">T96-S96</f>
        <v>0</v>
      </c>
      <c r="I96" s="295">
        <f t="shared" ref="I96" si="477">U96-T96</f>
        <v>0</v>
      </c>
      <c r="J96" s="295">
        <f t="shared" ref="J96" si="478">V96-U96</f>
        <v>0</v>
      </c>
      <c r="K96" s="295">
        <f t="shared" ref="K96" si="479">W96-V96</f>
        <v>0</v>
      </c>
      <c r="L96" s="295">
        <f t="shared" ref="L96" si="480">X96-W96</f>
        <v>0</v>
      </c>
      <c r="M96" s="295">
        <f t="shared" ref="M96" si="481">Y96-X96</f>
        <v>4772.26</v>
      </c>
      <c r="N96" s="295">
        <f t="shared" ref="N96" si="482">Z96-Y96</f>
        <v>0</v>
      </c>
      <c r="O96" s="295">
        <f t="shared" ref="O96:P96" si="483">AA96-Z96</f>
        <v>0</v>
      </c>
      <c r="P96" s="295">
        <f t="shared" si="483"/>
        <v>0</v>
      </c>
      <c r="Q96" s="257">
        <f>EEFFun!Q565</f>
        <v>0</v>
      </c>
      <c r="R96" s="257">
        <f>EEFFun!R565</f>
        <v>0</v>
      </c>
      <c r="S96" s="257">
        <f>EEFFun!S565</f>
        <v>0</v>
      </c>
      <c r="T96" s="257">
        <f>EEFFun!T565</f>
        <v>0</v>
      </c>
      <c r="U96" s="257">
        <f>EEFFun!U565</f>
        <v>0</v>
      </c>
      <c r="V96" s="257">
        <f>EEFFun!V565</f>
        <v>0</v>
      </c>
      <c r="W96" s="257">
        <f>EEFFun!W565</f>
        <v>0</v>
      </c>
      <c r="X96" s="257">
        <f>EEFFun!X565</f>
        <v>0</v>
      </c>
      <c r="Y96" s="257">
        <f>EEFFun!Y565</f>
        <v>4772.26</v>
      </c>
      <c r="Z96" s="257">
        <f>EEFFun!Z565</f>
        <v>4772.26</v>
      </c>
      <c r="AA96" s="257">
        <f>EEFFun!AA565</f>
        <v>4772.26</v>
      </c>
      <c r="AB96" s="257">
        <f>EEFFun!AB565</f>
        <v>4772.26</v>
      </c>
      <c r="AC96" s="257">
        <f>EEFFun!AC565</f>
        <v>0</v>
      </c>
      <c r="AD96" s="257">
        <f>EEFFun!AD565</f>
        <v>0</v>
      </c>
      <c r="AE96" s="257">
        <f>EEFFun!AE565</f>
        <v>0</v>
      </c>
      <c r="AF96" s="257">
        <f>EEFFun!AF565</f>
        <v>0</v>
      </c>
      <c r="AG96" s="257">
        <f>EEFFun!AG565</f>
        <v>0</v>
      </c>
      <c r="AH96" s="257">
        <f>EEFFun!AH565</f>
        <v>0</v>
      </c>
      <c r="AI96" s="257">
        <f>EEFFun!AI565</f>
        <v>0</v>
      </c>
      <c r="AJ96" s="257">
        <f>EEFFun!AJ565</f>
        <v>0</v>
      </c>
      <c r="AK96" s="257">
        <f>EEFFun!AK565</f>
        <v>0</v>
      </c>
      <c r="AL96" s="257">
        <f>EEFFun!AL565</f>
        <v>0</v>
      </c>
      <c r="AM96" s="257">
        <f>EEFFun!AM565</f>
        <v>0</v>
      </c>
      <c r="AN96" s="257">
        <f>EEFFun!AN565</f>
        <v>0</v>
      </c>
      <c r="AO96" s="257">
        <f>EEFFun!AO565</f>
        <v>0</v>
      </c>
      <c r="AP96" s="257">
        <f>EEFFun!AP565</f>
        <v>0</v>
      </c>
      <c r="AQ96" s="257">
        <f>EEFFun!AQ565</f>
        <v>0</v>
      </c>
      <c r="AR96" s="257">
        <f>EEFFun!AR565</f>
        <v>0</v>
      </c>
      <c r="AS96" s="257">
        <f>EEFFun!AS565</f>
        <v>0</v>
      </c>
      <c r="AT96" s="257">
        <f>EEFFun!AT565</f>
        <v>0</v>
      </c>
      <c r="AU96" s="257">
        <f>EEFFun!AU565</f>
        <v>0</v>
      </c>
      <c r="AV96" s="257">
        <f>EEFFun!AV565</f>
        <v>0</v>
      </c>
      <c r="AW96" s="257">
        <f>EEFFun!AW565</f>
        <v>0</v>
      </c>
      <c r="AX96" s="257">
        <f>EEFFun!AX565</f>
        <v>0</v>
      </c>
      <c r="AY96" s="295">
        <f t="shared" si="373"/>
        <v>0</v>
      </c>
      <c r="AZ96" s="295">
        <f t="shared" si="448"/>
        <v>0</v>
      </c>
      <c r="BA96" s="295">
        <f t="shared" si="448"/>
        <v>0</v>
      </c>
      <c r="BB96" s="295">
        <f t="shared" si="448"/>
        <v>0</v>
      </c>
      <c r="BC96" s="295">
        <f t="shared" si="448"/>
        <v>0</v>
      </c>
      <c r="BD96" s="295">
        <f t="shared" si="448"/>
        <v>0</v>
      </c>
      <c r="BE96" s="295">
        <f t="shared" si="448"/>
        <v>0</v>
      </c>
      <c r="BF96" s="295">
        <f t="shared" si="448"/>
        <v>0</v>
      </c>
      <c r="BG96" s="295">
        <f t="shared" si="448"/>
        <v>0</v>
      </c>
      <c r="BH96" s="295">
        <f t="shared" si="448"/>
        <v>0</v>
      </c>
      <c r="BI96" s="295">
        <f t="shared" si="448"/>
        <v>0</v>
      </c>
      <c r="BJ96" s="295">
        <f t="shared" si="448"/>
        <v>0</v>
      </c>
      <c r="BK96" s="295">
        <f>SUM($AY$96:AY96)</f>
        <v>0</v>
      </c>
      <c r="BL96" s="295">
        <f>SUM($AY$96:AZ96)</f>
        <v>0</v>
      </c>
      <c r="BM96" s="295">
        <f>SUM($AY$96:BA96)</f>
        <v>0</v>
      </c>
      <c r="BN96" s="295">
        <f>SUM($AY$96:BB96)</f>
        <v>0</v>
      </c>
      <c r="BO96" s="295">
        <f>SUM($AY$96:BC96)</f>
        <v>0</v>
      </c>
      <c r="BP96" s="295">
        <f>SUM($AY$96:BD96)</f>
        <v>0</v>
      </c>
      <c r="BQ96" s="295">
        <f>SUM($AY$96:BE96)</f>
        <v>0</v>
      </c>
      <c r="BR96" s="295">
        <f>SUM($AY$96:BF96)</f>
        <v>0</v>
      </c>
      <c r="BS96" s="295">
        <f>SUM($AY$96:BG96)</f>
        <v>0</v>
      </c>
      <c r="BT96" s="295">
        <f>SUM($AY$96:BH96)</f>
        <v>0</v>
      </c>
      <c r="BU96" s="295">
        <f>SUM($AY$96:BI96)</f>
        <v>0</v>
      </c>
      <c r="BV96" s="295">
        <f>SUM($AY$96:BJ96)</f>
        <v>0</v>
      </c>
      <c r="BW96" s="291"/>
    </row>
    <row r="97" spans="1:75" s="229" customFormat="1" outlineLevel="1" x14ac:dyDescent="0.25">
      <c r="A97" s="239">
        <v>4</v>
      </c>
      <c r="B97" s="223">
        <f>EEFFun!B566</f>
        <v>4504</v>
      </c>
      <c r="C97" s="223" t="str">
        <f>EEFFun!C566</f>
        <v>Impuestos, contribuciones y multas</v>
      </c>
      <c r="D97" s="279">
        <f>EEFFun!P566</f>
        <v>297206.98</v>
      </c>
      <c r="E97" s="297">
        <f t="shared" ref="E97" si="484">E98+E99+E104+E105+E106+E107+E108</f>
        <v>12067.250000000002</v>
      </c>
      <c r="F97" s="297">
        <f t="shared" ref="F97" si="485">F98+F99+F104+F105+F106+F107+F108</f>
        <v>3817.2099999999991</v>
      </c>
      <c r="G97" s="297">
        <f t="shared" ref="G97" si="486">G98+G99+G104+G105+G106+G107+G108</f>
        <v>7145.880000000001</v>
      </c>
      <c r="H97" s="297">
        <f t="shared" ref="H97:O97" si="487">H98+H99+H104+H105+H106+H107+H108</f>
        <v>8047.7</v>
      </c>
      <c r="I97" s="297">
        <f t="shared" si="487"/>
        <v>24263.659999999996</v>
      </c>
      <c r="J97" s="297">
        <f t="shared" si="487"/>
        <v>17395.829999999998</v>
      </c>
      <c r="K97" s="297">
        <f t="shared" si="487"/>
        <v>11959.699999999997</v>
      </c>
      <c r="L97" s="297">
        <f t="shared" si="487"/>
        <v>22817.67</v>
      </c>
      <c r="M97" s="297">
        <f t="shared" si="487"/>
        <v>14772.269999999997</v>
      </c>
      <c r="N97" s="297">
        <f t="shared" si="487"/>
        <v>12173.680000000006</v>
      </c>
      <c r="O97" s="297">
        <f t="shared" si="487"/>
        <v>14626.119999999995</v>
      </c>
      <c r="P97" s="297">
        <f t="shared" ref="P97" si="488">P98+P99+P104+P105+P106+P107+P108</f>
        <v>14698.940000000004</v>
      </c>
      <c r="Q97" s="279">
        <f>EEFFun!Q566</f>
        <v>12067.25</v>
      </c>
      <c r="R97" s="279">
        <f>EEFFun!R566</f>
        <v>15884.46</v>
      </c>
      <c r="S97" s="279">
        <f>EEFFun!S566</f>
        <v>23030.34</v>
      </c>
      <c r="T97" s="279">
        <f>EEFFun!T566</f>
        <v>31078.04</v>
      </c>
      <c r="U97" s="279">
        <f>EEFFun!U566</f>
        <v>55341.7</v>
      </c>
      <c r="V97" s="279">
        <f>EEFFun!V566</f>
        <v>72737.53</v>
      </c>
      <c r="W97" s="279">
        <f>EEFFun!W566</f>
        <v>84697.23</v>
      </c>
      <c r="X97" s="279">
        <f>EEFFun!X566</f>
        <v>107514.9</v>
      </c>
      <c r="Y97" s="279">
        <f>EEFFun!Y566</f>
        <v>122287.17</v>
      </c>
      <c r="Z97" s="279">
        <f>EEFFun!Z566</f>
        <v>134460.85</v>
      </c>
      <c r="AA97" s="279">
        <f>EEFFun!AA566</f>
        <v>149086.97</v>
      </c>
      <c r="AB97" s="279">
        <f>EEFFun!AB566</f>
        <v>163785.91</v>
      </c>
      <c r="AC97" s="279">
        <f>EEFFun!AC566</f>
        <v>12349.85</v>
      </c>
      <c r="AD97" s="279">
        <f>EEFFun!AD566</f>
        <v>21889.05</v>
      </c>
      <c r="AE97" s="279">
        <f>EEFFun!AE566</f>
        <v>32456.7</v>
      </c>
      <c r="AF97" s="279">
        <f>EEFFun!AF566</f>
        <v>43981.27</v>
      </c>
      <c r="AG97" s="279">
        <f>EEFFun!AG566</f>
        <v>56611.25</v>
      </c>
      <c r="AH97" s="279">
        <f>EEFFun!AH566</f>
        <v>74985.119999999995</v>
      </c>
      <c r="AI97" s="279">
        <f>EEFFun!AI566</f>
        <v>94564.160000000003</v>
      </c>
      <c r="AJ97" s="279">
        <f>EEFFun!AJ566</f>
        <v>126466.82</v>
      </c>
      <c r="AK97" s="279">
        <f>EEFFun!AK566</f>
        <v>144826.35</v>
      </c>
      <c r="AL97" s="279">
        <f>EEFFun!AL566</f>
        <v>165865.43</v>
      </c>
      <c r="AM97" s="279">
        <f>EEFFun!AM566</f>
        <v>189134.23</v>
      </c>
      <c r="AN97" s="279">
        <f>EEFFun!AN566</f>
        <v>213769.95</v>
      </c>
      <c r="AO97" s="279">
        <f>EEFFun!AO566</f>
        <v>34751.9</v>
      </c>
      <c r="AP97" s="279">
        <f>EEFFun!AP566</f>
        <v>92564.41</v>
      </c>
      <c r="AQ97" s="279">
        <f>EEFFun!AQ566</f>
        <v>120963.82</v>
      </c>
      <c r="AR97" s="279">
        <f>EEFFun!AR566</f>
        <v>137402.32999999999</v>
      </c>
      <c r="AS97" s="279">
        <f>EEFFun!AS566</f>
        <v>160475.65</v>
      </c>
      <c r="AT97" s="279">
        <f>EEFFun!AT566</f>
        <v>192735.3</v>
      </c>
      <c r="AU97" s="279">
        <f>EEFFun!AU566</f>
        <v>219269.8</v>
      </c>
      <c r="AV97" s="279">
        <f>EEFFun!AV566</f>
        <v>246361.69</v>
      </c>
      <c r="AW97" s="279">
        <f>EEFFun!AW566</f>
        <v>283569.34000000003</v>
      </c>
      <c r="AX97" s="279">
        <f>EEFFun!AX566</f>
        <v>318345.53999999998</v>
      </c>
      <c r="AY97" s="297">
        <f t="shared" ref="AY97" si="489">AY98+AY99+AY104+AY105+AY106+AY107+AY108</f>
        <v>25635.047750000002</v>
      </c>
      <c r="AZ97" s="297">
        <f t="shared" ref="AZ97:BJ97" si="490">AZ98+AZ99+AZ104+AZ105+AZ106+AZ107+AZ108</f>
        <v>25635.047750000002</v>
      </c>
      <c r="BA97" s="297">
        <f t="shared" si="490"/>
        <v>25635.047750000002</v>
      </c>
      <c r="BB97" s="297">
        <f t="shared" si="490"/>
        <v>25635.047750000002</v>
      </c>
      <c r="BC97" s="297">
        <f t="shared" si="490"/>
        <v>25635.047750000002</v>
      </c>
      <c r="BD97" s="297">
        <f t="shared" si="490"/>
        <v>25635.047750000002</v>
      </c>
      <c r="BE97" s="297">
        <f t="shared" si="490"/>
        <v>25635.047750000002</v>
      </c>
      <c r="BF97" s="297">
        <f t="shared" si="490"/>
        <v>25635.047750000002</v>
      </c>
      <c r="BG97" s="297">
        <f t="shared" si="490"/>
        <v>25635.047750000002</v>
      </c>
      <c r="BH97" s="297">
        <f t="shared" si="490"/>
        <v>25635.047750000002</v>
      </c>
      <c r="BI97" s="297">
        <f t="shared" si="490"/>
        <v>25635.047750000002</v>
      </c>
      <c r="BJ97" s="297">
        <f t="shared" si="490"/>
        <v>25635.047750000002</v>
      </c>
      <c r="BK97" s="297">
        <f t="shared" ref="BK97:BQ97" si="491">BK98+BK99+BK104+BK105+BK106+BK107+BK108</f>
        <v>25635.047750000002</v>
      </c>
      <c r="BL97" s="297">
        <f t="shared" si="491"/>
        <v>51270.095500000003</v>
      </c>
      <c r="BM97" s="297">
        <f t="shared" si="491"/>
        <v>76905.143250000008</v>
      </c>
      <c r="BN97" s="297">
        <f t="shared" si="491"/>
        <v>102540.19100000001</v>
      </c>
      <c r="BO97" s="297">
        <f t="shared" si="491"/>
        <v>128175.23875000002</v>
      </c>
      <c r="BP97" s="297">
        <f t="shared" si="491"/>
        <v>153810.28650000002</v>
      </c>
      <c r="BQ97" s="297">
        <f t="shared" si="491"/>
        <v>179445.33425000001</v>
      </c>
      <c r="BR97" s="297">
        <f t="shared" ref="BR97" si="492">BR98+BR99+BR104+BR105+BR106+BR107+BR108</f>
        <v>205080.38200000001</v>
      </c>
      <c r="BS97" s="297">
        <f t="shared" ref="BS97" si="493">BS98+BS99+BS104+BS105+BS106+BS107+BS108</f>
        <v>230715.42975000001</v>
      </c>
      <c r="BT97" s="297">
        <f t="shared" ref="BT97" si="494">BT98+BT99+BT104+BT105+BT106+BT107+BT108</f>
        <v>256350.47750000007</v>
      </c>
      <c r="BU97" s="297">
        <f t="shared" ref="BU97" si="495">BU98+BU99+BU104+BU105+BU106+BU107+BU108</f>
        <v>281985.52525000001</v>
      </c>
      <c r="BV97" s="297">
        <f t="shared" ref="BV97" si="496">BV98+BV99+BV104+BV105+BV106+BV107+BV108</f>
        <v>307620.57300000003</v>
      </c>
      <c r="BW97" s="284"/>
    </row>
    <row r="98" spans="1:75" outlineLevel="1" x14ac:dyDescent="0.25">
      <c r="A98" s="222">
        <v>6</v>
      </c>
      <c r="B98" s="233">
        <f>EEFFun!B567</f>
        <v>450405</v>
      </c>
      <c r="C98" s="233" t="str">
        <f>EEFFun!C567</f>
        <v>Impuestos Fiscales</v>
      </c>
      <c r="D98" s="257">
        <f>EEFFun!P567</f>
        <v>80258.240000000005</v>
      </c>
      <c r="E98" s="295">
        <f>Q98</f>
        <v>5584.78</v>
      </c>
      <c r="F98" s="295">
        <f t="shared" ref="F98" si="497">R98-Q98</f>
        <v>0</v>
      </c>
      <c r="G98" s="295">
        <f t="shared" ref="G98" si="498">S98-R98</f>
        <v>3263.1099999999997</v>
      </c>
      <c r="H98" s="295">
        <f t="shared" ref="H98" si="499">T98-S98</f>
        <v>5062.2900000000009</v>
      </c>
      <c r="I98" s="295">
        <f t="shared" ref="I98" si="500">U98-T98</f>
        <v>10530.04</v>
      </c>
      <c r="J98" s="295">
        <f>V98-U98</f>
        <v>7096.2099999999991</v>
      </c>
      <c r="K98" s="295">
        <f t="shared" ref="K98" si="501">W98-V98</f>
        <v>4042.8899999999994</v>
      </c>
      <c r="L98" s="295">
        <f t="shared" ref="L98" si="502">X98-W98</f>
        <v>6061.93</v>
      </c>
      <c r="M98" s="295">
        <f t="shared" ref="M98" si="503">Y98-X98</f>
        <v>4941.1299999999974</v>
      </c>
      <c r="N98" s="295">
        <f t="shared" ref="N98" si="504">Z98-Y98</f>
        <v>4342.6700000000055</v>
      </c>
      <c r="O98" s="295">
        <f t="shared" ref="O98:P98" si="505">AA98-Z98</f>
        <v>7298.0199999999968</v>
      </c>
      <c r="P98" s="295">
        <f t="shared" si="505"/>
        <v>3955.9000000000015</v>
      </c>
      <c r="Q98" s="257">
        <f>EEFFun!Q567</f>
        <v>5584.78</v>
      </c>
      <c r="R98" s="257">
        <f>EEFFun!R567</f>
        <v>5584.78</v>
      </c>
      <c r="S98" s="257">
        <f>EEFFun!S567</f>
        <v>8847.89</v>
      </c>
      <c r="T98" s="257">
        <f>EEFFun!T567</f>
        <v>13910.18</v>
      </c>
      <c r="U98" s="257">
        <f>EEFFun!U567</f>
        <v>24440.22</v>
      </c>
      <c r="V98" s="257">
        <f>EEFFun!V567</f>
        <v>31536.43</v>
      </c>
      <c r="W98" s="257">
        <f>EEFFun!W567</f>
        <v>35579.32</v>
      </c>
      <c r="X98" s="257">
        <f>EEFFun!X567</f>
        <v>41641.25</v>
      </c>
      <c r="Y98" s="257">
        <f>EEFFun!Y567</f>
        <v>46582.38</v>
      </c>
      <c r="Z98" s="257">
        <f>EEFFun!Z567</f>
        <v>50925.05</v>
      </c>
      <c r="AA98" s="257">
        <f>EEFFun!AA567</f>
        <v>58223.07</v>
      </c>
      <c r="AB98" s="257">
        <f>EEFFun!AB567</f>
        <v>62178.97</v>
      </c>
      <c r="AC98" s="257">
        <f>EEFFun!AC567</f>
        <v>6972.97</v>
      </c>
      <c r="AD98" s="257">
        <f>EEFFun!AD567</f>
        <v>11779.52</v>
      </c>
      <c r="AE98" s="257">
        <f>EEFFun!AE567</f>
        <v>17627.97</v>
      </c>
      <c r="AF98" s="257">
        <f>EEFFun!AF567</f>
        <v>23491.040000000001</v>
      </c>
      <c r="AG98" s="257">
        <f>EEFFun!AG567</f>
        <v>28778.48</v>
      </c>
      <c r="AH98" s="257">
        <f>EEFFun!AH567</f>
        <v>37753.620000000003</v>
      </c>
      <c r="AI98" s="257">
        <f>EEFFun!AI567</f>
        <v>46353.78</v>
      </c>
      <c r="AJ98" s="257">
        <f>EEFFun!AJ567</f>
        <v>55055</v>
      </c>
      <c r="AK98" s="257">
        <f>EEFFun!AK567</f>
        <v>64687.1</v>
      </c>
      <c r="AL98" s="257">
        <f>EEFFun!AL567</f>
        <v>74426.289999999994</v>
      </c>
      <c r="AM98" s="257">
        <f>EEFFun!AM567</f>
        <v>86601.18</v>
      </c>
      <c r="AN98" s="257">
        <f>EEFFun!AN567</f>
        <v>99236.91</v>
      </c>
      <c r="AO98" s="257">
        <f>EEFFun!AO567</f>
        <v>16545.45</v>
      </c>
      <c r="AP98" s="257">
        <f>EEFFun!AP567</f>
        <v>28837.97</v>
      </c>
      <c r="AQ98" s="257">
        <f>EEFFun!AQ567</f>
        <v>51489.98</v>
      </c>
      <c r="AR98" s="257">
        <f>EEFFun!AR567</f>
        <v>62865.78</v>
      </c>
      <c r="AS98" s="257">
        <f>EEFFun!AS567</f>
        <v>72836.3</v>
      </c>
      <c r="AT98" s="257">
        <f>EEFFun!AT567</f>
        <v>87713.16</v>
      </c>
      <c r="AU98" s="257">
        <f>EEFFun!AU567</f>
        <v>100476.55</v>
      </c>
      <c r="AV98" s="257">
        <f>EEFFun!AV567</f>
        <v>113478.95</v>
      </c>
      <c r="AW98" s="257">
        <f>EEFFun!AW567</f>
        <v>125063.63</v>
      </c>
      <c r="AX98" s="257">
        <f>EEFFun!AX567</f>
        <v>135257.01999999999</v>
      </c>
      <c r="AY98" s="295">
        <f>+AX98/10</f>
        <v>13525.701999999999</v>
      </c>
      <c r="AZ98" s="295">
        <f>+AY98</f>
        <v>13525.701999999999</v>
      </c>
      <c r="BA98" s="295">
        <f t="shared" ref="BA98:BJ98" si="506">+AZ98</f>
        <v>13525.701999999999</v>
      </c>
      <c r="BB98" s="295">
        <f t="shared" si="506"/>
        <v>13525.701999999999</v>
      </c>
      <c r="BC98" s="295">
        <f t="shared" si="506"/>
        <v>13525.701999999999</v>
      </c>
      <c r="BD98" s="295">
        <f t="shared" si="506"/>
        <v>13525.701999999999</v>
      </c>
      <c r="BE98" s="295">
        <f t="shared" si="506"/>
        <v>13525.701999999999</v>
      </c>
      <c r="BF98" s="295">
        <f t="shared" si="506"/>
        <v>13525.701999999999</v>
      </c>
      <c r="BG98" s="295">
        <f t="shared" si="506"/>
        <v>13525.701999999999</v>
      </c>
      <c r="BH98" s="295">
        <f t="shared" si="506"/>
        <v>13525.701999999999</v>
      </c>
      <c r="BI98" s="295">
        <f t="shared" si="506"/>
        <v>13525.701999999999</v>
      </c>
      <c r="BJ98" s="295">
        <f t="shared" si="506"/>
        <v>13525.701999999999</v>
      </c>
      <c r="BK98" s="295">
        <f>SUM($AY$98:AY98)</f>
        <v>13525.701999999999</v>
      </c>
      <c r="BL98" s="295">
        <f>SUM($AY$98:AZ98)</f>
        <v>27051.403999999999</v>
      </c>
      <c r="BM98" s="295">
        <f>SUM($AY$98:BA98)</f>
        <v>40577.106</v>
      </c>
      <c r="BN98" s="295">
        <f>SUM($AY$98:BB98)</f>
        <v>54102.807999999997</v>
      </c>
      <c r="BO98" s="295">
        <f>SUM($AY$98:BC98)</f>
        <v>67628.509999999995</v>
      </c>
      <c r="BP98" s="295">
        <f>SUM($AY$98:BD98)</f>
        <v>81154.212</v>
      </c>
      <c r="BQ98" s="295">
        <f>SUM($AY$98:BE98)</f>
        <v>94679.914000000004</v>
      </c>
      <c r="BR98" s="295">
        <f>SUM($AY$98:BF98)</f>
        <v>108205.61600000001</v>
      </c>
      <c r="BS98" s="295">
        <f>SUM($AY$98:BG98)</f>
        <v>121731.31800000001</v>
      </c>
      <c r="BT98" s="295">
        <f>SUM($AY$98:BH98)</f>
        <v>135257.02000000002</v>
      </c>
      <c r="BU98" s="295">
        <f>SUM($AY$98:BI98)</f>
        <v>148782.72200000001</v>
      </c>
      <c r="BV98" s="295">
        <f>SUM($AY$98:BJ98)</f>
        <v>162308.424</v>
      </c>
      <c r="BW98" s="291"/>
    </row>
    <row r="99" spans="1:75" outlineLevel="1" x14ac:dyDescent="0.25">
      <c r="A99" s="222">
        <v>6</v>
      </c>
      <c r="B99" s="233">
        <f>EEFFun!B568</f>
        <v>450410</v>
      </c>
      <c r="C99" s="233" t="str">
        <f>EEFFun!C568</f>
        <v>Impuestos Municipales</v>
      </c>
      <c r="D99" s="257">
        <f>EEFFun!P568</f>
        <v>56646.94</v>
      </c>
      <c r="E99" s="295">
        <f t="shared" ref="E99" si="507">SUM(E100:E103)</f>
        <v>2242.17</v>
      </c>
      <c r="F99" s="295">
        <f t="shared" ref="F99" si="508">SUM(F100:F103)</f>
        <v>0</v>
      </c>
      <c r="G99" s="295">
        <f t="shared" ref="G99" si="509">SUM(G100:G103)</f>
        <v>181.32</v>
      </c>
      <c r="H99" s="295">
        <f t="shared" ref="H99:O99" si="510">SUM(H100:H103)</f>
        <v>0</v>
      </c>
      <c r="I99" s="295">
        <f t="shared" si="510"/>
        <v>9400.67</v>
      </c>
      <c r="J99" s="295">
        <f t="shared" si="510"/>
        <v>4507.420000000001</v>
      </c>
      <c r="K99" s="295">
        <f t="shared" si="510"/>
        <v>4439.83</v>
      </c>
      <c r="L99" s="295">
        <f t="shared" si="510"/>
        <v>4444.76</v>
      </c>
      <c r="M99" s="295">
        <f t="shared" si="510"/>
        <v>6425.5399999999991</v>
      </c>
      <c r="N99" s="295">
        <f t="shared" si="510"/>
        <v>4413.9500000000007</v>
      </c>
      <c r="O99" s="295">
        <f t="shared" si="510"/>
        <v>3957.75</v>
      </c>
      <c r="P99" s="295">
        <f t="shared" ref="P99" si="511">SUM(P100:P103)</f>
        <v>4493.26</v>
      </c>
      <c r="Q99" s="257">
        <f>EEFFun!Q568</f>
        <v>2242.17</v>
      </c>
      <c r="R99" s="257">
        <f>EEFFun!R568</f>
        <v>2242.17</v>
      </c>
      <c r="S99" s="257">
        <f>EEFFun!S568</f>
        <v>2423.4899999999998</v>
      </c>
      <c r="T99" s="257">
        <f>EEFFun!T568</f>
        <v>2423.4899999999998</v>
      </c>
      <c r="U99" s="257">
        <f>EEFFun!U568</f>
        <v>11824.16</v>
      </c>
      <c r="V99" s="257">
        <f>EEFFun!V568</f>
        <v>16331.58</v>
      </c>
      <c r="W99" s="257">
        <f>EEFFun!W568</f>
        <v>20771.41</v>
      </c>
      <c r="X99" s="257">
        <f>EEFFun!X568</f>
        <v>25216.17</v>
      </c>
      <c r="Y99" s="257">
        <f>EEFFun!Y568</f>
        <v>31641.71</v>
      </c>
      <c r="Z99" s="257">
        <f>EEFFun!Z568</f>
        <v>36055.660000000003</v>
      </c>
      <c r="AA99" s="257">
        <f>EEFFun!AA568</f>
        <v>40013.410000000003</v>
      </c>
      <c r="AB99" s="257">
        <f>EEFFun!AB568</f>
        <v>44506.67</v>
      </c>
      <c r="AC99" s="257">
        <f>EEFFun!AC568</f>
        <v>1589.91</v>
      </c>
      <c r="AD99" s="257">
        <f>EEFFun!AD568</f>
        <v>3179.82</v>
      </c>
      <c r="AE99" s="257">
        <f>EEFFun!AE568</f>
        <v>4769.7299999999996</v>
      </c>
      <c r="AF99" s="257">
        <f>EEFFun!AF568</f>
        <v>6359.64</v>
      </c>
      <c r="AG99" s="257">
        <f>EEFFun!AG568</f>
        <v>9758.91</v>
      </c>
      <c r="AH99" s="257">
        <f>EEFFun!AH568</f>
        <v>16303.43</v>
      </c>
      <c r="AI99" s="257">
        <f>EEFFun!AI568</f>
        <v>21859.84</v>
      </c>
      <c r="AJ99" s="257">
        <f>EEFFun!AJ568</f>
        <v>28603.13</v>
      </c>
      <c r="AK99" s="257">
        <f>EEFFun!AK568</f>
        <v>34159.54</v>
      </c>
      <c r="AL99" s="257">
        <f>EEFFun!AL568</f>
        <v>41320.92</v>
      </c>
      <c r="AM99" s="257">
        <f>EEFFun!AM568</f>
        <v>47877.33</v>
      </c>
      <c r="AN99" s="257">
        <f>EEFFun!AN568</f>
        <v>55571.98</v>
      </c>
      <c r="AO99" s="257">
        <f>EEFFun!AO568</f>
        <v>0</v>
      </c>
      <c r="AP99" s="257">
        <f>EEFFun!AP568</f>
        <v>0</v>
      </c>
      <c r="AQ99" s="257">
        <f>EEFFun!AQ568</f>
        <v>0</v>
      </c>
      <c r="AR99" s="257">
        <f>EEFFun!AR568</f>
        <v>0</v>
      </c>
      <c r="AS99" s="257">
        <f>EEFFun!AS568</f>
        <v>0</v>
      </c>
      <c r="AT99" s="257">
        <f>EEFFun!AT568</f>
        <v>0</v>
      </c>
      <c r="AU99" s="257">
        <f>EEFFun!AU568</f>
        <v>0</v>
      </c>
      <c r="AV99" s="257">
        <f>EEFFun!AV568</f>
        <v>0</v>
      </c>
      <c r="AW99" s="257">
        <f>EEFFun!AW568</f>
        <v>0</v>
      </c>
      <c r="AX99" s="257">
        <f>EEFFun!AX568</f>
        <v>0</v>
      </c>
      <c r="AY99" s="295">
        <f t="shared" ref="AY99" si="512">SUM(AY100:AY103)</f>
        <v>5094.0981666666685</v>
      </c>
      <c r="AZ99" s="295">
        <f t="shared" ref="AZ99:BJ112" si="513">+AY99</f>
        <v>5094.0981666666685</v>
      </c>
      <c r="BA99" s="295">
        <f t="shared" si="513"/>
        <v>5094.0981666666685</v>
      </c>
      <c r="BB99" s="295">
        <f t="shared" si="513"/>
        <v>5094.0981666666685</v>
      </c>
      <c r="BC99" s="295">
        <f t="shared" si="513"/>
        <v>5094.0981666666685</v>
      </c>
      <c r="BD99" s="295">
        <f t="shared" si="513"/>
        <v>5094.0981666666685</v>
      </c>
      <c r="BE99" s="295">
        <f t="shared" si="513"/>
        <v>5094.0981666666685</v>
      </c>
      <c r="BF99" s="295">
        <f t="shared" si="513"/>
        <v>5094.0981666666685</v>
      </c>
      <c r="BG99" s="295">
        <f t="shared" si="513"/>
        <v>5094.0981666666685</v>
      </c>
      <c r="BH99" s="295">
        <f t="shared" si="513"/>
        <v>5094.0981666666685</v>
      </c>
      <c r="BI99" s="295">
        <f t="shared" si="513"/>
        <v>5094.0981666666685</v>
      </c>
      <c r="BJ99" s="295">
        <f t="shared" si="513"/>
        <v>5094.0981666666685</v>
      </c>
      <c r="BK99" s="295">
        <f t="shared" ref="BK99:BQ99" si="514">SUM(BK100:BK103)</f>
        <v>5094.0981666666685</v>
      </c>
      <c r="BL99" s="295">
        <f t="shared" si="514"/>
        <v>10188.196333333337</v>
      </c>
      <c r="BM99" s="295">
        <f t="shared" si="514"/>
        <v>15282.294500000004</v>
      </c>
      <c r="BN99" s="295">
        <f t="shared" si="514"/>
        <v>20376.392666666674</v>
      </c>
      <c r="BO99" s="295">
        <f t="shared" si="514"/>
        <v>25470.490833333341</v>
      </c>
      <c r="BP99" s="295">
        <f t="shared" si="514"/>
        <v>30564.589000000007</v>
      </c>
      <c r="BQ99" s="295">
        <f t="shared" si="514"/>
        <v>35658.68716666667</v>
      </c>
      <c r="BR99" s="295">
        <f t="shared" ref="BR99" si="515">SUM(BR100:BR103)</f>
        <v>40752.785333333341</v>
      </c>
      <c r="BS99" s="295">
        <f t="shared" ref="BS99" si="516">SUM(BS100:BS103)</f>
        <v>45846.883500000004</v>
      </c>
      <c r="BT99" s="295">
        <f t="shared" ref="BT99" si="517">SUM(BT100:BT103)</f>
        <v>50940.981666666674</v>
      </c>
      <c r="BU99" s="295">
        <f t="shared" ref="BU99" si="518">SUM(BU100:BU103)</f>
        <v>56035.079833333337</v>
      </c>
      <c r="BV99" s="295">
        <f t="shared" ref="BV99" si="519">SUM(BV100:BV103)</f>
        <v>61129.178000000007</v>
      </c>
      <c r="BW99" s="291"/>
    </row>
    <row r="100" spans="1:75" outlineLevel="1" x14ac:dyDescent="0.25">
      <c r="A100" s="222">
        <v>8</v>
      </c>
      <c r="B100" s="233">
        <f>EEFFun!B569</f>
        <v>45041005</v>
      </c>
      <c r="C100" s="233" t="str">
        <f>EEFFun!C569</f>
        <v>IMPUESTOS PREDIALES</v>
      </c>
      <c r="D100" s="257">
        <f>EEFFun!P569</f>
        <v>23701.15</v>
      </c>
      <c r="E100" s="295">
        <f t="shared" ref="E100:E107" si="520">Q100</f>
        <v>2242.17</v>
      </c>
      <c r="F100" s="295">
        <f t="shared" ref="F100:F107" si="521">R100-Q100</f>
        <v>0</v>
      </c>
      <c r="G100" s="295">
        <f t="shared" ref="G100:G107" si="522">S100-R100</f>
        <v>166.01999999999998</v>
      </c>
      <c r="H100" s="295">
        <f t="shared" ref="H100:H107" si="523">T100-S100</f>
        <v>0</v>
      </c>
      <c r="I100" s="295">
        <f t="shared" ref="I100:I107" si="524">U100-T100</f>
        <v>6232.65</v>
      </c>
      <c r="J100" s="295">
        <f t="shared" ref="J100:J107" si="525">V100-U100</f>
        <v>1246.5300000000007</v>
      </c>
      <c r="K100" s="295">
        <f t="shared" ref="K100:K107" si="526">W100-V100</f>
        <v>1246.5299999999988</v>
      </c>
      <c r="L100" s="295">
        <f t="shared" ref="L100:L107" si="527">X100-W100</f>
        <v>1246.5300000000007</v>
      </c>
      <c r="M100" s="295">
        <f t="shared" ref="M100:M107" si="528">Y100-X100</f>
        <v>1246.5299999999988</v>
      </c>
      <c r="N100" s="295">
        <f t="shared" ref="N100:N107" si="529">Z100-Y100</f>
        <v>1246.5300000000007</v>
      </c>
      <c r="O100" s="295">
        <f t="shared" ref="O100:P107" si="530">AA100-Z100</f>
        <v>1246.5300000000007</v>
      </c>
      <c r="P100" s="295">
        <f t="shared" si="530"/>
        <v>1246.5299999999988</v>
      </c>
      <c r="Q100" s="257">
        <f>EEFFun!Q569</f>
        <v>2242.17</v>
      </c>
      <c r="R100" s="257">
        <f>EEFFun!R569</f>
        <v>2242.17</v>
      </c>
      <c r="S100" s="257">
        <f>EEFFun!S569</f>
        <v>2408.19</v>
      </c>
      <c r="T100" s="257">
        <f>EEFFun!T569</f>
        <v>2408.19</v>
      </c>
      <c r="U100" s="257">
        <f>EEFFun!U569</f>
        <v>8640.84</v>
      </c>
      <c r="V100" s="257">
        <f>EEFFun!V569</f>
        <v>9887.3700000000008</v>
      </c>
      <c r="W100" s="257">
        <f>EEFFun!W569</f>
        <v>11133.9</v>
      </c>
      <c r="X100" s="257">
        <f>EEFFun!X569</f>
        <v>12380.43</v>
      </c>
      <c r="Y100" s="257">
        <f>EEFFun!Y569</f>
        <v>13626.96</v>
      </c>
      <c r="Z100" s="257">
        <f>EEFFun!Z569</f>
        <v>14873.49</v>
      </c>
      <c r="AA100" s="257">
        <f>EEFFun!AA569</f>
        <v>16120.02</v>
      </c>
      <c r="AB100" s="257">
        <f>EEFFun!AB569</f>
        <v>17366.55</v>
      </c>
      <c r="AC100" s="257">
        <f>EEFFun!AC569</f>
        <v>1504.95</v>
      </c>
      <c r="AD100" s="257">
        <f>EEFFun!AD569</f>
        <v>3009.9</v>
      </c>
      <c r="AE100" s="257">
        <f>EEFFun!AE569</f>
        <v>4514.8500000000004</v>
      </c>
      <c r="AF100" s="257">
        <f>EEFFun!AF569</f>
        <v>6019.8</v>
      </c>
      <c r="AG100" s="257">
        <f>EEFFun!AG569</f>
        <v>7609.71</v>
      </c>
      <c r="AH100" s="257">
        <f>EEFFun!AH569</f>
        <v>9199.6200000000008</v>
      </c>
      <c r="AI100" s="257">
        <f>EEFFun!AI569</f>
        <v>10789.53</v>
      </c>
      <c r="AJ100" s="257">
        <f>EEFFun!AJ569</f>
        <v>12379.44</v>
      </c>
      <c r="AK100" s="257">
        <f>EEFFun!AK569</f>
        <v>13969.35</v>
      </c>
      <c r="AL100" s="257">
        <f>EEFFun!AL569</f>
        <v>15559.26</v>
      </c>
      <c r="AM100" s="257">
        <f>EEFFun!AM569</f>
        <v>17149.169999999998</v>
      </c>
      <c r="AN100" s="257">
        <f>EEFFun!AN569</f>
        <v>18739.080000000002</v>
      </c>
      <c r="AO100" s="257">
        <f>EEFFun!AO569</f>
        <v>0</v>
      </c>
      <c r="AP100" s="257">
        <f>EEFFun!AP569</f>
        <v>0</v>
      </c>
      <c r="AQ100" s="257">
        <f>EEFFun!AQ569</f>
        <v>0</v>
      </c>
      <c r="AR100" s="257">
        <f>EEFFun!AR569</f>
        <v>0</v>
      </c>
      <c r="AS100" s="257">
        <f>EEFFun!AS569</f>
        <v>0</v>
      </c>
      <c r="AT100" s="257">
        <f>EEFFun!AT569</f>
        <v>0</v>
      </c>
      <c r="AU100" s="257">
        <f>EEFFun!AU569</f>
        <v>0</v>
      </c>
      <c r="AV100" s="257">
        <f>EEFFun!AV569</f>
        <v>0</v>
      </c>
      <c r="AW100" s="257">
        <f>EEFFun!AW569</f>
        <v>0</v>
      </c>
      <c r="AX100" s="257">
        <f>EEFFun!AX569</f>
        <v>0</v>
      </c>
      <c r="AY100" s="295">
        <f t="shared" ref="AY100:AY107" si="531">+AN100*1.1/12</f>
        <v>1717.7490000000005</v>
      </c>
      <c r="AZ100" s="295">
        <f t="shared" si="513"/>
        <v>1717.7490000000005</v>
      </c>
      <c r="BA100" s="295">
        <f t="shared" si="513"/>
        <v>1717.7490000000005</v>
      </c>
      <c r="BB100" s="295">
        <f t="shared" si="513"/>
        <v>1717.7490000000005</v>
      </c>
      <c r="BC100" s="295">
        <f t="shared" si="513"/>
        <v>1717.7490000000005</v>
      </c>
      <c r="BD100" s="295">
        <f t="shared" si="513"/>
        <v>1717.7490000000005</v>
      </c>
      <c r="BE100" s="295">
        <f t="shared" si="513"/>
        <v>1717.7490000000005</v>
      </c>
      <c r="BF100" s="295">
        <f t="shared" si="513"/>
        <v>1717.7490000000005</v>
      </c>
      <c r="BG100" s="295">
        <f t="shared" si="513"/>
        <v>1717.7490000000005</v>
      </c>
      <c r="BH100" s="295">
        <f t="shared" si="513"/>
        <v>1717.7490000000005</v>
      </c>
      <c r="BI100" s="295">
        <f t="shared" si="513"/>
        <v>1717.7490000000005</v>
      </c>
      <c r="BJ100" s="295">
        <f t="shared" si="513"/>
        <v>1717.7490000000005</v>
      </c>
      <c r="BK100" s="295">
        <f>SUM($AY$100:AY100)</f>
        <v>1717.7490000000005</v>
      </c>
      <c r="BL100" s="295">
        <f>SUM($AY$100:AZ100)</f>
        <v>3435.498000000001</v>
      </c>
      <c r="BM100" s="295">
        <f>SUM($AY$100:BA100)</f>
        <v>5153.2470000000012</v>
      </c>
      <c r="BN100" s="295">
        <f>SUM($AY$100:BB100)</f>
        <v>6870.9960000000019</v>
      </c>
      <c r="BO100" s="295">
        <f>SUM($AY$100:BC100)</f>
        <v>8588.7450000000026</v>
      </c>
      <c r="BP100" s="295">
        <f>SUM($AY$100:BD100)</f>
        <v>10306.494000000002</v>
      </c>
      <c r="BQ100" s="295">
        <f>SUM($AY$100:BE100)</f>
        <v>12024.243000000002</v>
      </c>
      <c r="BR100" s="295">
        <f>SUM($AY$100:BF100)</f>
        <v>13741.992000000002</v>
      </c>
      <c r="BS100" s="295">
        <f>SUM($AY$100:BG100)</f>
        <v>15459.741000000002</v>
      </c>
      <c r="BT100" s="295">
        <f>SUM($AY$100:BH100)</f>
        <v>17177.490000000002</v>
      </c>
      <c r="BU100" s="295">
        <f>SUM($AY$100:BI100)</f>
        <v>18895.239000000001</v>
      </c>
      <c r="BV100" s="295">
        <f>SUM($AY$100:BJ100)</f>
        <v>20612.988000000001</v>
      </c>
      <c r="BW100" s="291"/>
    </row>
    <row r="101" spans="1:75" outlineLevel="1" x14ac:dyDescent="0.25">
      <c r="A101" s="222">
        <v>8</v>
      </c>
      <c r="B101" s="233">
        <f>EEFFun!B570</f>
        <v>45041010</v>
      </c>
      <c r="C101" s="233" t="str">
        <f>EEFFun!C570</f>
        <v>IMPUESTO DEL 1.5 POR MIL</v>
      </c>
      <c r="D101" s="257">
        <f>EEFFun!P570</f>
        <v>11689.47</v>
      </c>
      <c r="E101" s="295">
        <f t="shared" si="520"/>
        <v>0</v>
      </c>
      <c r="F101" s="295">
        <f t="shared" si="521"/>
        <v>0</v>
      </c>
      <c r="G101" s="295">
        <f t="shared" si="522"/>
        <v>0</v>
      </c>
      <c r="H101" s="295">
        <f t="shared" si="523"/>
        <v>0</v>
      </c>
      <c r="I101" s="295">
        <f t="shared" si="524"/>
        <v>1298.77</v>
      </c>
      <c r="J101" s="295">
        <f t="shared" si="525"/>
        <v>1057.73</v>
      </c>
      <c r="K101" s="295">
        <f t="shared" si="526"/>
        <v>1539.8000000000002</v>
      </c>
      <c r="L101" s="295">
        <f t="shared" si="527"/>
        <v>1539.8000000000002</v>
      </c>
      <c r="M101" s="295">
        <f t="shared" si="528"/>
        <v>1539.7999999999993</v>
      </c>
      <c r="N101" s="295">
        <f t="shared" si="529"/>
        <v>1298.7700000000004</v>
      </c>
      <c r="O101" s="295">
        <f t="shared" si="530"/>
        <v>1057.7199999999993</v>
      </c>
      <c r="P101" s="295">
        <f t="shared" si="530"/>
        <v>1057.7300000000014</v>
      </c>
      <c r="Q101" s="257">
        <f>EEFFun!Q570</f>
        <v>0</v>
      </c>
      <c r="R101" s="257">
        <f>EEFFun!R570</f>
        <v>0</v>
      </c>
      <c r="S101" s="257">
        <f>EEFFun!S570</f>
        <v>0</v>
      </c>
      <c r="T101" s="257">
        <f>EEFFun!T570</f>
        <v>0</v>
      </c>
      <c r="U101" s="257">
        <f>EEFFun!U570</f>
        <v>1298.77</v>
      </c>
      <c r="V101" s="257">
        <f>EEFFun!V570</f>
        <v>2356.5</v>
      </c>
      <c r="W101" s="257">
        <f>EEFFun!W570</f>
        <v>3896.3</v>
      </c>
      <c r="X101" s="257">
        <f>EEFFun!X570</f>
        <v>5436.1</v>
      </c>
      <c r="Y101" s="257">
        <f>EEFFun!Y570</f>
        <v>6975.9</v>
      </c>
      <c r="Z101" s="257">
        <f>EEFFun!Z570</f>
        <v>8274.67</v>
      </c>
      <c r="AA101" s="257">
        <f>EEFFun!AA570</f>
        <v>9332.39</v>
      </c>
      <c r="AB101" s="257">
        <f>EEFFun!AB570</f>
        <v>10390.120000000001</v>
      </c>
      <c r="AC101" s="257">
        <f>EEFFun!AC570</f>
        <v>84.96</v>
      </c>
      <c r="AD101" s="257">
        <f>EEFFun!AD570</f>
        <v>169.92</v>
      </c>
      <c r="AE101" s="257">
        <f>EEFFun!AE570</f>
        <v>254.88</v>
      </c>
      <c r="AF101" s="257">
        <f>EEFFun!AF570</f>
        <v>339.84</v>
      </c>
      <c r="AG101" s="257">
        <f>EEFFun!AG570</f>
        <v>842.1</v>
      </c>
      <c r="AH101" s="257">
        <f>EEFFun!AH570</f>
        <v>2332.4699999999998</v>
      </c>
      <c r="AI101" s="257">
        <f>EEFFun!AI570</f>
        <v>2834.73</v>
      </c>
      <c r="AJ101" s="257">
        <f>EEFFun!AJ570</f>
        <v>3336.99</v>
      </c>
      <c r="AK101" s="257">
        <f>EEFFun!AK570</f>
        <v>3839.25</v>
      </c>
      <c r="AL101" s="257">
        <f>EEFFun!AL570</f>
        <v>4416.74</v>
      </c>
      <c r="AM101" s="257">
        <f>EEFFun!AM570</f>
        <v>5919</v>
      </c>
      <c r="AN101" s="257">
        <f>EEFFun!AN570</f>
        <v>7409.37</v>
      </c>
      <c r="AO101" s="257">
        <f>EEFFun!AO570</f>
        <v>0</v>
      </c>
      <c r="AP101" s="257">
        <f>EEFFun!AP570</f>
        <v>0</v>
      </c>
      <c r="AQ101" s="257">
        <f>EEFFun!AQ570</f>
        <v>0</v>
      </c>
      <c r="AR101" s="257">
        <f>EEFFun!AR570</f>
        <v>0</v>
      </c>
      <c r="AS101" s="257">
        <f>EEFFun!AS570</f>
        <v>0</v>
      </c>
      <c r="AT101" s="257">
        <f>EEFFun!AT570</f>
        <v>0</v>
      </c>
      <c r="AU101" s="257">
        <f>EEFFun!AU570</f>
        <v>0</v>
      </c>
      <c r="AV101" s="257">
        <f>EEFFun!AV570</f>
        <v>0</v>
      </c>
      <c r="AW101" s="257">
        <f>EEFFun!AW570</f>
        <v>0</v>
      </c>
      <c r="AX101" s="257">
        <f>EEFFun!AX570</f>
        <v>0</v>
      </c>
      <c r="AY101" s="295">
        <f t="shared" si="531"/>
        <v>679.19225000000006</v>
      </c>
      <c r="AZ101" s="295">
        <f t="shared" si="513"/>
        <v>679.19225000000006</v>
      </c>
      <c r="BA101" s="295">
        <f t="shared" si="513"/>
        <v>679.19225000000006</v>
      </c>
      <c r="BB101" s="295">
        <f t="shared" si="513"/>
        <v>679.19225000000006</v>
      </c>
      <c r="BC101" s="295">
        <f t="shared" si="513"/>
        <v>679.19225000000006</v>
      </c>
      <c r="BD101" s="295">
        <f t="shared" si="513"/>
        <v>679.19225000000006</v>
      </c>
      <c r="BE101" s="295">
        <f t="shared" si="513"/>
        <v>679.19225000000006</v>
      </c>
      <c r="BF101" s="295">
        <f t="shared" si="513"/>
        <v>679.19225000000006</v>
      </c>
      <c r="BG101" s="295">
        <f t="shared" si="513"/>
        <v>679.19225000000006</v>
      </c>
      <c r="BH101" s="295">
        <f t="shared" si="513"/>
        <v>679.19225000000006</v>
      </c>
      <c r="BI101" s="295">
        <f t="shared" si="513"/>
        <v>679.19225000000006</v>
      </c>
      <c r="BJ101" s="295">
        <f t="shared" si="513"/>
        <v>679.19225000000006</v>
      </c>
      <c r="BK101" s="295">
        <f>SUM($AY$101:AY101)</f>
        <v>679.19225000000006</v>
      </c>
      <c r="BL101" s="295">
        <f>SUM($AY$101:AZ101)</f>
        <v>1358.3845000000001</v>
      </c>
      <c r="BM101" s="295">
        <f>SUM($AY$101:BA101)</f>
        <v>2037.5767500000002</v>
      </c>
      <c r="BN101" s="295">
        <f>SUM($AY$101:BB101)</f>
        <v>2716.7690000000002</v>
      </c>
      <c r="BO101" s="295">
        <f>SUM($AY$101:BC101)</f>
        <v>3395.9612500000003</v>
      </c>
      <c r="BP101" s="295">
        <f>SUM($AY$101:BD101)</f>
        <v>4075.1535000000003</v>
      </c>
      <c r="BQ101" s="295">
        <f>SUM($AY$101:BE101)</f>
        <v>4754.3457500000004</v>
      </c>
      <c r="BR101" s="295">
        <f>SUM($AY$101:BF101)</f>
        <v>5433.5380000000005</v>
      </c>
      <c r="BS101" s="295">
        <f>SUM($AY$101:BG101)</f>
        <v>6112.7302500000005</v>
      </c>
      <c r="BT101" s="295">
        <f>SUM($AY$101:BH101)</f>
        <v>6791.9225000000006</v>
      </c>
      <c r="BU101" s="295">
        <f>SUM($AY$101:BI101)</f>
        <v>7471.1147500000006</v>
      </c>
      <c r="BV101" s="295">
        <f>SUM($AY$101:BJ101)</f>
        <v>8150.3070000000007</v>
      </c>
      <c r="BW101" s="291"/>
    </row>
    <row r="102" spans="1:75" outlineLevel="1" x14ac:dyDescent="0.25">
      <c r="A102" s="222">
        <v>8</v>
      </c>
      <c r="B102" s="233">
        <f>EEFFun!B571</f>
        <v>45041015</v>
      </c>
      <c r="C102" s="233" t="str">
        <f>EEFFun!C571</f>
        <v>PATENTE</v>
      </c>
      <c r="D102" s="257">
        <f>EEFFun!P571</f>
        <v>19032.96</v>
      </c>
      <c r="E102" s="295">
        <f t="shared" si="520"/>
        <v>0</v>
      </c>
      <c r="F102" s="295">
        <f t="shared" si="521"/>
        <v>0</v>
      </c>
      <c r="G102" s="295">
        <f t="shared" si="522"/>
        <v>0</v>
      </c>
      <c r="H102" s="295">
        <f t="shared" si="523"/>
        <v>0</v>
      </c>
      <c r="I102" s="295">
        <f t="shared" si="524"/>
        <v>1869.25</v>
      </c>
      <c r="J102" s="295">
        <f t="shared" si="525"/>
        <v>1654.1</v>
      </c>
      <c r="K102" s="295">
        <f t="shared" si="526"/>
        <v>1653.5000000000005</v>
      </c>
      <c r="L102" s="295">
        <f t="shared" si="527"/>
        <v>1658.4299999999994</v>
      </c>
      <c r="M102" s="295">
        <f t="shared" si="528"/>
        <v>2509.170000000001</v>
      </c>
      <c r="N102" s="295">
        <f t="shared" si="529"/>
        <v>1868.6499999999996</v>
      </c>
      <c r="O102" s="295">
        <f t="shared" si="530"/>
        <v>1653.5</v>
      </c>
      <c r="P102" s="295">
        <f t="shared" si="530"/>
        <v>1653.5</v>
      </c>
      <c r="Q102" s="257">
        <f>EEFFun!Q571</f>
        <v>0</v>
      </c>
      <c r="R102" s="257">
        <f>EEFFun!R571</f>
        <v>0</v>
      </c>
      <c r="S102" s="257">
        <f>EEFFun!S571</f>
        <v>0</v>
      </c>
      <c r="T102" s="257">
        <f>EEFFun!T571</f>
        <v>0</v>
      </c>
      <c r="U102" s="257">
        <f>EEFFun!U571</f>
        <v>1869.25</v>
      </c>
      <c r="V102" s="257">
        <f>EEFFun!V571</f>
        <v>3523.35</v>
      </c>
      <c r="W102" s="257">
        <f>EEFFun!W571</f>
        <v>5176.8500000000004</v>
      </c>
      <c r="X102" s="257">
        <f>EEFFun!X571</f>
        <v>6835.28</v>
      </c>
      <c r="Y102" s="257">
        <f>EEFFun!Y571</f>
        <v>9344.4500000000007</v>
      </c>
      <c r="Z102" s="257">
        <f>EEFFun!Z571</f>
        <v>11213.1</v>
      </c>
      <c r="AA102" s="257">
        <f>EEFFun!AA571</f>
        <v>12866.6</v>
      </c>
      <c r="AB102" s="257">
        <f>EEFFun!AB571</f>
        <v>14520.1</v>
      </c>
      <c r="AC102" s="257">
        <f>EEFFun!AC571</f>
        <v>0</v>
      </c>
      <c r="AD102" s="257">
        <f>EEFFun!AD571</f>
        <v>0</v>
      </c>
      <c r="AE102" s="257">
        <f>EEFFun!AE571</f>
        <v>0</v>
      </c>
      <c r="AF102" s="257">
        <f>EEFFun!AF571</f>
        <v>0</v>
      </c>
      <c r="AG102" s="257">
        <f>EEFFun!AG571</f>
        <v>1307.0999999999999</v>
      </c>
      <c r="AH102" s="257">
        <f>EEFFun!AH571</f>
        <v>4771.34</v>
      </c>
      <c r="AI102" s="257">
        <f>EEFFun!AI571</f>
        <v>8235.58</v>
      </c>
      <c r="AJ102" s="257">
        <f>EEFFun!AJ571</f>
        <v>11699.82</v>
      </c>
      <c r="AK102" s="257">
        <f>EEFFun!AK571</f>
        <v>15164.06</v>
      </c>
      <c r="AL102" s="257">
        <f>EEFFun!AL571</f>
        <v>18628.3</v>
      </c>
      <c r="AM102" s="257">
        <f>EEFFun!AM571</f>
        <v>22092.54</v>
      </c>
      <c r="AN102" s="257">
        <f>EEFFun!AN571</f>
        <v>25556.78</v>
      </c>
      <c r="AO102" s="257">
        <f>EEFFun!AO571</f>
        <v>0</v>
      </c>
      <c r="AP102" s="257">
        <f>EEFFun!AP571</f>
        <v>0</v>
      </c>
      <c r="AQ102" s="257">
        <f>EEFFun!AQ571</f>
        <v>0</v>
      </c>
      <c r="AR102" s="257">
        <f>EEFFun!AR571</f>
        <v>0</v>
      </c>
      <c r="AS102" s="257">
        <f>EEFFun!AS571</f>
        <v>0</v>
      </c>
      <c r="AT102" s="257">
        <f>EEFFun!AT571</f>
        <v>0</v>
      </c>
      <c r="AU102" s="257">
        <f>EEFFun!AU571</f>
        <v>0</v>
      </c>
      <c r="AV102" s="257">
        <f>EEFFun!AV571</f>
        <v>0</v>
      </c>
      <c r="AW102" s="257">
        <f>EEFFun!AW571</f>
        <v>0</v>
      </c>
      <c r="AX102" s="257">
        <f>EEFFun!AX571</f>
        <v>0</v>
      </c>
      <c r="AY102" s="295">
        <f t="shared" si="531"/>
        <v>2342.7048333333337</v>
      </c>
      <c r="AZ102" s="295">
        <f t="shared" si="513"/>
        <v>2342.7048333333337</v>
      </c>
      <c r="BA102" s="295">
        <f t="shared" si="513"/>
        <v>2342.7048333333337</v>
      </c>
      <c r="BB102" s="295">
        <f t="shared" si="513"/>
        <v>2342.7048333333337</v>
      </c>
      <c r="BC102" s="295">
        <f t="shared" si="513"/>
        <v>2342.7048333333337</v>
      </c>
      <c r="BD102" s="295">
        <f t="shared" si="513"/>
        <v>2342.7048333333337</v>
      </c>
      <c r="BE102" s="295">
        <f t="shared" si="513"/>
        <v>2342.7048333333337</v>
      </c>
      <c r="BF102" s="295">
        <f t="shared" si="513"/>
        <v>2342.7048333333337</v>
      </c>
      <c r="BG102" s="295">
        <f t="shared" si="513"/>
        <v>2342.7048333333337</v>
      </c>
      <c r="BH102" s="295">
        <f t="shared" si="513"/>
        <v>2342.7048333333337</v>
      </c>
      <c r="BI102" s="295">
        <f t="shared" si="513"/>
        <v>2342.7048333333337</v>
      </c>
      <c r="BJ102" s="295">
        <f t="shared" si="513"/>
        <v>2342.7048333333337</v>
      </c>
      <c r="BK102" s="295">
        <f>SUM($AY$102:AY102)</f>
        <v>2342.7048333333337</v>
      </c>
      <c r="BL102" s="295">
        <f>SUM($AY$102:AZ102)</f>
        <v>4685.4096666666674</v>
      </c>
      <c r="BM102" s="295">
        <f>SUM($AY$102:BA102)</f>
        <v>7028.1145000000015</v>
      </c>
      <c r="BN102" s="295">
        <f>SUM($AY$102:BB102)</f>
        <v>9370.8193333333347</v>
      </c>
      <c r="BO102" s="295">
        <f>SUM($AY$102:BC102)</f>
        <v>11713.524166666668</v>
      </c>
      <c r="BP102" s="295">
        <f>SUM($AY$102:BD102)</f>
        <v>14056.229000000001</v>
      </c>
      <c r="BQ102" s="295">
        <f>SUM($AY$102:BE102)</f>
        <v>16398.933833333336</v>
      </c>
      <c r="BR102" s="295">
        <f>SUM($AY$102:BF102)</f>
        <v>18741.638666666669</v>
      </c>
      <c r="BS102" s="295">
        <f>SUM($AY$102:BG102)</f>
        <v>21084.343500000003</v>
      </c>
      <c r="BT102" s="295">
        <f>SUM($AY$102:BH102)</f>
        <v>23427.048333333336</v>
      </c>
      <c r="BU102" s="295">
        <f>SUM($AY$102:BI102)</f>
        <v>25769.753166666669</v>
      </c>
      <c r="BV102" s="295">
        <f>SUM($AY$102:BJ102)</f>
        <v>28112.458000000002</v>
      </c>
      <c r="BW102" s="291"/>
    </row>
    <row r="103" spans="1:75" outlineLevel="1" x14ac:dyDescent="0.25">
      <c r="A103" s="222">
        <v>8</v>
      </c>
      <c r="B103" s="233">
        <f>EEFFun!B572</f>
        <v>45041020</v>
      </c>
      <c r="C103" s="233" t="str">
        <f>EEFFun!C572</f>
        <v>OTROS IMPUESTO</v>
      </c>
      <c r="D103" s="257">
        <f>EEFFun!P572</f>
        <v>2223.36</v>
      </c>
      <c r="E103" s="295">
        <f t="shared" si="520"/>
        <v>0</v>
      </c>
      <c r="F103" s="295">
        <f t="shared" si="521"/>
        <v>0</v>
      </c>
      <c r="G103" s="295">
        <f t="shared" si="522"/>
        <v>15.3</v>
      </c>
      <c r="H103" s="295">
        <f t="shared" si="523"/>
        <v>0</v>
      </c>
      <c r="I103" s="295">
        <f t="shared" si="524"/>
        <v>0</v>
      </c>
      <c r="J103" s="295">
        <f t="shared" si="525"/>
        <v>549.06000000000006</v>
      </c>
      <c r="K103" s="295">
        <f t="shared" si="526"/>
        <v>0</v>
      </c>
      <c r="L103" s="295">
        <f t="shared" si="527"/>
        <v>0</v>
      </c>
      <c r="M103" s="295">
        <f t="shared" si="528"/>
        <v>1130.04</v>
      </c>
      <c r="N103" s="295">
        <f t="shared" si="529"/>
        <v>0</v>
      </c>
      <c r="O103" s="295">
        <f t="shared" si="530"/>
        <v>0</v>
      </c>
      <c r="P103" s="295">
        <f t="shared" si="530"/>
        <v>535.5</v>
      </c>
      <c r="Q103" s="257">
        <f>EEFFun!Q572</f>
        <v>0</v>
      </c>
      <c r="R103" s="257">
        <f>EEFFun!R572</f>
        <v>0</v>
      </c>
      <c r="S103" s="257">
        <f>EEFFun!S572</f>
        <v>15.3</v>
      </c>
      <c r="T103" s="257">
        <f>EEFFun!T572</f>
        <v>15.3</v>
      </c>
      <c r="U103" s="257">
        <f>EEFFun!U572</f>
        <v>15.3</v>
      </c>
      <c r="V103" s="257">
        <f>EEFFun!V572</f>
        <v>564.36</v>
      </c>
      <c r="W103" s="257">
        <f>EEFFun!W572</f>
        <v>564.36</v>
      </c>
      <c r="X103" s="257">
        <f>EEFFun!X572</f>
        <v>564.36</v>
      </c>
      <c r="Y103" s="257">
        <f>EEFFun!Y572</f>
        <v>1694.4</v>
      </c>
      <c r="Z103" s="257">
        <f>EEFFun!Z572</f>
        <v>1694.4</v>
      </c>
      <c r="AA103" s="257">
        <f>EEFFun!AA572</f>
        <v>1694.4</v>
      </c>
      <c r="AB103" s="257">
        <f>EEFFun!AB572</f>
        <v>2229.9</v>
      </c>
      <c r="AC103" s="257">
        <f>EEFFun!AC572</f>
        <v>0</v>
      </c>
      <c r="AD103" s="257">
        <f>EEFFun!AD572</f>
        <v>0</v>
      </c>
      <c r="AE103" s="257">
        <f>EEFFun!AE572</f>
        <v>0</v>
      </c>
      <c r="AF103" s="257">
        <f>EEFFun!AF572</f>
        <v>0</v>
      </c>
      <c r="AG103" s="257">
        <f>EEFFun!AG572</f>
        <v>0</v>
      </c>
      <c r="AH103" s="257">
        <f>EEFFun!AH572</f>
        <v>0</v>
      </c>
      <c r="AI103" s="257">
        <f>EEFFun!AI572</f>
        <v>0</v>
      </c>
      <c r="AJ103" s="257">
        <f>EEFFun!AJ572</f>
        <v>1186.8800000000001</v>
      </c>
      <c r="AK103" s="257">
        <f>EEFFun!AK572</f>
        <v>1186.8800000000001</v>
      </c>
      <c r="AL103" s="257">
        <f>EEFFun!AL572</f>
        <v>2716.62</v>
      </c>
      <c r="AM103" s="257">
        <f>EEFFun!AM572</f>
        <v>2716.62</v>
      </c>
      <c r="AN103" s="257">
        <f>EEFFun!AN572</f>
        <v>3866.75</v>
      </c>
      <c r="AO103" s="257">
        <f>EEFFun!AO572</f>
        <v>0</v>
      </c>
      <c r="AP103" s="257">
        <f>EEFFun!AP572</f>
        <v>0</v>
      </c>
      <c r="AQ103" s="257">
        <f>EEFFun!AQ572</f>
        <v>0</v>
      </c>
      <c r="AR103" s="257">
        <f>EEFFun!AR572</f>
        <v>0</v>
      </c>
      <c r="AS103" s="257">
        <f>EEFFun!AS572</f>
        <v>0</v>
      </c>
      <c r="AT103" s="257">
        <f>EEFFun!AT572</f>
        <v>0</v>
      </c>
      <c r="AU103" s="257">
        <f>EEFFun!AU572</f>
        <v>0</v>
      </c>
      <c r="AV103" s="257">
        <f>EEFFun!AV572</f>
        <v>0</v>
      </c>
      <c r="AW103" s="257">
        <f>EEFFun!AW572</f>
        <v>0</v>
      </c>
      <c r="AX103" s="257">
        <f>EEFFun!AX572</f>
        <v>0</v>
      </c>
      <c r="AY103" s="295">
        <f t="shared" si="531"/>
        <v>354.45208333333335</v>
      </c>
      <c r="AZ103" s="295">
        <f t="shared" si="513"/>
        <v>354.45208333333335</v>
      </c>
      <c r="BA103" s="295">
        <f t="shared" si="513"/>
        <v>354.45208333333335</v>
      </c>
      <c r="BB103" s="295">
        <f t="shared" si="513"/>
        <v>354.45208333333335</v>
      </c>
      <c r="BC103" s="295">
        <f t="shared" si="513"/>
        <v>354.45208333333335</v>
      </c>
      <c r="BD103" s="295">
        <f t="shared" si="513"/>
        <v>354.45208333333335</v>
      </c>
      <c r="BE103" s="295">
        <f t="shared" si="513"/>
        <v>354.45208333333335</v>
      </c>
      <c r="BF103" s="295">
        <f t="shared" si="513"/>
        <v>354.45208333333335</v>
      </c>
      <c r="BG103" s="295">
        <f t="shared" si="513"/>
        <v>354.45208333333335</v>
      </c>
      <c r="BH103" s="295">
        <f t="shared" si="513"/>
        <v>354.45208333333335</v>
      </c>
      <c r="BI103" s="295">
        <f t="shared" si="513"/>
        <v>354.45208333333335</v>
      </c>
      <c r="BJ103" s="295">
        <f t="shared" si="513"/>
        <v>354.45208333333335</v>
      </c>
      <c r="BK103" s="295">
        <f>SUM($AY$103:AY103)</f>
        <v>354.45208333333335</v>
      </c>
      <c r="BL103" s="295">
        <f>SUM($AY$103:AZ103)</f>
        <v>708.9041666666667</v>
      </c>
      <c r="BM103" s="295">
        <f>SUM($AY$103:BA103)</f>
        <v>1063.35625</v>
      </c>
      <c r="BN103" s="295">
        <f>SUM($AY$103:BB103)</f>
        <v>1417.8083333333334</v>
      </c>
      <c r="BO103" s="295">
        <f>SUM($AY$103:BC103)</f>
        <v>1772.2604166666667</v>
      </c>
      <c r="BP103" s="295">
        <f>SUM($AY$103:BD103)</f>
        <v>2126.7125000000001</v>
      </c>
      <c r="BQ103" s="295">
        <f>SUM($AY$103:BE103)</f>
        <v>2481.1645833333332</v>
      </c>
      <c r="BR103" s="295">
        <f>SUM($AY$103:BF103)</f>
        <v>2835.6166666666668</v>
      </c>
      <c r="BS103" s="295">
        <f>SUM($AY$103:BG103)</f>
        <v>3190.0687500000004</v>
      </c>
      <c r="BT103" s="295">
        <f>SUM($AY$103:BH103)</f>
        <v>3544.5208333333339</v>
      </c>
      <c r="BU103" s="295">
        <f>SUM($AY$103:BI103)</f>
        <v>3898.9729166666675</v>
      </c>
      <c r="BV103" s="295">
        <f>SUM($AY$103:BJ103)</f>
        <v>4253.4250000000011</v>
      </c>
      <c r="BW103" s="291"/>
    </row>
    <row r="104" spans="1:75" outlineLevel="1" x14ac:dyDescent="0.25">
      <c r="A104" s="222">
        <v>6</v>
      </c>
      <c r="B104" s="233">
        <f>EEFFun!B573</f>
        <v>450415</v>
      </c>
      <c r="C104" s="233" t="str">
        <f>EEFFun!C573</f>
        <v>Aportes a la Superintendencia de Bancos</v>
      </c>
      <c r="D104" s="257">
        <f>EEFFun!P573</f>
        <v>7157.76</v>
      </c>
      <c r="E104" s="295">
        <f t="shared" si="520"/>
        <v>694.56</v>
      </c>
      <c r="F104" s="295">
        <f t="shared" si="521"/>
        <v>694.56</v>
      </c>
      <c r="G104" s="295">
        <f t="shared" si="522"/>
        <v>694.56</v>
      </c>
      <c r="H104" s="295">
        <f t="shared" si="523"/>
        <v>0</v>
      </c>
      <c r="I104" s="295">
        <f t="shared" si="524"/>
        <v>1389.1200000000003</v>
      </c>
      <c r="J104" s="295">
        <f t="shared" si="525"/>
        <v>694.56999999999971</v>
      </c>
      <c r="K104" s="295">
        <f t="shared" si="526"/>
        <v>684.77000000000044</v>
      </c>
      <c r="L104" s="295">
        <f t="shared" si="527"/>
        <v>684.76999999999953</v>
      </c>
      <c r="M104" s="295">
        <f t="shared" si="528"/>
        <v>684.77000000000044</v>
      </c>
      <c r="N104" s="295">
        <f t="shared" si="529"/>
        <v>684.76999999999953</v>
      </c>
      <c r="O104" s="295">
        <f t="shared" si="530"/>
        <v>0</v>
      </c>
      <c r="P104" s="295">
        <f t="shared" si="530"/>
        <v>1369.5299999999997</v>
      </c>
      <c r="Q104" s="257">
        <f>EEFFun!Q573</f>
        <v>694.56</v>
      </c>
      <c r="R104" s="257">
        <f>EEFFun!R573</f>
        <v>1389.12</v>
      </c>
      <c r="S104" s="257">
        <f>EEFFun!S573</f>
        <v>2083.6799999999998</v>
      </c>
      <c r="T104" s="257">
        <f>EEFFun!T573</f>
        <v>2083.6799999999998</v>
      </c>
      <c r="U104" s="257">
        <f>EEFFun!U573</f>
        <v>3472.8</v>
      </c>
      <c r="V104" s="257">
        <f>EEFFun!V573</f>
        <v>4167.37</v>
      </c>
      <c r="W104" s="257">
        <f>EEFFun!W573</f>
        <v>4852.1400000000003</v>
      </c>
      <c r="X104" s="257">
        <f>EEFFun!X573</f>
        <v>5536.91</v>
      </c>
      <c r="Y104" s="257">
        <f>EEFFun!Y573</f>
        <v>6221.68</v>
      </c>
      <c r="Z104" s="257">
        <f>EEFFun!Z573</f>
        <v>6906.45</v>
      </c>
      <c r="AA104" s="257">
        <f>EEFFun!AA573</f>
        <v>6906.45</v>
      </c>
      <c r="AB104" s="257">
        <f>EEFFun!AB573</f>
        <v>8275.98</v>
      </c>
      <c r="AC104" s="257">
        <f>EEFFun!AC573</f>
        <v>643.61</v>
      </c>
      <c r="AD104" s="257">
        <f>EEFFun!AD573</f>
        <v>1287.22</v>
      </c>
      <c r="AE104" s="257">
        <f>EEFFun!AE573</f>
        <v>1930.83</v>
      </c>
      <c r="AF104" s="257">
        <f>EEFFun!AF573</f>
        <v>2574.44</v>
      </c>
      <c r="AG104" s="257">
        <f>EEFFun!AG573</f>
        <v>3218.05</v>
      </c>
      <c r="AH104" s="257">
        <f>EEFFun!AH573</f>
        <v>3218.05</v>
      </c>
      <c r="AI104" s="257">
        <f>EEFFun!AI573</f>
        <v>4533.49</v>
      </c>
      <c r="AJ104" s="257">
        <f>EEFFun!AJ573</f>
        <v>5205.34</v>
      </c>
      <c r="AK104" s="257">
        <f>EEFFun!AK573</f>
        <v>5877.19</v>
      </c>
      <c r="AL104" s="257">
        <f>EEFFun!AL573</f>
        <v>6549.04</v>
      </c>
      <c r="AM104" s="257">
        <f>EEFFun!AM573</f>
        <v>8524.73</v>
      </c>
      <c r="AN104" s="257">
        <f>EEFFun!AN573</f>
        <v>9196.5499999999993</v>
      </c>
      <c r="AO104" s="257">
        <f>EEFFun!AO573</f>
        <v>818.35</v>
      </c>
      <c r="AP104" s="257">
        <f>EEFFun!AP573</f>
        <v>1636.7</v>
      </c>
      <c r="AQ104" s="257">
        <f>EEFFun!AQ573</f>
        <v>2455.0500000000002</v>
      </c>
      <c r="AR104" s="257">
        <f>EEFFun!AR573</f>
        <v>3273.4</v>
      </c>
      <c r="AS104" s="257">
        <f>EEFFun!AS573</f>
        <v>4091.75</v>
      </c>
      <c r="AT104" s="257">
        <f>EEFFun!AT573</f>
        <v>4910.12</v>
      </c>
      <c r="AU104" s="257">
        <f>EEFFun!AU573</f>
        <v>5901.84</v>
      </c>
      <c r="AV104" s="257">
        <f>EEFFun!AV573</f>
        <v>6893.56</v>
      </c>
      <c r="AW104" s="257">
        <f>EEFFun!AW573</f>
        <v>7885.28</v>
      </c>
      <c r="AX104" s="257">
        <f>EEFFun!AX573</f>
        <v>8877</v>
      </c>
      <c r="AY104" s="295">
        <f>+AX104/10</f>
        <v>887.7</v>
      </c>
      <c r="AZ104" s="295">
        <f t="shared" si="513"/>
        <v>887.7</v>
      </c>
      <c r="BA104" s="295">
        <f t="shared" si="513"/>
        <v>887.7</v>
      </c>
      <c r="BB104" s="295">
        <f t="shared" si="513"/>
        <v>887.7</v>
      </c>
      <c r="BC104" s="295">
        <f t="shared" si="513"/>
        <v>887.7</v>
      </c>
      <c r="BD104" s="295">
        <f t="shared" si="513"/>
        <v>887.7</v>
      </c>
      <c r="BE104" s="295">
        <f t="shared" si="513"/>
        <v>887.7</v>
      </c>
      <c r="BF104" s="295">
        <f t="shared" si="513"/>
        <v>887.7</v>
      </c>
      <c r="BG104" s="295">
        <f t="shared" si="513"/>
        <v>887.7</v>
      </c>
      <c r="BH104" s="295">
        <f t="shared" si="513"/>
        <v>887.7</v>
      </c>
      <c r="BI104" s="295">
        <f t="shared" si="513"/>
        <v>887.7</v>
      </c>
      <c r="BJ104" s="295">
        <f t="shared" si="513"/>
        <v>887.7</v>
      </c>
      <c r="BK104" s="295">
        <f>SUM($AY$104:AY104)</f>
        <v>887.7</v>
      </c>
      <c r="BL104" s="295">
        <f>SUM($AY$104:AZ104)</f>
        <v>1775.4</v>
      </c>
      <c r="BM104" s="295">
        <f>SUM($AY$104:BA104)</f>
        <v>2663.1000000000004</v>
      </c>
      <c r="BN104" s="295">
        <f>SUM($AY$104:BB104)</f>
        <v>3550.8</v>
      </c>
      <c r="BO104" s="295">
        <f>SUM($AY$104:BC104)</f>
        <v>4438.5</v>
      </c>
      <c r="BP104" s="295">
        <f>SUM($AY$104:BD104)</f>
        <v>5326.2</v>
      </c>
      <c r="BQ104" s="295">
        <f>SUM($AY$104:BE104)</f>
        <v>6213.9</v>
      </c>
      <c r="BR104" s="295">
        <f>SUM($AY$104:BF104)</f>
        <v>7101.5999999999995</v>
      </c>
      <c r="BS104" s="295">
        <f>SUM($AY$104:BG104)</f>
        <v>7989.2999999999993</v>
      </c>
      <c r="BT104" s="295">
        <f>SUM($AY$104:BH104)</f>
        <v>8877</v>
      </c>
      <c r="BU104" s="295">
        <f>SUM($AY$104:BI104)</f>
        <v>9764.7000000000007</v>
      </c>
      <c r="BV104" s="295">
        <f>SUM($AY$104:BJ104)</f>
        <v>10652.400000000001</v>
      </c>
      <c r="BW104" s="291"/>
    </row>
    <row r="105" spans="1:75" s="229" customFormat="1" outlineLevel="1" x14ac:dyDescent="0.25">
      <c r="A105" s="239">
        <v>6</v>
      </c>
      <c r="B105" s="233">
        <f>EEFFun!B574</f>
        <v>450420</v>
      </c>
      <c r="C105" s="233" t="str">
        <f>EEFFun!C574</f>
        <v>APORTES AL COSEDE POR PRIMA FINA</v>
      </c>
      <c r="D105" s="257">
        <f>EEFFun!P574</f>
        <v>136633.78</v>
      </c>
      <c r="E105" s="295">
        <f t="shared" si="520"/>
        <v>1676.84</v>
      </c>
      <c r="F105" s="295">
        <f t="shared" si="521"/>
        <v>1645.8799999999999</v>
      </c>
      <c r="G105" s="295">
        <f t="shared" si="522"/>
        <v>1628.1300000000006</v>
      </c>
      <c r="H105" s="295">
        <f t="shared" si="523"/>
        <v>1616.4699999999993</v>
      </c>
      <c r="I105" s="295">
        <f t="shared" si="524"/>
        <v>1593.6900000000005</v>
      </c>
      <c r="J105" s="295">
        <f t="shared" si="525"/>
        <v>1549.5599999999995</v>
      </c>
      <c r="K105" s="295">
        <f t="shared" si="526"/>
        <v>1504.4099999999999</v>
      </c>
      <c r="L105" s="295">
        <f t="shared" si="527"/>
        <v>1481.880000000001</v>
      </c>
      <c r="M105" s="295">
        <f t="shared" si="528"/>
        <v>1465.42</v>
      </c>
      <c r="N105" s="295">
        <f t="shared" si="529"/>
        <v>1432.8199999999997</v>
      </c>
      <c r="O105" s="295">
        <f t="shared" si="530"/>
        <v>1470.3199999999979</v>
      </c>
      <c r="P105" s="295">
        <f t="shared" si="530"/>
        <v>1486.760000000002</v>
      </c>
      <c r="Q105" s="257">
        <f>EEFFun!Q574</f>
        <v>1676.84</v>
      </c>
      <c r="R105" s="257">
        <f>EEFFun!R574</f>
        <v>3322.72</v>
      </c>
      <c r="S105" s="257">
        <f>EEFFun!S574</f>
        <v>4950.8500000000004</v>
      </c>
      <c r="T105" s="257">
        <f>EEFFun!T574</f>
        <v>6567.32</v>
      </c>
      <c r="U105" s="257">
        <f>EEFFun!U574</f>
        <v>8161.01</v>
      </c>
      <c r="V105" s="257">
        <f>EEFFun!V574</f>
        <v>9710.57</v>
      </c>
      <c r="W105" s="257">
        <f>EEFFun!W574</f>
        <v>11214.98</v>
      </c>
      <c r="X105" s="257">
        <f>EEFFun!X574</f>
        <v>12696.86</v>
      </c>
      <c r="Y105" s="257">
        <f>EEFFun!Y574</f>
        <v>14162.28</v>
      </c>
      <c r="Z105" s="257">
        <f>EEFFun!Z574</f>
        <v>15595.1</v>
      </c>
      <c r="AA105" s="257">
        <f>EEFFun!AA574</f>
        <v>17065.419999999998</v>
      </c>
      <c r="AB105" s="257">
        <f>EEFFun!AB574</f>
        <v>18552.18</v>
      </c>
      <c r="AC105" s="257">
        <f>EEFFun!AC574</f>
        <v>1481.69</v>
      </c>
      <c r="AD105" s="257">
        <f>EEFFun!AD574</f>
        <v>2967.85</v>
      </c>
      <c r="AE105" s="257">
        <f>EEFFun!AE574</f>
        <v>4445.9399999999996</v>
      </c>
      <c r="AF105" s="257">
        <f>EEFFun!AF574</f>
        <v>5929.56</v>
      </c>
      <c r="AG105" s="257">
        <f>EEFFun!AG574</f>
        <v>7427.66</v>
      </c>
      <c r="AH105" s="257">
        <f>EEFFun!AH574</f>
        <v>8972.4</v>
      </c>
      <c r="AI105" s="257">
        <f>EEFFun!AI574</f>
        <v>10692.67</v>
      </c>
      <c r="AJ105" s="257">
        <f>EEFFun!AJ574</f>
        <v>12202.07</v>
      </c>
      <c r="AK105" s="257">
        <f>EEFFun!AK574</f>
        <v>13853.39</v>
      </c>
      <c r="AL105" s="257">
        <f>EEFFun!AL574</f>
        <v>15495.7</v>
      </c>
      <c r="AM105" s="257">
        <f>EEFFun!AM574</f>
        <v>17188.78</v>
      </c>
      <c r="AN105" s="257">
        <f>EEFFun!AN574</f>
        <v>18942.330000000002</v>
      </c>
      <c r="AO105" s="257">
        <f>EEFFun!AO574</f>
        <v>2674.44</v>
      </c>
      <c r="AP105" s="257">
        <f>EEFFun!AP574</f>
        <v>5480.19</v>
      </c>
      <c r="AQ105" s="257">
        <f>EEFFun!AQ574</f>
        <v>8425.7199999999993</v>
      </c>
      <c r="AR105" s="257">
        <f>EEFFun!AR574</f>
        <v>11592.35</v>
      </c>
      <c r="AS105" s="257">
        <f>EEFFun!AS574</f>
        <v>14680.99</v>
      </c>
      <c r="AT105" s="257">
        <f>EEFFun!AT574</f>
        <v>18004.919999999998</v>
      </c>
      <c r="AU105" s="257">
        <f>EEFFun!AU574</f>
        <v>21474.71</v>
      </c>
      <c r="AV105" s="257">
        <f>EEFFun!AV574</f>
        <v>25168.55</v>
      </c>
      <c r="AW105" s="257">
        <f>EEFFun!AW574</f>
        <v>29048.21</v>
      </c>
      <c r="AX105" s="257">
        <f>EEFFun!AX574</f>
        <v>33048.82</v>
      </c>
      <c r="AY105" s="295">
        <f>+AX105/10</f>
        <v>3304.8820000000001</v>
      </c>
      <c r="AZ105" s="295">
        <f t="shared" si="513"/>
        <v>3304.8820000000001</v>
      </c>
      <c r="BA105" s="295">
        <f t="shared" si="513"/>
        <v>3304.8820000000001</v>
      </c>
      <c r="BB105" s="295">
        <f t="shared" si="513"/>
        <v>3304.8820000000001</v>
      </c>
      <c r="BC105" s="295">
        <f t="shared" si="513"/>
        <v>3304.8820000000001</v>
      </c>
      <c r="BD105" s="295">
        <f t="shared" si="513"/>
        <v>3304.8820000000001</v>
      </c>
      <c r="BE105" s="295">
        <f t="shared" si="513"/>
        <v>3304.8820000000001</v>
      </c>
      <c r="BF105" s="295">
        <f t="shared" si="513"/>
        <v>3304.8820000000001</v>
      </c>
      <c r="BG105" s="295">
        <f t="shared" si="513"/>
        <v>3304.8820000000001</v>
      </c>
      <c r="BH105" s="295">
        <f t="shared" si="513"/>
        <v>3304.8820000000001</v>
      </c>
      <c r="BI105" s="295">
        <f t="shared" si="513"/>
        <v>3304.8820000000001</v>
      </c>
      <c r="BJ105" s="295">
        <f t="shared" si="513"/>
        <v>3304.8820000000001</v>
      </c>
      <c r="BK105" s="295">
        <f>SUM($AY$105:AY105)</f>
        <v>3304.8820000000001</v>
      </c>
      <c r="BL105" s="295">
        <f>SUM($AY$105:AZ105)</f>
        <v>6609.7640000000001</v>
      </c>
      <c r="BM105" s="295">
        <f>SUM($AY$105:BA105)</f>
        <v>9914.6460000000006</v>
      </c>
      <c r="BN105" s="295">
        <f>SUM($AY$105:BB105)</f>
        <v>13219.528</v>
      </c>
      <c r="BO105" s="295">
        <f>SUM($AY$105:BC105)</f>
        <v>16524.41</v>
      </c>
      <c r="BP105" s="295">
        <f>SUM($AY$105:BD105)</f>
        <v>19829.292000000001</v>
      </c>
      <c r="BQ105" s="295">
        <f>SUM($AY$105:BE105)</f>
        <v>23134.174000000003</v>
      </c>
      <c r="BR105" s="295">
        <f>SUM($AY$105:BF105)</f>
        <v>26439.056000000004</v>
      </c>
      <c r="BS105" s="295">
        <f>SUM($AY$105:BG105)</f>
        <v>29743.938000000006</v>
      </c>
      <c r="BT105" s="295">
        <f>SUM($AY$105:BH105)</f>
        <v>33048.820000000007</v>
      </c>
      <c r="BU105" s="295">
        <f>SUM($AY$105:BI105)</f>
        <v>36353.702000000005</v>
      </c>
      <c r="BV105" s="295">
        <f>SUM($AY$105:BJ105)</f>
        <v>39658.584000000003</v>
      </c>
      <c r="BW105" s="284"/>
    </row>
    <row r="106" spans="1:75" outlineLevel="1" x14ac:dyDescent="0.25">
      <c r="A106" s="222">
        <v>6</v>
      </c>
      <c r="B106" s="233">
        <f>EEFFun!B575</f>
        <v>450421</v>
      </c>
      <c r="C106" s="233" t="str">
        <f>EEFFun!C575</f>
        <v>APORTES AL COSEDE POR PRIMA AJUSTADA</v>
      </c>
      <c r="D106" s="257">
        <f>EEFFun!P575</f>
        <v>15071.26</v>
      </c>
      <c r="E106" s="295">
        <f t="shared" si="520"/>
        <v>1397.36</v>
      </c>
      <c r="F106" s="295">
        <f t="shared" si="521"/>
        <v>1371.57</v>
      </c>
      <c r="G106" s="295">
        <f t="shared" si="522"/>
        <v>1356.7800000000002</v>
      </c>
      <c r="H106" s="295">
        <f t="shared" si="523"/>
        <v>1346.96</v>
      </c>
      <c r="I106" s="295">
        <f t="shared" si="524"/>
        <v>1328.1599999999999</v>
      </c>
      <c r="J106" s="295">
        <f t="shared" si="525"/>
        <v>1291.29</v>
      </c>
      <c r="K106" s="295">
        <f t="shared" si="526"/>
        <v>1253.6799999999994</v>
      </c>
      <c r="L106" s="295">
        <f t="shared" si="527"/>
        <v>1234.9099999999999</v>
      </c>
      <c r="M106" s="295">
        <f t="shared" si="528"/>
        <v>1221.2000000000007</v>
      </c>
      <c r="N106" s="295">
        <f t="shared" si="529"/>
        <v>1194.0200000000004</v>
      </c>
      <c r="O106" s="295">
        <f t="shared" si="530"/>
        <v>1225.2600000000002</v>
      </c>
      <c r="P106" s="295">
        <f t="shared" si="530"/>
        <v>1238.9699999999993</v>
      </c>
      <c r="Q106" s="257">
        <f>EEFFun!Q575</f>
        <v>1397.36</v>
      </c>
      <c r="R106" s="257">
        <f>EEFFun!R575</f>
        <v>2768.93</v>
      </c>
      <c r="S106" s="257">
        <f>EEFFun!S575</f>
        <v>4125.71</v>
      </c>
      <c r="T106" s="257">
        <f>EEFFun!T575</f>
        <v>5472.67</v>
      </c>
      <c r="U106" s="257">
        <f>EEFFun!U575</f>
        <v>6800.83</v>
      </c>
      <c r="V106" s="257">
        <f>EEFFun!V575</f>
        <v>8092.12</v>
      </c>
      <c r="W106" s="257">
        <f>EEFFun!W575</f>
        <v>9345.7999999999993</v>
      </c>
      <c r="X106" s="257">
        <f>EEFFun!X575</f>
        <v>10580.71</v>
      </c>
      <c r="Y106" s="257">
        <f>EEFFun!Y575</f>
        <v>11801.91</v>
      </c>
      <c r="Z106" s="257">
        <f>EEFFun!Z575</f>
        <v>12995.93</v>
      </c>
      <c r="AA106" s="257">
        <f>EEFFun!AA575</f>
        <v>14221.19</v>
      </c>
      <c r="AB106" s="257">
        <f>EEFFun!AB575</f>
        <v>15460.16</v>
      </c>
      <c r="AC106" s="257">
        <f>EEFFun!AC575</f>
        <v>987.78</v>
      </c>
      <c r="AD106" s="257">
        <f>EEFFun!AD575</f>
        <v>1978.56</v>
      </c>
      <c r="AE106" s="257">
        <f>EEFFun!AE575</f>
        <v>2963.96</v>
      </c>
      <c r="AF106" s="257">
        <f>EEFFun!AF575</f>
        <v>3953.05</v>
      </c>
      <c r="AG106" s="257">
        <f>EEFFun!AG575</f>
        <v>5201.47</v>
      </c>
      <c r="AH106" s="257">
        <f>EEFFun!AH575</f>
        <v>6488.75</v>
      </c>
      <c r="AI106" s="257">
        <f>EEFFun!AI575</f>
        <v>7922.32</v>
      </c>
      <c r="AJ106" s="257">
        <f>EEFFun!AJ575</f>
        <v>8677.0300000000007</v>
      </c>
      <c r="AK106" s="257">
        <f>EEFFun!AK575</f>
        <v>9502.69</v>
      </c>
      <c r="AL106" s="257">
        <f>EEFFun!AL575</f>
        <v>10323.85</v>
      </c>
      <c r="AM106" s="257">
        <f>EEFFun!AM575</f>
        <v>11170.39</v>
      </c>
      <c r="AN106" s="257">
        <f>EEFFun!AN575</f>
        <v>12047.17</v>
      </c>
      <c r="AO106" s="257">
        <f>EEFFun!AO575</f>
        <v>891.47</v>
      </c>
      <c r="AP106" s="257">
        <f>EEFFun!AP575</f>
        <v>1826.72</v>
      </c>
      <c r="AQ106" s="257">
        <f>EEFFun!AQ575</f>
        <v>2808.55</v>
      </c>
      <c r="AR106" s="257">
        <f>EEFFun!AR575</f>
        <v>3864.09</v>
      </c>
      <c r="AS106" s="257">
        <f>EEFFun!AS575</f>
        <v>4893.63</v>
      </c>
      <c r="AT106" s="257">
        <f>EEFFun!AT575</f>
        <v>6001.61</v>
      </c>
      <c r="AU106" s="257">
        <f>EEFFun!AU575</f>
        <v>7158.2</v>
      </c>
      <c r="AV106" s="257">
        <f>EEFFun!AV575</f>
        <v>8389.49</v>
      </c>
      <c r="AW106" s="257">
        <f>EEFFun!AW575</f>
        <v>9682.7000000000007</v>
      </c>
      <c r="AX106" s="257">
        <f>EEFFun!AX575</f>
        <v>11016.23</v>
      </c>
      <c r="AY106" s="295">
        <f>+AX106/10</f>
        <v>1101.623</v>
      </c>
      <c r="AZ106" s="295">
        <f t="shared" si="513"/>
        <v>1101.623</v>
      </c>
      <c r="BA106" s="295">
        <f t="shared" si="513"/>
        <v>1101.623</v>
      </c>
      <c r="BB106" s="295">
        <f t="shared" si="513"/>
        <v>1101.623</v>
      </c>
      <c r="BC106" s="295">
        <f t="shared" si="513"/>
        <v>1101.623</v>
      </c>
      <c r="BD106" s="295">
        <f t="shared" si="513"/>
        <v>1101.623</v>
      </c>
      <c r="BE106" s="295">
        <f t="shared" si="513"/>
        <v>1101.623</v>
      </c>
      <c r="BF106" s="295">
        <f t="shared" si="513"/>
        <v>1101.623</v>
      </c>
      <c r="BG106" s="295">
        <f t="shared" si="513"/>
        <v>1101.623</v>
      </c>
      <c r="BH106" s="295">
        <f t="shared" si="513"/>
        <v>1101.623</v>
      </c>
      <c r="BI106" s="295">
        <f t="shared" si="513"/>
        <v>1101.623</v>
      </c>
      <c r="BJ106" s="295">
        <f t="shared" si="513"/>
        <v>1101.623</v>
      </c>
      <c r="BK106" s="295">
        <f>SUM($AY$106:AY106)</f>
        <v>1101.623</v>
      </c>
      <c r="BL106" s="295">
        <f>SUM($AY$106:AZ106)</f>
        <v>2203.2460000000001</v>
      </c>
      <c r="BM106" s="295">
        <f>SUM($AY$106:BA106)</f>
        <v>3304.8690000000001</v>
      </c>
      <c r="BN106" s="295">
        <f>SUM($AY$106:BB106)</f>
        <v>4406.4920000000002</v>
      </c>
      <c r="BO106" s="295">
        <f>SUM($AY$106:BC106)</f>
        <v>5508.1149999999998</v>
      </c>
      <c r="BP106" s="295">
        <f>SUM($AY$106:BD106)</f>
        <v>6609.7379999999994</v>
      </c>
      <c r="BQ106" s="295">
        <f>SUM($AY$106:BE106)</f>
        <v>7711.360999999999</v>
      </c>
      <c r="BR106" s="295">
        <f>SUM($AY$106:BF106)</f>
        <v>8812.9839999999986</v>
      </c>
      <c r="BS106" s="295">
        <f>SUM($AY$106:BG106)</f>
        <v>9914.6069999999982</v>
      </c>
      <c r="BT106" s="295">
        <f>SUM($AY$106:BH106)</f>
        <v>11016.229999999998</v>
      </c>
      <c r="BU106" s="295">
        <f>SUM($AY$106:BI106)</f>
        <v>12117.852999999997</v>
      </c>
      <c r="BV106" s="295">
        <f>SUM($AY$106:BJ106)</f>
        <v>13219.475999999997</v>
      </c>
      <c r="BW106" s="291"/>
    </row>
    <row r="107" spans="1:75" outlineLevel="1" x14ac:dyDescent="0.25">
      <c r="A107" s="222">
        <v>6</v>
      </c>
      <c r="B107" s="233">
        <f>EEFFun!B576</f>
        <v>450430</v>
      </c>
      <c r="C107" s="233" t="str">
        <f>EEFFun!C576</f>
        <v>Multas y otras sanciones</v>
      </c>
      <c r="D107" s="257">
        <f>EEFFun!P576</f>
        <v>16.37</v>
      </c>
      <c r="E107" s="295">
        <f t="shared" si="520"/>
        <v>449.7</v>
      </c>
      <c r="F107" s="295">
        <f t="shared" si="521"/>
        <v>83.250000000000057</v>
      </c>
      <c r="G107" s="295">
        <f t="shared" si="522"/>
        <v>0</v>
      </c>
      <c r="H107" s="295">
        <f t="shared" si="523"/>
        <v>0</v>
      </c>
      <c r="I107" s="295">
        <f t="shared" si="524"/>
        <v>0</v>
      </c>
      <c r="J107" s="295">
        <f t="shared" si="525"/>
        <v>202.38</v>
      </c>
      <c r="K107" s="295">
        <f t="shared" si="526"/>
        <v>12.139999999999986</v>
      </c>
      <c r="L107" s="295">
        <f t="shared" si="527"/>
        <v>4.3899999999999864</v>
      </c>
      <c r="M107" s="295">
        <f t="shared" si="528"/>
        <v>12.230000000000018</v>
      </c>
      <c r="N107" s="295">
        <f t="shared" si="529"/>
        <v>83.469999999999914</v>
      </c>
      <c r="O107" s="295">
        <f t="shared" si="530"/>
        <v>0</v>
      </c>
      <c r="P107" s="295">
        <f t="shared" si="530"/>
        <v>0</v>
      </c>
      <c r="Q107" s="257">
        <f>EEFFun!Q576</f>
        <v>449.7</v>
      </c>
      <c r="R107" s="257">
        <f>EEFFun!R576</f>
        <v>532.95000000000005</v>
      </c>
      <c r="S107" s="257">
        <f>EEFFun!S576</f>
        <v>532.95000000000005</v>
      </c>
      <c r="T107" s="257">
        <f>EEFFun!T576</f>
        <v>532.95000000000005</v>
      </c>
      <c r="U107" s="257">
        <f>EEFFun!U576</f>
        <v>532.95000000000005</v>
      </c>
      <c r="V107" s="257">
        <f>EEFFun!V576</f>
        <v>735.33</v>
      </c>
      <c r="W107" s="257">
        <f>EEFFun!W576</f>
        <v>747.47</v>
      </c>
      <c r="X107" s="257">
        <f>EEFFun!X576</f>
        <v>751.86</v>
      </c>
      <c r="Y107" s="257">
        <f>EEFFun!Y576</f>
        <v>764.09</v>
      </c>
      <c r="Z107" s="257">
        <f>EEFFun!Z576</f>
        <v>847.56</v>
      </c>
      <c r="AA107" s="257">
        <f>EEFFun!AA576</f>
        <v>847.56</v>
      </c>
      <c r="AB107" s="257">
        <f>EEFFun!AB576</f>
        <v>847.56</v>
      </c>
      <c r="AC107" s="257">
        <f>EEFFun!AC576</f>
        <v>0</v>
      </c>
      <c r="AD107" s="257">
        <f>EEFFun!AD576</f>
        <v>0</v>
      </c>
      <c r="AE107" s="257">
        <f>EEFFun!AE576</f>
        <v>0</v>
      </c>
      <c r="AF107" s="257">
        <f>EEFFun!AF576</f>
        <v>2.08</v>
      </c>
      <c r="AG107" s="257">
        <f>EEFFun!AG576</f>
        <v>2.08</v>
      </c>
      <c r="AH107" s="257">
        <f>EEFFun!AH576</f>
        <v>2.08</v>
      </c>
      <c r="AI107" s="257">
        <f>EEFFun!AI576</f>
        <v>2.08</v>
      </c>
      <c r="AJ107" s="257">
        <f>EEFFun!AJ576</f>
        <v>13502.08</v>
      </c>
      <c r="AK107" s="257">
        <f>EEFFun!AK576</f>
        <v>13502.08</v>
      </c>
      <c r="AL107" s="257">
        <f>EEFFun!AL576</f>
        <v>13502.08</v>
      </c>
      <c r="AM107" s="257">
        <f>EEFFun!AM576</f>
        <v>13502.08</v>
      </c>
      <c r="AN107" s="257">
        <f>EEFFun!AN576</f>
        <v>13502.08</v>
      </c>
      <c r="AO107" s="257">
        <f>EEFFun!AO576</f>
        <v>13800</v>
      </c>
      <c r="AP107" s="257">
        <f>EEFFun!AP576</f>
        <v>27600</v>
      </c>
      <c r="AQ107" s="257">
        <f>EEFFun!AQ576</f>
        <v>27600</v>
      </c>
      <c r="AR107" s="257">
        <f>EEFFun!AR576</f>
        <v>27600</v>
      </c>
      <c r="AS107" s="257">
        <f>EEFFun!AS576</f>
        <v>27613.26</v>
      </c>
      <c r="AT107" s="257">
        <f>EEFFun!AT576</f>
        <v>27613.26</v>
      </c>
      <c r="AU107" s="257">
        <f>EEFFun!AU576</f>
        <v>27613.26</v>
      </c>
      <c r="AV107" s="257">
        <f>EEFFun!AV576</f>
        <v>27632.89</v>
      </c>
      <c r="AW107" s="257">
        <f>EEFFun!AW576</f>
        <v>37696.26</v>
      </c>
      <c r="AX107" s="257">
        <f>EEFFun!AX576</f>
        <v>47800.2</v>
      </c>
      <c r="AY107" s="295">
        <f t="shared" si="531"/>
        <v>1237.6906666666666</v>
      </c>
      <c r="AZ107" s="295">
        <f t="shared" si="513"/>
        <v>1237.6906666666666</v>
      </c>
      <c r="BA107" s="295">
        <f t="shared" si="513"/>
        <v>1237.6906666666666</v>
      </c>
      <c r="BB107" s="295">
        <f t="shared" si="513"/>
        <v>1237.6906666666666</v>
      </c>
      <c r="BC107" s="295">
        <f t="shared" si="513"/>
        <v>1237.6906666666666</v>
      </c>
      <c r="BD107" s="295">
        <f t="shared" si="513"/>
        <v>1237.6906666666666</v>
      </c>
      <c r="BE107" s="295">
        <f t="shared" si="513"/>
        <v>1237.6906666666666</v>
      </c>
      <c r="BF107" s="295">
        <f t="shared" si="513"/>
        <v>1237.6906666666666</v>
      </c>
      <c r="BG107" s="295">
        <f t="shared" si="513"/>
        <v>1237.6906666666666</v>
      </c>
      <c r="BH107" s="295">
        <f t="shared" si="513"/>
        <v>1237.6906666666666</v>
      </c>
      <c r="BI107" s="295">
        <f t="shared" si="513"/>
        <v>1237.6906666666666</v>
      </c>
      <c r="BJ107" s="295">
        <f t="shared" si="513"/>
        <v>1237.6906666666666</v>
      </c>
      <c r="BK107" s="295">
        <f>SUM($AY$107:AY107)</f>
        <v>1237.6906666666666</v>
      </c>
      <c r="BL107" s="295">
        <f>SUM($AY$107:AZ107)</f>
        <v>2475.3813333333333</v>
      </c>
      <c r="BM107" s="295">
        <f>SUM($AY$107:BA107)</f>
        <v>3713.0720000000001</v>
      </c>
      <c r="BN107" s="295">
        <f>SUM($AY$107:BB107)</f>
        <v>4950.7626666666665</v>
      </c>
      <c r="BO107" s="295">
        <f>SUM($AY$107:BC107)</f>
        <v>6188.4533333333329</v>
      </c>
      <c r="BP107" s="295">
        <f>SUM($AY$107:BD107)</f>
        <v>7426.1439999999993</v>
      </c>
      <c r="BQ107" s="295">
        <f>SUM($AY$107:BE107)</f>
        <v>8663.8346666666657</v>
      </c>
      <c r="BR107" s="295">
        <f>SUM($AY$107:BF107)</f>
        <v>9901.525333333333</v>
      </c>
      <c r="BS107" s="295">
        <f>SUM($AY$107:BG107)</f>
        <v>11139.216</v>
      </c>
      <c r="BT107" s="295">
        <f>SUM($AY$107:BH107)</f>
        <v>12376.906666666668</v>
      </c>
      <c r="BU107" s="295">
        <f>SUM($AY$107:BI107)</f>
        <v>13614.597333333335</v>
      </c>
      <c r="BV107" s="295">
        <f>SUM($AY$107:BJ107)</f>
        <v>14852.288000000002</v>
      </c>
      <c r="BW107" s="291"/>
    </row>
    <row r="108" spans="1:75" outlineLevel="1" x14ac:dyDescent="0.25">
      <c r="A108" s="222">
        <v>6</v>
      </c>
      <c r="B108" s="233">
        <f>EEFFun!B577</f>
        <v>450490</v>
      </c>
      <c r="C108" s="233" t="str">
        <f>EEFFun!C577</f>
        <v>Impuestos y aportes para otros organismos e instit</v>
      </c>
      <c r="D108" s="257">
        <f>EEFFun!P577</f>
        <v>1422.63</v>
      </c>
      <c r="E108" s="295">
        <f t="shared" ref="E108" si="532">SUM(E109:E111)</f>
        <v>21.84</v>
      </c>
      <c r="F108" s="295">
        <f t="shared" ref="F108" si="533">SUM(F109:F111)</f>
        <v>21.95</v>
      </c>
      <c r="G108" s="295">
        <f t="shared" ref="G108" si="534">SUM(G109:G111)</f>
        <v>21.979999999999997</v>
      </c>
      <c r="H108" s="295">
        <f>SUM(H109:H112)</f>
        <v>21.980000000000004</v>
      </c>
      <c r="I108" s="295">
        <f t="shared" ref="I108:P108" si="535">SUM(I109:I112)</f>
        <v>21.980000000000004</v>
      </c>
      <c r="J108" s="295">
        <f t="shared" si="535"/>
        <v>2054.4</v>
      </c>
      <c r="K108" s="295">
        <f t="shared" si="535"/>
        <v>21.97999999999999</v>
      </c>
      <c r="L108" s="295">
        <f t="shared" si="535"/>
        <v>8905.0299999999988</v>
      </c>
      <c r="M108" s="295">
        <f t="shared" si="535"/>
        <v>21.980000000000018</v>
      </c>
      <c r="N108" s="295">
        <f t="shared" si="535"/>
        <v>21.97999999999999</v>
      </c>
      <c r="O108" s="295">
        <f t="shared" si="535"/>
        <v>674.77</v>
      </c>
      <c r="P108" s="295">
        <f t="shared" si="535"/>
        <v>2154.52</v>
      </c>
      <c r="Q108" s="257">
        <f>EEFFun!Q577</f>
        <v>21.84</v>
      </c>
      <c r="R108" s="257">
        <f>EEFFun!R577</f>
        <v>43.79</v>
      </c>
      <c r="S108" s="257">
        <f>EEFFun!S577</f>
        <v>65.77</v>
      </c>
      <c r="T108" s="257">
        <f>EEFFun!T577</f>
        <v>87.75</v>
      </c>
      <c r="U108" s="257">
        <f>EEFFun!U577</f>
        <v>109.73</v>
      </c>
      <c r="V108" s="257">
        <f>EEFFun!V577</f>
        <v>2164.13</v>
      </c>
      <c r="W108" s="257">
        <f>EEFFun!W577</f>
        <v>2186.11</v>
      </c>
      <c r="X108" s="257">
        <f>EEFFun!X577</f>
        <v>11091.14</v>
      </c>
      <c r="Y108" s="257">
        <f>EEFFun!Y577</f>
        <v>11113.12</v>
      </c>
      <c r="Z108" s="257">
        <f>EEFFun!Z577</f>
        <v>11135.1</v>
      </c>
      <c r="AA108" s="257">
        <f>EEFFun!AA577</f>
        <v>11809.87</v>
      </c>
      <c r="AB108" s="257">
        <f>EEFFun!AB577</f>
        <v>13964.39</v>
      </c>
      <c r="AC108" s="295">
        <f t="shared" ref="AC108:AH108" si="536">SUM(AC109:AC112)</f>
        <v>673.8900000000001</v>
      </c>
      <c r="AD108" s="295">
        <f t="shared" si="536"/>
        <v>696.08</v>
      </c>
      <c r="AE108" s="295">
        <f t="shared" si="536"/>
        <v>718.27</v>
      </c>
      <c r="AF108" s="295">
        <f t="shared" si="536"/>
        <v>1671.46</v>
      </c>
      <c r="AG108" s="295">
        <f t="shared" si="536"/>
        <v>2224.6000000000004</v>
      </c>
      <c r="AH108" s="295">
        <f t="shared" si="536"/>
        <v>2246.79</v>
      </c>
      <c r="AI108" s="295">
        <f t="shared" ref="AI108:BQ108" si="537">SUM(AI109:AI112)</f>
        <v>3199.9799999999996</v>
      </c>
      <c r="AJ108" s="295">
        <f t="shared" si="537"/>
        <v>3222.17</v>
      </c>
      <c r="AK108" s="295">
        <f t="shared" si="537"/>
        <v>3244.3599999999997</v>
      </c>
      <c r="AL108" s="295">
        <f t="shared" si="537"/>
        <v>4247.55</v>
      </c>
      <c r="AM108" s="295">
        <f t="shared" si="537"/>
        <v>4269.74</v>
      </c>
      <c r="AN108" s="295">
        <f t="shared" si="537"/>
        <v>5272.9299999999994</v>
      </c>
      <c r="AO108" s="295">
        <f t="shared" ref="AO108:AX108" si="538">SUM(AO109:AO112)</f>
        <v>22.19</v>
      </c>
      <c r="AP108" s="295">
        <f t="shared" si="538"/>
        <v>44.38</v>
      </c>
      <c r="AQ108" s="295">
        <f t="shared" si="538"/>
        <v>66.569999999999993</v>
      </c>
      <c r="AR108" s="295">
        <f t="shared" si="538"/>
        <v>88.76</v>
      </c>
      <c r="AS108" s="295">
        <f t="shared" si="538"/>
        <v>110.95</v>
      </c>
      <c r="AT108" s="295">
        <f t="shared" si="538"/>
        <v>133.13999999999999</v>
      </c>
      <c r="AU108" s="295">
        <f t="shared" si="538"/>
        <v>155.33000000000001</v>
      </c>
      <c r="AV108" s="295">
        <f t="shared" si="538"/>
        <v>177.52</v>
      </c>
      <c r="AW108" s="295">
        <f t="shared" si="538"/>
        <v>199.71</v>
      </c>
      <c r="AX108" s="295">
        <f t="shared" si="538"/>
        <v>221.9</v>
      </c>
      <c r="AY108" s="295">
        <f t="shared" ref="AY108" si="539">SUM(AY109:AY112)</f>
        <v>483.35191666666668</v>
      </c>
      <c r="AZ108" s="295">
        <f t="shared" si="513"/>
        <v>483.35191666666668</v>
      </c>
      <c r="BA108" s="295">
        <f t="shared" si="513"/>
        <v>483.35191666666668</v>
      </c>
      <c r="BB108" s="295">
        <f t="shared" si="513"/>
        <v>483.35191666666668</v>
      </c>
      <c r="BC108" s="295">
        <f t="shared" si="513"/>
        <v>483.35191666666668</v>
      </c>
      <c r="BD108" s="295">
        <f t="shared" si="513"/>
        <v>483.35191666666668</v>
      </c>
      <c r="BE108" s="295">
        <f t="shared" si="513"/>
        <v>483.35191666666668</v>
      </c>
      <c r="BF108" s="295">
        <f t="shared" si="513"/>
        <v>483.35191666666668</v>
      </c>
      <c r="BG108" s="295">
        <f t="shared" si="513"/>
        <v>483.35191666666668</v>
      </c>
      <c r="BH108" s="295">
        <f t="shared" si="513"/>
        <v>483.35191666666668</v>
      </c>
      <c r="BI108" s="295">
        <f t="shared" si="513"/>
        <v>483.35191666666668</v>
      </c>
      <c r="BJ108" s="295">
        <f t="shared" si="513"/>
        <v>483.35191666666668</v>
      </c>
      <c r="BK108" s="295">
        <f t="shared" si="537"/>
        <v>483.35191666666668</v>
      </c>
      <c r="BL108" s="295">
        <f t="shared" si="537"/>
        <v>966.70383333333336</v>
      </c>
      <c r="BM108" s="295">
        <f t="shared" si="537"/>
        <v>1450.0557500000002</v>
      </c>
      <c r="BN108" s="295">
        <f t="shared" si="537"/>
        <v>1933.4076666666667</v>
      </c>
      <c r="BO108" s="295">
        <f t="shared" si="537"/>
        <v>2416.7595833333335</v>
      </c>
      <c r="BP108" s="295">
        <f t="shared" si="537"/>
        <v>2900.1115000000004</v>
      </c>
      <c r="BQ108" s="295">
        <f t="shared" si="537"/>
        <v>3383.4634166666669</v>
      </c>
      <c r="BR108" s="295">
        <f t="shared" ref="BR108:BV108" si="540">SUM(BR109:BR112)</f>
        <v>3866.8153333333335</v>
      </c>
      <c r="BS108" s="295">
        <f t="shared" si="540"/>
        <v>4350.1672500000004</v>
      </c>
      <c r="BT108" s="295">
        <f t="shared" si="540"/>
        <v>4833.5191666666669</v>
      </c>
      <c r="BU108" s="295">
        <f t="shared" si="540"/>
        <v>5316.8710833333334</v>
      </c>
      <c r="BV108" s="295">
        <f t="shared" si="540"/>
        <v>5800.2230000000009</v>
      </c>
      <c r="BW108" s="291"/>
    </row>
    <row r="109" spans="1:75" s="229" customFormat="1" outlineLevel="1" x14ac:dyDescent="0.25">
      <c r="A109" s="239">
        <v>8</v>
      </c>
      <c r="B109" s="233">
        <f>EEFFun!B578</f>
        <v>45049005</v>
      </c>
      <c r="C109" s="233" t="str">
        <f>EEFFun!C578</f>
        <v>IMPUESTO ACTIVOS EN EL EXTERIOR</v>
      </c>
      <c r="D109" s="257">
        <f>EEFFun!P578</f>
        <v>388.07</v>
      </c>
      <c r="E109" s="295">
        <f t="shared" ref="E109:E111" si="541">Q109</f>
        <v>21.84</v>
      </c>
      <c r="F109" s="295">
        <f t="shared" ref="F109:F111" si="542">R109-Q109</f>
        <v>21.95</v>
      </c>
      <c r="G109" s="295">
        <f t="shared" ref="G109:G111" si="543">S109-R109</f>
        <v>21.979999999999997</v>
      </c>
      <c r="H109" s="295">
        <f t="shared" ref="H109:H111" si="544">T109-S109</f>
        <v>21.980000000000004</v>
      </c>
      <c r="I109" s="295">
        <f t="shared" ref="I109:I111" si="545">U109-T109</f>
        <v>21.980000000000004</v>
      </c>
      <c r="J109" s="295">
        <f t="shared" ref="J109:J111" si="546">V109-U109</f>
        <v>21.980000000000004</v>
      </c>
      <c r="K109" s="295">
        <f t="shared" ref="K109:K111" si="547">W109-V109</f>
        <v>21.97999999999999</v>
      </c>
      <c r="L109" s="295">
        <f t="shared" ref="L109:L111" si="548">X109-W109</f>
        <v>21.97999999999999</v>
      </c>
      <c r="M109" s="295">
        <f t="shared" ref="M109:M111" si="549">Y109-X109</f>
        <v>21.980000000000018</v>
      </c>
      <c r="N109" s="295">
        <f t="shared" ref="N109:N111" si="550">Z109-Y109</f>
        <v>21.97999999999999</v>
      </c>
      <c r="O109" s="295">
        <f t="shared" ref="O109:P111" si="551">AA109-Z109</f>
        <v>22.02000000000001</v>
      </c>
      <c r="P109" s="295">
        <f t="shared" si="551"/>
        <v>22.189999999999969</v>
      </c>
      <c r="Q109" s="257">
        <f>EEFFun!Q578</f>
        <v>21.84</v>
      </c>
      <c r="R109" s="257">
        <f>EEFFun!R578</f>
        <v>43.79</v>
      </c>
      <c r="S109" s="257">
        <f>EEFFun!S578</f>
        <v>65.77</v>
      </c>
      <c r="T109" s="257">
        <f>EEFFun!T578</f>
        <v>87.75</v>
      </c>
      <c r="U109" s="257">
        <f>EEFFun!U578</f>
        <v>109.73</v>
      </c>
      <c r="V109" s="257">
        <f>EEFFun!V578</f>
        <v>131.71</v>
      </c>
      <c r="W109" s="257">
        <f>EEFFun!W578</f>
        <v>153.69</v>
      </c>
      <c r="X109" s="257">
        <f>EEFFun!X578</f>
        <v>175.67</v>
      </c>
      <c r="Y109" s="257">
        <f>EEFFun!Y578</f>
        <v>197.65</v>
      </c>
      <c r="Z109" s="257">
        <f>EEFFun!Z578</f>
        <v>219.63</v>
      </c>
      <c r="AA109" s="257">
        <f>EEFFun!AA578</f>
        <v>241.65</v>
      </c>
      <c r="AB109" s="257">
        <f>EEFFun!AB578</f>
        <v>263.83999999999997</v>
      </c>
      <c r="AC109" s="257">
        <f>EEFFun!AC578</f>
        <v>22.19</v>
      </c>
      <c r="AD109" s="257">
        <f>EEFFun!AD578</f>
        <v>44.38</v>
      </c>
      <c r="AE109" s="257">
        <f>EEFFun!AE578</f>
        <v>66.569999999999993</v>
      </c>
      <c r="AF109" s="257">
        <f>EEFFun!AF578</f>
        <v>88.76</v>
      </c>
      <c r="AG109" s="257">
        <f>EEFFun!AG578</f>
        <v>110.95</v>
      </c>
      <c r="AH109" s="257">
        <f>EEFFun!AH578</f>
        <v>133.13999999999999</v>
      </c>
      <c r="AI109" s="257">
        <f>EEFFun!AI578</f>
        <v>155.33000000000001</v>
      </c>
      <c r="AJ109" s="257">
        <f>EEFFun!AJ578</f>
        <v>177.52</v>
      </c>
      <c r="AK109" s="257">
        <f>EEFFun!AK578</f>
        <v>199.71</v>
      </c>
      <c r="AL109" s="257">
        <f>EEFFun!AL578</f>
        <v>221.9</v>
      </c>
      <c r="AM109" s="257">
        <f>EEFFun!AM578</f>
        <v>244.09</v>
      </c>
      <c r="AN109" s="257">
        <f>EEFFun!AN578</f>
        <v>266.27999999999997</v>
      </c>
      <c r="AO109" s="257">
        <f>EEFFun!AO578</f>
        <v>22.19</v>
      </c>
      <c r="AP109" s="257">
        <f>EEFFun!AP578</f>
        <v>44.38</v>
      </c>
      <c r="AQ109" s="257">
        <f>EEFFun!AQ578</f>
        <v>66.569999999999993</v>
      </c>
      <c r="AR109" s="257">
        <f>EEFFun!AR578</f>
        <v>88.76</v>
      </c>
      <c r="AS109" s="257">
        <f>EEFFun!AS578</f>
        <v>110.95</v>
      </c>
      <c r="AT109" s="257">
        <f>EEFFun!AT578</f>
        <v>133.13999999999999</v>
      </c>
      <c r="AU109" s="257">
        <f>EEFFun!AU578</f>
        <v>155.33000000000001</v>
      </c>
      <c r="AV109" s="257">
        <f>EEFFun!AV578</f>
        <v>177.52</v>
      </c>
      <c r="AW109" s="257">
        <f>EEFFun!AW578</f>
        <v>199.71</v>
      </c>
      <c r="AX109" s="257">
        <f>EEFFun!AX578</f>
        <v>221.9</v>
      </c>
      <c r="AY109" s="295">
        <f>+AN109*1.1/12</f>
        <v>24.409000000000002</v>
      </c>
      <c r="AZ109" s="295">
        <f t="shared" si="513"/>
        <v>24.409000000000002</v>
      </c>
      <c r="BA109" s="295">
        <f t="shared" si="513"/>
        <v>24.409000000000002</v>
      </c>
      <c r="BB109" s="295">
        <f t="shared" si="513"/>
        <v>24.409000000000002</v>
      </c>
      <c r="BC109" s="295">
        <f t="shared" si="513"/>
        <v>24.409000000000002</v>
      </c>
      <c r="BD109" s="295">
        <f t="shared" si="513"/>
        <v>24.409000000000002</v>
      </c>
      <c r="BE109" s="295">
        <f t="shared" si="513"/>
        <v>24.409000000000002</v>
      </c>
      <c r="BF109" s="295">
        <f t="shared" si="513"/>
        <v>24.409000000000002</v>
      </c>
      <c r="BG109" s="295">
        <f t="shared" si="513"/>
        <v>24.409000000000002</v>
      </c>
      <c r="BH109" s="295">
        <f t="shared" si="513"/>
        <v>24.409000000000002</v>
      </c>
      <c r="BI109" s="295">
        <f t="shared" si="513"/>
        <v>24.409000000000002</v>
      </c>
      <c r="BJ109" s="295">
        <f t="shared" si="513"/>
        <v>24.409000000000002</v>
      </c>
      <c r="BK109" s="295">
        <f>SUM($AY$109:AY109)</f>
        <v>24.409000000000002</v>
      </c>
      <c r="BL109" s="295">
        <f>SUM($AY$109:AZ109)</f>
        <v>48.818000000000005</v>
      </c>
      <c r="BM109" s="295">
        <f>SUM($AY$109:BA109)</f>
        <v>73.227000000000004</v>
      </c>
      <c r="BN109" s="295">
        <f>SUM($AY$109:BB109)</f>
        <v>97.63600000000001</v>
      </c>
      <c r="BO109" s="295">
        <f>SUM($AY$109:BC109)</f>
        <v>122.04500000000002</v>
      </c>
      <c r="BP109" s="295">
        <f>SUM($AY$109:BD109)</f>
        <v>146.45400000000001</v>
      </c>
      <c r="BQ109" s="295">
        <f>SUM($AY$109:BE109)</f>
        <v>170.863</v>
      </c>
      <c r="BR109" s="295">
        <f>SUM($AY$109:BF109)</f>
        <v>195.27199999999999</v>
      </c>
      <c r="BS109" s="295">
        <f>SUM($AY$109:BG109)</f>
        <v>219.68099999999998</v>
      </c>
      <c r="BT109" s="295">
        <f>SUM($AY$109:BH109)</f>
        <v>244.08999999999997</v>
      </c>
      <c r="BU109" s="295">
        <f>SUM($AY$109:BI109)</f>
        <v>268.49899999999997</v>
      </c>
      <c r="BV109" s="295">
        <f>SUM($AY$109:BJ109)</f>
        <v>292.90799999999996</v>
      </c>
      <c r="BW109" s="284"/>
    </row>
    <row r="110" spans="1:75" outlineLevel="1" x14ac:dyDescent="0.25">
      <c r="A110" s="222">
        <v>8</v>
      </c>
      <c r="B110" s="233">
        <f>EEFFun!B579</f>
        <v>45049010</v>
      </c>
      <c r="C110" s="233" t="str">
        <f>EEFFun!C579</f>
        <v>IMPUESTO A LA SALIDA DE CAPTIALES</v>
      </c>
      <c r="D110" s="257">
        <f>EEFFun!P579</f>
        <v>1034.56</v>
      </c>
      <c r="E110" s="295">
        <f t="shared" si="541"/>
        <v>0</v>
      </c>
      <c r="F110" s="295">
        <f t="shared" si="542"/>
        <v>0</v>
      </c>
      <c r="G110" s="295">
        <f t="shared" si="543"/>
        <v>0</v>
      </c>
      <c r="H110" s="295">
        <f t="shared" si="544"/>
        <v>0</v>
      </c>
      <c r="I110" s="295">
        <f t="shared" si="545"/>
        <v>0</v>
      </c>
      <c r="J110" s="295">
        <f t="shared" si="546"/>
        <v>0</v>
      </c>
      <c r="K110" s="295">
        <f t="shared" si="547"/>
        <v>0</v>
      </c>
      <c r="L110" s="295">
        <f t="shared" si="548"/>
        <v>0</v>
      </c>
      <c r="M110" s="295">
        <f t="shared" si="549"/>
        <v>0</v>
      </c>
      <c r="N110" s="295">
        <f t="shared" si="550"/>
        <v>0</v>
      </c>
      <c r="O110" s="295">
        <f t="shared" si="551"/>
        <v>652.75</v>
      </c>
      <c r="P110" s="295">
        <f t="shared" si="551"/>
        <v>0</v>
      </c>
      <c r="Q110" s="257">
        <f>EEFFun!Q579</f>
        <v>0</v>
      </c>
      <c r="R110" s="257">
        <f>EEFFun!R579</f>
        <v>0</v>
      </c>
      <c r="S110" s="257">
        <f>EEFFun!S579</f>
        <v>0</v>
      </c>
      <c r="T110" s="257">
        <f>EEFFun!T579</f>
        <v>0</v>
      </c>
      <c r="U110" s="257">
        <f>EEFFun!U579</f>
        <v>0</v>
      </c>
      <c r="V110" s="257">
        <f>EEFFun!V579</f>
        <v>0</v>
      </c>
      <c r="W110" s="257">
        <f>EEFFun!W579</f>
        <v>0</v>
      </c>
      <c r="X110" s="257">
        <f>EEFFun!X579</f>
        <v>0</v>
      </c>
      <c r="Y110" s="257">
        <f>EEFFun!Y579</f>
        <v>0</v>
      </c>
      <c r="Z110" s="257">
        <f>EEFFun!Z579</f>
        <v>0</v>
      </c>
      <c r="AA110" s="257">
        <f>EEFFun!AA579</f>
        <v>652.75</v>
      </c>
      <c r="AB110" s="257">
        <f>EEFFun!AB579</f>
        <v>652.75</v>
      </c>
      <c r="AC110" s="257">
        <f>EEFFun!AC579</f>
        <v>651.70000000000005</v>
      </c>
      <c r="AD110" s="257">
        <f>EEFFun!AD579</f>
        <v>651.70000000000005</v>
      </c>
      <c r="AE110" s="257">
        <f>EEFFun!AE579</f>
        <v>651.70000000000005</v>
      </c>
      <c r="AF110" s="257">
        <f>EEFFun!AF579</f>
        <v>1582.7</v>
      </c>
      <c r="AG110" s="257">
        <f>EEFFun!AG579</f>
        <v>1582.7</v>
      </c>
      <c r="AH110" s="257">
        <f>EEFFun!AH579</f>
        <v>1582.7</v>
      </c>
      <c r="AI110" s="257">
        <f>EEFFun!AI579</f>
        <v>2513.6999999999998</v>
      </c>
      <c r="AJ110" s="257">
        <f>EEFFun!AJ579</f>
        <v>2513.6999999999998</v>
      </c>
      <c r="AK110" s="257">
        <f>EEFFun!AK579</f>
        <v>2513.6999999999998</v>
      </c>
      <c r="AL110" s="257">
        <f>EEFFun!AL579</f>
        <v>3494.7</v>
      </c>
      <c r="AM110" s="257">
        <f>EEFFun!AM579</f>
        <v>3494.7</v>
      </c>
      <c r="AN110" s="257">
        <f>EEFFun!AN579</f>
        <v>4475.7</v>
      </c>
      <c r="AO110" s="257">
        <f>EEFFun!AO579</f>
        <v>0</v>
      </c>
      <c r="AP110" s="257">
        <f>EEFFun!AP579</f>
        <v>0</v>
      </c>
      <c r="AQ110" s="257">
        <f>EEFFun!AQ579</f>
        <v>0</v>
      </c>
      <c r="AR110" s="257">
        <f>EEFFun!AR579</f>
        <v>0</v>
      </c>
      <c r="AS110" s="257">
        <f>EEFFun!AS579</f>
        <v>0</v>
      </c>
      <c r="AT110" s="257">
        <f>EEFFun!AT579</f>
        <v>0</v>
      </c>
      <c r="AU110" s="257">
        <f>EEFFun!AU579</f>
        <v>0</v>
      </c>
      <c r="AV110" s="257">
        <f>EEFFun!AV579</f>
        <v>0</v>
      </c>
      <c r="AW110" s="257">
        <f>EEFFun!AW579</f>
        <v>0</v>
      </c>
      <c r="AX110" s="257">
        <f>EEFFun!AX579</f>
        <v>0</v>
      </c>
      <c r="AY110" s="295">
        <f>+AN110*1.1/12</f>
        <v>410.27250000000004</v>
      </c>
      <c r="AZ110" s="295">
        <f t="shared" si="513"/>
        <v>410.27250000000004</v>
      </c>
      <c r="BA110" s="295">
        <f t="shared" si="513"/>
        <v>410.27250000000004</v>
      </c>
      <c r="BB110" s="295">
        <f t="shared" si="513"/>
        <v>410.27250000000004</v>
      </c>
      <c r="BC110" s="295">
        <f t="shared" si="513"/>
        <v>410.27250000000004</v>
      </c>
      <c r="BD110" s="295">
        <f t="shared" si="513"/>
        <v>410.27250000000004</v>
      </c>
      <c r="BE110" s="295">
        <f t="shared" si="513"/>
        <v>410.27250000000004</v>
      </c>
      <c r="BF110" s="295">
        <f t="shared" si="513"/>
        <v>410.27250000000004</v>
      </c>
      <c r="BG110" s="295">
        <f t="shared" si="513"/>
        <v>410.27250000000004</v>
      </c>
      <c r="BH110" s="295">
        <f t="shared" si="513"/>
        <v>410.27250000000004</v>
      </c>
      <c r="BI110" s="295">
        <f t="shared" si="513"/>
        <v>410.27250000000004</v>
      </c>
      <c r="BJ110" s="295">
        <f t="shared" si="513"/>
        <v>410.27250000000004</v>
      </c>
      <c r="BK110" s="295">
        <f>SUM($AY$110:AY110)</f>
        <v>410.27250000000004</v>
      </c>
      <c r="BL110" s="295">
        <f>SUM($AY$110:AZ110)</f>
        <v>820.54500000000007</v>
      </c>
      <c r="BM110" s="295">
        <f>SUM($AY$110:BA110)</f>
        <v>1230.8175000000001</v>
      </c>
      <c r="BN110" s="295">
        <f>SUM($AY$110:BB110)</f>
        <v>1641.0900000000001</v>
      </c>
      <c r="BO110" s="295">
        <f>SUM($AY$110:BC110)</f>
        <v>2051.3625000000002</v>
      </c>
      <c r="BP110" s="295">
        <f>SUM($AY$110:BD110)</f>
        <v>2461.6350000000002</v>
      </c>
      <c r="BQ110" s="295">
        <f>SUM($AY$110:BE110)</f>
        <v>2871.9075000000003</v>
      </c>
      <c r="BR110" s="295">
        <f>SUM($AY$110:BF110)</f>
        <v>3282.1800000000003</v>
      </c>
      <c r="BS110" s="295">
        <f>SUM($AY$110:BG110)</f>
        <v>3692.4525000000003</v>
      </c>
      <c r="BT110" s="295">
        <f>SUM($AY$110:BH110)</f>
        <v>4102.7250000000004</v>
      </c>
      <c r="BU110" s="295">
        <f>SUM($AY$110:BI110)</f>
        <v>4512.9975000000004</v>
      </c>
      <c r="BV110" s="295">
        <f>SUM($AY$110:BJ110)</f>
        <v>4923.2700000000004</v>
      </c>
      <c r="BW110" s="291"/>
    </row>
    <row r="111" spans="1:75" outlineLevel="1" x14ac:dyDescent="0.25">
      <c r="A111" s="222">
        <v>8</v>
      </c>
      <c r="B111" s="233">
        <f>EEFFun!B580</f>
        <v>45049015</v>
      </c>
      <c r="C111" s="233" t="str">
        <f>EEFFun!C580</f>
        <v>IMPUESTO A LA SALIDA DE CAPTIALES</v>
      </c>
      <c r="D111" s="257">
        <f>EEFFun!P580</f>
        <v>0</v>
      </c>
      <c r="E111" s="295">
        <f t="shared" si="541"/>
        <v>0</v>
      </c>
      <c r="F111" s="295">
        <f t="shared" si="542"/>
        <v>0</v>
      </c>
      <c r="G111" s="295">
        <f t="shared" si="543"/>
        <v>0</v>
      </c>
      <c r="H111" s="295">
        <f t="shared" si="544"/>
        <v>0</v>
      </c>
      <c r="I111" s="295">
        <f t="shared" si="545"/>
        <v>0</v>
      </c>
      <c r="J111" s="295">
        <f t="shared" si="546"/>
        <v>0</v>
      </c>
      <c r="K111" s="295">
        <f t="shared" si="547"/>
        <v>0</v>
      </c>
      <c r="L111" s="295">
        <f t="shared" si="548"/>
        <v>0</v>
      </c>
      <c r="M111" s="295">
        <f t="shared" si="549"/>
        <v>0</v>
      </c>
      <c r="N111" s="295">
        <f t="shared" si="550"/>
        <v>0</v>
      </c>
      <c r="O111" s="295">
        <f t="shared" si="551"/>
        <v>0</v>
      </c>
      <c r="P111" s="295">
        <f t="shared" si="551"/>
        <v>0</v>
      </c>
      <c r="Q111" s="257">
        <f>EEFFun!Q580</f>
        <v>0</v>
      </c>
      <c r="R111" s="257">
        <f>EEFFun!R580</f>
        <v>0</v>
      </c>
      <c r="S111" s="257">
        <f>EEFFun!S580</f>
        <v>0</v>
      </c>
      <c r="T111" s="257">
        <f>EEFFun!T580</f>
        <v>0</v>
      </c>
      <c r="U111" s="257">
        <f>EEFFun!U580</f>
        <v>0</v>
      </c>
      <c r="V111" s="257">
        <f>EEFFun!V580</f>
        <v>0</v>
      </c>
      <c r="W111" s="257">
        <f>EEFFun!W580</f>
        <v>0</v>
      </c>
      <c r="X111" s="257">
        <f>EEFFun!X580</f>
        <v>0</v>
      </c>
      <c r="Y111" s="257">
        <f>EEFFun!Y580</f>
        <v>0</v>
      </c>
      <c r="Z111" s="257">
        <f>EEFFun!Z580</f>
        <v>0</v>
      </c>
      <c r="AA111" s="257">
        <f>EEFFun!AA580</f>
        <v>0</v>
      </c>
      <c r="AB111" s="257">
        <f>EEFFun!AB580</f>
        <v>0</v>
      </c>
      <c r="AC111" s="257">
        <f>EEFFun!AC580</f>
        <v>0</v>
      </c>
      <c r="AD111" s="257">
        <f>EEFFun!AD580</f>
        <v>0</v>
      </c>
      <c r="AE111" s="257">
        <f>EEFFun!AE580</f>
        <v>0</v>
      </c>
      <c r="AF111" s="257">
        <f>EEFFun!AF580</f>
        <v>0</v>
      </c>
      <c r="AG111" s="257">
        <f>EEFFun!AG580</f>
        <v>0</v>
      </c>
      <c r="AH111" s="257">
        <f>EEFFun!AH580</f>
        <v>0</v>
      </c>
      <c r="AI111" s="257">
        <f>EEFFun!AI580</f>
        <v>0</v>
      </c>
      <c r="AJ111" s="257">
        <f>EEFFun!AJ580</f>
        <v>0</v>
      </c>
      <c r="AK111" s="257">
        <f>EEFFun!AK580</f>
        <v>0</v>
      </c>
      <c r="AL111" s="257">
        <f>EEFFun!AL580</f>
        <v>0</v>
      </c>
      <c r="AM111" s="257">
        <f>EEFFun!AM580</f>
        <v>0</v>
      </c>
      <c r="AN111" s="257">
        <f>EEFFun!AN580</f>
        <v>0</v>
      </c>
      <c r="AO111" s="257">
        <f>EEFFun!AO580</f>
        <v>0</v>
      </c>
      <c r="AP111" s="257">
        <f>EEFFun!AP580</f>
        <v>0</v>
      </c>
      <c r="AQ111" s="257">
        <f>EEFFun!AQ580</f>
        <v>0</v>
      </c>
      <c r="AR111" s="257">
        <f>EEFFun!AR580</f>
        <v>0</v>
      </c>
      <c r="AS111" s="257">
        <f>EEFFun!AS580</f>
        <v>0</v>
      </c>
      <c r="AT111" s="257">
        <f>EEFFun!AT580</f>
        <v>0</v>
      </c>
      <c r="AU111" s="257">
        <f>EEFFun!AU580</f>
        <v>0</v>
      </c>
      <c r="AV111" s="257">
        <f>EEFFun!AV580</f>
        <v>0</v>
      </c>
      <c r="AW111" s="257">
        <f>EEFFun!AW580</f>
        <v>0</v>
      </c>
      <c r="AX111" s="257">
        <f>EEFFun!AX580</f>
        <v>0</v>
      </c>
      <c r="AY111" s="295">
        <f>+AN111*1.1/12</f>
        <v>0</v>
      </c>
      <c r="AZ111" s="295">
        <f t="shared" si="513"/>
        <v>0</v>
      </c>
      <c r="BA111" s="295">
        <f t="shared" si="513"/>
        <v>0</v>
      </c>
      <c r="BB111" s="295">
        <f t="shared" si="513"/>
        <v>0</v>
      </c>
      <c r="BC111" s="295">
        <f t="shared" si="513"/>
        <v>0</v>
      </c>
      <c r="BD111" s="295">
        <f t="shared" si="513"/>
        <v>0</v>
      </c>
      <c r="BE111" s="295">
        <f t="shared" si="513"/>
        <v>0</v>
      </c>
      <c r="BF111" s="295">
        <f t="shared" si="513"/>
        <v>0</v>
      </c>
      <c r="BG111" s="295">
        <f t="shared" si="513"/>
        <v>0</v>
      </c>
      <c r="BH111" s="295">
        <f t="shared" si="513"/>
        <v>0</v>
      </c>
      <c r="BI111" s="295">
        <f t="shared" si="513"/>
        <v>0</v>
      </c>
      <c r="BJ111" s="295">
        <f t="shared" si="513"/>
        <v>0</v>
      </c>
      <c r="BK111" s="295">
        <f>SUM($AY$111:AY111)</f>
        <v>0</v>
      </c>
      <c r="BL111" s="295">
        <f>SUM($AY$111:AZ111)</f>
        <v>0</v>
      </c>
      <c r="BM111" s="295">
        <f>SUM($AY$111:BA111)</f>
        <v>0</v>
      </c>
      <c r="BN111" s="295">
        <f>SUM($AY$111:BB111)</f>
        <v>0</v>
      </c>
      <c r="BO111" s="295">
        <f>SUM($AY$111:BC111)</f>
        <v>0</v>
      </c>
      <c r="BP111" s="295">
        <f>SUM($AY$111:BD111)</f>
        <v>0</v>
      </c>
      <c r="BQ111" s="295">
        <f>SUM($AY$111:BE111)</f>
        <v>0</v>
      </c>
      <c r="BR111" s="295">
        <f>SUM($AY$111:BF111)</f>
        <v>0</v>
      </c>
      <c r="BS111" s="295">
        <f>SUM($AY$111:BG111)</f>
        <v>0</v>
      </c>
      <c r="BT111" s="295">
        <f>SUM($AY$111:BH111)</f>
        <v>0</v>
      </c>
      <c r="BU111" s="295">
        <f>SUM($AY$111:BI111)</f>
        <v>0</v>
      </c>
      <c r="BV111" s="295">
        <f>SUM($AY$111:BJ111)</f>
        <v>0</v>
      </c>
      <c r="BW111" s="291"/>
    </row>
    <row r="112" spans="1:75" outlineLevel="1" x14ac:dyDescent="0.25">
      <c r="A112" s="222">
        <v>8</v>
      </c>
      <c r="B112" s="233">
        <f>EEFFun!B581</f>
        <v>45049040</v>
      </c>
      <c r="C112" s="233" t="str">
        <f>EEFFun!C581</f>
        <v>OTROS IMPUSTO Y APORTES</v>
      </c>
      <c r="D112" s="257">
        <f>EEFFun!P581</f>
        <v>0</v>
      </c>
      <c r="E112" s="295">
        <f t="shared" ref="E112" si="552">Q112</f>
        <v>0</v>
      </c>
      <c r="F112" s="295">
        <f t="shared" ref="F112" si="553">R112-Q112</f>
        <v>0</v>
      </c>
      <c r="G112" s="295">
        <f t="shared" ref="G112" si="554">S112-R112</f>
        <v>0</v>
      </c>
      <c r="H112" s="295">
        <f t="shared" ref="H112" si="555">T112-S112</f>
        <v>0</v>
      </c>
      <c r="I112" s="295">
        <f t="shared" ref="I112" si="556">U112-T112</f>
        <v>0</v>
      </c>
      <c r="J112" s="295">
        <f t="shared" ref="J112" si="557">V112-U112</f>
        <v>2032.42</v>
      </c>
      <c r="K112" s="295">
        <f t="shared" ref="K112" si="558">W112-V112</f>
        <v>0</v>
      </c>
      <c r="L112" s="295">
        <f t="shared" ref="L112" si="559">X112-W112</f>
        <v>8883.0499999999993</v>
      </c>
      <c r="M112" s="295">
        <f t="shared" ref="M112" si="560">Y112-X112</f>
        <v>0</v>
      </c>
      <c r="N112" s="295">
        <f t="shared" ref="N112" si="561">Z112-Y112</f>
        <v>0</v>
      </c>
      <c r="O112" s="295">
        <f t="shared" ref="O112:P112" si="562">AA112-Z112</f>
        <v>0</v>
      </c>
      <c r="P112" s="295">
        <f t="shared" si="562"/>
        <v>2132.33</v>
      </c>
      <c r="Q112" s="257">
        <f>EEFFun!Q581</f>
        <v>0</v>
      </c>
      <c r="R112" s="257">
        <f>EEFFun!R581</f>
        <v>0</v>
      </c>
      <c r="S112" s="257">
        <f>EEFFun!S581</f>
        <v>0</v>
      </c>
      <c r="T112" s="257">
        <f>EEFFun!T581</f>
        <v>0</v>
      </c>
      <c r="U112" s="257">
        <f>EEFFun!U581</f>
        <v>0</v>
      </c>
      <c r="V112" s="257">
        <f>EEFFun!V581</f>
        <v>2032.42</v>
      </c>
      <c r="W112" s="257">
        <f>EEFFun!W581</f>
        <v>2032.42</v>
      </c>
      <c r="X112" s="257">
        <f>EEFFun!X581</f>
        <v>10915.47</v>
      </c>
      <c r="Y112" s="257">
        <f>EEFFun!Y581</f>
        <v>10915.47</v>
      </c>
      <c r="Z112" s="257">
        <f>EEFFun!Z581</f>
        <v>10915.47</v>
      </c>
      <c r="AA112" s="257">
        <f>EEFFun!AA581</f>
        <v>10915.47</v>
      </c>
      <c r="AB112" s="257">
        <f>EEFFun!AB581</f>
        <v>13047.8</v>
      </c>
      <c r="AC112" s="257">
        <f>EEFFun!AC581</f>
        <v>0</v>
      </c>
      <c r="AD112" s="257">
        <f>EEFFun!AD581</f>
        <v>0</v>
      </c>
      <c r="AE112" s="257">
        <f>EEFFun!AE581</f>
        <v>0</v>
      </c>
      <c r="AF112" s="257">
        <f>EEFFun!AF581</f>
        <v>0</v>
      </c>
      <c r="AG112" s="257">
        <f>EEFFun!AG581</f>
        <v>530.95000000000005</v>
      </c>
      <c r="AH112" s="257">
        <f>EEFFun!AH581</f>
        <v>530.95000000000005</v>
      </c>
      <c r="AI112" s="257">
        <f>EEFFun!AI581</f>
        <v>530.95000000000005</v>
      </c>
      <c r="AJ112" s="257">
        <f>EEFFun!AJ581</f>
        <v>530.95000000000005</v>
      </c>
      <c r="AK112" s="257">
        <f>EEFFun!AK581</f>
        <v>530.95000000000005</v>
      </c>
      <c r="AL112" s="257">
        <f>EEFFun!AL581</f>
        <v>530.95000000000005</v>
      </c>
      <c r="AM112" s="257">
        <f>EEFFun!AM581</f>
        <v>530.95000000000005</v>
      </c>
      <c r="AN112" s="257">
        <f>EEFFun!AN581</f>
        <v>530.95000000000005</v>
      </c>
      <c r="AO112" s="257">
        <f>EEFFun!AO581</f>
        <v>0</v>
      </c>
      <c r="AP112" s="257">
        <f>EEFFun!AP581</f>
        <v>0</v>
      </c>
      <c r="AQ112" s="257">
        <f>EEFFun!AQ581</f>
        <v>0</v>
      </c>
      <c r="AR112" s="257">
        <f>EEFFun!AR581</f>
        <v>0</v>
      </c>
      <c r="AS112" s="257">
        <f>EEFFun!AS581</f>
        <v>0</v>
      </c>
      <c r="AT112" s="257">
        <f>EEFFun!AT581</f>
        <v>0</v>
      </c>
      <c r="AU112" s="257">
        <f>EEFFun!AU581</f>
        <v>0</v>
      </c>
      <c r="AV112" s="257">
        <f>EEFFun!AV581</f>
        <v>0</v>
      </c>
      <c r="AW112" s="257">
        <f>EEFFun!AW581</f>
        <v>0</v>
      </c>
      <c r="AX112" s="257">
        <f>EEFFun!AX581</f>
        <v>0</v>
      </c>
      <c r="AY112" s="295">
        <f>+AN112*1.1/12</f>
        <v>48.670416666666675</v>
      </c>
      <c r="AZ112" s="295">
        <f t="shared" si="513"/>
        <v>48.670416666666675</v>
      </c>
      <c r="BA112" s="295">
        <f t="shared" si="513"/>
        <v>48.670416666666675</v>
      </c>
      <c r="BB112" s="295">
        <f t="shared" si="513"/>
        <v>48.670416666666675</v>
      </c>
      <c r="BC112" s="295">
        <f t="shared" si="513"/>
        <v>48.670416666666675</v>
      </c>
      <c r="BD112" s="295">
        <f t="shared" si="513"/>
        <v>48.670416666666675</v>
      </c>
      <c r="BE112" s="295">
        <f t="shared" si="513"/>
        <v>48.670416666666675</v>
      </c>
      <c r="BF112" s="295">
        <f t="shared" si="513"/>
        <v>48.670416666666675</v>
      </c>
      <c r="BG112" s="295">
        <f t="shared" si="513"/>
        <v>48.670416666666675</v>
      </c>
      <c r="BH112" s="295">
        <f t="shared" si="513"/>
        <v>48.670416666666675</v>
      </c>
      <c r="BI112" s="295">
        <f t="shared" si="513"/>
        <v>48.670416666666675</v>
      </c>
      <c r="BJ112" s="295">
        <f t="shared" si="513"/>
        <v>48.670416666666675</v>
      </c>
      <c r="BK112" s="295">
        <f>SUM($AY$111:AY112)</f>
        <v>48.670416666666675</v>
      </c>
      <c r="BL112" s="295">
        <f>SUM($AY$111:AZ112)</f>
        <v>97.34083333333335</v>
      </c>
      <c r="BM112" s="295">
        <f>SUM($AY$111:BA112)</f>
        <v>146.01125000000002</v>
      </c>
      <c r="BN112" s="295">
        <f>SUM($AY$111:BB112)</f>
        <v>194.6816666666667</v>
      </c>
      <c r="BO112" s="295">
        <f>SUM($AY$111:BC112)</f>
        <v>243.35208333333338</v>
      </c>
      <c r="BP112" s="295">
        <f>SUM($AY$111:BD112)</f>
        <v>292.02250000000004</v>
      </c>
      <c r="BQ112" s="295">
        <f>SUM($AY$111:BE112)</f>
        <v>340.69291666666669</v>
      </c>
      <c r="BR112" s="295">
        <f>SUM($AY$111:BF112)</f>
        <v>389.36333333333334</v>
      </c>
      <c r="BS112" s="295">
        <f>SUM($AY$111:BG112)</f>
        <v>438.03375</v>
      </c>
      <c r="BT112" s="295">
        <f>SUM($AY$111:BH112)</f>
        <v>486.70416666666665</v>
      </c>
      <c r="BU112" s="295">
        <f>SUM($AY$111:BI112)</f>
        <v>535.37458333333336</v>
      </c>
      <c r="BV112" s="295">
        <f>SUM($AY$111:BJ112)</f>
        <v>584.04500000000007</v>
      </c>
      <c r="BW112" s="291"/>
    </row>
    <row r="113" spans="1:75" s="229" customFormat="1" outlineLevel="1" x14ac:dyDescent="0.25">
      <c r="A113" s="239">
        <v>4</v>
      </c>
      <c r="B113" s="223">
        <f>EEFFun!B582</f>
        <v>4505</v>
      </c>
      <c r="C113" s="223" t="str">
        <f>EEFFun!C582</f>
        <v>Depreciaciones</v>
      </c>
      <c r="D113" s="279">
        <f>EEFFun!P582</f>
        <v>177699.89</v>
      </c>
      <c r="E113" s="297">
        <f t="shared" ref="E113" si="563">SUM(E114:E116)</f>
        <v>14172.71</v>
      </c>
      <c r="F113" s="297">
        <f t="shared" ref="F113" si="564">SUM(F114:F116)</f>
        <v>12615.2</v>
      </c>
      <c r="G113" s="297">
        <f t="shared" ref="G113" si="565">SUM(G114:G116)</f>
        <v>13738.390000000001</v>
      </c>
      <c r="H113" s="297">
        <f t="shared" ref="H113:O113" si="566">SUM(H114:H116)</f>
        <v>13294.289999999997</v>
      </c>
      <c r="I113" s="297">
        <f t="shared" si="566"/>
        <v>13999.530000000002</v>
      </c>
      <c r="J113" s="297">
        <f t="shared" si="566"/>
        <v>13357.060000000001</v>
      </c>
      <c r="K113" s="297">
        <f t="shared" si="566"/>
        <v>13798.269999999995</v>
      </c>
      <c r="L113" s="297">
        <f t="shared" si="566"/>
        <v>13778.080000000005</v>
      </c>
      <c r="M113" s="297">
        <f t="shared" si="566"/>
        <v>13305.739999999996</v>
      </c>
      <c r="N113" s="297">
        <f t="shared" si="566"/>
        <v>13749.060000000009</v>
      </c>
      <c r="O113" s="297">
        <f t="shared" si="566"/>
        <v>13300.400000000001</v>
      </c>
      <c r="P113" s="297">
        <f t="shared" ref="P113" si="567">SUM(P114:P116)</f>
        <v>13745.529999999981</v>
      </c>
      <c r="Q113" s="279">
        <f>EEFFun!Q582</f>
        <v>14172.71</v>
      </c>
      <c r="R113" s="279">
        <f>EEFFun!R582</f>
        <v>26787.91</v>
      </c>
      <c r="S113" s="279">
        <f>EEFFun!S582</f>
        <v>40526.300000000003</v>
      </c>
      <c r="T113" s="279">
        <f>EEFFun!T582</f>
        <v>53820.59</v>
      </c>
      <c r="U113" s="279">
        <f>EEFFun!U582</f>
        <v>67820.12</v>
      </c>
      <c r="V113" s="279">
        <f>EEFFun!V582</f>
        <v>81177.179999999993</v>
      </c>
      <c r="W113" s="279">
        <f>EEFFun!W582</f>
        <v>94975.45</v>
      </c>
      <c r="X113" s="279">
        <f>EEFFun!X582</f>
        <v>108753.53</v>
      </c>
      <c r="Y113" s="279">
        <f>EEFFun!Y582</f>
        <v>122059.27</v>
      </c>
      <c r="Z113" s="279">
        <f>EEFFun!Z582</f>
        <v>135808.32999999999</v>
      </c>
      <c r="AA113" s="279">
        <f>EEFFun!AA582</f>
        <v>149108.73000000001</v>
      </c>
      <c r="AB113" s="279">
        <f>EEFFun!AB582</f>
        <v>162854.26</v>
      </c>
      <c r="AC113" s="279">
        <f>EEFFun!AC582</f>
        <v>13737.75</v>
      </c>
      <c r="AD113" s="279">
        <f>EEFFun!AD582</f>
        <v>26510.2</v>
      </c>
      <c r="AE113" s="279">
        <f>EEFFun!AE582</f>
        <v>40091.9</v>
      </c>
      <c r="AF113" s="279">
        <f>EEFFun!AF582</f>
        <v>53217.62</v>
      </c>
      <c r="AG113" s="279">
        <f>EEFFun!AG582</f>
        <v>66423.12</v>
      </c>
      <c r="AH113" s="279">
        <f>EEFFun!AH582</f>
        <v>79835.89</v>
      </c>
      <c r="AI113" s="279">
        <f>EEFFun!AI582</f>
        <v>93062.88</v>
      </c>
      <c r="AJ113" s="279">
        <f>EEFFun!AJ582</f>
        <v>106209.76</v>
      </c>
      <c r="AK113" s="279">
        <f>EEFFun!AK582</f>
        <v>119099.73</v>
      </c>
      <c r="AL113" s="279">
        <f>EEFFun!AL582</f>
        <v>132441.92000000001</v>
      </c>
      <c r="AM113" s="279">
        <f>EEFFun!AM582</f>
        <v>144161.85</v>
      </c>
      <c r="AN113" s="279">
        <f>EEFFun!AN582</f>
        <v>157630.07</v>
      </c>
      <c r="AO113" s="279">
        <f>EEFFun!AO582</f>
        <v>13465.72</v>
      </c>
      <c r="AP113" s="279">
        <f>EEFFun!AP582</f>
        <v>26112.2</v>
      </c>
      <c r="AQ113" s="279">
        <f>EEFFun!AQ582</f>
        <v>40784.32</v>
      </c>
      <c r="AR113" s="279">
        <f>EEFFun!AR582</f>
        <v>55155.77</v>
      </c>
      <c r="AS113" s="279">
        <f>EEFFun!AS582</f>
        <v>69954.33</v>
      </c>
      <c r="AT113" s="279">
        <f>EEFFun!AT582</f>
        <v>84215.41</v>
      </c>
      <c r="AU113" s="279">
        <f>EEFFun!AU582</f>
        <v>98943.2</v>
      </c>
      <c r="AV113" s="279">
        <f>EEFFun!AV582</f>
        <v>113698.35</v>
      </c>
      <c r="AW113" s="279">
        <f>EEFFun!AW582</f>
        <v>127977.46</v>
      </c>
      <c r="AX113" s="279">
        <f>EEFFun!AX582</f>
        <v>142844.68</v>
      </c>
      <c r="AY113" s="297">
        <f t="shared" ref="AY113" si="568">SUM(AY114:AY116)</f>
        <v>13332.811999999998</v>
      </c>
      <c r="AZ113" s="295">
        <f t="shared" ref="AZ113:BJ116" si="569">+AY113</f>
        <v>13332.811999999998</v>
      </c>
      <c r="BA113" s="295">
        <f t="shared" si="569"/>
        <v>13332.811999999998</v>
      </c>
      <c r="BB113" s="295">
        <f t="shared" si="569"/>
        <v>13332.811999999998</v>
      </c>
      <c r="BC113" s="295">
        <f t="shared" si="569"/>
        <v>13332.811999999998</v>
      </c>
      <c r="BD113" s="295">
        <f t="shared" si="569"/>
        <v>13332.811999999998</v>
      </c>
      <c r="BE113" s="295">
        <f t="shared" si="569"/>
        <v>13332.811999999998</v>
      </c>
      <c r="BF113" s="295">
        <f t="shared" si="569"/>
        <v>13332.811999999998</v>
      </c>
      <c r="BG113" s="295">
        <f t="shared" si="569"/>
        <v>13332.811999999998</v>
      </c>
      <c r="BH113" s="295">
        <f t="shared" si="569"/>
        <v>13332.811999999998</v>
      </c>
      <c r="BI113" s="295">
        <f t="shared" si="569"/>
        <v>13332.811999999998</v>
      </c>
      <c r="BJ113" s="295">
        <f t="shared" si="569"/>
        <v>13332.811999999998</v>
      </c>
      <c r="BK113" s="297">
        <f t="shared" ref="BK113:BQ113" si="570">SUM(BK114:BK116)</f>
        <v>13332.811999999998</v>
      </c>
      <c r="BL113" s="297">
        <f t="shared" si="570"/>
        <v>26665.623999999996</v>
      </c>
      <c r="BM113" s="297">
        <f t="shared" si="570"/>
        <v>39998.435999999994</v>
      </c>
      <c r="BN113" s="297">
        <f t="shared" si="570"/>
        <v>53331.247999999992</v>
      </c>
      <c r="BO113" s="297">
        <f t="shared" si="570"/>
        <v>66664.06</v>
      </c>
      <c r="BP113" s="297">
        <f t="shared" si="570"/>
        <v>79996.872000000003</v>
      </c>
      <c r="BQ113" s="297">
        <f t="shared" si="570"/>
        <v>93329.684000000008</v>
      </c>
      <c r="BR113" s="297">
        <f t="shared" ref="BR113" si="571">SUM(BR114:BR116)</f>
        <v>106662.496</v>
      </c>
      <c r="BS113" s="297">
        <f t="shared" ref="BS113" si="572">SUM(BS114:BS116)</f>
        <v>119995.30800000002</v>
      </c>
      <c r="BT113" s="297">
        <f t="shared" ref="BT113" si="573">SUM(BT114:BT116)</f>
        <v>133328.12000000002</v>
      </c>
      <c r="BU113" s="297">
        <f t="shared" ref="BU113" si="574">SUM(BU114:BU116)</f>
        <v>146660.93200000003</v>
      </c>
      <c r="BV113" s="297">
        <f t="shared" ref="BV113" si="575">SUM(BV114:BV116)</f>
        <v>159993.74400000001</v>
      </c>
      <c r="BW113" s="284"/>
    </row>
    <row r="114" spans="1:75" s="229" customFormat="1" outlineLevel="1" x14ac:dyDescent="0.25">
      <c r="A114" s="239">
        <v>6</v>
      </c>
      <c r="B114" s="233">
        <f>EEFFun!B583</f>
        <v>450515</v>
      </c>
      <c r="C114" s="233" t="str">
        <f>EEFFun!C583</f>
        <v>Edificios</v>
      </c>
      <c r="D114" s="257">
        <f>EEFFun!P583</f>
        <v>120788.61</v>
      </c>
      <c r="E114" s="295">
        <f t="shared" ref="E114:E116" si="576">Q114</f>
        <v>12366.01</v>
      </c>
      <c r="F114" s="295">
        <f t="shared" ref="F114:F116" si="577">R114-Q114</f>
        <v>11169.31</v>
      </c>
      <c r="G114" s="295">
        <f t="shared" ref="G114:G116" si="578">S114-R114</f>
        <v>12366.010000000002</v>
      </c>
      <c r="H114" s="295">
        <f t="shared" ref="H114:H116" si="579">T114-S114</f>
        <v>11967.129999999997</v>
      </c>
      <c r="I114" s="295">
        <f t="shared" ref="I114:I116" si="580">U114-T114</f>
        <v>12366.010000000002</v>
      </c>
      <c r="J114" s="295">
        <f t="shared" ref="J114:J116" si="581">V114-U114</f>
        <v>11967.11</v>
      </c>
      <c r="K114" s="295">
        <f t="shared" ref="K114:K116" si="582">W114-V114</f>
        <v>12366.009999999995</v>
      </c>
      <c r="L114" s="295">
        <f t="shared" ref="L114:L116" si="583">X114-W114</f>
        <v>12366.020000000004</v>
      </c>
      <c r="M114" s="295">
        <f t="shared" ref="M114:M116" si="584">Y114-X114</f>
        <v>11967.119999999995</v>
      </c>
      <c r="N114" s="295">
        <f t="shared" ref="N114:N116" si="585">Z114-Y114</f>
        <v>12366.010000000009</v>
      </c>
      <c r="O114" s="295">
        <f t="shared" ref="O114:P116" si="586">AA114-Z114</f>
        <v>11967.11</v>
      </c>
      <c r="P114" s="295">
        <f t="shared" si="586"/>
        <v>12366.00999999998</v>
      </c>
      <c r="Q114" s="257">
        <f>EEFFun!Q583</f>
        <v>12366.01</v>
      </c>
      <c r="R114" s="257">
        <f>EEFFun!R583</f>
        <v>23535.32</v>
      </c>
      <c r="S114" s="257">
        <f>EEFFun!S583</f>
        <v>35901.33</v>
      </c>
      <c r="T114" s="257">
        <f>EEFFun!T583</f>
        <v>47868.46</v>
      </c>
      <c r="U114" s="257">
        <f>EEFFun!U583</f>
        <v>60234.47</v>
      </c>
      <c r="V114" s="257">
        <f>EEFFun!V583</f>
        <v>72201.58</v>
      </c>
      <c r="W114" s="257">
        <f>EEFFun!W583</f>
        <v>84567.59</v>
      </c>
      <c r="X114" s="257">
        <f>EEFFun!X583</f>
        <v>96933.61</v>
      </c>
      <c r="Y114" s="257">
        <f>EEFFun!Y583</f>
        <v>108900.73</v>
      </c>
      <c r="Z114" s="257">
        <f>EEFFun!Z583</f>
        <v>121266.74</v>
      </c>
      <c r="AA114" s="257">
        <f>EEFFun!AA583</f>
        <v>133233.85</v>
      </c>
      <c r="AB114" s="257">
        <f>EEFFun!AB583</f>
        <v>145599.85999999999</v>
      </c>
      <c r="AC114" s="257">
        <f>EEFFun!AC583</f>
        <v>12366.04</v>
      </c>
      <c r="AD114" s="257">
        <f>EEFFun!AD583</f>
        <v>23934.23</v>
      </c>
      <c r="AE114" s="257">
        <f>EEFFun!AE583</f>
        <v>36300.25</v>
      </c>
      <c r="AF114" s="257">
        <f>EEFFun!AF583</f>
        <v>48267.38</v>
      </c>
      <c r="AG114" s="257">
        <f>EEFFun!AG583</f>
        <v>60264.53</v>
      </c>
      <c r="AH114" s="257">
        <f>EEFFun!AH583</f>
        <v>72600.490000000005</v>
      </c>
      <c r="AI114" s="257">
        <f>EEFFun!AI583</f>
        <v>84966.51</v>
      </c>
      <c r="AJ114" s="257">
        <f>EEFFun!AJ583</f>
        <v>97332.54</v>
      </c>
      <c r="AK114" s="257">
        <f>EEFFun!AK583</f>
        <v>109299.64</v>
      </c>
      <c r="AL114" s="257">
        <f>EEFFun!AL583</f>
        <v>121665.66</v>
      </c>
      <c r="AM114" s="257">
        <f>EEFFun!AM583</f>
        <v>132328.93</v>
      </c>
      <c r="AN114" s="257">
        <f>EEFFun!AN583</f>
        <v>144694.95000000001</v>
      </c>
      <c r="AO114" s="257">
        <f>EEFFun!AO583</f>
        <v>12366.02</v>
      </c>
      <c r="AP114" s="257">
        <f>EEFFun!AP583</f>
        <v>23535.33</v>
      </c>
      <c r="AQ114" s="257">
        <f>EEFFun!AQ583</f>
        <v>35901.339999999997</v>
      </c>
      <c r="AR114" s="257">
        <f>EEFFun!AR583</f>
        <v>47868.44</v>
      </c>
      <c r="AS114" s="257">
        <f>EEFFun!AS583</f>
        <v>60234.47</v>
      </c>
      <c r="AT114" s="257">
        <f>EEFFun!AT583</f>
        <v>72201.59</v>
      </c>
      <c r="AU114" s="257">
        <f>EEFFun!AU583</f>
        <v>84567.6</v>
      </c>
      <c r="AV114" s="257">
        <f>EEFFun!AV583</f>
        <v>96933.61</v>
      </c>
      <c r="AW114" s="257">
        <f>EEFFun!AW583</f>
        <v>108900.72</v>
      </c>
      <c r="AX114" s="257">
        <f>EEFFun!AX583</f>
        <v>121266.75</v>
      </c>
      <c r="AY114" s="295">
        <f>+AX114/10</f>
        <v>12126.674999999999</v>
      </c>
      <c r="AZ114" s="295">
        <f t="shared" si="569"/>
        <v>12126.674999999999</v>
      </c>
      <c r="BA114" s="295">
        <f t="shared" si="569"/>
        <v>12126.674999999999</v>
      </c>
      <c r="BB114" s="295">
        <f t="shared" si="569"/>
        <v>12126.674999999999</v>
      </c>
      <c r="BC114" s="295">
        <f t="shared" si="569"/>
        <v>12126.674999999999</v>
      </c>
      <c r="BD114" s="295">
        <f t="shared" si="569"/>
        <v>12126.674999999999</v>
      </c>
      <c r="BE114" s="295">
        <f t="shared" si="569"/>
        <v>12126.674999999999</v>
      </c>
      <c r="BF114" s="295">
        <f t="shared" si="569"/>
        <v>12126.674999999999</v>
      </c>
      <c r="BG114" s="295">
        <f t="shared" si="569"/>
        <v>12126.674999999999</v>
      </c>
      <c r="BH114" s="295">
        <f t="shared" si="569"/>
        <v>12126.674999999999</v>
      </c>
      <c r="BI114" s="295">
        <f t="shared" si="569"/>
        <v>12126.674999999999</v>
      </c>
      <c r="BJ114" s="295">
        <f t="shared" si="569"/>
        <v>12126.674999999999</v>
      </c>
      <c r="BK114" s="295">
        <f>SUM($AY$114:AY114)</f>
        <v>12126.674999999999</v>
      </c>
      <c r="BL114" s="295">
        <f>SUM($AY$114:AZ114)</f>
        <v>24253.35</v>
      </c>
      <c r="BM114" s="295">
        <f>SUM($AY$114:BA114)</f>
        <v>36380.024999999994</v>
      </c>
      <c r="BN114" s="295">
        <f>SUM($AY$114:BB114)</f>
        <v>48506.7</v>
      </c>
      <c r="BO114" s="295">
        <f>SUM($AY$114:BC114)</f>
        <v>60633.375</v>
      </c>
      <c r="BP114" s="295">
        <f>SUM($AY$114:BD114)</f>
        <v>72760.05</v>
      </c>
      <c r="BQ114" s="295">
        <f>SUM($AY$114:BE114)</f>
        <v>84886.725000000006</v>
      </c>
      <c r="BR114" s="295">
        <f>SUM($AY$114:BF114)</f>
        <v>97013.400000000009</v>
      </c>
      <c r="BS114" s="295">
        <f>SUM($AY$114:BG114)</f>
        <v>109140.07500000001</v>
      </c>
      <c r="BT114" s="295">
        <f>SUM($AY$114:BH114)</f>
        <v>121266.75000000001</v>
      </c>
      <c r="BU114" s="295">
        <f>SUM($AY$114:BI114)</f>
        <v>133393.42500000002</v>
      </c>
      <c r="BV114" s="295">
        <f>SUM($AY$114:BJ114)</f>
        <v>145520.1</v>
      </c>
      <c r="BW114" s="284"/>
    </row>
    <row r="115" spans="1:75" outlineLevel="1" x14ac:dyDescent="0.25">
      <c r="A115" s="222">
        <v>6</v>
      </c>
      <c r="B115" s="233">
        <f>EEFFun!B584</f>
        <v>450525</v>
      </c>
      <c r="C115" s="233" t="str">
        <f>EEFFun!C584</f>
        <v>Muebles, enseres y equipos de oficina</v>
      </c>
      <c r="D115" s="257">
        <f>EEFFun!P584</f>
        <v>46430.47</v>
      </c>
      <c r="E115" s="295">
        <f t="shared" si="576"/>
        <v>1205.1300000000001</v>
      </c>
      <c r="F115" s="295">
        <f t="shared" si="577"/>
        <v>1086.52</v>
      </c>
      <c r="G115" s="295">
        <f t="shared" si="578"/>
        <v>1200.0699999999997</v>
      </c>
      <c r="H115" s="295">
        <f t="shared" si="579"/>
        <v>1160.4100000000003</v>
      </c>
      <c r="I115" s="295">
        <f t="shared" si="580"/>
        <v>1196.6999999999998</v>
      </c>
      <c r="J115" s="295">
        <f t="shared" si="581"/>
        <v>1149.5600000000004</v>
      </c>
      <c r="K115" s="295">
        <f t="shared" si="582"/>
        <v>1158.6099999999997</v>
      </c>
      <c r="L115" s="295">
        <f t="shared" si="583"/>
        <v>1132.3600000000006</v>
      </c>
      <c r="M115" s="295">
        <f t="shared" si="584"/>
        <v>1067.9300000000003</v>
      </c>
      <c r="N115" s="295">
        <f t="shared" si="585"/>
        <v>1103.3499999999985</v>
      </c>
      <c r="O115" s="295">
        <f t="shared" si="586"/>
        <v>1062.6000000000004</v>
      </c>
      <c r="P115" s="295">
        <f t="shared" si="586"/>
        <v>1099.8199999999997</v>
      </c>
      <c r="Q115" s="257">
        <f>EEFFun!Q584</f>
        <v>1205.1300000000001</v>
      </c>
      <c r="R115" s="257">
        <f>EEFFun!R584</f>
        <v>2291.65</v>
      </c>
      <c r="S115" s="257">
        <f>EEFFun!S584</f>
        <v>3491.72</v>
      </c>
      <c r="T115" s="257">
        <f>EEFFun!T584</f>
        <v>4652.13</v>
      </c>
      <c r="U115" s="257">
        <f>EEFFun!U584</f>
        <v>5848.83</v>
      </c>
      <c r="V115" s="257">
        <f>EEFFun!V584</f>
        <v>6998.39</v>
      </c>
      <c r="W115" s="257">
        <f>EEFFun!W584</f>
        <v>8157</v>
      </c>
      <c r="X115" s="257">
        <f>EEFFun!X584</f>
        <v>9289.36</v>
      </c>
      <c r="Y115" s="257">
        <f>EEFFun!Y584</f>
        <v>10357.290000000001</v>
      </c>
      <c r="Z115" s="257">
        <f>EEFFun!Z584</f>
        <v>11460.64</v>
      </c>
      <c r="AA115" s="257">
        <f>EEFFun!AA584</f>
        <v>12523.24</v>
      </c>
      <c r="AB115" s="257">
        <f>EEFFun!AB584</f>
        <v>13623.06</v>
      </c>
      <c r="AC115" s="257">
        <f>EEFFun!AC584</f>
        <v>1092</v>
      </c>
      <c r="AD115" s="257">
        <f>EEFFun!AD584</f>
        <v>2034.6</v>
      </c>
      <c r="AE115" s="257">
        <f>EEFFun!AE584</f>
        <v>2970.57</v>
      </c>
      <c r="AF115" s="257">
        <f>EEFFun!AF584</f>
        <v>3858.48</v>
      </c>
      <c r="AG115" s="257">
        <f>EEFFun!AG584</f>
        <v>4771.76</v>
      </c>
      <c r="AH115" s="257">
        <f>EEFFun!AH584</f>
        <v>5544.96</v>
      </c>
      <c r="AI115" s="257">
        <f>EEFFun!AI584</f>
        <v>6092.2</v>
      </c>
      <c r="AJ115" s="257">
        <f>EEFFun!AJ584</f>
        <v>6559.32</v>
      </c>
      <c r="AK115" s="257">
        <f>EEFFun!AK584</f>
        <v>7010.89</v>
      </c>
      <c r="AL115" s="257">
        <f>EEFFun!AL584</f>
        <v>7441.8</v>
      </c>
      <c r="AM115" s="257">
        <f>EEFFun!AM584</f>
        <v>7838.95</v>
      </c>
      <c r="AN115" s="257">
        <f>EEFFun!AN584</f>
        <v>8121.84</v>
      </c>
      <c r="AO115" s="257">
        <f>EEFFun!AO584</f>
        <v>162.72999999999999</v>
      </c>
      <c r="AP115" s="257">
        <f>EEFFun!AP584</f>
        <v>337.47</v>
      </c>
      <c r="AQ115" s="257">
        <f>EEFFun!AQ584</f>
        <v>530.96</v>
      </c>
      <c r="AR115" s="257">
        <f>EEFFun!AR584</f>
        <v>682.24</v>
      </c>
      <c r="AS115" s="257">
        <f>EEFFun!AS584</f>
        <v>833.48</v>
      </c>
      <c r="AT115" s="257">
        <f>EEFFun!AT584</f>
        <v>937.5</v>
      </c>
      <c r="AU115" s="257">
        <f>EEFFun!AU584</f>
        <v>1045.97</v>
      </c>
      <c r="AV115" s="257">
        <f>EEFFun!AV584</f>
        <v>1154.48</v>
      </c>
      <c r="AW115" s="257">
        <f>EEFFun!AW584</f>
        <v>1259.44</v>
      </c>
      <c r="AX115" s="257">
        <f>EEFFun!AX584</f>
        <v>1381.66</v>
      </c>
      <c r="AY115" s="295">
        <f>+AX115/10</f>
        <v>138.166</v>
      </c>
      <c r="AZ115" s="295">
        <f t="shared" si="569"/>
        <v>138.166</v>
      </c>
      <c r="BA115" s="295">
        <f t="shared" si="569"/>
        <v>138.166</v>
      </c>
      <c r="BB115" s="295">
        <f t="shared" si="569"/>
        <v>138.166</v>
      </c>
      <c r="BC115" s="295">
        <f t="shared" si="569"/>
        <v>138.166</v>
      </c>
      <c r="BD115" s="295">
        <f t="shared" si="569"/>
        <v>138.166</v>
      </c>
      <c r="BE115" s="295">
        <f t="shared" si="569"/>
        <v>138.166</v>
      </c>
      <c r="BF115" s="295">
        <f t="shared" si="569"/>
        <v>138.166</v>
      </c>
      <c r="BG115" s="295">
        <f t="shared" si="569"/>
        <v>138.166</v>
      </c>
      <c r="BH115" s="295">
        <f t="shared" si="569"/>
        <v>138.166</v>
      </c>
      <c r="BI115" s="295">
        <f t="shared" si="569"/>
        <v>138.166</v>
      </c>
      <c r="BJ115" s="295">
        <f t="shared" si="569"/>
        <v>138.166</v>
      </c>
      <c r="BK115" s="295">
        <f>SUM($AY$115:AY115)</f>
        <v>138.166</v>
      </c>
      <c r="BL115" s="295">
        <f>SUM($AY$115:AZ115)</f>
        <v>276.33199999999999</v>
      </c>
      <c r="BM115" s="295">
        <f>SUM($AY$115:BA115)</f>
        <v>414.49799999999999</v>
      </c>
      <c r="BN115" s="295">
        <f>SUM($AY$115:BB115)</f>
        <v>552.66399999999999</v>
      </c>
      <c r="BO115" s="295">
        <f>SUM($AY$115:BC115)</f>
        <v>690.82999999999993</v>
      </c>
      <c r="BP115" s="295">
        <f>SUM($AY$115:BD115)</f>
        <v>828.99599999999987</v>
      </c>
      <c r="BQ115" s="295">
        <f>SUM($AY$115:BE115)</f>
        <v>967.16199999999981</v>
      </c>
      <c r="BR115" s="295">
        <f>SUM($AY$115:BF115)</f>
        <v>1105.3279999999997</v>
      </c>
      <c r="BS115" s="295">
        <f>SUM($AY$115:BG115)</f>
        <v>1243.4939999999997</v>
      </c>
      <c r="BT115" s="295">
        <f>SUM($AY$115:BH115)</f>
        <v>1381.6599999999996</v>
      </c>
      <c r="BU115" s="295">
        <f>SUM($AY$115:BI115)</f>
        <v>1519.8259999999996</v>
      </c>
      <c r="BV115" s="295">
        <f>SUM($AY$115:BJ115)</f>
        <v>1657.9919999999995</v>
      </c>
      <c r="BW115" s="291"/>
    </row>
    <row r="116" spans="1:75" outlineLevel="1" x14ac:dyDescent="0.25">
      <c r="A116" s="222">
        <v>8</v>
      </c>
      <c r="B116" s="233">
        <f>EEFFun!B585</f>
        <v>450530</v>
      </c>
      <c r="C116" s="233" t="str">
        <f>EEFFun!C585</f>
        <v>Equipos de computación</v>
      </c>
      <c r="D116" s="257">
        <f>EEFFun!P585</f>
        <v>10480.81</v>
      </c>
      <c r="E116" s="295">
        <f t="shared" si="576"/>
        <v>601.57000000000005</v>
      </c>
      <c r="F116" s="295">
        <f t="shared" si="577"/>
        <v>359.37</v>
      </c>
      <c r="G116" s="295">
        <f t="shared" si="578"/>
        <v>172.30999999999995</v>
      </c>
      <c r="H116" s="295">
        <f t="shared" si="579"/>
        <v>166.75</v>
      </c>
      <c r="I116" s="295">
        <f t="shared" si="580"/>
        <v>436.81999999999994</v>
      </c>
      <c r="J116" s="295">
        <f t="shared" si="581"/>
        <v>240.3900000000001</v>
      </c>
      <c r="K116" s="295">
        <f t="shared" si="582"/>
        <v>273.65000000000009</v>
      </c>
      <c r="L116" s="295">
        <f t="shared" si="583"/>
        <v>279.69999999999982</v>
      </c>
      <c r="M116" s="295">
        <f t="shared" si="584"/>
        <v>270.69000000000005</v>
      </c>
      <c r="N116" s="295">
        <f t="shared" si="585"/>
        <v>279.69999999999982</v>
      </c>
      <c r="O116" s="295">
        <f t="shared" si="586"/>
        <v>270.69000000000005</v>
      </c>
      <c r="P116" s="295">
        <f t="shared" si="586"/>
        <v>279.70000000000027</v>
      </c>
      <c r="Q116" s="257">
        <f>EEFFun!Q585</f>
        <v>601.57000000000005</v>
      </c>
      <c r="R116" s="257">
        <f>EEFFun!R585</f>
        <v>960.94</v>
      </c>
      <c r="S116" s="257">
        <f>EEFFun!S585</f>
        <v>1133.25</v>
      </c>
      <c r="T116" s="257">
        <f>EEFFun!T585</f>
        <v>1300</v>
      </c>
      <c r="U116" s="257">
        <f>EEFFun!U585</f>
        <v>1736.82</v>
      </c>
      <c r="V116" s="257">
        <f>EEFFun!V585</f>
        <v>1977.21</v>
      </c>
      <c r="W116" s="257">
        <f>EEFFun!W585</f>
        <v>2250.86</v>
      </c>
      <c r="X116" s="257">
        <f>EEFFun!X585</f>
        <v>2530.56</v>
      </c>
      <c r="Y116" s="257">
        <f>EEFFun!Y585</f>
        <v>2801.25</v>
      </c>
      <c r="Z116" s="257">
        <f>EEFFun!Z585</f>
        <v>3080.95</v>
      </c>
      <c r="AA116" s="257">
        <f>EEFFun!AA585</f>
        <v>3351.64</v>
      </c>
      <c r="AB116" s="257">
        <f>EEFFun!AB585</f>
        <v>3631.34</v>
      </c>
      <c r="AC116" s="257">
        <f>EEFFun!AC585</f>
        <v>279.70999999999998</v>
      </c>
      <c r="AD116" s="257">
        <f>EEFFun!AD585</f>
        <v>541.37</v>
      </c>
      <c r="AE116" s="257">
        <f>EEFFun!AE585</f>
        <v>821.08</v>
      </c>
      <c r="AF116" s="257">
        <f>EEFFun!AF585</f>
        <v>1091.76</v>
      </c>
      <c r="AG116" s="257">
        <f>EEFFun!AG585</f>
        <v>1386.83</v>
      </c>
      <c r="AH116" s="257">
        <f>EEFFun!AH585</f>
        <v>1690.44</v>
      </c>
      <c r="AI116" s="257">
        <f>EEFFun!AI585</f>
        <v>2004.17</v>
      </c>
      <c r="AJ116" s="257">
        <f>EEFFun!AJ585</f>
        <v>2317.9</v>
      </c>
      <c r="AK116" s="257">
        <f>EEFFun!AK585</f>
        <v>2789.2</v>
      </c>
      <c r="AL116" s="257">
        <f>EEFFun!AL585</f>
        <v>3334.46</v>
      </c>
      <c r="AM116" s="257">
        <f>EEFFun!AM585</f>
        <v>3993.97</v>
      </c>
      <c r="AN116" s="257">
        <f>EEFFun!AN585</f>
        <v>4813.28</v>
      </c>
      <c r="AO116" s="257">
        <f>EEFFun!AO585</f>
        <v>936.97</v>
      </c>
      <c r="AP116" s="257">
        <f>EEFFun!AP585</f>
        <v>1830.49</v>
      </c>
      <c r="AQ116" s="257">
        <f>EEFFun!AQ585</f>
        <v>2790.71</v>
      </c>
      <c r="AR116" s="257">
        <f>EEFFun!AR585</f>
        <v>3928.56</v>
      </c>
      <c r="AS116" s="257">
        <f>EEFFun!AS585</f>
        <v>5057.45</v>
      </c>
      <c r="AT116" s="257">
        <f>EEFFun!AT585</f>
        <v>6132.17</v>
      </c>
      <c r="AU116" s="257">
        <f>EEFFun!AU585</f>
        <v>7233.08</v>
      </c>
      <c r="AV116" s="257">
        <f>EEFFun!AV585</f>
        <v>8361.32</v>
      </c>
      <c r="AW116" s="257">
        <f>EEFFun!AW585</f>
        <v>9453.14</v>
      </c>
      <c r="AX116" s="257">
        <f>EEFFun!AX585</f>
        <v>10679.71</v>
      </c>
      <c r="AY116" s="295">
        <f>+AX116/10</f>
        <v>1067.971</v>
      </c>
      <c r="AZ116" s="295">
        <f t="shared" si="569"/>
        <v>1067.971</v>
      </c>
      <c r="BA116" s="295">
        <f t="shared" si="569"/>
        <v>1067.971</v>
      </c>
      <c r="BB116" s="295">
        <f t="shared" si="569"/>
        <v>1067.971</v>
      </c>
      <c r="BC116" s="295">
        <f t="shared" si="569"/>
        <v>1067.971</v>
      </c>
      <c r="BD116" s="295">
        <f t="shared" si="569"/>
        <v>1067.971</v>
      </c>
      <c r="BE116" s="295">
        <f t="shared" si="569"/>
        <v>1067.971</v>
      </c>
      <c r="BF116" s="295">
        <f t="shared" si="569"/>
        <v>1067.971</v>
      </c>
      <c r="BG116" s="295">
        <f t="shared" si="569"/>
        <v>1067.971</v>
      </c>
      <c r="BH116" s="295">
        <f t="shared" si="569"/>
        <v>1067.971</v>
      </c>
      <c r="BI116" s="295">
        <f t="shared" si="569"/>
        <v>1067.971</v>
      </c>
      <c r="BJ116" s="295">
        <f t="shared" si="569"/>
        <v>1067.971</v>
      </c>
      <c r="BK116" s="295">
        <f>SUM($AY$116:AY116)</f>
        <v>1067.971</v>
      </c>
      <c r="BL116" s="295">
        <f>SUM($AY$116:AZ116)</f>
        <v>2135.942</v>
      </c>
      <c r="BM116" s="295">
        <f>SUM($AY$116:BA116)</f>
        <v>3203.913</v>
      </c>
      <c r="BN116" s="295">
        <f>SUM($AY$116:BB116)</f>
        <v>4271.884</v>
      </c>
      <c r="BO116" s="295">
        <f>SUM($AY$116:BC116)</f>
        <v>5339.8549999999996</v>
      </c>
      <c r="BP116" s="295">
        <f>SUM($AY$116:BD116)</f>
        <v>6407.8259999999991</v>
      </c>
      <c r="BQ116" s="295">
        <f>SUM($AY$116:BE116)</f>
        <v>7475.7969999999987</v>
      </c>
      <c r="BR116" s="295">
        <f>SUM($AY$116:BF116)</f>
        <v>8543.7679999999982</v>
      </c>
      <c r="BS116" s="295">
        <f>SUM($AY$116:BG116)</f>
        <v>9611.7389999999978</v>
      </c>
      <c r="BT116" s="295">
        <f>SUM($AY$116:BH116)</f>
        <v>10679.709999999997</v>
      </c>
      <c r="BU116" s="295">
        <f>SUM($AY$116:BI116)</f>
        <v>11747.680999999997</v>
      </c>
      <c r="BV116" s="295">
        <f>SUM($AY$116:BJ116)</f>
        <v>12815.651999999996</v>
      </c>
      <c r="BW116" s="291"/>
    </row>
    <row r="117" spans="1:75" s="229" customFormat="1" outlineLevel="1" x14ac:dyDescent="0.25">
      <c r="A117" s="239">
        <v>4</v>
      </c>
      <c r="B117" s="223">
        <f>EEFFun!B587</f>
        <v>4506</v>
      </c>
      <c r="C117" s="223" t="str">
        <f>EEFFun!C587</f>
        <v>Amortizaciones</v>
      </c>
      <c r="D117" s="279">
        <f>EEFFun!P587</f>
        <v>54933.08</v>
      </c>
      <c r="E117" s="297">
        <f t="shared" ref="E117" si="587">SUM(E118:E120)</f>
        <v>18480.29</v>
      </c>
      <c r="F117" s="297">
        <f t="shared" ref="F117" si="588">SUM(F118:F120)</f>
        <v>18834.270000000004</v>
      </c>
      <c r="G117" s="297">
        <f t="shared" ref="G117" si="589">SUM(G118:G120)</f>
        <v>18528.609999999997</v>
      </c>
      <c r="H117" s="297">
        <f t="shared" ref="H117:O117" si="590">SUM(H118:H120)</f>
        <v>25351.710000000006</v>
      </c>
      <c r="I117" s="297">
        <f t="shared" si="590"/>
        <v>1696.9199999999983</v>
      </c>
      <c r="J117" s="297">
        <f t="shared" si="590"/>
        <v>14584.340000000007</v>
      </c>
      <c r="K117" s="297">
        <f t="shared" si="590"/>
        <v>20241.129999999986</v>
      </c>
      <c r="L117" s="297">
        <f t="shared" si="590"/>
        <v>19298.210000000006</v>
      </c>
      <c r="M117" s="297">
        <f t="shared" si="590"/>
        <v>16417.519999999997</v>
      </c>
      <c r="N117" s="297">
        <f t="shared" si="590"/>
        <v>18888.089999999997</v>
      </c>
      <c r="O117" s="297">
        <f t="shared" si="590"/>
        <v>17991.080000000002</v>
      </c>
      <c r="P117" s="297">
        <f t="shared" ref="P117" si="591">SUM(P118:P120)</f>
        <v>18682.989999999998</v>
      </c>
      <c r="Q117" s="279">
        <f>EEFFun!Q587</f>
        <v>18480.29</v>
      </c>
      <c r="R117" s="279">
        <f>EEFFun!R587</f>
        <v>37314.559999999998</v>
      </c>
      <c r="S117" s="279">
        <f>EEFFun!S587</f>
        <v>55843.17</v>
      </c>
      <c r="T117" s="279">
        <f>EEFFun!T587</f>
        <v>81194.880000000005</v>
      </c>
      <c r="U117" s="279">
        <f>EEFFun!U587</f>
        <v>82891.8</v>
      </c>
      <c r="V117" s="279">
        <f>EEFFun!V587</f>
        <v>97476.14</v>
      </c>
      <c r="W117" s="279">
        <f>EEFFun!W587</f>
        <v>117717.27</v>
      </c>
      <c r="X117" s="279">
        <f>EEFFun!X587</f>
        <v>137015.48000000001</v>
      </c>
      <c r="Y117" s="279">
        <f>EEFFun!Y587</f>
        <v>153433</v>
      </c>
      <c r="Z117" s="279">
        <f>EEFFun!Z587</f>
        <v>172321.09</v>
      </c>
      <c r="AA117" s="279">
        <f>EEFFun!AA587</f>
        <v>190312.17</v>
      </c>
      <c r="AB117" s="279">
        <f>EEFFun!AB587</f>
        <v>208995.16</v>
      </c>
      <c r="AC117" s="279">
        <f>EEFFun!AC587</f>
        <v>18645.14</v>
      </c>
      <c r="AD117" s="279">
        <f>EEFFun!AD587</f>
        <v>38356.9</v>
      </c>
      <c r="AE117" s="279">
        <f>EEFFun!AE587</f>
        <v>57829.63</v>
      </c>
      <c r="AF117" s="279">
        <f>EEFFun!AF587</f>
        <v>79343.16</v>
      </c>
      <c r="AG117" s="279">
        <f>EEFFun!AG587</f>
        <v>105469.11</v>
      </c>
      <c r="AH117" s="279">
        <f>EEFFun!AH587</f>
        <v>131315.70000000001</v>
      </c>
      <c r="AI117" s="279">
        <f>EEFFun!AI587</f>
        <v>143895.35999999999</v>
      </c>
      <c r="AJ117" s="279">
        <f>EEFFun!AJ587</f>
        <v>169558.74</v>
      </c>
      <c r="AK117" s="279">
        <f>EEFFun!AK587</f>
        <v>195212</v>
      </c>
      <c r="AL117" s="279">
        <f>EEFFun!AL587</f>
        <v>222275.42</v>
      </c>
      <c r="AM117" s="279">
        <f>EEFFun!AM587</f>
        <v>234731.13</v>
      </c>
      <c r="AN117" s="279">
        <f>EEFFun!AN587</f>
        <v>258335.47</v>
      </c>
      <c r="AO117" s="279">
        <f>EEFFun!AO587</f>
        <v>28865.39</v>
      </c>
      <c r="AP117" s="279">
        <f>EEFFun!AP587</f>
        <v>53613.11</v>
      </c>
      <c r="AQ117" s="279">
        <f>EEFFun!AQ587</f>
        <v>78044.039999999994</v>
      </c>
      <c r="AR117" s="279">
        <f>EEFFun!AR587</f>
        <v>102942.29</v>
      </c>
      <c r="AS117" s="279">
        <f>EEFFun!AS587</f>
        <v>130167.92</v>
      </c>
      <c r="AT117" s="279">
        <f>EEFFun!AT587</f>
        <v>159726.57999999999</v>
      </c>
      <c r="AU117" s="279">
        <f>EEFFun!AU587</f>
        <v>189726</v>
      </c>
      <c r="AV117" s="279">
        <f>EEFFun!AV587</f>
        <v>222916.54</v>
      </c>
      <c r="AW117" s="279">
        <f>EEFFun!AW587</f>
        <v>249360.29</v>
      </c>
      <c r="AX117" s="279">
        <f>EEFFun!AX587</f>
        <v>287502.17</v>
      </c>
      <c r="AY117" s="297">
        <f t="shared" ref="AY117" si="592">SUM(AY118:AY120)</f>
        <v>28750.217000000001</v>
      </c>
      <c r="AZ117" s="297">
        <f t="shared" ref="AZ117:BJ117" si="593">SUM(AZ118:AZ120)</f>
        <v>28750.217000000001</v>
      </c>
      <c r="BA117" s="297">
        <f t="shared" si="593"/>
        <v>28750.217000000001</v>
      </c>
      <c r="BB117" s="297">
        <f t="shared" si="593"/>
        <v>28750.217000000001</v>
      </c>
      <c r="BC117" s="297">
        <f t="shared" si="593"/>
        <v>28750.217000000001</v>
      </c>
      <c r="BD117" s="297">
        <f t="shared" si="593"/>
        <v>28750.217000000001</v>
      </c>
      <c r="BE117" s="297">
        <f t="shared" si="593"/>
        <v>28750.217000000001</v>
      </c>
      <c r="BF117" s="297">
        <f t="shared" si="593"/>
        <v>28750.217000000001</v>
      </c>
      <c r="BG117" s="297">
        <f t="shared" si="593"/>
        <v>28750.217000000001</v>
      </c>
      <c r="BH117" s="297">
        <f t="shared" si="593"/>
        <v>28750.217000000001</v>
      </c>
      <c r="BI117" s="297">
        <f t="shared" si="593"/>
        <v>28750.217000000001</v>
      </c>
      <c r="BJ117" s="297">
        <f t="shared" si="593"/>
        <v>28750.217000000001</v>
      </c>
      <c r="BK117" s="297">
        <f t="shared" ref="BK117:BQ117" si="594">SUM(BK118:BK120)</f>
        <v>28750.217000000001</v>
      </c>
      <c r="BL117" s="297">
        <f t="shared" si="594"/>
        <v>57500.434000000001</v>
      </c>
      <c r="BM117" s="297">
        <f t="shared" si="594"/>
        <v>86250.651000000013</v>
      </c>
      <c r="BN117" s="297">
        <f t="shared" si="594"/>
        <v>115000.868</v>
      </c>
      <c r="BO117" s="297">
        <f t="shared" si="594"/>
        <v>143751.08499999999</v>
      </c>
      <c r="BP117" s="297">
        <f t="shared" si="594"/>
        <v>172501.30200000003</v>
      </c>
      <c r="BQ117" s="297">
        <f t="shared" si="594"/>
        <v>201251.519</v>
      </c>
      <c r="BR117" s="297">
        <f t="shared" ref="BR117" si="595">SUM(BR118:BR120)</f>
        <v>230001.736</v>
      </c>
      <c r="BS117" s="297">
        <f t="shared" ref="BS117" si="596">SUM(BS118:BS120)</f>
        <v>258751.95300000001</v>
      </c>
      <c r="BT117" s="297">
        <f t="shared" ref="BT117" si="597">SUM(BT118:BT120)</f>
        <v>287502.17</v>
      </c>
      <c r="BU117" s="297">
        <f t="shared" ref="BU117" si="598">SUM(BU118:BU120)</f>
        <v>316252.38699999999</v>
      </c>
      <c r="BV117" s="297">
        <f t="shared" ref="BV117" si="599">SUM(BV118:BV120)</f>
        <v>345002.60400000005</v>
      </c>
      <c r="BW117" s="284"/>
    </row>
    <row r="118" spans="1:75" outlineLevel="1" x14ac:dyDescent="0.25">
      <c r="A118" s="222">
        <v>6</v>
      </c>
      <c r="B118" s="233">
        <f>EEFFun!B588</f>
        <v>450625</v>
      </c>
      <c r="C118" s="233" t="str">
        <f>EEFFun!C588</f>
        <v>Programas de computación</v>
      </c>
      <c r="D118" s="257">
        <f>EEFFun!P588</f>
        <v>24501.09</v>
      </c>
      <c r="E118" s="295">
        <f t="shared" ref="E118:E120" si="600">Q118</f>
        <v>13350.98</v>
      </c>
      <c r="F118" s="295">
        <f t="shared" ref="F118:F120" si="601">R118-Q118</f>
        <v>14063.600000000002</v>
      </c>
      <c r="G118" s="295">
        <f t="shared" ref="G118:G120" si="602">S118-R118</f>
        <v>13350.979999999996</v>
      </c>
      <c r="H118" s="295">
        <f t="shared" ref="H118:H120" si="603">T118-S118</f>
        <v>13935.950000000004</v>
      </c>
      <c r="I118" s="295">
        <f t="shared" ref="I118:I120" si="604">U118-T118</f>
        <v>17890.489999999998</v>
      </c>
      <c r="J118" s="295">
        <f t="shared" ref="J118:J120" si="605">V118-U118</f>
        <v>12933.210000000006</v>
      </c>
      <c r="K118" s="295">
        <f t="shared" ref="K118:K120" si="606">W118-V118</f>
        <v>17918.689999999988</v>
      </c>
      <c r="L118" s="295">
        <f t="shared" ref="L118:L120" si="607">X118-W118</f>
        <v>16431.070000000007</v>
      </c>
      <c r="M118" s="295">
        <f t="shared" ref="M118:M120" si="608">Y118-X118</f>
        <v>14451.309999999998</v>
      </c>
      <c r="N118" s="295">
        <f t="shared" ref="N118:N120" si="609">Z118-Y118</f>
        <v>16205.339999999997</v>
      </c>
      <c r="O118" s="295">
        <f t="shared" ref="O118:P120" si="610">AA118-Z118</f>
        <v>15209.940000000002</v>
      </c>
      <c r="P118" s="295">
        <f t="shared" si="610"/>
        <v>15732.839999999997</v>
      </c>
      <c r="Q118" s="257">
        <f>EEFFun!Q588</f>
        <v>13350.98</v>
      </c>
      <c r="R118" s="257">
        <f>EEFFun!R588</f>
        <v>27414.58</v>
      </c>
      <c r="S118" s="257">
        <f>EEFFun!S588</f>
        <v>40765.56</v>
      </c>
      <c r="T118" s="257">
        <f>EEFFun!T588</f>
        <v>54701.51</v>
      </c>
      <c r="U118" s="257">
        <f>EEFFun!U588</f>
        <v>72592</v>
      </c>
      <c r="V118" s="257">
        <f>EEFFun!V588</f>
        <v>85525.21</v>
      </c>
      <c r="W118" s="257">
        <f>EEFFun!W588</f>
        <v>103443.9</v>
      </c>
      <c r="X118" s="257">
        <f>EEFFun!X588</f>
        <v>119874.97</v>
      </c>
      <c r="Y118" s="257">
        <f>EEFFun!Y588</f>
        <v>134326.28</v>
      </c>
      <c r="Z118" s="257">
        <f>EEFFun!Z588</f>
        <v>150531.62</v>
      </c>
      <c r="AA118" s="257">
        <f>EEFFun!AA588</f>
        <v>165741.56</v>
      </c>
      <c r="AB118" s="257">
        <f>EEFFun!AB588</f>
        <v>181474.4</v>
      </c>
      <c r="AC118" s="257">
        <f>EEFFun!AC588</f>
        <v>15972.84</v>
      </c>
      <c r="AD118" s="257">
        <f>EEFFun!AD588</f>
        <v>32951.42</v>
      </c>
      <c r="AE118" s="257">
        <f>EEFFun!AE588</f>
        <v>49488.84</v>
      </c>
      <c r="AF118" s="257">
        <f>EEFFun!AF588</f>
        <v>66635.34</v>
      </c>
      <c r="AG118" s="257">
        <f>EEFFun!AG588</f>
        <v>87391.92</v>
      </c>
      <c r="AH118" s="257">
        <f>EEFFun!AH588</f>
        <v>107919.12</v>
      </c>
      <c r="AI118" s="257">
        <f>EEFFun!AI588</f>
        <v>124334.99</v>
      </c>
      <c r="AJ118" s="257">
        <f>EEFFun!AJ588</f>
        <v>144219.24</v>
      </c>
      <c r="AK118" s="257">
        <f>EEFFun!AK588</f>
        <v>164130.87</v>
      </c>
      <c r="AL118" s="257">
        <f>EEFFun!AL588</f>
        <v>185560.28</v>
      </c>
      <c r="AM118" s="257">
        <f>EEFFun!AM588</f>
        <v>200769.01</v>
      </c>
      <c r="AN118" s="257">
        <f>EEFFun!AN588</f>
        <v>220447.2</v>
      </c>
      <c r="AO118" s="257">
        <f>EEFFun!AO588</f>
        <v>23807.02</v>
      </c>
      <c r="AP118" s="257">
        <f>EEFFun!AP588</f>
        <v>43579.11</v>
      </c>
      <c r="AQ118" s="257">
        <f>EEFFun!AQ588</f>
        <v>62950.49</v>
      </c>
      <c r="AR118" s="257">
        <f>EEFFun!AR588</f>
        <v>82964.83</v>
      </c>
      <c r="AS118" s="257">
        <f>EEFFun!AS588</f>
        <v>104435.31</v>
      </c>
      <c r="AT118" s="257">
        <f>EEFFun!AT588</f>
        <v>128263.86</v>
      </c>
      <c r="AU118" s="257">
        <f>EEFFun!AU588</f>
        <v>152841.46</v>
      </c>
      <c r="AV118" s="257">
        <f>EEFFun!AV588</f>
        <v>180620.09</v>
      </c>
      <c r="AW118" s="257">
        <f>EEFFun!AW588</f>
        <v>204787.82</v>
      </c>
      <c r="AX118" s="257">
        <f>EEFFun!AX588</f>
        <v>231296.28</v>
      </c>
      <c r="AY118" s="295">
        <f>+AX118/10</f>
        <v>23129.628000000001</v>
      </c>
      <c r="AZ118" s="295">
        <f>+AY118</f>
        <v>23129.628000000001</v>
      </c>
      <c r="BA118" s="295">
        <f t="shared" ref="BA118:BJ118" si="611">+AZ118</f>
        <v>23129.628000000001</v>
      </c>
      <c r="BB118" s="295">
        <f t="shared" si="611"/>
        <v>23129.628000000001</v>
      </c>
      <c r="BC118" s="295">
        <f t="shared" si="611"/>
        <v>23129.628000000001</v>
      </c>
      <c r="BD118" s="295">
        <f t="shared" si="611"/>
        <v>23129.628000000001</v>
      </c>
      <c r="BE118" s="295">
        <f t="shared" si="611"/>
        <v>23129.628000000001</v>
      </c>
      <c r="BF118" s="295">
        <f t="shared" si="611"/>
        <v>23129.628000000001</v>
      </c>
      <c r="BG118" s="295">
        <f t="shared" si="611"/>
        <v>23129.628000000001</v>
      </c>
      <c r="BH118" s="295">
        <f t="shared" si="611"/>
        <v>23129.628000000001</v>
      </c>
      <c r="BI118" s="295">
        <f t="shared" si="611"/>
        <v>23129.628000000001</v>
      </c>
      <c r="BJ118" s="295">
        <f t="shared" si="611"/>
        <v>23129.628000000001</v>
      </c>
      <c r="BK118" s="295">
        <f>SUM($AY$118:AY118)</f>
        <v>23129.628000000001</v>
      </c>
      <c r="BL118" s="295">
        <f>SUM($AY$118:AZ118)</f>
        <v>46259.256000000001</v>
      </c>
      <c r="BM118" s="295">
        <f>SUM($AY$118:BA118)</f>
        <v>69388.884000000005</v>
      </c>
      <c r="BN118" s="295">
        <f>SUM($AY$118:BB118)</f>
        <v>92518.512000000002</v>
      </c>
      <c r="BO118" s="295">
        <f>SUM($AY$118:BC118)</f>
        <v>115648.14</v>
      </c>
      <c r="BP118" s="295">
        <f>SUM($AY$118:BD118)</f>
        <v>138777.76800000001</v>
      </c>
      <c r="BQ118" s="295">
        <f>SUM($AY$118:BE118)</f>
        <v>161907.39600000001</v>
      </c>
      <c r="BR118" s="295">
        <f>SUM($AY$118:BF118)</f>
        <v>185037.024</v>
      </c>
      <c r="BS118" s="295">
        <f>SUM($AY$118:BG118)</f>
        <v>208166.652</v>
      </c>
      <c r="BT118" s="295">
        <f>SUM($AY$118:BH118)</f>
        <v>231296.28</v>
      </c>
      <c r="BU118" s="295">
        <f>SUM($AY$118:BI118)</f>
        <v>254425.908</v>
      </c>
      <c r="BV118" s="295">
        <f>SUM($AY$118:BJ118)</f>
        <v>277555.53600000002</v>
      </c>
      <c r="BW118" s="291"/>
    </row>
    <row r="119" spans="1:75" outlineLevel="1" x14ac:dyDescent="0.25">
      <c r="A119" s="222">
        <v>6</v>
      </c>
      <c r="B119" s="233">
        <f>EEFFun!B589</f>
        <v>450630</v>
      </c>
      <c r="C119" s="233" t="str">
        <f>EEFFun!C589</f>
        <v>Gastos de adecuación</v>
      </c>
      <c r="D119" s="257">
        <f>EEFFun!P589</f>
        <v>18373.41</v>
      </c>
      <c r="E119" s="295">
        <f t="shared" si="600"/>
        <v>1267.24</v>
      </c>
      <c r="F119" s="295">
        <f t="shared" si="601"/>
        <v>1037.5200000000002</v>
      </c>
      <c r="G119" s="295">
        <f t="shared" si="602"/>
        <v>1148.6699999999996</v>
      </c>
      <c r="H119" s="295">
        <f t="shared" si="603"/>
        <v>1111.6200000000003</v>
      </c>
      <c r="I119" s="295">
        <f t="shared" si="604"/>
        <v>1148.67</v>
      </c>
      <c r="J119" s="295">
        <f t="shared" si="605"/>
        <v>662.65999999999985</v>
      </c>
      <c r="K119" s="295">
        <f t="shared" si="606"/>
        <v>669.81999999999971</v>
      </c>
      <c r="L119" s="295">
        <f t="shared" si="607"/>
        <v>669.82000000000062</v>
      </c>
      <c r="M119" s="295">
        <f t="shared" si="608"/>
        <v>648.20999999999913</v>
      </c>
      <c r="N119" s="295">
        <f t="shared" si="609"/>
        <v>669.81999999999971</v>
      </c>
      <c r="O119" s="295">
        <f t="shared" si="610"/>
        <v>648.21000000000095</v>
      </c>
      <c r="P119" s="295">
        <f t="shared" si="610"/>
        <v>669.81999999999971</v>
      </c>
      <c r="Q119" s="257">
        <f>EEFFun!Q589</f>
        <v>1267.24</v>
      </c>
      <c r="R119" s="257">
        <f>EEFFun!R589</f>
        <v>2304.7600000000002</v>
      </c>
      <c r="S119" s="257">
        <f>EEFFun!S589</f>
        <v>3453.43</v>
      </c>
      <c r="T119" s="257">
        <f>EEFFun!T589</f>
        <v>4565.05</v>
      </c>
      <c r="U119" s="257">
        <f>EEFFun!U589</f>
        <v>5713.72</v>
      </c>
      <c r="V119" s="257">
        <f>EEFFun!V589</f>
        <v>6376.38</v>
      </c>
      <c r="W119" s="257">
        <f>EEFFun!W589</f>
        <v>7046.2</v>
      </c>
      <c r="X119" s="257">
        <f>EEFFun!X589</f>
        <v>7716.02</v>
      </c>
      <c r="Y119" s="257">
        <f>EEFFun!Y589</f>
        <v>8364.23</v>
      </c>
      <c r="Z119" s="257">
        <f>EEFFun!Z589</f>
        <v>9034.0499999999993</v>
      </c>
      <c r="AA119" s="257">
        <f>EEFFun!AA589</f>
        <v>9682.26</v>
      </c>
      <c r="AB119" s="257">
        <f>EEFFun!AB589</f>
        <v>10352.08</v>
      </c>
      <c r="AC119" s="257">
        <f>EEFFun!AC589</f>
        <v>669.82</v>
      </c>
      <c r="AD119" s="257">
        <f>EEFFun!AD589</f>
        <v>1296.42</v>
      </c>
      <c r="AE119" s="257">
        <f>EEFFun!AE589</f>
        <v>1966.24</v>
      </c>
      <c r="AF119" s="257">
        <f>EEFFun!AF589</f>
        <v>2614.4499999999998</v>
      </c>
      <c r="AG119" s="257">
        <f>EEFFun!AG589</f>
        <v>3284.27</v>
      </c>
      <c r="AH119" s="257">
        <f>EEFFun!AH589</f>
        <v>3932.48</v>
      </c>
      <c r="AI119" s="257">
        <f>EEFFun!AI589</f>
        <v>4602.3</v>
      </c>
      <c r="AJ119" s="257">
        <f>EEFFun!AJ589</f>
        <v>5272.12</v>
      </c>
      <c r="AK119" s="257">
        <f>EEFFun!AK589</f>
        <v>5920.33</v>
      </c>
      <c r="AL119" s="257">
        <f>EEFFun!AL589</f>
        <v>6595.5</v>
      </c>
      <c r="AM119" s="257">
        <f>EEFFun!AM589</f>
        <v>7249.06</v>
      </c>
      <c r="AN119" s="257">
        <f>EEFFun!AN589</f>
        <v>7893.84</v>
      </c>
      <c r="AO119" s="257">
        <f>EEFFun!AO589</f>
        <v>3182.65</v>
      </c>
      <c r="AP119" s="257">
        <f>EEFFun!AP589</f>
        <v>6345.65</v>
      </c>
      <c r="AQ119" s="257">
        <f>EEFFun!AQ589</f>
        <v>9528.2999999999993</v>
      </c>
      <c r="AR119" s="257">
        <f>EEFFun!AR589</f>
        <v>12703.99</v>
      </c>
      <c r="AS119" s="257">
        <f>EEFFun!AS589</f>
        <v>16855.580000000002</v>
      </c>
      <c r="AT119" s="257">
        <f>EEFFun!AT589</f>
        <v>21000.21</v>
      </c>
      <c r="AU119" s="257">
        <f>EEFFun!AU589</f>
        <v>25151.8</v>
      </c>
      <c r="AV119" s="257">
        <f>EEFFun!AV589</f>
        <v>29303.39</v>
      </c>
      <c r="AW119" s="257">
        <f>EEFFun!AW589</f>
        <v>33313.51</v>
      </c>
      <c r="AX119" s="257">
        <f>EEFFun!AX589</f>
        <v>37268.01</v>
      </c>
      <c r="AY119" s="295">
        <f>+AX119/10</f>
        <v>3726.8010000000004</v>
      </c>
      <c r="AZ119" s="295">
        <f t="shared" ref="AZ119:BJ121" si="612">+AY119</f>
        <v>3726.8010000000004</v>
      </c>
      <c r="BA119" s="295">
        <f t="shared" si="612"/>
        <v>3726.8010000000004</v>
      </c>
      <c r="BB119" s="295">
        <f t="shared" si="612"/>
        <v>3726.8010000000004</v>
      </c>
      <c r="BC119" s="295">
        <f t="shared" si="612"/>
        <v>3726.8010000000004</v>
      </c>
      <c r="BD119" s="295">
        <f t="shared" si="612"/>
        <v>3726.8010000000004</v>
      </c>
      <c r="BE119" s="295">
        <f t="shared" si="612"/>
        <v>3726.8010000000004</v>
      </c>
      <c r="BF119" s="295">
        <f t="shared" si="612"/>
        <v>3726.8010000000004</v>
      </c>
      <c r="BG119" s="295">
        <f t="shared" si="612"/>
        <v>3726.8010000000004</v>
      </c>
      <c r="BH119" s="295">
        <f t="shared" si="612"/>
        <v>3726.8010000000004</v>
      </c>
      <c r="BI119" s="295">
        <f t="shared" si="612"/>
        <v>3726.8010000000004</v>
      </c>
      <c r="BJ119" s="295">
        <f t="shared" si="612"/>
        <v>3726.8010000000004</v>
      </c>
      <c r="BK119" s="295">
        <f>SUM($AY$119:AY119)</f>
        <v>3726.8010000000004</v>
      </c>
      <c r="BL119" s="295">
        <f>SUM($AY$119:AZ119)</f>
        <v>7453.6020000000008</v>
      </c>
      <c r="BM119" s="295">
        <f>SUM($AY$119:BA119)</f>
        <v>11180.403000000002</v>
      </c>
      <c r="BN119" s="295">
        <f>SUM($AY$119:BB119)</f>
        <v>14907.204000000002</v>
      </c>
      <c r="BO119" s="295">
        <f>SUM($AY$119:BC119)</f>
        <v>18634.005000000001</v>
      </c>
      <c r="BP119" s="295">
        <f>SUM($AY$119:BD119)</f>
        <v>22360.806</v>
      </c>
      <c r="BQ119" s="295">
        <f>SUM($AY$119:BE119)</f>
        <v>26087.607</v>
      </c>
      <c r="BR119" s="295">
        <f>SUM($AY$119:BF119)</f>
        <v>29814.407999999999</v>
      </c>
      <c r="BS119" s="295">
        <f>SUM($AY$119:BG119)</f>
        <v>33541.209000000003</v>
      </c>
      <c r="BT119" s="295">
        <f>SUM($AY$119:BH119)</f>
        <v>37268.01</v>
      </c>
      <c r="BU119" s="295">
        <f>SUM($AY$119:BI119)</f>
        <v>40994.811000000002</v>
      </c>
      <c r="BV119" s="295">
        <f>SUM($AY$119:BJ119)</f>
        <v>44721.612000000001</v>
      </c>
      <c r="BW119" s="291"/>
    </row>
    <row r="120" spans="1:75" outlineLevel="1" x14ac:dyDescent="0.25">
      <c r="A120" s="222">
        <v>6</v>
      </c>
      <c r="B120" s="233">
        <f>EEFFun!B590</f>
        <v>450690</v>
      </c>
      <c r="C120" s="233" t="str">
        <f>EEFFun!C590</f>
        <v>OTROS</v>
      </c>
      <c r="D120" s="257">
        <f>EEFFun!P590</f>
        <v>12058.58</v>
      </c>
      <c r="E120" s="295">
        <f t="shared" si="600"/>
        <v>3862.07</v>
      </c>
      <c r="F120" s="295">
        <f t="shared" si="601"/>
        <v>3733.15</v>
      </c>
      <c r="G120" s="295">
        <f t="shared" si="602"/>
        <v>4028.96</v>
      </c>
      <c r="H120" s="295">
        <f t="shared" si="603"/>
        <v>10304.14</v>
      </c>
      <c r="I120" s="295">
        <f t="shared" si="604"/>
        <v>-17342.239999999998</v>
      </c>
      <c r="J120" s="295">
        <f t="shared" si="605"/>
        <v>988.47000000000025</v>
      </c>
      <c r="K120" s="295">
        <f t="shared" si="606"/>
        <v>1652.62</v>
      </c>
      <c r="L120" s="295">
        <f t="shared" si="607"/>
        <v>2197.3199999999997</v>
      </c>
      <c r="M120" s="295">
        <f t="shared" si="608"/>
        <v>1318</v>
      </c>
      <c r="N120" s="295">
        <f t="shared" si="609"/>
        <v>2012.9300000000003</v>
      </c>
      <c r="O120" s="295">
        <f t="shared" si="610"/>
        <v>2132.9300000000003</v>
      </c>
      <c r="P120" s="295">
        <f t="shared" si="610"/>
        <v>2280.33</v>
      </c>
      <c r="Q120" s="257">
        <f>EEFFun!Q590</f>
        <v>3862.07</v>
      </c>
      <c r="R120" s="257">
        <f>EEFFun!R590</f>
        <v>7595.22</v>
      </c>
      <c r="S120" s="257">
        <f>EEFFun!S590</f>
        <v>11624.18</v>
      </c>
      <c r="T120" s="257">
        <f>EEFFun!T590</f>
        <v>21928.32</v>
      </c>
      <c r="U120" s="257">
        <f>EEFFun!U590</f>
        <v>4586.08</v>
      </c>
      <c r="V120" s="257">
        <f>EEFFun!V590</f>
        <v>5574.55</v>
      </c>
      <c r="W120" s="257">
        <f>EEFFun!W590</f>
        <v>7227.17</v>
      </c>
      <c r="X120" s="257">
        <f>EEFFun!X590</f>
        <v>9424.49</v>
      </c>
      <c r="Y120" s="257">
        <f>EEFFun!Y590</f>
        <v>10742.49</v>
      </c>
      <c r="Z120" s="257">
        <f>EEFFun!Z590</f>
        <v>12755.42</v>
      </c>
      <c r="AA120" s="257">
        <f>EEFFun!AA590</f>
        <v>14888.35</v>
      </c>
      <c r="AB120" s="257">
        <f>EEFFun!AB590</f>
        <v>17168.68</v>
      </c>
      <c r="AC120" s="257">
        <f>EEFFun!AC590</f>
        <v>2002.48</v>
      </c>
      <c r="AD120" s="257">
        <f>EEFFun!AD590</f>
        <v>4109.0600000000004</v>
      </c>
      <c r="AE120" s="257">
        <f>EEFFun!AE590</f>
        <v>6374.55</v>
      </c>
      <c r="AF120" s="257">
        <f>EEFFun!AF590</f>
        <v>10093.370000000001</v>
      </c>
      <c r="AG120" s="257">
        <f>EEFFun!AG590</f>
        <v>14792.92</v>
      </c>
      <c r="AH120" s="257">
        <f>EEFFun!AH590</f>
        <v>19464.099999999999</v>
      </c>
      <c r="AI120" s="257">
        <f>EEFFun!AI590</f>
        <v>14958.07</v>
      </c>
      <c r="AJ120" s="257">
        <f>EEFFun!AJ590</f>
        <v>20067.38</v>
      </c>
      <c r="AK120" s="257">
        <f>EEFFun!AK590</f>
        <v>25160.799999999999</v>
      </c>
      <c r="AL120" s="257">
        <f>EEFFun!AL590</f>
        <v>30119.64</v>
      </c>
      <c r="AM120" s="257">
        <f>EEFFun!AM590</f>
        <v>26713.06</v>
      </c>
      <c r="AN120" s="257">
        <f>EEFFun!AN590</f>
        <v>29994.43</v>
      </c>
      <c r="AO120" s="257">
        <f>EEFFun!AO590</f>
        <v>1875.72</v>
      </c>
      <c r="AP120" s="257">
        <f>EEFFun!AP590</f>
        <v>3688.35</v>
      </c>
      <c r="AQ120" s="257">
        <f>EEFFun!AQ590</f>
        <v>5565.25</v>
      </c>
      <c r="AR120" s="257">
        <f>EEFFun!AR590</f>
        <v>7273.47</v>
      </c>
      <c r="AS120" s="257">
        <f>EEFFun!AS590</f>
        <v>8877.0300000000007</v>
      </c>
      <c r="AT120" s="257">
        <f>EEFFun!AT590</f>
        <v>10462.51</v>
      </c>
      <c r="AU120" s="257">
        <f>EEFFun!AU590</f>
        <v>11732.74</v>
      </c>
      <c r="AV120" s="257">
        <f>EEFFun!AV590</f>
        <v>11732.74</v>
      </c>
      <c r="AW120" s="257">
        <f>EEFFun!AW590</f>
        <v>11258.96</v>
      </c>
      <c r="AX120" s="257">
        <f>EEFFun!AX590</f>
        <v>18937.88</v>
      </c>
      <c r="AY120" s="295">
        <f>+AX120/10</f>
        <v>1893.788</v>
      </c>
      <c r="AZ120" s="295">
        <f t="shared" si="612"/>
        <v>1893.788</v>
      </c>
      <c r="BA120" s="295">
        <f t="shared" si="612"/>
        <v>1893.788</v>
      </c>
      <c r="BB120" s="295">
        <f t="shared" si="612"/>
        <v>1893.788</v>
      </c>
      <c r="BC120" s="295">
        <f t="shared" si="612"/>
        <v>1893.788</v>
      </c>
      <c r="BD120" s="295">
        <f t="shared" si="612"/>
        <v>1893.788</v>
      </c>
      <c r="BE120" s="295">
        <f t="shared" si="612"/>
        <v>1893.788</v>
      </c>
      <c r="BF120" s="295">
        <f t="shared" si="612"/>
        <v>1893.788</v>
      </c>
      <c r="BG120" s="295">
        <f t="shared" si="612"/>
        <v>1893.788</v>
      </c>
      <c r="BH120" s="295">
        <f t="shared" si="612"/>
        <v>1893.788</v>
      </c>
      <c r="BI120" s="295">
        <f t="shared" si="612"/>
        <v>1893.788</v>
      </c>
      <c r="BJ120" s="295">
        <f t="shared" si="612"/>
        <v>1893.788</v>
      </c>
      <c r="BK120" s="295">
        <f>SUM($AY$120:AY120)</f>
        <v>1893.788</v>
      </c>
      <c r="BL120" s="295">
        <f>SUM($AY$120:AZ120)</f>
        <v>3787.576</v>
      </c>
      <c r="BM120" s="295">
        <f>SUM($AY$120:BA120)</f>
        <v>5681.3639999999996</v>
      </c>
      <c r="BN120" s="295">
        <f>SUM($AY$120:BB120)</f>
        <v>7575.152</v>
      </c>
      <c r="BO120" s="295">
        <f>SUM($AY$120:BC120)</f>
        <v>9468.94</v>
      </c>
      <c r="BP120" s="295">
        <f>SUM($AY$120:BD120)</f>
        <v>11362.728000000001</v>
      </c>
      <c r="BQ120" s="295">
        <f>SUM($AY$120:BE120)</f>
        <v>13256.516000000001</v>
      </c>
      <c r="BR120" s="295">
        <f>SUM($AY$120:BF120)</f>
        <v>15150.304000000002</v>
      </c>
      <c r="BS120" s="295">
        <f>SUM($AY$120:BG120)</f>
        <v>17044.092000000001</v>
      </c>
      <c r="BT120" s="295">
        <f>SUM($AY$120:BH120)</f>
        <v>18937.88</v>
      </c>
      <c r="BU120" s="295">
        <f>SUM($AY$120:BI120)</f>
        <v>20831.668000000001</v>
      </c>
      <c r="BV120" s="295">
        <f>SUM($AY$120:BJ120)</f>
        <v>22725.456000000002</v>
      </c>
      <c r="BW120" s="291"/>
    </row>
    <row r="121" spans="1:75" s="229" customFormat="1" outlineLevel="1" x14ac:dyDescent="0.25">
      <c r="A121" s="239">
        <v>4</v>
      </c>
      <c r="B121" s="223">
        <f>EEFFun!B591</f>
        <v>4507</v>
      </c>
      <c r="C121" s="223" t="str">
        <f>EEFFun!C591</f>
        <v>Otros gastos</v>
      </c>
      <c r="D121" s="279">
        <f>EEFFun!P591</f>
        <v>298557.82</v>
      </c>
      <c r="E121" s="297">
        <f t="shared" ref="E121" si="613">E122+E126+E133</f>
        <v>11271.920000000002</v>
      </c>
      <c r="F121" s="297">
        <f t="shared" ref="F121" si="614">F122+F126+F133</f>
        <v>16152.21</v>
      </c>
      <c r="G121" s="297">
        <f t="shared" ref="G121" si="615">G122+G126+G133</f>
        <v>19660.439999999995</v>
      </c>
      <c r="H121" s="297">
        <f t="shared" ref="H121:O121" si="616">H122+H126+H133</f>
        <v>5444.57</v>
      </c>
      <c r="I121" s="297">
        <f t="shared" si="616"/>
        <v>29371.350000000006</v>
      </c>
      <c r="J121" s="297">
        <f t="shared" si="616"/>
        <v>28445.670000000002</v>
      </c>
      <c r="K121" s="297">
        <f t="shared" si="616"/>
        <v>16567.120000000003</v>
      </c>
      <c r="L121" s="297">
        <f t="shared" si="616"/>
        <v>14425.399999999998</v>
      </c>
      <c r="M121" s="297">
        <f t="shared" si="616"/>
        <v>20670.71</v>
      </c>
      <c r="N121" s="297">
        <f t="shared" si="616"/>
        <v>17656.759999999995</v>
      </c>
      <c r="O121" s="297">
        <f t="shared" si="616"/>
        <v>20715.690000000002</v>
      </c>
      <c r="P121" s="297">
        <f t="shared" ref="P121" si="617">P122+P126+P133</f>
        <v>-43158.630000000005</v>
      </c>
      <c r="Q121" s="279">
        <f>EEFFun!Q591</f>
        <v>11271.92</v>
      </c>
      <c r="R121" s="279">
        <f>EEFFun!R591</f>
        <v>27424.13</v>
      </c>
      <c r="S121" s="279">
        <f>EEFFun!S591</f>
        <v>47084.57</v>
      </c>
      <c r="T121" s="279">
        <f>EEFFun!T591</f>
        <v>52529.14</v>
      </c>
      <c r="U121" s="279">
        <f>EEFFun!U591</f>
        <v>81900.490000000005</v>
      </c>
      <c r="V121" s="279">
        <f>EEFFun!V591</f>
        <v>110346.16</v>
      </c>
      <c r="W121" s="279">
        <f>EEFFun!W591</f>
        <v>126913.28</v>
      </c>
      <c r="X121" s="279">
        <f>EEFFun!X591</f>
        <v>141338.68</v>
      </c>
      <c r="Y121" s="279">
        <f>EEFFun!Y591</f>
        <v>162009.39000000001</v>
      </c>
      <c r="Z121" s="279">
        <f>EEFFun!Z591</f>
        <v>179666.15</v>
      </c>
      <c r="AA121" s="279">
        <f>EEFFun!AA591</f>
        <v>200381.84</v>
      </c>
      <c r="AB121" s="279">
        <f>EEFFun!AB591</f>
        <v>157223.21</v>
      </c>
      <c r="AC121" s="279">
        <f>EEFFun!AC591</f>
        <v>16063.53</v>
      </c>
      <c r="AD121" s="279">
        <f>EEFFun!AD591</f>
        <v>39609.26</v>
      </c>
      <c r="AE121" s="279">
        <f>EEFFun!AE591</f>
        <v>61947.21</v>
      </c>
      <c r="AF121" s="279">
        <f>EEFFun!AF591</f>
        <v>76692.789999999994</v>
      </c>
      <c r="AG121" s="279">
        <f>EEFFun!AG591</f>
        <v>94513.38</v>
      </c>
      <c r="AH121" s="279">
        <f>EEFFun!AH591</f>
        <v>110735.05</v>
      </c>
      <c r="AI121" s="279">
        <f>EEFFun!AI591</f>
        <v>131686.82999999999</v>
      </c>
      <c r="AJ121" s="279">
        <f>EEFFun!AJ591</f>
        <v>155016.82</v>
      </c>
      <c r="AK121" s="279">
        <f>EEFFun!AK591</f>
        <v>175442.21</v>
      </c>
      <c r="AL121" s="279">
        <f>EEFFun!AL591</f>
        <v>198012.91</v>
      </c>
      <c r="AM121" s="279">
        <f>EEFFun!AM591</f>
        <v>219745.5</v>
      </c>
      <c r="AN121" s="279">
        <f>EEFFun!AN591</f>
        <v>256894.94</v>
      </c>
      <c r="AO121" s="279">
        <f>EEFFun!AO591</f>
        <v>13800.94</v>
      </c>
      <c r="AP121" s="279">
        <f>EEFFun!AP591</f>
        <v>34899.370000000003</v>
      </c>
      <c r="AQ121" s="279">
        <f>EEFFun!AQ591</f>
        <v>53654.92</v>
      </c>
      <c r="AR121" s="279">
        <f>EEFFun!AR591</f>
        <v>78059.7</v>
      </c>
      <c r="AS121" s="279">
        <f>EEFFun!AS591</f>
        <v>104404.81</v>
      </c>
      <c r="AT121" s="279">
        <f>EEFFun!AT591</f>
        <v>124953.03</v>
      </c>
      <c r="AU121" s="279">
        <f>EEFFun!AU591</f>
        <v>141311.25</v>
      </c>
      <c r="AV121" s="279">
        <f>EEFFun!AV591</f>
        <v>159490.35999999999</v>
      </c>
      <c r="AW121" s="279">
        <f>EEFFun!AW591</f>
        <v>184596.62</v>
      </c>
      <c r="AX121" s="279">
        <f>EEFFun!AX591</f>
        <v>198778.45</v>
      </c>
      <c r="AY121" s="297">
        <f t="shared" ref="AY121" si="618">AY122+AY126+AY133</f>
        <v>18184.147833333333</v>
      </c>
      <c r="AZ121" s="295">
        <f t="shared" si="612"/>
        <v>18184.147833333333</v>
      </c>
      <c r="BA121" s="295">
        <f t="shared" si="612"/>
        <v>18184.147833333333</v>
      </c>
      <c r="BB121" s="295">
        <f t="shared" si="612"/>
        <v>18184.147833333333</v>
      </c>
      <c r="BC121" s="295">
        <f t="shared" si="612"/>
        <v>18184.147833333333</v>
      </c>
      <c r="BD121" s="295">
        <f t="shared" si="612"/>
        <v>18184.147833333333</v>
      </c>
      <c r="BE121" s="295">
        <f t="shared" si="612"/>
        <v>18184.147833333333</v>
      </c>
      <c r="BF121" s="295">
        <f t="shared" si="612"/>
        <v>18184.147833333333</v>
      </c>
      <c r="BG121" s="295">
        <f t="shared" si="612"/>
        <v>18184.147833333333</v>
      </c>
      <c r="BH121" s="295">
        <f t="shared" si="612"/>
        <v>18184.147833333333</v>
      </c>
      <c r="BI121" s="295">
        <f t="shared" si="612"/>
        <v>18184.147833333333</v>
      </c>
      <c r="BJ121" s="295">
        <f t="shared" si="612"/>
        <v>18184.147833333333</v>
      </c>
      <c r="BK121" s="297">
        <f t="shared" ref="BK121:BQ121" si="619">BK122+BK126+BK133</f>
        <v>18184.147833333333</v>
      </c>
      <c r="BL121" s="297">
        <f t="shared" si="619"/>
        <v>36368.295666666665</v>
      </c>
      <c r="BM121" s="297">
        <f t="shared" si="619"/>
        <v>54552.443500000008</v>
      </c>
      <c r="BN121" s="297">
        <f t="shared" si="619"/>
        <v>72736.59133333333</v>
      </c>
      <c r="BO121" s="297">
        <f t="shared" si="619"/>
        <v>90920.739166666652</v>
      </c>
      <c r="BP121" s="297">
        <f t="shared" si="619"/>
        <v>109104.88700000002</v>
      </c>
      <c r="BQ121" s="297">
        <f t="shared" si="619"/>
        <v>127289.03483333334</v>
      </c>
      <c r="BR121" s="297">
        <f t="shared" ref="BR121" si="620">BR122+BR126+BR133</f>
        <v>145473.18266666666</v>
      </c>
      <c r="BS121" s="297">
        <f t="shared" ref="BS121" si="621">BS122+BS126+BS133</f>
        <v>163657.33049999998</v>
      </c>
      <c r="BT121" s="297">
        <f t="shared" ref="BT121" si="622">BT122+BT126+BT133</f>
        <v>181841.47833333333</v>
      </c>
      <c r="BU121" s="297">
        <f t="shared" ref="BU121" si="623">BU122+BU126+BU133</f>
        <v>200025.62616666668</v>
      </c>
      <c r="BV121" s="297">
        <f t="shared" ref="BV121" si="624">BV122+BV126+BV133</f>
        <v>218209.77400000003</v>
      </c>
      <c r="BW121" s="284"/>
    </row>
    <row r="122" spans="1:75" outlineLevel="1" x14ac:dyDescent="0.25">
      <c r="A122" s="222">
        <v>6</v>
      </c>
      <c r="B122" s="233">
        <f>EEFFun!B592</f>
        <v>450705</v>
      </c>
      <c r="C122" s="233" t="str">
        <f>EEFFun!C592</f>
        <v>Suministros diversos</v>
      </c>
      <c r="D122" s="257">
        <f>EEFFun!P592</f>
        <v>29312.59</v>
      </c>
      <c r="E122" s="295">
        <f t="shared" ref="E122" si="625">SUM(E123:E125)</f>
        <v>1574.62</v>
      </c>
      <c r="F122" s="295">
        <f t="shared" ref="F122" si="626">SUM(F123:F125)</f>
        <v>2550.14</v>
      </c>
      <c r="G122" s="295">
        <f t="shared" ref="G122" si="627">SUM(G123:G125)</f>
        <v>1447.6000000000004</v>
      </c>
      <c r="H122" s="295">
        <f t="shared" ref="H122:O122" si="628">SUM(H123:H125)</f>
        <v>703.47999999999934</v>
      </c>
      <c r="I122" s="295">
        <f t="shared" si="628"/>
        <v>1538.9500000000007</v>
      </c>
      <c r="J122" s="295">
        <f t="shared" si="628"/>
        <v>11115.99</v>
      </c>
      <c r="K122" s="295">
        <f t="shared" si="628"/>
        <v>2055.579999999999</v>
      </c>
      <c r="L122" s="295">
        <f t="shared" si="628"/>
        <v>-3827.1400000000003</v>
      </c>
      <c r="M122" s="295">
        <f t="shared" si="628"/>
        <v>-58.590000000000146</v>
      </c>
      <c r="N122" s="295">
        <f t="shared" si="628"/>
        <v>-1283.1599999999989</v>
      </c>
      <c r="O122" s="295">
        <f t="shared" si="628"/>
        <v>2331.5000000000014</v>
      </c>
      <c r="P122" s="295">
        <f t="shared" ref="P122" si="629">SUM(P123:P125)</f>
        <v>-7484.7600000000011</v>
      </c>
      <c r="Q122" s="257">
        <f>EEFFun!Q592</f>
        <v>1574.62</v>
      </c>
      <c r="R122" s="257">
        <f>EEFFun!R592</f>
        <v>4124.76</v>
      </c>
      <c r="S122" s="257">
        <f>EEFFun!S592</f>
        <v>5572.36</v>
      </c>
      <c r="T122" s="257">
        <f>EEFFun!T592</f>
        <v>6275.84</v>
      </c>
      <c r="U122" s="257">
        <f>EEFFun!U592</f>
        <v>7814.79</v>
      </c>
      <c r="V122" s="257">
        <f>EEFFun!V592</f>
        <v>18930.78</v>
      </c>
      <c r="W122" s="257">
        <f>EEFFun!W592</f>
        <v>20986.36</v>
      </c>
      <c r="X122" s="257">
        <f>EEFFun!X592</f>
        <v>17159.22</v>
      </c>
      <c r="Y122" s="257">
        <f>EEFFun!Y592</f>
        <v>17100.63</v>
      </c>
      <c r="Z122" s="257">
        <f>EEFFun!Z592</f>
        <v>15817.47</v>
      </c>
      <c r="AA122" s="257">
        <f>EEFFun!AA592</f>
        <v>18148.97</v>
      </c>
      <c r="AB122" s="257">
        <f>EEFFun!AB592</f>
        <v>10664.21</v>
      </c>
      <c r="AC122" s="257">
        <f>EEFFun!AC592</f>
        <v>1829.7</v>
      </c>
      <c r="AD122" s="257">
        <f>EEFFun!AD592</f>
        <v>5166.91</v>
      </c>
      <c r="AE122" s="257">
        <f>EEFFun!AE592</f>
        <v>10647.56</v>
      </c>
      <c r="AF122" s="257">
        <f>EEFFun!AF592</f>
        <v>10472.629999999999</v>
      </c>
      <c r="AG122" s="257">
        <f>EEFFun!AG592</f>
        <v>12045.82</v>
      </c>
      <c r="AH122" s="257">
        <f>EEFFun!AH592</f>
        <v>15490.88</v>
      </c>
      <c r="AI122" s="257">
        <f>EEFFun!AI592</f>
        <v>17525.82</v>
      </c>
      <c r="AJ122" s="257">
        <f>EEFFun!AJ592</f>
        <v>25431.16</v>
      </c>
      <c r="AK122" s="257">
        <f>EEFFun!AK592</f>
        <v>28266.12</v>
      </c>
      <c r="AL122" s="257">
        <f>EEFFun!AL592</f>
        <v>34313.71</v>
      </c>
      <c r="AM122" s="257">
        <f>EEFFun!AM592</f>
        <v>36860.92</v>
      </c>
      <c r="AN122" s="257">
        <f>EEFFun!AN592</f>
        <v>47054</v>
      </c>
      <c r="AO122" s="257">
        <f>EEFFun!AO592</f>
        <v>2826.43</v>
      </c>
      <c r="AP122" s="257">
        <f>EEFFun!AP592</f>
        <v>5313.31</v>
      </c>
      <c r="AQ122" s="257">
        <f>EEFFun!AQ592</f>
        <v>14380.49</v>
      </c>
      <c r="AR122" s="257">
        <f>EEFFun!AR592</f>
        <v>20940.95</v>
      </c>
      <c r="AS122" s="257">
        <f>EEFFun!AS592</f>
        <v>34164.58</v>
      </c>
      <c r="AT122" s="257">
        <f>EEFFun!AT592</f>
        <v>38758.660000000003</v>
      </c>
      <c r="AU122" s="257">
        <f>EEFFun!AU592</f>
        <v>42415.45</v>
      </c>
      <c r="AV122" s="257">
        <f>EEFFun!AV592</f>
        <v>46058.81</v>
      </c>
      <c r="AW122" s="257">
        <f>EEFFun!AW592</f>
        <v>53804.09</v>
      </c>
      <c r="AX122" s="257">
        <f>EEFFun!AX592</f>
        <v>57167.55</v>
      </c>
      <c r="AY122" s="295">
        <f>SUM(AY123:AY125)</f>
        <v>5029.3017499999996</v>
      </c>
      <c r="AZ122" s="295">
        <f>+AY122</f>
        <v>5029.3017499999996</v>
      </c>
      <c r="BA122" s="295">
        <f t="shared" ref="BA122:BJ122" si="630">+AZ122</f>
        <v>5029.3017499999996</v>
      </c>
      <c r="BB122" s="295">
        <f t="shared" si="630"/>
        <v>5029.3017499999996</v>
      </c>
      <c r="BC122" s="295">
        <f t="shared" si="630"/>
        <v>5029.3017499999996</v>
      </c>
      <c r="BD122" s="295">
        <f t="shared" si="630"/>
        <v>5029.3017499999996</v>
      </c>
      <c r="BE122" s="295">
        <f t="shared" si="630"/>
        <v>5029.3017499999996</v>
      </c>
      <c r="BF122" s="295">
        <f t="shared" si="630"/>
        <v>5029.3017499999996</v>
      </c>
      <c r="BG122" s="295">
        <f t="shared" si="630"/>
        <v>5029.3017499999996</v>
      </c>
      <c r="BH122" s="295">
        <f t="shared" si="630"/>
        <v>5029.3017499999996</v>
      </c>
      <c r="BI122" s="295">
        <f t="shared" si="630"/>
        <v>5029.3017499999996</v>
      </c>
      <c r="BJ122" s="295">
        <f t="shared" si="630"/>
        <v>5029.3017499999996</v>
      </c>
      <c r="BK122" s="295">
        <f t="shared" ref="BK122:BQ122" si="631">SUM(BK123:BK125)</f>
        <v>5029.3017499999996</v>
      </c>
      <c r="BL122" s="295">
        <f t="shared" si="631"/>
        <v>10058.603499999999</v>
      </c>
      <c r="BM122" s="295">
        <f t="shared" si="631"/>
        <v>15087.90525</v>
      </c>
      <c r="BN122" s="295">
        <f t="shared" si="631"/>
        <v>20117.206999999999</v>
      </c>
      <c r="BO122" s="295">
        <f t="shared" si="631"/>
        <v>25146.508750000001</v>
      </c>
      <c r="BP122" s="295">
        <f t="shared" si="631"/>
        <v>30175.8105</v>
      </c>
      <c r="BQ122" s="295">
        <f t="shared" si="631"/>
        <v>35205.112249999998</v>
      </c>
      <c r="BR122" s="295">
        <f t="shared" ref="BR122" si="632">SUM(BR123:BR125)</f>
        <v>40234.413999999997</v>
      </c>
      <c r="BS122" s="295">
        <f t="shared" ref="BS122" si="633">SUM(BS123:BS125)</f>
        <v>45263.715749999996</v>
      </c>
      <c r="BT122" s="295">
        <f t="shared" ref="BT122" si="634">SUM(BT123:BT125)</f>
        <v>50293.017500000002</v>
      </c>
      <c r="BU122" s="295">
        <f t="shared" ref="BU122" si="635">SUM(BU123:BU125)</f>
        <v>55322.31925</v>
      </c>
      <c r="BV122" s="295">
        <f t="shared" ref="BV122" si="636">SUM(BV123:BV125)</f>
        <v>60351.620999999999</v>
      </c>
      <c r="BW122" s="291"/>
    </row>
    <row r="123" spans="1:75" outlineLevel="1" x14ac:dyDescent="0.25">
      <c r="A123" s="222">
        <v>8</v>
      </c>
      <c r="B123" s="233">
        <f>EEFFun!B593</f>
        <v>45070505</v>
      </c>
      <c r="C123" s="233" t="str">
        <f>EEFFun!C593</f>
        <v>UTILIES Y SUMINISTROS DE OFICINA</v>
      </c>
      <c r="D123" s="257">
        <f>EEFFun!P593</f>
        <v>27835.360000000001</v>
      </c>
      <c r="E123" s="295">
        <f t="shared" ref="E123:E125" si="637">Q123</f>
        <v>1574.62</v>
      </c>
      <c r="F123" s="295">
        <f t="shared" ref="F123:F125" si="638">R123-Q123</f>
        <v>2410.79</v>
      </c>
      <c r="G123" s="295">
        <f t="shared" ref="G123:G125" si="639">S123-R123</f>
        <v>1447.6000000000004</v>
      </c>
      <c r="H123" s="295">
        <f t="shared" ref="H123:H125" si="640">T123-S123</f>
        <v>668.96999999999935</v>
      </c>
      <c r="I123" s="295">
        <f t="shared" ref="I123:I125" si="641">U123-T123</f>
        <v>1538.9500000000007</v>
      </c>
      <c r="J123" s="295">
        <f t="shared" ref="J123:J125" si="642">V123-U123</f>
        <v>10634.09</v>
      </c>
      <c r="K123" s="295">
        <f t="shared" ref="K123:K125" si="643">W123-V123</f>
        <v>1725.9599999999991</v>
      </c>
      <c r="L123" s="295">
        <f t="shared" ref="L123:L125" si="644">X123-W123</f>
        <v>-4060.6800000000003</v>
      </c>
      <c r="M123" s="295">
        <f t="shared" ref="M123:M125" si="645">Y123-X123</f>
        <v>45.25</v>
      </c>
      <c r="N123" s="295">
        <f t="shared" ref="N123:N125" si="646">Z123-Y123</f>
        <v>-1003.4599999999991</v>
      </c>
      <c r="O123" s="295">
        <f t="shared" ref="O123:P125" si="647">AA123-Z123</f>
        <v>2257.2200000000012</v>
      </c>
      <c r="P123" s="295">
        <f t="shared" si="647"/>
        <v>-8326.2400000000016</v>
      </c>
      <c r="Q123" s="257">
        <f>EEFFun!Q593</f>
        <v>1574.62</v>
      </c>
      <c r="R123" s="257">
        <f>EEFFun!R593</f>
        <v>3985.41</v>
      </c>
      <c r="S123" s="257">
        <f>EEFFun!S593</f>
        <v>5433.01</v>
      </c>
      <c r="T123" s="257">
        <f>EEFFun!T593</f>
        <v>6101.98</v>
      </c>
      <c r="U123" s="257">
        <f>EEFFun!U593</f>
        <v>7640.93</v>
      </c>
      <c r="V123" s="257">
        <f>EEFFun!V593</f>
        <v>18275.02</v>
      </c>
      <c r="W123" s="257">
        <f>EEFFun!W593</f>
        <v>20000.98</v>
      </c>
      <c r="X123" s="257">
        <f>EEFFun!X593</f>
        <v>15940.3</v>
      </c>
      <c r="Y123" s="257">
        <f>EEFFun!Y593</f>
        <v>15985.55</v>
      </c>
      <c r="Z123" s="257">
        <f>EEFFun!Z593</f>
        <v>14982.09</v>
      </c>
      <c r="AA123" s="257">
        <f>EEFFun!AA593</f>
        <v>17239.310000000001</v>
      </c>
      <c r="AB123" s="257">
        <f>EEFFun!AB593</f>
        <v>8913.07</v>
      </c>
      <c r="AC123" s="257">
        <f>EEFFun!AC593</f>
        <v>1785.02</v>
      </c>
      <c r="AD123" s="257">
        <f>EEFFun!AD593</f>
        <v>5026.62</v>
      </c>
      <c r="AE123" s="257">
        <f>EEFFun!AE593</f>
        <v>10315.540000000001</v>
      </c>
      <c r="AF123" s="257">
        <f>EEFFun!AF593</f>
        <v>10045.290000000001</v>
      </c>
      <c r="AG123" s="257">
        <f>EEFFun!AG593</f>
        <v>11492.19</v>
      </c>
      <c r="AH123" s="257">
        <f>EEFFun!AH593</f>
        <v>15332.95</v>
      </c>
      <c r="AI123" s="257">
        <f>EEFFun!AI593</f>
        <v>16813.439999999999</v>
      </c>
      <c r="AJ123" s="257">
        <f>EEFFun!AJ593</f>
        <v>24363.94</v>
      </c>
      <c r="AK123" s="257">
        <f>EEFFun!AK593</f>
        <v>26918.05</v>
      </c>
      <c r="AL123" s="257">
        <f>EEFFun!AL593</f>
        <v>32721.19</v>
      </c>
      <c r="AM123" s="257">
        <f>EEFFun!AM593</f>
        <v>35210.51</v>
      </c>
      <c r="AN123" s="257">
        <f>EEFFun!AN593</f>
        <v>44913.53</v>
      </c>
      <c r="AO123" s="257">
        <f>EEFFun!AO593</f>
        <v>2816.96</v>
      </c>
      <c r="AP123" s="257">
        <f>EEFFun!AP593</f>
        <v>5150.26</v>
      </c>
      <c r="AQ123" s="257">
        <f>EEFFun!AQ593</f>
        <v>13059.49</v>
      </c>
      <c r="AR123" s="257">
        <f>EEFFun!AR593</f>
        <v>16871.29</v>
      </c>
      <c r="AS123" s="257">
        <f>EEFFun!AS593</f>
        <v>28628.68</v>
      </c>
      <c r="AT123" s="257">
        <f>EEFFun!AT593</f>
        <v>32353.62</v>
      </c>
      <c r="AU123" s="257">
        <f>EEFFun!AU593</f>
        <v>35876.300000000003</v>
      </c>
      <c r="AV123" s="257">
        <f>EEFFun!AV593</f>
        <v>39174.22</v>
      </c>
      <c r="AW123" s="257">
        <f>EEFFun!AW593</f>
        <v>45407.96</v>
      </c>
      <c r="AX123" s="257">
        <f>EEFFun!AX593</f>
        <v>47941.06</v>
      </c>
      <c r="AY123" s="295">
        <f>+AX123/10</f>
        <v>4794.1059999999998</v>
      </c>
      <c r="AZ123" s="295">
        <f t="shared" ref="AZ123:BJ135" si="648">+AY123</f>
        <v>4794.1059999999998</v>
      </c>
      <c r="BA123" s="295">
        <f t="shared" si="648"/>
        <v>4794.1059999999998</v>
      </c>
      <c r="BB123" s="295">
        <f t="shared" si="648"/>
        <v>4794.1059999999998</v>
      </c>
      <c r="BC123" s="295">
        <f t="shared" si="648"/>
        <v>4794.1059999999998</v>
      </c>
      <c r="BD123" s="295">
        <f t="shared" si="648"/>
        <v>4794.1059999999998</v>
      </c>
      <c r="BE123" s="295">
        <f t="shared" si="648"/>
        <v>4794.1059999999998</v>
      </c>
      <c r="BF123" s="295">
        <f t="shared" si="648"/>
        <v>4794.1059999999998</v>
      </c>
      <c r="BG123" s="295">
        <f t="shared" si="648"/>
        <v>4794.1059999999998</v>
      </c>
      <c r="BH123" s="295">
        <f t="shared" si="648"/>
        <v>4794.1059999999998</v>
      </c>
      <c r="BI123" s="295">
        <f t="shared" si="648"/>
        <v>4794.1059999999998</v>
      </c>
      <c r="BJ123" s="295">
        <f t="shared" si="648"/>
        <v>4794.1059999999998</v>
      </c>
      <c r="BK123" s="295">
        <f>SUM($AY$123:AY123)</f>
        <v>4794.1059999999998</v>
      </c>
      <c r="BL123" s="295">
        <f>SUM($AY$123:AZ123)</f>
        <v>9588.2119999999995</v>
      </c>
      <c r="BM123" s="295">
        <f>SUM($AY$123:BA123)</f>
        <v>14382.317999999999</v>
      </c>
      <c r="BN123" s="295">
        <f>SUM($AY$123:BB123)</f>
        <v>19176.423999999999</v>
      </c>
      <c r="BO123" s="295">
        <f>SUM($AY$123:BC123)</f>
        <v>23970.53</v>
      </c>
      <c r="BP123" s="295">
        <f>SUM($AY$123:BD123)</f>
        <v>28764.635999999999</v>
      </c>
      <c r="BQ123" s="295">
        <f>SUM($AY$123:BE123)</f>
        <v>33558.741999999998</v>
      </c>
      <c r="BR123" s="295">
        <f>SUM($AY$123:BF123)</f>
        <v>38352.847999999998</v>
      </c>
      <c r="BS123" s="295">
        <f>SUM($AY$123:BG123)</f>
        <v>43146.953999999998</v>
      </c>
      <c r="BT123" s="295">
        <f>SUM($AY$123:BH123)</f>
        <v>47941.06</v>
      </c>
      <c r="BU123" s="295">
        <f>SUM($AY$123:BI123)</f>
        <v>52735.165999999997</v>
      </c>
      <c r="BV123" s="295">
        <f>SUM($AY$123:BJ123)</f>
        <v>57529.271999999997</v>
      </c>
      <c r="BW123" s="291"/>
    </row>
    <row r="124" spans="1:75" outlineLevel="1" x14ac:dyDescent="0.25">
      <c r="A124" s="222">
        <v>8</v>
      </c>
      <c r="B124" s="233">
        <f>EEFFun!B594</f>
        <v>45070510</v>
      </c>
      <c r="C124" s="233" t="str">
        <f>EEFFun!C594</f>
        <v>MATERIALES DE LIMPIEZA</v>
      </c>
      <c r="D124" s="257">
        <f>EEFFun!P594</f>
        <v>1249.8900000000001</v>
      </c>
      <c r="E124" s="295">
        <f t="shared" si="637"/>
        <v>0</v>
      </c>
      <c r="F124" s="295">
        <f t="shared" si="638"/>
        <v>139.35</v>
      </c>
      <c r="G124" s="295">
        <f t="shared" si="639"/>
        <v>0</v>
      </c>
      <c r="H124" s="295">
        <f t="shared" si="640"/>
        <v>0</v>
      </c>
      <c r="I124" s="295">
        <f t="shared" si="641"/>
        <v>0</v>
      </c>
      <c r="J124" s="295">
        <f t="shared" si="642"/>
        <v>481.9</v>
      </c>
      <c r="K124" s="295">
        <f t="shared" si="643"/>
        <v>321.58000000000004</v>
      </c>
      <c r="L124" s="295">
        <f t="shared" si="644"/>
        <v>219.60000000000002</v>
      </c>
      <c r="M124" s="295">
        <f t="shared" si="645"/>
        <v>-103.84000000000015</v>
      </c>
      <c r="N124" s="295">
        <f t="shared" si="646"/>
        <v>-287.69999999999993</v>
      </c>
      <c r="O124" s="295">
        <f t="shared" si="647"/>
        <v>37.190000000000055</v>
      </c>
      <c r="P124" s="295">
        <f t="shared" si="647"/>
        <v>828.18</v>
      </c>
      <c r="Q124" s="257">
        <f>EEFFun!Q594</f>
        <v>0</v>
      </c>
      <c r="R124" s="257">
        <f>EEFFun!R594</f>
        <v>139.35</v>
      </c>
      <c r="S124" s="257">
        <f>EEFFun!S594</f>
        <v>139.35</v>
      </c>
      <c r="T124" s="257">
        <f>EEFFun!T594</f>
        <v>139.35</v>
      </c>
      <c r="U124" s="257">
        <f>EEFFun!U594</f>
        <v>139.35</v>
      </c>
      <c r="V124" s="257">
        <f>EEFFun!V594</f>
        <v>621.25</v>
      </c>
      <c r="W124" s="257">
        <f>EEFFun!W594</f>
        <v>942.83</v>
      </c>
      <c r="X124" s="257">
        <f>EEFFun!X594</f>
        <v>1162.43</v>
      </c>
      <c r="Y124" s="257">
        <f>EEFFun!Y594</f>
        <v>1058.5899999999999</v>
      </c>
      <c r="Z124" s="257">
        <f>EEFFun!Z594</f>
        <v>770.89</v>
      </c>
      <c r="AA124" s="257">
        <f>EEFFun!AA594</f>
        <v>808.08</v>
      </c>
      <c r="AB124" s="257">
        <f>EEFFun!AB594</f>
        <v>1636.26</v>
      </c>
      <c r="AC124" s="257">
        <f>EEFFun!AC594</f>
        <v>31.59</v>
      </c>
      <c r="AD124" s="257">
        <f>EEFFun!AD594</f>
        <v>120.62</v>
      </c>
      <c r="AE124" s="257">
        <f>EEFFun!AE594</f>
        <v>307.23</v>
      </c>
      <c r="AF124" s="257">
        <f>EEFFun!AF594</f>
        <v>402.55</v>
      </c>
      <c r="AG124" s="257">
        <f>EEFFun!AG594</f>
        <v>528.84</v>
      </c>
      <c r="AH124" s="257">
        <f>EEFFun!AH594</f>
        <v>103.59</v>
      </c>
      <c r="AI124" s="257">
        <f>EEFFun!AI594</f>
        <v>655.01</v>
      </c>
      <c r="AJ124" s="257">
        <f>EEFFun!AJ594</f>
        <v>909.66</v>
      </c>
      <c r="AK124" s="257">
        <f>EEFFun!AK594</f>
        <v>1031.2</v>
      </c>
      <c r="AL124" s="257">
        <f>EEFFun!AL594</f>
        <v>1193.52</v>
      </c>
      <c r="AM124" s="257">
        <f>EEFFun!AM594</f>
        <v>1233.6600000000001</v>
      </c>
      <c r="AN124" s="257">
        <f>EEFFun!AN594</f>
        <v>1609.92</v>
      </c>
      <c r="AO124" s="257">
        <f>EEFFun!AO594</f>
        <v>9.4700000000000006</v>
      </c>
      <c r="AP124" s="257">
        <f>EEFFun!AP594</f>
        <v>40.31</v>
      </c>
      <c r="AQ124" s="257">
        <f>EEFFun!AQ594</f>
        <v>522.01</v>
      </c>
      <c r="AR124" s="257">
        <f>EEFFun!AR594</f>
        <v>549.14</v>
      </c>
      <c r="AS124" s="257">
        <f>EEFFun!AS594</f>
        <v>616.32000000000005</v>
      </c>
      <c r="AT124" s="257">
        <f>EEFFun!AT594</f>
        <v>631.76</v>
      </c>
      <c r="AU124" s="257">
        <f>EEFFun!AU594</f>
        <v>633.12</v>
      </c>
      <c r="AV124" s="257">
        <f>EEFFun!AV594</f>
        <v>633.12</v>
      </c>
      <c r="AW124" s="257">
        <f>EEFFun!AW594</f>
        <v>1865.62</v>
      </c>
      <c r="AX124" s="257">
        <f>EEFFun!AX594</f>
        <v>1865.62</v>
      </c>
      <c r="AY124" s="295">
        <f>+AX124/10</f>
        <v>186.56199999999998</v>
      </c>
      <c r="AZ124" s="295">
        <f t="shared" si="648"/>
        <v>186.56199999999998</v>
      </c>
      <c r="BA124" s="295">
        <f t="shared" si="648"/>
        <v>186.56199999999998</v>
      </c>
      <c r="BB124" s="295">
        <f t="shared" si="648"/>
        <v>186.56199999999998</v>
      </c>
      <c r="BC124" s="295">
        <f t="shared" si="648"/>
        <v>186.56199999999998</v>
      </c>
      <c r="BD124" s="295">
        <f t="shared" si="648"/>
        <v>186.56199999999998</v>
      </c>
      <c r="BE124" s="295">
        <f t="shared" si="648"/>
        <v>186.56199999999998</v>
      </c>
      <c r="BF124" s="295">
        <f t="shared" si="648"/>
        <v>186.56199999999998</v>
      </c>
      <c r="BG124" s="295">
        <f t="shared" si="648"/>
        <v>186.56199999999998</v>
      </c>
      <c r="BH124" s="295">
        <f t="shared" si="648"/>
        <v>186.56199999999998</v>
      </c>
      <c r="BI124" s="295">
        <f t="shared" si="648"/>
        <v>186.56199999999998</v>
      </c>
      <c r="BJ124" s="295">
        <f t="shared" si="648"/>
        <v>186.56199999999998</v>
      </c>
      <c r="BK124" s="295">
        <f>SUM($AY$124:AY124)</f>
        <v>186.56199999999998</v>
      </c>
      <c r="BL124" s="295">
        <f>SUM($AY$124:AZ124)</f>
        <v>373.12399999999997</v>
      </c>
      <c r="BM124" s="295">
        <f>SUM($AY$124:BA124)</f>
        <v>559.68599999999992</v>
      </c>
      <c r="BN124" s="295">
        <f>SUM($AY$124:BB124)</f>
        <v>746.24799999999993</v>
      </c>
      <c r="BO124" s="295">
        <f>SUM($AY$124:BC124)</f>
        <v>932.81</v>
      </c>
      <c r="BP124" s="295">
        <f>SUM($AY$124:BD124)</f>
        <v>1119.3719999999998</v>
      </c>
      <c r="BQ124" s="295">
        <f>SUM($AY$124:BE124)</f>
        <v>1305.9339999999997</v>
      </c>
      <c r="BR124" s="295">
        <f>SUM($AY$124:BF124)</f>
        <v>1492.4959999999996</v>
      </c>
      <c r="BS124" s="295">
        <f>SUM($AY$124:BG124)</f>
        <v>1679.0579999999995</v>
      </c>
      <c r="BT124" s="295">
        <f>SUM($AY$124:BH124)</f>
        <v>1865.6199999999994</v>
      </c>
      <c r="BU124" s="295">
        <f>SUM($AY$124:BI124)</f>
        <v>2052.1819999999993</v>
      </c>
      <c r="BV124" s="295">
        <f>SUM($AY$124:BJ124)</f>
        <v>2238.7439999999992</v>
      </c>
      <c r="BW124" s="291"/>
    </row>
    <row r="125" spans="1:75" outlineLevel="1" x14ac:dyDescent="0.25">
      <c r="A125" s="222">
        <v>8</v>
      </c>
      <c r="B125" s="233">
        <f>EEFFun!B595</f>
        <v>45070515</v>
      </c>
      <c r="C125" s="233" t="str">
        <f>EEFFun!C595</f>
        <v>OTROS SUMINISTROS</v>
      </c>
      <c r="D125" s="257">
        <f>EEFFun!P595</f>
        <v>227.34</v>
      </c>
      <c r="E125" s="295">
        <f t="shared" si="637"/>
        <v>0</v>
      </c>
      <c r="F125" s="295">
        <f t="shared" si="638"/>
        <v>0</v>
      </c>
      <c r="G125" s="295">
        <f t="shared" si="639"/>
        <v>0</v>
      </c>
      <c r="H125" s="295">
        <f t="shared" si="640"/>
        <v>34.51</v>
      </c>
      <c r="I125" s="295">
        <f t="shared" si="641"/>
        <v>0</v>
      </c>
      <c r="J125" s="295">
        <f t="shared" si="642"/>
        <v>0</v>
      </c>
      <c r="K125" s="295">
        <f t="shared" si="643"/>
        <v>8.0399999999999991</v>
      </c>
      <c r="L125" s="295">
        <f t="shared" si="644"/>
        <v>13.940000000000005</v>
      </c>
      <c r="M125" s="295">
        <f t="shared" si="645"/>
        <v>0</v>
      </c>
      <c r="N125" s="295">
        <f t="shared" si="646"/>
        <v>7.9999999999999929</v>
      </c>
      <c r="O125" s="295">
        <f t="shared" si="647"/>
        <v>37.090000000000003</v>
      </c>
      <c r="P125" s="295">
        <f t="shared" si="647"/>
        <v>13.299999999999997</v>
      </c>
      <c r="Q125" s="257">
        <f>EEFFun!Q595</f>
        <v>0</v>
      </c>
      <c r="R125" s="257">
        <f>EEFFun!R595</f>
        <v>0</v>
      </c>
      <c r="S125" s="257">
        <f>EEFFun!S595</f>
        <v>0</v>
      </c>
      <c r="T125" s="257">
        <f>EEFFun!T595</f>
        <v>34.51</v>
      </c>
      <c r="U125" s="257">
        <f>EEFFun!U595</f>
        <v>34.51</v>
      </c>
      <c r="V125" s="257">
        <f>EEFFun!V595</f>
        <v>34.51</v>
      </c>
      <c r="W125" s="257">
        <f>EEFFun!W595</f>
        <v>42.55</v>
      </c>
      <c r="X125" s="257">
        <f>EEFFun!X595</f>
        <v>56.49</v>
      </c>
      <c r="Y125" s="257">
        <f>EEFFun!Y595</f>
        <v>56.49</v>
      </c>
      <c r="Z125" s="257">
        <f>EEFFun!Z595</f>
        <v>64.489999999999995</v>
      </c>
      <c r="AA125" s="257">
        <f>EEFFun!AA595</f>
        <v>101.58</v>
      </c>
      <c r="AB125" s="257">
        <f>EEFFun!AB595</f>
        <v>114.88</v>
      </c>
      <c r="AC125" s="257">
        <f>EEFFun!AC595</f>
        <v>13.09</v>
      </c>
      <c r="AD125" s="257">
        <f>EEFFun!AD595</f>
        <v>19.670000000000002</v>
      </c>
      <c r="AE125" s="257">
        <f>EEFFun!AE595</f>
        <v>24.79</v>
      </c>
      <c r="AF125" s="257">
        <f>EEFFun!AF595</f>
        <v>24.79</v>
      </c>
      <c r="AG125" s="257">
        <f>EEFFun!AG595</f>
        <v>24.79</v>
      </c>
      <c r="AH125" s="257">
        <f>EEFFun!AH595</f>
        <v>54.34</v>
      </c>
      <c r="AI125" s="257">
        <f>EEFFun!AI595</f>
        <v>57.37</v>
      </c>
      <c r="AJ125" s="257">
        <f>EEFFun!AJ595</f>
        <v>157.56</v>
      </c>
      <c r="AK125" s="257">
        <f>EEFFun!AK595</f>
        <v>316.87</v>
      </c>
      <c r="AL125" s="257">
        <f>EEFFun!AL595</f>
        <v>399</v>
      </c>
      <c r="AM125" s="257">
        <f>EEFFun!AM595</f>
        <v>416.75</v>
      </c>
      <c r="AN125" s="257">
        <f>EEFFun!AN595</f>
        <v>530.54999999999995</v>
      </c>
      <c r="AO125" s="257">
        <f>EEFFun!AO595</f>
        <v>0</v>
      </c>
      <c r="AP125" s="257">
        <f>EEFFun!AP595</f>
        <v>0</v>
      </c>
      <c r="AQ125" s="257">
        <f>EEFFun!AQ595</f>
        <v>0</v>
      </c>
      <c r="AR125" s="257">
        <f>EEFFun!AR595</f>
        <v>0</v>
      </c>
      <c r="AS125" s="257">
        <f>EEFFun!AS595</f>
        <v>0</v>
      </c>
      <c r="AT125" s="257">
        <f>EEFFun!AT595</f>
        <v>0</v>
      </c>
      <c r="AU125" s="257">
        <f>EEFFun!AU595</f>
        <v>0</v>
      </c>
      <c r="AV125" s="257">
        <f>EEFFun!AV595</f>
        <v>0</v>
      </c>
      <c r="AW125" s="257">
        <f>EEFFun!AW595</f>
        <v>0</v>
      </c>
      <c r="AX125" s="257">
        <f>EEFFun!AX595</f>
        <v>0</v>
      </c>
      <c r="AY125" s="295">
        <f>+AN125*1.1/12</f>
        <v>48.633749999999999</v>
      </c>
      <c r="AZ125" s="295">
        <f t="shared" si="648"/>
        <v>48.633749999999999</v>
      </c>
      <c r="BA125" s="295">
        <f t="shared" si="648"/>
        <v>48.633749999999999</v>
      </c>
      <c r="BB125" s="295">
        <f t="shared" si="648"/>
        <v>48.633749999999999</v>
      </c>
      <c r="BC125" s="295">
        <f t="shared" si="648"/>
        <v>48.633749999999999</v>
      </c>
      <c r="BD125" s="295">
        <f t="shared" si="648"/>
        <v>48.633749999999999</v>
      </c>
      <c r="BE125" s="295">
        <f t="shared" si="648"/>
        <v>48.633749999999999</v>
      </c>
      <c r="BF125" s="295">
        <f t="shared" si="648"/>
        <v>48.633749999999999</v>
      </c>
      <c r="BG125" s="295">
        <f t="shared" si="648"/>
        <v>48.633749999999999</v>
      </c>
      <c r="BH125" s="295">
        <f t="shared" si="648"/>
        <v>48.633749999999999</v>
      </c>
      <c r="BI125" s="295">
        <f t="shared" si="648"/>
        <v>48.633749999999999</v>
      </c>
      <c r="BJ125" s="295">
        <f t="shared" si="648"/>
        <v>48.633749999999999</v>
      </c>
      <c r="BK125" s="295">
        <f>SUM($AY$125:AY125)</f>
        <v>48.633749999999999</v>
      </c>
      <c r="BL125" s="295">
        <f>SUM($AY$125:AZ125)</f>
        <v>97.267499999999998</v>
      </c>
      <c r="BM125" s="295">
        <f>SUM($AY$125:BA125)</f>
        <v>145.90125</v>
      </c>
      <c r="BN125" s="295">
        <f>SUM($AY$125:BB125)</f>
        <v>194.535</v>
      </c>
      <c r="BO125" s="295">
        <f>SUM($AY$125:BC125)</f>
        <v>243.16874999999999</v>
      </c>
      <c r="BP125" s="295">
        <f>SUM($AY$125:BD125)</f>
        <v>291.80250000000001</v>
      </c>
      <c r="BQ125" s="295">
        <f>SUM($AY$125:BE125)</f>
        <v>340.43625000000003</v>
      </c>
      <c r="BR125" s="295">
        <f>SUM($AY$125:BF125)</f>
        <v>389.07000000000005</v>
      </c>
      <c r="BS125" s="295">
        <f>SUM($AY$125:BG125)</f>
        <v>437.70375000000007</v>
      </c>
      <c r="BT125" s="295">
        <f>SUM($AY$125:BH125)</f>
        <v>486.33750000000009</v>
      </c>
      <c r="BU125" s="295">
        <f>SUM($AY$125:BI125)</f>
        <v>534.97125000000005</v>
      </c>
      <c r="BV125" s="295">
        <f>SUM($AY$125:BJ125)</f>
        <v>583.60500000000002</v>
      </c>
      <c r="BW125" s="291"/>
    </row>
    <row r="126" spans="1:75" outlineLevel="1" x14ac:dyDescent="0.25">
      <c r="A126" s="222">
        <v>6</v>
      </c>
      <c r="B126" s="233">
        <f>EEFFun!B596</f>
        <v>450715</v>
      </c>
      <c r="C126" s="233" t="str">
        <f>EEFFun!C596</f>
        <v>Mantenimiento y reparaciones</v>
      </c>
      <c r="D126" s="257">
        <f>EEFFun!P596</f>
        <v>195622.05</v>
      </c>
      <c r="E126" s="295">
        <f t="shared" ref="E126" si="649">SUM(E127:E132)</f>
        <v>8223.51</v>
      </c>
      <c r="F126" s="295">
        <f t="shared" ref="F126" si="650">SUM(F127:F132)</f>
        <v>7086.3700000000008</v>
      </c>
      <c r="G126" s="295">
        <f t="shared" ref="G126" si="651">SUM(G127:G132)</f>
        <v>17279.729999999996</v>
      </c>
      <c r="H126" s="295">
        <f t="shared" ref="H126:O126" si="652">SUM(H127:H132)</f>
        <v>4482.7900000000009</v>
      </c>
      <c r="I126" s="295">
        <f t="shared" si="652"/>
        <v>20015.120000000003</v>
      </c>
      <c r="J126" s="295">
        <f t="shared" si="652"/>
        <v>9780.630000000001</v>
      </c>
      <c r="K126" s="295">
        <f t="shared" si="652"/>
        <v>7845.8200000000015</v>
      </c>
      <c r="L126" s="295">
        <f t="shared" si="652"/>
        <v>10897.449999999999</v>
      </c>
      <c r="M126" s="295">
        <f t="shared" si="652"/>
        <v>12476.46</v>
      </c>
      <c r="N126" s="295">
        <f t="shared" si="652"/>
        <v>10977.349999999999</v>
      </c>
      <c r="O126" s="295">
        <f t="shared" si="652"/>
        <v>10367.100000000002</v>
      </c>
      <c r="P126" s="295">
        <f t="shared" ref="P126" si="653">SUM(P127:P132)</f>
        <v>13140.299999999994</v>
      </c>
      <c r="Q126" s="257">
        <f>EEFFun!Q596</f>
        <v>8223.51</v>
      </c>
      <c r="R126" s="257">
        <f>EEFFun!R596</f>
        <v>15309.88</v>
      </c>
      <c r="S126" s="257">
        <f>EEFFun!S596</f>
        <v>32589.61</v>
      </c>
      <c r="T126" s="257">
        <f>EEFFun!T596</f>
        <v>37072.400000000001</v>
      </c>
      <c r="U126" s="257">
        <f>EEFFun!U596</f>
        <v>57087.519999999997</v>
      </c>
      <c r="V126" s="257">
        <f>EEFFun!V596</f>
        <v>66868.149999999994</v>
      </c>
      <c r="W126" s="257">
        <f>EEFFun!W596</f>
        <v>74713.97</v>
      </c>
      <c r="X126" s="257">
        <f>EEFFun!X596</f>
        <v>85611.42</v>
      </c>
      <c r="Y126" s="257">
        <f>EEFFun!Y596</f>
        <v>98087.88</v>
      </c>
      <c r="Z126" s="257">
        <f>EEFFun!Z596</f>
        <v>109065.23</v>
      </c>
      <c r="AA126" s="257">
        <f>EEFFun!AA596</f>
        <v>119432.33</v>
      </c>
      <c r="AB126" s="257">
        <f>EEFFun!AB596</f>
        <v>132572.63</v>
      </c>
      <c r="AC126" s="257">
        <f>EEFFun!AC596</f>
        <v>9234.7900000000009</v>
      </c>
      <c r="AD126" s="257">
        <f>EEFFun!AD596</f>
        <v>24352.27</v>
      </c>
      <c r="AE126" s="257">
        <f>EEFFun!AE596</f>
        <v>35051.910000000003</v>
      </c>
      <c r="AF126" s="257">
        <f>EEFFun!AF596</f>
        <v>44855.94</v>
      </c>
      <c r="AG126" s="257">
        <f>EEFFun!AG596</f>
        <v>56075.03</v>
      </c>
      <c r="AH126" s="257">
        <f>EEFFun!AH596</f>
        <v>63793.7</v>
      </c>
      <c r="AI126" s="257">
        <f>EEFFun!AI596</f>
        <v>77770.149999999994</v>
      </c>
      <c r="AJ126" s="257">
        <f>EEFFun!AJ596</f>
        <v>88158.32</v>
      </c>
      <c r="AK126" s="257">
        <f>EEFFun!AK596</f>
        <v>100359.25</v>
      </c>
      <c r="AL126" s="257">
        <f>EEFFun!AL596</f>
        <v>111881.06</v>
      </c>
      <c r="AM126" s="257">
        <f>EEFFun!AM596</f>
        <v>125885.32</v>
      </c>
      <c r="AN126" s="257">
        <f>EEFFun!AN596</f>
        <v>140372.04999999999</v>
      </c>
      <c r="AO126" s="257">
        <f>EEFFun!AO596</f>
        <v>10207.39</v>
      </c>
      <c r="AP126" s="257">
        <f>EEFFun!AP596</f>
        <v>28355.37</v>
      </c>
      <c r="AQ126" s="257">
        <f>EEFFun!AQ596</f>
        <v>37093.360000000001</v>
      </c>
      <c r="AR126" s="257">
        <f>EEFFun!AR596</f>
        <v>54635.35</v>
      </c>
      <c r="AS126" s="257">
        <f>EEFFun!AS596</f>
        <v>67619.740000000005</v>
      </c>
      <c r="AT126" s="257">
        <f>EEFFun!AT596</f>
        <v>83260.88</v>
      </c>
      <c r="AU126" s="257">
        <f>EEFFun!AU596</f>
        <v>95727.8</v>
      </c>
      <c r="AV126" s="257">
        <f>EEFFun!AV596</f>
        <v>109995.09</v>
      </c>
      <c r="AW126" s="257">
        <f>EEFFun!AW596</f>
        <v>127085.91</v>
      </c>
      <c r="AX126" s="257">
        <f>EEFFun!AX596</f>
        <v>137596.82</v>
      </c>
      <c r="AY126" s="295">
        <f t="shared" ref="AY126" si="654">SUM(AY127:AY132)</f>
        <v>12753.438083333334</v>
      </c>
      <c r="AZ126" s="295">
        <f t="shared" si="648"/>
        <v>12753.438083333334</v>
      </c>
      <c r="BA126" s="295">
        <f t="shared" si="648"/>
        <v>12753.438083333334</v>
      </c>
      <c r="BB126" s="295">
        <f t="shared" si="648"/>
        <v>12753.438083333334</v>
      </c>
      <c r="BC126" s="295">
        <f t="shared" si="648"/>
        <v>12753.438083333334</v>
      </c>
      <c r="BD126" s="295">
        <f t="shared" si="648"/>
        <v>12753.438083333334</v>
      </c>
      <c r="BE126" s="295">
        <f t="shared" si="648"/>
        <v>12753.438083333334</v>
      </c>
      <c r="BF126" s="295">
        <f t="shared" si="648"/>
        <v>12753.438083333334</v>
      </c>
      <c r="BG126" s="295">
        <f t="shared" si="648"/>
        <v>12753.438083333334</v>
      </c>
      <c r="BH126" s="295">
        <f t="shared" si="648"/>
        <v>12753.438083333334</v>
      </c>
      <c r="BI126" s="295">
        <f t="shared" si="648"/>
        <v>12753.438083333334</v>
      </c>
      <c r="BJ126" s="295">
        <f t="shared" si="648"/>
        <v>12753.438083333334</v>
      </c>
      <c r="BK126" s="295">
        <f t="shared" ref="BK126:BQ126" si="655">SUM(BK127:BK132)</f>
        <v>12753.438083333334</v>
      </c>
      <c r="BL126" s="295">
        <f t="shared" si="655"/>
        <v>25506.876166666669</v>
      </c>
      <c r="BM126" s="295">
        <f t="shared" si="655"/>
        <v>38260.314250000003</v>
      </c>
      <c r="BN126" s="295">
        <f t="shared" si="655"/>
        <v>51013.752333333337</v>
      </c>
      <c r="BO126" s="295">
        <f t="shared" si="655"/>
        <v>63767.190416666665</v>
      </c>
      <c r="BP126" s="295">
        <f t="shared" si="655"/>
        <v>76520.628500000006</v>
      </c>
      <c r="BQ126" s="295">
        <f t="shared" si="655"/>
        <v>89274.066583333333</v>
      </c>
      <c r="BR126" s="295">
        <f t="shared" ref="BR126" si="656">SUM(BR127:BR132)</f>
        <v>102027.50466666666</v>
      </c>
      <c r="BS126" s="295">
        <f t="shared" ref="BS126" si="657">SUM(BS127:BS132)</f>
        <v>114780.94275</v>
      </c>
      <c r="BT126" s="295">
        <f t="shared" ref="BT126" si="658">SUM(BT127:BT132)</f>
        <v>127534.38083333334</v>
      </c>
      <c r="BU126" s="295">
        <f t="shared" ref="BU126" si="659">SUM(BU127:BU132)</f>
        <v>140287.81891666667</v>
      </c>
      <c r="BV126" s="295">
        <f t="shared" ref="BV126" si="660">SUM(BV127:BV132)</f>
        <v>153041.25700000001</v>
      </c>
      <c r="BW126" s="291"/>
    </row>
    <row r="127" spans="1:75" outlineLevel="1" x14ac:dyDescent="0.25">
      <c r="A127" s="222">
        <v>8</v>
      </c>
      <c r="B127" s="233">
        <f>EEFFun!B597</f>
        <v>45071505</v>
      </c>
      <c r="C127" s="233" t="str">
        <f>EEFFun!C597</f>
        <v>EDIFICIOS Y OFICINAS</v>
      </c>
      <c r="D127" s="257">
        <f>EEFFun!P597</f>
        <v>10728.21</v>
      </c>
      <c r="E127" s="295">
        <f t="shared" ref="E127:E132" si="661">Q127</f>
        <v>661.71</v>
      </c>
      <c r="F127" s="295">
        <f t="shared" ref="F127:F132" si="662">R127-Q127</f>
        <v>459.98</v>
      </c>
      <c r="G127" s="295">
        <f t="shared" ref="G127:G132" si="663">S127-R127</f>
        <v>1841.63</v>
      </c>
      <c r="H127" s="295">
        <f t="shared" ref="H127:H132" si="664">T127-S127</f>
        <v>1399.2800000000002</v>
      </c>
      <c r="I127" s="295">
        <f t="shared" ref="I127:I132" si="665">U127-T127</f>
        <v>6402.2099999999991</v>
      </c>
      <c r="J127" s="295">
        <f t="shared" ref="J127:J132" si="666">V127-U127</f>
        <v>1446.58</v>
      </c>
      <c r="K127" s="295">
        <f t="shared" ref="K127:K132" si="667">W127-V127</f>
        <v>2259.3600000000006</v>
      </c>
      <c r="L127" s="295">
        <f t="shared" ref="L127:L132" si="668">X127-W127</f>
        <v>1492.9099999999999</v>
      </c>
      <c r="M127" s="295">
        <f t="shared" ref="M127:M132" si="669">Y127-X127</f>
        <v>2268.4599999999991</v>
      </c>
      <c r="N127" s="295">
        <f t="shared" ref="N127:N132" si="670">Z127-Y127</f>
        <v>1460</v>
      </c>
      <c r="O127" s="295">
        <f t="shared" ref="O127:P132" si="671">AA127-Z127</f>
        <v>415</v>
      </c>
      <c r="P127" s="295">
        <f t="shared" si="671"/>
        <v>523.93000000000029</v>
      </c>
      <c r="Q127" s="257">
        <f>EEFFun!Q597</f>
        <v>661.71</v>
      </c>
      <c r="R127" s="257">
        <f>EEFFun!R597</f>
        <v>1121.69</v>
      </c>
      <c r="S127" s="257">
        <f>EEFFun!S597</f>
        <v>2963.32</v>
      </c>
      <c r="T127" s="257">
        <f>EEFFun!T597</f>
        <v>4362.6000000000004</v>
      </c>
      <c r="U127" s="257">
        <f>EEFFun!U597</f>
        <v>10764.81</v>
      </c>
      <c r="V127" s="257">
        <f>EEFFun!V597</f>
        <v>12211.39</v>
      </c>
      <c r="W127" s="257">
        <f>EEFFun!W597</f>
        <v>14470.75</v>
      </c>
      <c r="X127" s="257">
        <f>EEFFun!X597</f>
        <v>15963.66</v>
      </c>
      <c r="Y127" s="257">
        <f>EEFFun!Y597</f>
        <v>18232.12</v>
      </c>
      <c r="Z127" s="257">
        <f>EEFFun!Z597</f>
        <v>19692.12</v>
      </c>
      <c r="AA127" s="257">
        <f>EEFFun!AA597</f>
        <v>20107.12</v>
      </c>
      <c r="AB127" s="257">
        <f>EEFFun!AB597</f>
        <v>20631.05</v>
      </c>
      <c r="AC127" s="257">
        <f>EEFFun!AC597</f>
        <v>1416.75</v>
      </c>
      <c r="AD127" s="257">
        <f>EEFFun!AD597</f>
        <v>4981.6899999999996</v>
      </c>
      <c r="AE127" s="257">
        <f>EEFFun!AE597</f>
        <v>6858.72</v>
      </c>
      <c r="AF127" s="257">
        <f>EEFFun!AF597</f>
        <v>9081.1200000000008</v>
      </c>
      <c r="AG127" s="257">
        <f>EEFFun!AG597</f>
        <v>10121.120000000001</v>
      </c>
      <c r="AH127" s="257">
        <f>EEFFun!AH597</f>
        <v>11092.44</v>
      </c>
      <c r="AI127" s="257">
        <f>EEFFun!AI597</f>
        <v>13909.44</v>
      </c>
      <c r="AJ127" s="257">
        <f>EEFFun!AJ597</f>
        <v>14954.69</v>
      </c>
      <c r="AK127" s="257">
        <f>EEFFun!AK597</f>
        <v>16495.490000000002</v>
      </c>
      <c r="AL127" s="257">
        <f>EEFFun!AL597</f>
        <v>17340</v>
      </c>
      <c r="AM127" s="257">
        <f>EEFFun!AM597</f>
        <v>21375.59</v>
      </c>
      <c r="AN127" s="257">
        <f>EEFFun!AN597</f>
        <v>23108.17</v>
      </c>
      <c r="AO127" s="257">
        <f>EEFFun!AO597</f>
        <v>1782.28</v>
      </c>
      <c r="AP127" s="257">
        <f>EEFFun!AP597</f>
        <v>5368.1</v>
      </c>
      <c r="AQ127" s="257">
        <f>EEFFun!AQ597</f>
        <v>6672.81</v>
      </c>
      <c r="AR127" s="257">
        <f>EEFFun!AR597</f>
        <v>10199.379999999999</v>
      </c>
      <c r="AS127" s="257">
        <f>EEFFun!AS597</f>
        <v>11703.91</v>
      </c>
      <c r="AT127" s="257">
        <f>EEFFun!AT597</f>
        <v>15599.41</v>
      </c>
      <c r="AU127" s="257">
        <f>EEFFun!AU597</f>
        <v>18236.37</v>
      </c>
      <c r="AV127" s="257">
        <f>EEFFun!AV597</f>
        <v>19586.37</v>
      </c>
      <c r="AW127" s="257">
        <f>EEFFun!AW597</f>
        <v>23347.22</v>
      </c>
      <c r="AX127" s="257">
        <f>EEFFun!AX597</f>
        <v>23812.22</v>
      </c>
      <c r="AY127" s="295">
        <f>+AX127/10</f>
        <v>2381.2220000000002</v>
      </c>
      <c r="AZ127" s="295">
        <f t="shared" si="648"/>
        <v>2381.2220000000002</v>
      </c>
      <c r="BA127" s="295">
        <f t="shared" si="648"/>
        <v>2381.2220000000002</v>
      </c>
      <c r="BB127" s="295">
        <f t="shared" si="648"/>
        <v>2381.2220000000002</v>
      </c>
      <c r="BC127" s="295">
        <f t="shared" si="648"/>
        <v>2381.2220000000002</v>
      </c>
      <c r="BD127" s="295">
        <f t="shared" si="648"/>
        <v>2381.2220000000002</v>
      </c>
      <c r="BE127" s="295">
        <f t="shared" si="648"/>
        <v>2381.2220000000002</v>
      </c>
      <c r="BF127" s="295">
        <f t="shared" si="648"/>
        <v>2381.2220000000002</v>
      </c>
      <c r="BG127" s="295">
        <f t="shared" si="648"/>
        <v>2381.2220000000002</v>
      </c>
      <c r="BH127" s="295">
        <f t="shared" si="648"/>
        <v>2381.2220000000002</v>
      </c>
      <c r="BI127" s="295">
        <f t="shared" si="648"/>
        <v>2381.2220000000002</v>
      </c>
      <c r="BJ127" s="295">
        <f t="shared" si="648"/>
        <v>2381.2220000000002</v>
      </c>
      <c r="BK127" s="295">
        <f>SUM($AY$127:AY127)</f>
        <v>2381.2220000000002</v>
      </c>
      <c r="BL127" s="295">
        <f>SUM($AY$127:AZ127)</f>
        <v>4762.4440000000004</v>
      </c>
      <c r="BM127" s="295">
        <f>SUM($AY$127:BA127)</f>
        <v>7143.6660000000011</v>
      </c>
      <c r="BN127" s="295">
        <f>SUM($AY$127:BB127)</f>
        <v>9524.8880000000008</v>
      </c>
      <c r="BO127" s="295">
        <f>SUM($AY$127:BC127)</f>
        <v>11906.11</v>
      </c>
      <c r="BP127" s="295">
        <f>SUM($AY$127:BD127)</f>
        <v>14287.332</v>
      </c>
      <c r="BQ127" s="295">
        <f>SUM($AY$127:BE127)</f>
        <v>16668.554</v>
      </c>
      <c r="BR127" s="295">
        <f>SUM($AY$127:BF127)</f>
        <v>19049.776000000002</v>
      </c>
      <c r="BS127" s="295">
        <f>SUM($AY$127:BG127)</f>
        <v>21430.998000000003</v>
      </c>
      <c r="BT127" s="295">
        <f>SUM($AY$127:BH127)</f>
        <v>23812.220000000005</v>
      </c>
      <c r="BU127" s="295">
        <f>SUM($AY$127:BI127)</f>
        <v>26193.442000000006</v>
      </c>
      <c r="BV127" s="295">
        <f>SUM($AY$127:BJ127)</f>
        <v>28574.664000000008</v>
      </c>
      <c r="BW127" s="291"/>
    </row>
    <row r="128" spans="1:75" outlineLevel="1" x14ac:dyDescent="0.25">
      <c r="A128" s="222">
        <v>8</v>
      </c>
      <c r="B128" s="233">
        <f>EEFFun!B598</f>
        <v>45071510</v>
      </c>
      <c r="C128" s="233" t="str">
        <f>EEFFun!C598</f>
        <v>MUEBLES EQUIPOS E INTALACIONES</v>
      </c>
      <c r="D128" s="257">
        <f>EEFFun!P598</f>
        <v>7641.25</v>
      </c>
      <c r="E128" s="295">
        <f t="shared" si="661"/>
        <v>1623.63</v>
      </c>
      <c r="F128" s="295">
        <f t="shared" si="662"/>
        <v>0</v>
      </c>
      <c r="G128" s="295">
        <f t="shared" si="663"/>
        <v>640.42999999999984</v>
      </c>
      <c r="H128" s="295">
        <f t="shared" si="664"/>
        <v>249.90000000000009</v>
      </c>
      <c r="I128" s="295">
        <f t="shared" si="665"/>
        <v>140.59999999999991</v>
      </c>
      <c r="J128" s="295">
        <f t="shared" si="666"/>
        <v>772.57999999999993</v>
      </c>
      <c r="K128" s="295">
        <f t="shared" si="667"/>
        <v>252.0300000000002</v>
      </c>
      <c r="L128" s="295">
        <f t="shared" si="668"/>
        <v>283.90000000000009</v>
      </c>
      <c r="M128" s="295">
        <f t="shared" si="669"/>
        <v>18.149999999999636</v>
      </c>
      <c r="N128" s="295">
        <f t="shared" si="670"/>
        <v>40.5</v>
      </c>
      <c r="O128" s="295">
        <f t="shared" si="671"/>
        <v>971.49000000000024</v>
      </c>
      <c r="P128" s="295">
        <f t="shared" si="671"/>
        <v>947.47999999999956</v>
      </c>
      <c r="Q128" s="257">
        <f>EEFFun!Q598</f>
        <v>1623.63</v>
      </c>
      <c r="R128" s="257">
        <f>EEFFun!R598</f>
        <v>1623.63</v>
      </c>
      <c r="S128" s="257">
        <f>EEFFun!S598</f>
        <v>2264.06</v>
      </c>
      <c r="T128" s="257">
        <f>EEFFun!T598</f>
        <v>2513.96</v>
      </c>
      <c r="U128" s="257">
        <f>EEFFun!U598</f>
        <v>2654.56</v>
      </c>
      <c r="V128" s="257">
        <f>EEFFun!V598</f>
        <v>3427.14</v>
      </c>
      <c r="W128" s="257">
        <f>EEFFun!W598</f>
        <v>3679.17</v>
      </c>
      <c r="X128" s="257">
        <f>EEFFun!X598</f>
        <v>3963.07</v>
      </c>
      <c r="Y128" s="257">
        <f>EEFFun!Y598</f>
        <v>3981.22</v>
      </c>
      <c r="Z128" s="257">
        <f>EEFFun!Z598</f>
        <v>4021.72</v>
      </c>
      <c r="AA128" s="257">
        <f>EEFFun!AA598</f>
        <v>4993.21</v>
      </c>
      <c r="AB128" s="257">
        <f>EEFFun!AB598</f>
        <v>5940.69</v>
      </c>
      <c r="AC128" s="257">
        <f>EEFFun!AC598</f>
        <v>77.8</v>
      </c>
      <c r="AD128" s="257">
        <f>EEFFun!AD598</f>
        <v>745.47</v>
      </c>
      <c r="AE128" s="257">
        <f>EEFFun!AE598</f>
        <v>1497.1</v>
      </c>
      <c r="AF128" s="257">
        <f>EEFFun!AF598</f>
        <v>2038.07</v>
      </c>
      <c r="AG128" s="257">
        <f>EEFFun!AG598</f>
        <v>2604.02</v>
      </c>
      <c r="AH128" s="257">
        <f>EEFFun!AH598</f>
        <v>2604.02</v>
      </c>
      <c r="AI128" s="257">
        <f>EEFFun!AI598</f>
        <v>4294.57</v>
      </c>
      <c r="AJ128" s="257">
        <f>EEFFun!AJ598</f>
        <v>4870.8100000000004</v>
      </c>
      <c r="AK128" s="257">
        <f>EEFFun!AK598</f>
        <v>5096.91</v>
      </c>
      <c r="AL128" s="257">
        <f>EEFFun!AL598</f>
        <v>8282.7999999999993</v>
      </c>
      <c r="AM128" s="257">
        <f>EEFFun!AM598</f>
        <v>9274.9599999999991</v>
      </c>
      <c r="AN128" s="257">
        <f>EEFFun!AN598</f>
        <v>9761.48</v>
      </c>
      <c r="AO128" s="257">
        <f>EEFFun!AO598</f>
        <v>1749.71</v>
      </c>
      <c r="AP128" s="257">
        <f>EEFFun!AP598</f>
        <v>3716.7</v>
      </c>
      <c r="AQ128" s="257">
        <f>EEFFun!AQ598</f>
        <v>5893.65</v>
      </c>
      <c r="AR128" s="257">
        <f>EEFFun!AR598</f>
        <v>7982.11</v>
      </c>
      <c r="AS128" s="257">
        <f>EEFFun!AS598</f>
        <v>10247.11</v>
      </c>
      <c r="AT128" s="257">
        <f>EEFFun!AT598</f>
        <v>12835.39</v>
      </c>
      <c r="AU128" s="257">
        <f>EEFFun!AU598</f>
        <v>13532.07</v>
      </c>
      <c r="AV128" s="257">
        <f>EEFFun!AV598</f>
        <v>16115.67</v>
      </c>
      <c r="AW128" s="257">
        <f>EEFFun!AW598</f>
        <v>18783.46</v>
      </c>
      <c r="AX128" s="257">
        <f>EEFFun!AX598</f>
        <v>19174.97</v>
      </c>
      <c r="AY128" s="295">
        <f t="shared" ref="AY128:AY131" si="672">+AN128*1.1/12</f>
        <v>894.80233333333342</v>
      </c>
      <c r="AZ128" s="295">
        <f t="shared" si="648"/>
        <v>894.80233333333342</v>
      </c>
      <c r="BA128" s="295">
        <f t="shared" si="648"/>
        <v>894.80233333333342</v>
      </c>
      <c r="BB128" s="295">
        <f t="shared" si="648"/>
        <v>894.80233333333342</v>
      </c>
      <c r="BC128" s="295">
        <f t="shared" si="648"/>
        <v>894.80233333333342</v>
      </c>
      <c r="BD128" s="295">
        <f t="shared" si="648"/>
        <v>894.80233333333342</v>
      </c>
      <c r="BE128" s="295">
        <f t="shared" si="648"/>
        <v>894.80233333333342</v>
      </c>
      <c r="BF128" s="295">
        <f t="shared" si="648"/>
        <v>894.80233333333342</v>
      </c>
      <c r="BG128" s="295">
        <f t="shared" si="648"/>
        <v>894.80233333333342</v>
      </c>
      <c r="BH128" s="295">
        <f t="shared" si="648"/>
        <v>894.80233333333342</v>
      </c>
      <c r="BI128" s="295">
        <f t="shared" si="648"/>
        <v>894.80233333333342</v>
      </c>
      <c r="BJ128" s="295">
        <f t="shared" si="648"/>
        <v>894.80233333333342</v>
      </c>
      <c r="BK128" s="295">
        <f>SUM($AY$128:AY128)</f>
        <v>894.80233333333342</v>
      </c>
      <c r="BL128" s="295">
        <f>SUM($AY$128:AZ128)</f>
        <v>1789.6046666666668</v>
      </c>
      <c r="BM128" s="295">
        <f>SUM($AY$128:BA128)</f>
        <v>2684.4070000000002</v>
      </c>
      <c r="BN128" s="295">
        <f>SUM($AY$128:BB128)</f>
        <v>3579.2093333333337</v>
      </c>
      <c r="BO128" s="295">
        <f>SUM($AY$128:BC128)</f>
        <v>4474.0116666666672</v>
      </c>
      <c r="BP128" s="295">
        <f>SUM($AY$128:BD128)</f>
        <v>5368.8140000000003</v>
      </c>
      <c r="BQ128" s="295">
        <f>SUM($AY$128:BE128)</f>
        <v>6263.6163333333334</v>
      </c>
      <c r="BR128" s="295">
        <f>SUM($AY$128:BF128)</f>
        <v>7158.4186666666665</v>
      </c>
      <c r="BS128" s="295">
        <f>SUM($AY$128:BG128)</f>
        <v>8053.2209999999995</v>
      </c>
      <c r="BT128" s="295">
        <f>SUM($AY$128:BH128)</f>
        <v>8948.0233333333326</v>
      </c>
      <c r="BU128" s="295">
        <f>SUM($AY$128:BI128)</f>
        <v>9842.8256666666657</v>
      </c>
      <c r="BV128" s="295">
        <f>SUM($AY$128:BJ128)</f>
        <v>10737.627999999999</v>
      </c>
      <c r="BW128" s="291"/>
    </row>
    <row r="129" spans="1:75" outlineLevel="1" x14ac:dyDescent="0.25">
      <c r="A129" s="222">
        <v>8</v>
      </c>
      <c r="B129" s="233">
        <f>EEFFun!B599</f>
        <v>45071515</v>
      </c>
      <c r="C129" s="233" t="str">
        <f>EEFFun!C599</f>
        <v>VEHICULOS</v>
      </c>
      <c r="D129" s="257">
        <f>EEFFun!P599</f>
        <v>1027.23</v>
      </c>
      <c r="E129" s="295">
        <f t="shared" si="661"/>
        <v>0</v>
      </c>
      <c r="F129" s="295">
        <f t="shared" si="662"/>
        <v>0</v>
      </c>
      <c r="G129" s="295">
        <f t="shared" si="663"/>
        <v>0</v>
      </c>
      <c r="H129" s="295">
        <f t="shared" si="664"/>
        <v>0</v>
      </c>
      <c r="I129" s="295">
        <f t="shared" si="665"/>
        <v>495</v>
      </c>
      <c r="J129" s="295">
        <f t="shared" si="666"/>
        <v>0</v>
      </c>
      <c r="K129" s="295">
        <f t="shared" si="667"/>
        <v>0</v>
      </c>
      <c r="L129" s="295">
        <f t="shared" si="668"/>
        <v>613.79</v>
      </c>
      <c r="M129" s="295">
        <f t="shared" si="669"/>
        <v>9.3800000000001091</v>
      </c>
      <c r="N129" s="295">
        <f t="shared" si="670"/>
        <v>826.3599999999999</v>
      </c>
      <c r="O129" s="295">
        <f t="shared" si="671"/>
        <v>388.1400000000001</v>
      </c>
      <c r="P129" s="295">
        <f t="shared" si="671"/>
        <v>171.69999999999982</v>
      </c>
      <c r="Q129" s="257">
        <f>EEFFun!Q599</f>
        <v>0</v>
      </c>
      <c r="R129" s="257">
        <f>EEFFun!R599</f>
        <v>0</v>
      </c>
      <c r="S129" s="257">
        <f>EEFFun!S599</f>
        <v>0</v>
      </c>
      <c r="T129" s="257">
        <f>EEFFun!T599</f>
        <v>0</v>
      </c>
      <c r="U129" s="257">
        <f>EEFFun!U599</f>
        <v>495</v>
      </c>
      <c r="V129" s="257">
        <f>EEFFun!V599</f>
        <v>495</v>
      </c>
      <c r="W129" s="257">
        <f>EEFFun!W599</f>
        <v>495</v>
      </c>
      <c r="X129" s="257">
        <f>EEFFun!X599</f>
        <v>1108.79</v>
      </c>
      <c r="Y129" s="257">
        <f>EEFFun!Y599</f>
        <v>1118.17</v>
      </c>
      <c r="Z129" s="257">
        <f>EEFFun!Z599</f>
        <v>1944.53</v>
      </c>
      <c r="AA129" s="257">
        <f>EEFFun!AA599</f>
        <v>2332.67</v>
      </c>
      <c r="AB129" s="257">
        <f>EEFFun!AB599</f>
        <v>2504.37</v>
      </c>
      <c r="AC129" s="257">
        <f>EEFFun!AC599</f>
        <v>1663.25</v>
      </c>
      <c r="AD129" s="257">
        <f>EEFFun!AD599</f>
        <v>1732.34</v>
      </c>
      <c r="AE129" s="257">
        <f>EEFFun!AE599</f>
        <v>1795.88</v>
      </c>
      <c r="AF129" s="257">
        <f>EEFFun!AF599</f>
        <v>2092.1799999999998</v>
      </c>
      <c r="AG129" s="257">
        <f>EEFFun!AG599</f>
        <v>2571.4499999999998</v>
      </c>
      <c r="AH129" s="257">
        <f>EEFFun!AH599</f>
        <v>2664.54</v>
      </c>
      <c r="AI129" s="257">
        <f>EEFFun!AI599</f>
        <v>2710.81</v>
      </c>
      <c r="AJ129" s="257">
        <f>EEFFun!AJ599</f>
        <v>2889.54</v>
      </c>
      <c r="AK129" s="257">
        <f>EEFFun!AK599</f>
        <v>3650.94</v>
      </c>
      <c r="AL129" s="257">
        <f>EEFFun!AL599</f>
        <v>3671.37</v>
      </c>
      <c r="AM129" s="257">
        <f>EEFFun!AM599</f>
        <v>3978.67</v>
      </c>
      <c r="AN129" s="257">
        <f>EEFFun!AN599</f>
        <v>4181.6000000000004</v>
      </c>
      <c r="AO129" s="257">
        <f>EEFFun!AO599</f>
        <v>2150</v>
      </c>
      <c r="AP129" s="257">
        <f>EEFFun!AP599</f>
        <v>2381.7399999999998</v>
      </c>
      <c r="AQ129" s="257">
        <f>EEFFun!AQ599</f>
        <v>2410.4299999999998</v>
      </c>
      <c r="AR129" s="257">
        <f>EEFFun!AR599</f>
        <v>2653.05</v>
      </c>
      <c r="AS129" s="257">
        <f>EEFFun!AS599</f>
        <v>2653.05</v>
      </c>
      <c r="AT129" s="257">
        <f>EEFFun!AT599</f>
        <v>2701.96</v>
      </c>
      <c r="AU129" s="257">
        <f>EEFFun!AU599</f>
        <v>2851.96</v>
      </c>
      <c r="AV129" s="257">
        <f>EEFFun!AV599</f>
        <v>2871.16</v>
      </c>
      <c r="AW129" s="257">
        <f>EEFFun!AW599</f>
        <v>2903.16</v>
      </c>
      <c r="AX129" s="257">
        <f>EEFFun!AX599</f>
        <v>3053.16</v>
      </c>
      <c r="AY129" s="295">
        <f>+AX129/10</f>
        <v>305.31599999999997</v>
      </c>
      <c r="AZ129" s="295">
        <f t="shared" si="648"/>
        <v>305.31599999999997</v>
      </c>
      <c r="BA129" s="295">
        <f t="shared" si="648"/>
        <v>305.31599999999997</v>
      </c>
      <c r="BB129" s="295">
        <f t="shared" si="648"/>
        <v>305.31599999999997</v>
      </c>
      <c r="BC129" s="295">
        <f t="shared" si="648"/>
        <v>305.31599999999997</v>
      </c>
      <c r="BD129" s="295">
        <f t="shared" si="648"/>
        <v>305.31599999999997</v>
      </c>
      <c r="BE129" s="295">
        <f t="shared" si="648"/>
        <v>305.31599999999997</v>
      </c>
      <c r="BF129" s="295">
        <f t="shared" si="648"/>
        <v>305.31599999999997</v>
      </c>
      <c r="BG129" s="295">
        <f t="shared" si="648"/>
        <v>305.31599999999997</v>
      </c>
      <c r="BH129" s="295">
        <f t="shared" si="648"/>
        <v>305.31599999999997</v>
      </c>
      <c r="BI129" s="295">
        <f t="shared" si="648"/>
        <v>305.31599999999997</v>
      </c>
      <c r="BJ129" s="295">
        <f t="shared" si="648"/>
        <v>305.31599999999997</v>
      </c>
      <c r="BK129" s="295">
        <f>SUM($AY$129:AY129)</f>
        <v>305.31599999999997</v>
      </c>
      <c r="BL129" s="295">
        <f>SUM($AY$129:AZ129)</f>
        <v>610.63199999999995</v>
      </c>
      <c r="BM129" s="295">
        <f>SUM($AY$129:BA129)</f>
        <v>915.94799999999987</v>
      </c>
      <c r="BN129" s="295">
        <f>SUM($AY$129:BB129)</f>
        <v>1221.2639999999999</v>
      </c>
      <c r="BO129" s="295">
        <f>SUM($AY$129:BC129)</f>
        <v>1526.58</v>
      </c>
      <c r="BP129" s="295">
        <f>SUM($AY$129:BD129)</f>
        <v>1831.896</v>
      </c>
      <c r="BQ129" s="295">
        <f>SUM($AY$129:BE129)</f>
        <v>2137.212</v>
      </c>
      <c r="BR129" s="295">
        <f>SUM($AY$129:BF129)</f>
        <v>2442.5279999999998</v>
      </c>
      <c r="BS129" s="295">
        <f>SUM($AY$129:BG129)</f>
        <v>2747.8439999999996</v>
      </c>
      <c r="BT129" s="295">
        <f>SUM($AY$129:BH129)</f>
        <v>3053.1599999999994</v>
      </c>
      <c r="BU129" s="295">
        <f>SUM($AY$129:BI129)</f>
        <v>3358.4759999999992</v>
      </c>
      <c r="BV129" s="295">
        <f>SUM($AY$129:BJ129)</f>
        <v>3663.791999999999</v>
      </c>
      <c r="BW129" s="291"/>
    </row>
    <row r="130" spans="1:75" outlineLevel="1" x14ac:dyDescent="0.25">
      <c r="A130" s="222">
        <v>8</v>
      </c>
      <c r="B130" s="233">
        <f>EEFFun!B600</f>
        <v>45071520</v>
      </c>
      <c r="C130" s="233" t="str">
        <f>EEFFun!C600</f>
        <v>PAGO CONDOMINIOS</v>
      </c>
      <c r="D130" s="257">
        <f>EEFFun!P600</f>
        <v>97768.95</v>
      </c>
      <c r="E130" s="295">
        <f t="shared" si="661"/>
        <v>4270.24</v>
      </c>
      <c r="F130" s="295">
        <f t="shared" si="662"/>
        <v>4728.4600000000009</v>
      </c>
      <c r="G130" s="295">
        <f t="shared" si="663"/>
        <v>13267.669999999998</v>
      </c>
      <c r="H130" s="295">
        <f t="shared" si="664"/>
        <v>1263.6100000000006</v>
      </c>
      <c r="I130" s="295">
        <f t="shared" si="665"/>
        <v>11357.310000000001</v>
      </c>
      <c r="J130" s="295">
        <f t="shared" si="666"/>
        <v>6261.4700000000012</v>
      </c>
      <c r="K130" s="295">
        <f t="shared" si="667"/>
        <v>4034.4300000000003</v>
      </c>
      <c r="L130" s="295">
        <f t="shared" si="668"/>
        <v>6976.8499999999985</v>
      </c>
      <c r="M130" s="295">
        <f t="shared" si="669"/>
        <v>8670.4700000000012</v>
      </c>
      <c r="N130" s="295">
        <f t="shared" si="670"/>
        <v>7140.489999999998</v>
      </c>
      <c r="O130" s="295">
        <f t="shared" si="671"/>
        <v>7082.4700000000012</v>
      </c>
      <c r="P130" s="295">
        <f t="shared" si="671"/>
        <v>9921.3199999999924</v>
      </c>
      <c r="Q130" s="257">
        <f>EEFFun!Q600</f>
        <v>4270.24</v>
      </c>
      <c r="R130" s="257">
        <f>EEFFun!R600</f>
        <v>8998.7000000000007</v>
      </c>
      <c r="S130" s="257">
        <f>EEFFun!S600</f>
        <v>22266.37</v>
      </c>
      <c r="T130" s="257">
        <f>EEFFun!T600</f>
        <v>23529.98</v>
      </c>
      <c r="U130" s="257">
        <f>EEFFun!U600</f>
        <v>34887.29</v>
      </c>
      <c r="V130" s="257">
        <f>EEFFun!V600</f>
        <v>41148.76</v>
      </c>
      <c r="W130" s="257">
        <f>EEFFun!W600</f>
        <v>45183.19</v>
      </c>
      <c r="X130" s="257">
        <f>EEFFun!X600</f>
        <v>52160.04</v>
      </c>
      <c r="Y130" s="257">
        <f>EEFFun!Y600</f>
        <v>60830.51</v>
      </c>
      <c r="Z130" s="257">
        <f>EEFFun!Z600</f>
        <v>67971</v>
      </c>
      <c r="AA130" s="257">
        <f>EEFFun!AA600</f>
        <v>75053.47</v>
      </c>
      <c r="AB130" s="257">
        <f>EEFFun!AB600</f>
        <v>84974.79</v>
      </c>
      <c r="AC130" s="257">
        <f>EEFFun!AC600</f>
        <v>4566.99</v>
      </c>
      <c r="AD130" s="257">
        <f>EEFFun!AD600</f>
        <v>13270.11</v>
      </c>
      <c r="AE130" s="257">
        <f>EEFFun!AE600</f>
        <v>19767.55</v>
      </c>
      <c r="AF130" s="257">
        <f>EEFFun!AF600</f>
        <v>26079.03</v>
      </c>
      <c r="AG130" s="257">
        <f>EEFFun!AG600</f>
        <v>32602.9</v>
      </c>
      <c r="AH130" s="257">
        <f>EEFFun!AH600</f>
        <v>38847.160000000003</v>
      </c>
      <c r="AI130" s="257">
        <f>EEFFun!AI600</f>
        <v>45074.12</v>
      </c>
      <c r="AJ130" s="257">
        <f>EEFFun!AJ600</f>
        <v>52152.07</v>
      </c>
      <c r="AK130" s="257">
        <f>EEFFun!AK600</f>
        <v>58623.55</v>
      </c>
      <c r="AL130" s="257">
        <f>EEFFun!AL600</f>
        <v>65234.53</v>
      </c>
      <c r="AM130" s="257">
        <f>EEFFun!AM600</f>
        <v>70708.070000000007</v>
      </c>
      <c r="AN130" s="257">
        <f>EEFFun!AN600</f>
        <v>81128.740000000005</v>
      </c>
      <c r="AO130" s="257">
        <f>EEFFun!AO600</f>
        <v>2886.71</v>
      </c>
      <c r="AP130" s="257">
        <f>EEFFun!AP600</f>
        <v>12884.21</v>
      </c>
      <c r="AQ130" s="257">
        <f>EEFFun!AQ600</f>
        <v>15770.92</v>
      </c>
      <c r="AR130" s="257">
        <f>EEFFun!AR600</f>
        <v>25114.33</v>
      </c>
      <c r="AS130" s="257">
        <f>EEFFun!AS600</f>
        <v>31822.37</v>
      </c>
      <c r="AT130" s="257">
        <f>EEFFun!AT600</f>
        <v>38589.89</v>
      </c>
      <c r="AU130" s="257">
        <f>EEFFun!AU600</f>
        <v>45232.24</v>
      </c>
      <c r="AV130" s="257">
        <f>EEFFun!AV600</f>
        <v>53154.78</v>
      </c>
      <c r="AW130" s="257">
        <f>EEFFun!AW600</f>
        <v>61394.03</v>
      </c>
      <c r="AX130" s="257">
        <f>EEFFun!AX600</f>
        <v>68451.7</v>
      </c>
      <c r="AY130" s="295">
        <f>+AX130/10</f>
        <v>6845.17</v>
      </c>
      <c r="AZ130" s="295">
        <f t="shared" si="648"/>
        <v>6845.17</v>
      </c>
      <c r="BA130" s="295">
        <f t="shared" si="648"/>
        <v>6845.17</v>
      </c>
      <c r="BB130" s="295">
        <f t="shared" si="648"/>
        <v>6845.17</v>
      </c>
      <c r="BC130" s="295">
        <f t="shared" si="648"/>
        <v>6845.17</v>
      </c>
      <c r="BD130" s="295">
        <f t="shared" si="648"/>
        <v>6845.17</v>
      </c>
      <c r="BE130" s="295">
        <f t="shared" si="648"/>
        <v>6845.17</v>
      </c>
      <c r="BF130" s="295">
        <f t="shared" si="648"/>
        <v>6845.17</v>
      </c>
      <c r="BG130" s="295">
        <f t="shared" si="648"/>
        <v>6845.17</v>
      </c>
      <c r="BH130" s="295">
        <f t="shared" si="648"/>
        <v>6845.17</v>
      </c>
      <c r="BI130" s="295">
        <f t="shared" si="648"/>
        <v>6845.17</v>
      </c>
      <c r="BJ130" s="295">
        <f t="shared" si="648"/>
        <v>6845.17</v>
      </c>
      <c r="BK130" s="295">
        <f>SUM($AY$130:AY130)</f>
        <v>6845.17</v>
      </c>
      <c r="BL130" s="295">
        <f>SUM($AY$130:AZ130)</f>
        <v>13690.34</v>
      </c>
      <c r="BM130" s="295">
        <f>SUM($AY$130:BA130)</f>
        <v>20535.510000000002</v>
      </c>
      <c r="BN130" s="295">
        <f>SUM($AY$130:BB130)</f>
        <v>27380.68</v>
      </c>
      <c r="BO130" s="295">
        <f>SUM($AY$130:BC130)</f>
        <v>34225.85</v>
      </c>
      <c r="BP130" s="295">
        <f>SUM($AY$130:BD130)</f>
        <v>41071.019999999997</v>
      </c>
      <c r="BQ130" s="295">
        <f>SUM($AY$130:BE130)</f>
        <v>47916.189999999995</v>
      </c>
      <c r="BR130" s="295">
        <f>SUM($AY$130:BF130)</f>
        <v>54761.359999999993</v>
      </c>
      <c r="BS130" s="295">
        <f>SUM($AY$130:BG130)</f>
        <v>61606.529999999992</v>
      </c>
      <c r="BT130" s="295">
        <f>SUM($AY$130:BH130)</f>
        <v>68451.7</v>
      </c>
      <c r="BU130" s="295">
        <f>SUM($AY$130:BI130)</f>
        <v>75296.87</v>
      </c>
      <c r="BV130" s="295">
        <f>SUM($AY$130:BJ130)</f>
        <v>82142.039999999994</v>
      </c>
      <c r="BW130" s="291"/>
    </row>
    <row r="131" spans="1:75" outlineLevel="1" x14ac:dyDescent="0.25">
      <c r="A131" s="222">
        <v>8</v>
      </c>
      <c r="B131" s="233">
        <f>EEFFun!B601</f>
        <v>45071525</v>
      </c>
      <c r="C131" s="233" t="str">
        <f>EEFFun!C601</f>
        <v>SERVICOS DE LIMPIEZA</v>
      </c>
      <c r="D131" s="257">
        <f>EEFFun!P601</f>
        <v>5159.0200000000004</v>
      </c>
      <c r="E131" s="295">
        <f t="shared" si="661"/>
        <v>367.93</v>
      </c>
      <c r="F131" s="295">
        <f t="shared" si="662"/>
        <v>597.93000000000006</v>
      </c>
      <c r="G131" s="295">
        <f t="shared" si="663"/>
        <v>229.99999999999989</v>
      </c>
      <c r="H131" s="295">
        <f t="shared" si="664"/>
        <v>230</v>
      </c>
      <c r="I131" s="295">
        <f t="shared" si="665"/>
        <v>230</v>
      </c>
      <c r="J131" s="295">
        <f t="shared" si="666"/>
        <v>0</v>
      </c>
      <c r="K131" s="295">
        <f t="shared" si="667"/>
        <v>0</v>
      </c>
      <c r="L131" s="295">
        <f t="shared" si="668"/>
        <v>230</v>
      </c>
      <c r="M131" s="295">
        <f t="shared" si="669"/>
        <v>230.00000000000023</v>
      </c>
      <c r="N131" s="295">
        <f t="shared" si="670"/>
        <v>230</v>
      </c>
      <c r="O131" s="295">
        <f t="shared" si="671"/>
        <v>230</v>
      </c>
      <c r="P131" s="295">
        <f t="shared" si="671"/>
        <v>230</v>
      </c>
      <c r="Q131" s="257">
        <f>EEFFun!Q601</f>
        <v>367.93</v>
      </c>
      <c r="R131" s="257">
        <f>EEFFun!R601</f>
        <v>965.86</v>
      </c>
      <c r="S131" s="257">
        <f>EEFFun!S601</f>
        <v>1195.8599999999999</v>
      </c>
      <c r="T131" s="257">
        <f>EEFFun!T601</f>
        <v>1425.86</v>
      </c>
      <c r="U131" s="257">
        <f>EEFFun!U601</f>
        <v>1655.86</v>
      </c>
      <c r="V131" s="257">
        <f>EEFFun!V601</f>
        <v>1655.86</v>
      </c>
      <c r="W131" s="257">
        <f>EEFFun!W601</f>
        <v>1655.86</v>
      </c>
      <c r="X131" s="257">
        <f>EEFFun!X601</f>
        <v>1885.86</v>
      </c>
      <c r="Y131" s="257">
        <f>EEFFun!Y601</f>
        <v>2115.86</v>
      </c>
      <c r="Z131" s="257">
        <f>EEFFun!Z601</f>
        <v>2345.86</v>
      </c>
      <c r="AA131" s="257">
        <f>EEFFun!AA601</f>
        <v>2575.86</v>
      </c>
      <c r="AB131" s="257">
        <f>EEFFun!AB601</f>
        <v>2805.86</v>
      </c>
      <c r="AC131" s="257">
        <f>EEFFun!AC601</f>
        <v>230</v>
      </c>
      <c r="AD131" s="257">
        <f>EEFFun!AD601</f>
        <v>476.99</v>
      </c>
      <c r="AE131" s="257">
        <f>EEFFun!AE601</f>
        <v>706.99</v>
      </c>
      <c r="AF131" s="257">
        <f>EEFFun!AF601</f>
        <v>959.87</v>
      </c>
      <c r="AG131" s="257">
        <f>EEFFun!AG601</f>
        <v>1189.8699999999999</v>
      </c>
      <c r="AH131" s="257">
        <f>EEFFun!AH601</f>
        <v>1419.87</v>
      </c>
      <c r="AI131" s="257">
        <f>EEFFun!AI601</f>
        <v>1649.87</v>
      </c>
      <c r="AJ131" s="257">
        <f>EEFFun!AJ601</f>
        <v>1879.87</v>
      </c>
      <c r="AK131" s="257">
        <f>EEFFun!AK601</f>
        <v>2109.87</v>
      </c>
      <c r="AL131" s="257">
        <f>EEFFun!AL601</f>
        <v>2339.87</v>
      </c>
      <c r="AM131" s="257">
        <f>EEFFun!AM601</f>
        <v>2569.87</v>
      </c>
      <c r="AN131" s="257">
        <f>EEFFun!AN601</f>
        <v>2799.87</v>
      </c>
      <c r="AO131" s="257">
        <f>EEFFun!AO601</f>
        <v>230</v>
      </c>
      <c r="AP131" s="257">
        <f>EEFFun!AP601</f>
        <v>460</v>
      </c>
      <c r="AQ131" s="257">
        <f>EEFFun!AQ601</f>
        <v>690</v>
      </c>
      <c r="AR131" s="257">
        <f>EEFFun!AR601</f>
        <v>920</v>
      </c>
      <c r="AS131" s="257">
        <f>EEFFun!AS601</f>
        <v>1150</v>
      </c>
      <c r="AT131" s="257">
        <f>EEFFun!AT601</f>
        <v>1380</v>
      </c>
      <c r="AU131" s="257">
        <f>EEFFun!AU601</f>
        <v>1610</v>
      </c>
      <c r="AV131" s="257">
        <f>EEFFun!AV601</f>
        <v>1891.02</v>
      </c>
      <c r="AW131" s="257">
        <f>EEFFun!AW601</f>
        <v>2121.02</v>
      </c>
      <c r="AX131" s="257">
        <f>EEFFun!AX601</f>
        <v>2402.04</v>
      </c>
      <c r="AY131" s="295">
        <f t="shared" si="672"/>
        <v>256.65474999999998</v>
      </c>
      <c r="AZ131" s="295">
        <f t="shared" si="648"/>
        <v>256.65474999999998</v>
      </c>
      <c r="BA131" s="295">
        <f t="shared" si="648"/>
        <v>256.65474999999998</v>
      </c>
      <c r="BB131" s="295">
        <f t="shared" si="648"/>
        <v>256.65474999999998</v>
      </c>
      <c r="BC131" s="295">
        <f t="shared" si="648"/>
        <v>256.65474999999998</v>
      </c>
      <c r="BD131" s="295">
        <f t="shared" si="648"/>
        <v>256.65474999999998</v>
      </c>
      <c r="BE131" s="295">
        <f t="shared" si="648"/>
        <v>256.65474999999998</v>
      </c>
      <c r="BF131" s="295">
        <f t="shared" si="648"/>
        <v>256.65474999999998</v>
      </c>
      <c r="BG131" s="295">
        <f t="shared" si="648"/>
        <v>256.65474999999998</v>
      </c>
      <c r="BH131" s="295">
        <f t="shared" si="648"/>
        <v>256.65474999999998</v>
      </c>
      <c r="BI131" s="295">
        <f t="shared" si="648"/>
        <v>256.65474999999998</v>
      </c>
      <c r="BJ131" s="295">
        <f t="shared" si="648"/>
        <v>256.65474999999998</v>
      </c>
      <c r="BK131" s="295">
        <f>SUM($AY$131:AY131)</f>
        <v>256.65474999999998</v>
      </c>
      <c r="BL131" s="295">
        <f>SUM($AY$131:AZ131)</f>
        <v>513.30949999999996</v>
      </c>
      <c r="BM131" s="295">
        <f>SUM($AY$131:BA131)</f>
        <v>769.96424999999999</v>
      </c>
      <c r="BN131" s="295">
        <f>SUM($AY$131:BB131)</f>
        <v>1026.6189999999999</v>
      </c>
      <c r="BO131" s="295">
        <f>SUM($AY$131:BC131)</f>
        <v>1283.2737499999998</v>
      </c>
      <c r="BP131" s="295">
        <f>SUM($AY$131:BD131)</f>
        <v>1539.9284999999998</v>
      </c>
      <c r="BQ131" s="295">
        <f>SUM($AY$131:BE131)</f>
        <v>1796.5832499999997</v>
      </c>
      <c r="BR131" s="295">
        <f>SUM($AY$131:BF131)</f>
        <v>2053.2379999999998</v>
      </c>
      <c r="BS131" s="295">
        <f>SUM($AY$131:BG131)</f>
        <v>2309.89275</v>
      </c>
      <c r="BT131" s="295">
        <f>SUM($AY$131:BH131)</f>
        <v>2566.5475000000001</v>
      </c>
      <c r="BU131" s="295">
        <f>SUM($AY$131:BI131)</f>
        <v>2823.2022500000003</v>
      </c>
      <c r="BV131" s="295">
        <f>SUM($AY$131:BJ131)</f>
        <v>3079.8570000000004</v>
      </c>
      <c r="BW131" s="291"/>
    </row>
    <row r="132" spans="1:75" outlineLevel="1" x14ac:dyDescent="0.25">
      <c r="A132" s="222">
        <v>8</v>
      </c>
      <c r="B132" s="233">
        <f>EEFFun!B602</f>
        <v>45071530</v>
      </c>
      <c r="C132" s="233" t="str">
        <f>EEFFun!C602</f>
        <v>MANTENIMIENTO EQ.COMPUTO Y SOFWAR</v>
      </c>
      <c r="D132" s="257">
        <f>EEFFun!P602</f>
        <v>73297.39</v>
      </c>
      <c r="E132" s="295">
        <f t="shared" si="661"/>
        <v>1300</v>
      </c>
      <c r="F132" s="295">
        <f t="shared" si="662"/>
        <v>1300</v>
      </c>
      <c r="G132" s="295">
        <f t="shared" si="663"/>
        <v>1300</v>
      </c>
      <c r="H132" s="295">
        <f t="shared" si="664"/>
        <v>1340</v>
      </c>
      <c r="I132" s="295">
        <f t="shared" si="665"/>
        <v>1390</v>
      </c>
      <c r="J132" s="295">
        <f t="shared" si="666"/>
        <v>1300</v>
      </c>
      <c r="K132" s="295">
        <f t="shared" si="667"/>
        <v>1300</v>
      </c>
      <c r="L132" s="295">
        <f t="shared" si="668"/>
        <v>1300</v>
      </c>
      <c r="M132" s="295">
        <f t="shared" si="669"/>
        <v>1280</v>
      </c>
      <c r="N132" s="295">
        <f t="shared" si="670"/>
        <v>1280</v>
      </c>
      <c r="O132" s="295">
        <f t="shared" si="671"/>
        <v>1280</v>
      </c>
      <c r="P132" s="295">
        <f t="shared" si="671"/>
        <v>1345.8700000000008</v>
      </c>
      <c r="Q132" s="257">
        <f>EEFFun!Q602</f>
        <v>1300</v>
      </c>
      <c r="R132" s="257">
        <f>EEFFun!R602</f>
        <v>2600</v>
      </c>
      <c r="S132" s="257">
        <f>EEFFun!S602</f>
        <v>3900</v>
      </c>
      <c r="T132" s="257">
        <f>EEFFun!T602</f>
        <v>5240</v>
      </c>
      <c r="U132" s="257">
        <f>EEFFun!U602</f>
        <v>6630</v>
      </c>
      <c r="V132" s="257">
        <f>EEFFun!V602</f>
        <v>7930</v>
      </c>
      <c r="W132" s="257">
        <f>EEFFun!W602</f>
        <v>9230</v>
      </c>
      <c r="X132" s="257">
        <f>EEFFun!X602</f>
        <v>10530</v>
      </c>
      <c r="Y132" s="257">
        <f>EEFFun!Y602</f>
        <v>11810</v>
      </c>
      <c r="Z132" s="257">
        <f>EEFFun!Z602</f>
        <v>13090</v>
      </c>
      <c r="AA132" s="257">
        <f>EEFFun!AA602</f>
        <v>14370</v>
      </c>
      <c r="AB132" s="257">
        <f>EEFFun!AB602</f>
        <v>15715.87</v>
      </c>
      <c r="AC132" s="257">
        <f>EEFFun!AC602</f>
        <v>1280</v>
      </c>
      <c r="AD132" s="257">
        <f>EEFFun!AD602</f>
        <v>3145.67</v>
      </c>
      <c r="AE132" s="257">
        <f>EEFFun!AE602</f>
        <v>4425.67</v>
      </c>
      <c r="AF132" s="257">
        <f>EEFFun!AF602</f>
        <v>4605.67</v>
      </c>
      <c r="AG132" s="257">
        <f>EEFFun!AG602</f>
        <v>6985.67</v>
      </c>
      <c r="AH132" s="257">
        <f>EEFFun!AH602</f>
        <v>7165.67</v>
      </c>
      <c r="AI132" s="257">
        <f>EEFFun!AI602</f>
        <v>10131.34</v>
      </c>
      <c r="AJ132" s="257">
        <f>EEFFun!AJ602</f>
        <v>11411.34</v>
      </c>
      <c r="AK132" s="257">
        <f>EEFFun!AK602</f>
        <v>14382.49</v>
      </c>
      <c r="AL132" s="257">
        <f>EEFFun!AL602</f>
        <v>15012.49</v>
      </c>
      <c r="AM132" s="257">
        <f>EEFFun!AM602</f>
        <v>17978.16</v>
      </c>
      <c r="AN132" s="257">
        <f>EEFFun!AN602</f>
        <v>19392.189999999999</v>
      </c>
      <c r="AO132" s="257">
        <f>EEFFun!AO602</f>
        <v>1408.69</v>
      </c>
      <c r="AP132" s="257">
        <f>EEFFun!AP602</f>
        <v>3544.62</v>
      </c>
      <c r="AQ132" s="257">
        <f>EEFFun!AQ602</f>
        <v>5655.55</v>
      </c>
      <c r="AR132" s="257">
        <f>EEFFun!AR602</f>
        <v>7766.48</v>
      </c>
      <c r="AS132" s="257">
        <f>EEFFun!AS602</f>
        <v>10043.299999999999</v>
      </c>
      <c r="AT132" s="257">
        <f>EEFFun!AT602</f>
        <v>12154.23</v>
      </c>
      <c r="AU132" s="257">
        <f>EEFFun!AU602</f>
        <v>14265.16</v>
      </c>
      <c r="AV132" s="257">
        <f>EEFFun!AV602</f>
        <v>16376.09</v>
      </c>
      <c r="AW132" s="257">
        <f>EEFFun!AW602</f>
        <v>18537.02</v>
      </c>
      <c r="AX132" s="257">
        <f>EEFFun!AX602</f>
        <v>20702.73</v>
      </c>
      <c r="AY132" s="295">
        <f>+AX132/10</f>
        <v>2070.2730000000001</v>
      </c>
      <c r="AZ132" s="295">
        <f t="shared" si="648"/>
        <v>2070.2730000000001</v>
      </c>
      <c r="BA132" s="295">
        <f t="shared" si="648"/>
        <v>2070.2730000000001</v>
      </c>
      <c r="BB132" s="295">
        <f t="shared" si="648"/>
        <v>2070.2730000000001</v>
      </c>
      <c r="BC132" s="295">
        <f t="shared" si="648"/>
        <v>2070.2730000000001</v>
      </c>
      <c r="BD132" s="295">
        <f t="shared" si="648"/>
        <v>2070.2730000000001</v>
      </c>
      <c r="BE132" s="295">
        <f t="shared" si="648"/>
        <v>2070.2730000000001</v>
      </c>
      <c r="BF132" s="295">
        <f t="shared" si="648"/>
        <v>2070.2730000000001</v>
      </c>
      <c r="BG132" s="295">
        <f t="shared" si="648"/>
        <v>2070.2730000000001</v>
      </c>
      <c r="BH132" s="295">
        <f t="shared" si="648"/>
        <v>2070.2730000000001</v>
      </c>
      <c r="BI132" s="295">
        <f t="shared" si="648"/>
        <v>2070.2730000000001</v>
      </c>
      <c r="BJ132" s="295">
        <f t="shared" si="648"/>
        <v>2070.2730000000001</v>
      </c>
      <c r="BK132" s="295">
        <f>SUM($AY$132:AY132)</f>
        <v>2070.2730000000001</v>
      </c>
      <c r="BL132" s="295">
        <f>SUM($AY$132:AZ132)</f>
        <v>4140.5460000000003</v>
      </c>
      <c r="BM132" s="295">
        <f>SUM($AY$132:BA132)</f>
        <v>6210.8190000000004</v>
      </c>
      <c r="BN132" s="295">
        <f>SUM($AY$132:BB132)</f>
        <v>8281.0920000000006</v>
      </c>
      <c r="BO132" s="295">
        <f>SUM($AY$132:BC132)</f>
        <v>10351.365000000002</v>
      </c>
      <c r="BP132" s="295">
        <f>SUM($AY$132:BD132)</f>
        <v>12421.638000000003</v>
      </c>
      <c r="BQ132" s="295">
        <f>SUM($AY$132:BE132)</f>
        <v>14491.911000000004</v>
      </c>
      <c r="BR132" s="295">
        <f>SUM($AY$132:BF132)</f>
        <v>16562.184000000005</v>
      </c>
      <c r="BS132" s="295">
        <f>SUM($AY$132:BG132)</f>
        <v>18632.457000000006</v>
      </c>
      <c r="BT132" s="295">
        <f>SUM($AY$132:BH132)</f>
        <v>20702.730000000007</v>
      </c>
      <c r="BU132" s="295">
        <f>SUM($AY$132:BI132)</f>
        <v>22773.003000000008</v>
      </c>
      <c r="BV132" s="295">
        <f>SUM($AY$132:BJ132)</f>
        <v>24843.276000000009</v>
      </c>
      <c r="BW132" s="291"/>
    </row>
    <row r="133" spans="1:75" outlineLevel="1" x14ac:dyDescent="0.25">
      <c r="A133" s="222">
        <v>6</v>
      </c>
      <c r="B133" s="233">
        <f>EEFFun!B603</f>
        <v>450790</v>
      </c>
      <c r="C133" s="233" t="str">
        <f>EEFFun!C603</f>
        <v>Otros</v>
      </c>
      <c r="D133" s="257">
        <f>EEFFun!P603</f>
        <v>73623.179999999993</v>
      </c>
      <c r="E133" s="295">
        <f t="shared" ref="E133" si="673">SUM(E134:E135)</f>
        <v>1473.79</v>
      </c>
      <c r="F133" s="295">
        <f t="shared" ref="F133" si="674">SUM(F134:F135)</f>
        <v>6515.7</v>
      </c>
      <c r="G133" s="295">
        <f t="shared" ref="G133" si="675">SUM(G134:G135)</f>
        <v>933.11000000000058</v>
      </c>
      <c r="H133" s="295">
        <f t="shared" ref="H133:O133" si="676">SUM(H134:H135)</f>
        <v>258.29999999999927</v>
      </c>
      <c r="I133" s="295">
        <f t="shared" si="676"/>
        <v>7817.2800000000007</v>
      </c>
      <c r="J133" s="295">
        <f t="shared" si="676"/>
        <v>7549.0499999999993</v>
      </c>
      <c r="K133" s="295">
        <f t="shared" si="676"/>
        <v>6665.7200000000012</v>
      </c>
      <c r="L133" s="295">
        <f t="shared" si="676"/>
        <v>7355.09</v>
      </c>
      <c r="M133" s="295">
        <f t="shared" si="676"/>
        <v>8252.84</v>
      </c>
      <c r="N133" s="295">
        <f t="shared" si="676"/>
        <v>7962.569999999997</v>
      </c>
      <c r="O133" s="295">
        <f t="shared" si="676"/>
        <v>8017.09</v>
      </c>
      <c r="P133" s="295">
        <f t="shared" ref="P133" si="677">SUM(P134:P135)</f>
        <v>-48814.17</v>
      </c>
      <c r="Q133" s="257">
        <f>EEFFun!Q603</f>
        <v>1473.79</v>
      </c>
      <c r="R133" s="257">
        <f>EEFFun!R603</f>
        <v>7989.49</v>
      </c>
      <c r="S133" s="257">
        <f>EEFFun!S603</f>
        <v>8922.6</v>
      </c>
      <c r="T133" s="257">
        <f>EEFFun!T603</f>
        <v>9180.9</v>
      </c>
      <c r="U133" s="257">
        <f>EEFFun!U603</f>
        <v>16998.18</v>
      </c>
      <c r="V133" s="257">
        <f>EEFFun!V603</f>
        <v>24547.23</v>
      </c>
      <c r="W133" s="257">
        <f>EEFFun!W603</f>
        <v>31212.95</v>
      </c>
      <c r="X133" s="257">
        <f>EEFFun!X603</f>
        <v>38568.04</v>
      </c>
      <c r="Y133" s="257">
        <f>EEFFun!Y603</f>
        <v>46820.88</v>
      </c>
      <c r="Z133" s="257">
        <f>EEFFun!Z603</f>
        <v>54783.45</v>
      </c>
      <c r="AA133" s="257">
        <f>EEFFun!AA603</f>
        <v>62800.54</v>
      </c>
      <c r="AB133" s="257">
        <f>EEFFun!AB603</f>
        <v>13986.37</v>
      </c>
      <c r="AC133" s="257">
        <f>EEFFun!AC603</f>
        <v>4999.04</v>
      </c>
      <c r="AD133" s="257">
        <f>EEFFun!AD603</f>
        <v>10090.08</v>
      </c>
      <c r="AE133" s="257">
        <f>EEFFun!AE603</f>
        <v>16247.74</v>
      </c>
      <c r="AF133" s="257">
        <f>EEFFun!AF603</f>
        <v>21364.22</v>
      </c>
      <c r="AG133" s="257">
        <f>EEFFun!AG603</f>
        <v>26392.53</v>
      </c>
      <c r="AH133" s="257">
        <f>EEFFun!AH603</f>
        <v>31450.47</v>
      </c>
      <c r="AI133" s="257">
        <f>EEFFun!AI603</f>
        <v>36390.86</v>
      </c>
      <c r="AJ133" s="257">
        <f>EEFFun!AJ603</f>
        <v>41427.339999999997</v>
      </c>
      <c r="AK133" s="257">
        <f>EEFFun!AK603</f>
        <v>46816.84</v>
      </c>
      <c r="AL133" s="257">
        <f>EEFFun!AL603</f>
        <v>51818.14</v>
      </c>
      <c r="AM133" s="257">
        <f>EEFFun!AM603</f>
        <v>56999.26</v>
      </c>
      <c r="AN133" s="257">
        <f>EEFFun!AN603</f>
        <v>69468.89</v>
      </c>
      <c r="AO133" s="257">
        <f>EEFFun!AO603</f>
        <v>767.12</v>
      </c>
      <c r="AP133" s="257">
        <f>EEFFun!AP603</f>
        <v>1230.69</v>
      </c>
      <c r="AQ133" s="257">
        <f>EEFFun!AQ603</f>
        <v>2181.0700000000002</v>
      </c>
      <c r="AR133" s="257">
        <f>EEFFun!AR603</f>
        <v>2483.4</v>
      </c>
      <c r="AS133" s="257">
        <f>EEFFun!AS603</f>
        <v>2620.4899999999998</v>
      </c>
      <c r="AT133" s="257">
        <f>EEFFun!AT603</f>
        <v>2933.49</v>
      </c>
      <c r="AU133" s="257">
        <f>EEFFun!AU603</f>
        <v>3168</v>
      </c>
      <c r="AV133" s="257">
        <f>EEFFun!AV603</f>
        <v>3436.46</v>
      </c>
      <c r="AW133" s="257">
        <f>EEFFun!AW603</f>
        <v>3706.62</v>
      </c>
      <c r="AX133" s="257">
        <f>EEFFun!AX603</f>
        <v>4014.08</v>
      </c>
      <c r="AY133" s="295">
        <f t="shared" ref="AY133" si="678">SUM(AY134:AY135)</f>
        <v>401.40800000000002</v>
      </c>
      <c r="AZ133" s="295">
        <f t="shared" si="648"/>
        <v>401.40800000000002</v>
      </c>
      <c r="BA133" s="295">
        <f t="shared" si="648"/>
        <v>401.40800000000002</v>
      </c>
      <c r="BB133" s="295">
        <f t="shared" si="648"/>
        <v>401.40800000000002</v>
      </c>
      <c r="BC133" s="295">
        <f t="shared" si="648"/>
        <v>401.40800000000002</v>
      </c>
      <c r="BD133" s="295">
        <f t="shared" si="648"/>
        <v>401.40800000000002</v>
      </c>
      <c r="BE133" s="295">
        <f t="shared" si="648"/>
        <v>401.40800000000002</v>
      </c>
      <c r="BF133" s="295">
        <f t="shared" si="648"/>
        <v>401.40800000000002</v>
      </c>
      <c r="BG133" s="295">
        <f t="shared" si="648"/>
        <v>401.40800000000002</v>
      </c>
      <c r="BH133" s="295">
        <f t="shared" si="648"/>
        <v>401.40800000000002</v>
      </c>
      <c r="BI133" s="295">
        <f t="shared" si="648"/>
        <v>401.40800000000002</v>
      </c>
      <c r="BJ133" s="295">
        <f t="shared" si="648"/>
        <v>401.40800000000002</v>
      </c>
      <c r="BK133" s="295">
        <f t="shared" ref="BK133:BQ133" si="679">SUM(BK134:BK135)</f>
        <v>401.40800000000002</v>
      </c>
      <c r="BL133" s="295">
        <f t="shared" si="679"/>
        <v>802.81600000000003</v>
      </c>
      <c r="BM133" s="295">
        <f t="shared" si="679"/>
        <v>1204.2239999999999</v>
      </c>
      <c r="BN133" s="295">
        <f t="shared" si="679"/>
        <v>1605.6320000000001</v>
      </c>
      <c r="BO133" s="295">
        <f t="shared" si="679"/>
        <v>2007.04</v>
      </c>
      <c r="BP133" s="295">
        <f t="shared" si="679"/>
        <v>2408.4479999999999</v>
      </c>
      <c r="BQ133" s="295">
        <f t="shared" si="679"/>
        <v>2809.8559999999998</v>
      </c>
      <c r="BR133" s="295">
        <f t="shared" ref="BR133" si="680">SUM(BR134:BR135)</f>
        <v>3211.2640000000001</v>
      </c>
      <c r="BS133" s="295">
        <f t="shared" ref="BS133" si="681">SUM(BS134:BS135)</f>
        <v>3612.6719999999996</v>
      </c>
      <c r="BT133" s="295">
        <f t="shared" ref="BT133" si="682">SUM(BT134:BT135)</f>
        <v>4014.08</v>
      </c>
      <c r="BU133" s="295">
        <f t="shared" ref="BU133" si="683">SUM(BU134:BU135)</f>
        <v>4415.4879999999994</v>
      </c>
      <c r="BV133" s="295">
        <f t="shared" ref="BV133" si="684">SUM(BV134:BV135)</f>
        <v>4816.8959999999997</v>
      </c>
      <c r="BW133" s="291"/>
    </row>
    <row r="134" spans="1:75" outlineLevel="1" x14ac:dyDescent="0.25">
      <c r="A134" s="222">
        <v>8</v>
      </c>
      <c r="B134" s="233">
        <f>EEFFun!B604</f>
        <v>45079005</v>
      </c>
      <c r="C134" s="233" t="str">
        <f>EEFFun!C604</f>
        <v>OTROS GASTOS</v>
      </c>
      <c r="D134" s="257">
        <f>EEFFun!P604</f>
        <v>0</v>
      </c>
      <c r="E134" s="295">
        <f t="shared" ref="E134:E135" si="685">Q134</f>
        <v>0</v>
      </c>
      <c r="F134" s="295">
        <f t="shared" ref="F134:F135" si="686">R134-Q134</f>
        <v>0</v>
      </c>
      <c r="G134" s="295">
        <f t="shared" ref="G134:G135" si="687">S134-R134</f>
        <v>0</v>
      </c>
      <c r="H134" s="295">
        <f t="shared" ref="H134:H135" si="688">T134-S134</f>
        <v>0</v>
      </c>
      <c r="I134" s="295">
        <f t="shared" ref="I134:I135" si="689">U134-T134</f>
        <v>0</v>
      </c>
      <c r="J134" s="295">
        <f t="shared" ref="J134:J135" si="690">V134-U134</f>
        <v>0</v>
      </c>
      <c r="K134" s="295">
        <f t="shared" ref="K134:K135" si="691">W134-V134</f>
        <v>14.5</v>
      </c>
      <c r="L134" s="295">
        <f t="shared" ref="L134:L135" si="692">X134-W134</f>
        <v>50</v>
      </c>
      <c r="M134" s="295">
        <f t="shared" ref="M134:M135" si="693">Y134-X134</f>
        <v>4.7999999999999972</v>
      </c>
      <c r="N134" s="295">
        <f t="shared" ref="N134:N135" si="694">Z134-Y134</f>
        <v>46.94</v>
      </c>
      <c r="O134" s="295">
        <f t="shared" ref="O134:P135" si="695">AA134-Z134</f>
        <v>149.33999999999997</v>
      </c>
      <c r="P134" s="295">
        <f t="shared" si="695"/>
        <v>137.39000000000004</v>
      </c>
      <c r="Q134" s="257">
        <f>EEFFun!Q604</f>
        <v>0</v>
      </c>
      <c r="R134" s="257">
        <f>EEFFun!R604</f>
        <v>0</v>
      </c>
      <c r="S134" s="257">
        <f>EEFFun!S604</f>
        <v>0</v>
      </c>
      <c r="T134" s="257">
        <f>EEFFun!T604</f>
        <v>0</v>
      </c>
      <c r="U134" s="257">
        <f>EEFFun!U604</f>
        <v>0</v>
      </c>
      <c r="V134" s="257">
        <f>EEFFun!V604</f>
        <v>0</v>
      </c>
      <c r="W134" s="257">
        <f>EEFFun!W604</f>
        <v>14.5</v>
      </c>
      <c r="X134" s="257">
        <f>EEFFun!X604</f>
        <v>64.5</v>
      </c>
      <c r="Y134" s="257">
        <f>EEFFun!Y604</f>
        <v>69.3</v>
      </c>
      <c r="Z134" s="257">
        <f>EEFFun!Z604</f>
        <v>116.24</v>
      </c>
      <c r="AA134" s="257">
        <f>EEFFun!AA604</f>
        <v>265.58</v>
      </c>
      <c r="AB134" s="257">
        <f>EEFFun!AB604</f>
        <v>402.97</v>
      </c>
      <c r="AC134" s="257">
        <f>EEFFun!AC604</f>
        <v>0.56000000000000005</v>
      </c>
      <c r="AD134" s="257">
        <f>EEFFun!AD604</f>
        <v>11.69</v>
      </c>
      <c r="AE134" s="257">
        <f>EEFFun!AE604</f>
        <v>20.69</v>
      </c>
      <c r="AF134" s="257">
        <f>EEFFun!AF604</f>
        <v>85.91</v>
      </c>
      <c r="AG134" s="257">
        <f>EEFFun!AG604</f>
        <v>124.49</v>
      </c>
      <c r="AH134" s="257">
        <f>EEFFun!AH604</f>
        <v>150</v>
      </c>
      <c r="AI134" s="257">
        <f>EEFFun!AI604</f>
        <v>218.35</v>
      </c>
      <c r="AJ134" s="257">
        <f>EEFFun!AJ604</f>
        <v>294.88</v>
      </c>
      <c r="AK134" s="257">
        <f>EEFFun!AK604</f>
        <v>602.30999999999995</v>
      </c>
      <c r="AL134" s="257">
        <f>EEFFun!AL604</f>
        <v>760.6</v>
      </c>
      <c r="AM134" s="257">
        <f>EEFFun!AM604</f>
        <v>992.16</v>
      </c>
      <c r="AN134" s="257">
        <f>EEFFun!AN604</f>
        <v>1320.43</v>
      </c>
      <c r="AO134" s="257">
        <f>EEFFun!AO604</f>
        <v>474.62</v>
      </c>
      <c r="AP134" s="257">
        <f>EEFFun!AP604</f>
        <v>696.75</v>
      </c>
      <c r="AQ134" s="257">
        <f>EEFFun!AQ604</f>
        <v>1118.3499999999999</v>
      </c>
      <c r="AR134" s="257">
        <f>EEFFun!AR604</f>
        <v>1121.3699999999999</v>
      </c>
      <c r="AS134" s="257">
        <f>EEFFun!AS604</f>
        <v>1125.96</v>
      </c>
      <c r="AT134" s="257">
        <f>EEFFun!AT604</f>
        <v>1316.1</v>
      </c>
      <c r="AU134" s="257">
        <f>EEFFun!AU604</f>
        <v>1388.73</v>
      </c>
      <c r="AV134" s="257">
        <f>EEFFun!AV604</f>
        <v>1443.19</v>
      </c>
      <c r="AW134" s="257">
        <f>EEFFun!AW604</f>
        <v>1479.04</v>
      </c>
      <c r="AX134" s="257">
        <f>EEFFun!AX604</f>
        <v>1482.63</v>
      </c>
      <c r="AY134" s="295">
        <f>+AX134/10</f>
        <v>148.26300000000001</v>
      </c>
      <c r="AZ134" s="295">
        <f t="shared" si="648"/>
        <v>148.26300000000001</v>
      </c>
      <c r="BA134" s="295">
        <f t="shared" si="648"/>
        <v>148.26300000000001</v>
      </c>
      <c r="BB134" s="295">
        <f t="shared" si="648"/>
        <v>148.26300000000001</v>
      </c>
      <c r="BC134" s="295">
        <f t="shared" si="648"/>
        <v>148.26300000000001</v>
      </c>
      <c r="BD134" s="295">
        <f t="shared" si="648"/>
        <v>148.26300000000001</v>
      </c>
      <c r="BE134" s="295">
        <f t="shared" si="648"/>
        <v>148.26300000000001</v>
      </c>
      <c r="BF134" s="295">
        <f t="shared" si="648"/>
        <v>148.26300000000001</v>
      </c>
      <c r="BG134" s="295">
        <f t="shared" si="648"/>
        <v>148.26300000000001</v>
      </c>
      <c r="BH134" s="295">
        <f t="shared" si="648"/>
        <v>148.26300000000001</v>
      </c>
      <c r="BI134" s="295">
        <f t="shared" si="648"/>
        <v>148.26300000000001</v>
      </c>
      <c r="BJ134" s="295">
        <f t="shared" si="648"/>
        <v>148.26300000000001</v>
      </c>
      <c r="BK134" s="295">
        <f>SUM($AY$134:AY134)</f>
        <v>148.26300000000001</v>
      </c>
      <c r="BL134" s="295">
        <f>SUM($AY$134:AZ134)</f>
        <v>296.52600000000001</v>
      </c>
      <c r="BM134" s="295">
        <f>SUM($AY$134:BA134)</f>
        <v>444.78899999999999</v>
      </c>
      <c r="BN134" s="295">
        <f>SUM($AY$134:BB134)</f>
        <v>593.05200000000002</v>
      </c>
      <c r="BO134" s="295">
        <f>SUM($AY$134:BC134)</f>
        <v>741.31500000000005</v>
      </c>
      <c r="BP134" s="295">
        <f>SUM($AY$134:BD134)</f>
        <v>889.57800000000009</v>
      </c>
      <c r="BQ134" s="295">
        <f>SUM($AY$134:BE134)</f>
        <v>1037.8410000000001</v>
      </c>
      <c r="BR134" s="295">
        <f>SUM($AY$134:BF134)</f>
        <v>1186.104</v>
      </c>
      <c r="BS134" s="295">
        <f>SUM($AY$134:BG134)</f>
        <v>1334.367</v>
      </c>
      <c r="BT134" s="295">
        <f>SUM($AY$134:BH134)</f>
        <v>1482.6299999999999</v>
      </c>
      <c r="BU134" s="295">
        <f>SUM($AY$134:BI134)</f>
        <v>1630.8929999999998</v>
      </c>
      <c r="BV134" s="295">
        <f>SUM($AY$134:BJ134)</f>
        <v>1779.1559999999997</v>
      </c>
      <c r="BW134" s="291"/>
    </row>
    <row r="135" spans="1:75" outlineLevel="1" x14ac:dyDescent="0.25">
      <c r="A135" s="222">
        <v>8</v>
      </c>
      <c r="B135" s="233">
        <f>EEFFun!B605</f>
        <v>45079010</v>
      </c>
      <c r="C135" s="233" t="str">
        <f>EEFFun!C605</f>
        <v>OTROS GASTOS NO DEDUCIBLES</v>
      </c>
      <c r="D135" s="257">
        <f>EEFFun!P605</f>
        <v>73623.179999999993</v>
      </c>
      <c r="E135" s="295">
        <f t="shared" si="685"/>
        <v>1473.79</v>
      </c>
      <c r="F135" s="295">
        <f t="shared" si="686"/>
        <v>6515.7</v>
      </c>
      <c r="G135" s="295">
        <f t="shared" si="687"/>
        <v>933.11000000000058</v>
      </c>
      <c r="H135" s="295">
        <f t="shared" si="688"/>
        <v>258.29999999999927</v>
      </c>
      <c r="I135" s="295">
        <f t="shared" si="689"/>
        <v>7817.2800000000007</v>
      </c>
      <c r="J135" s="295">
        <f t="shared" si="690"/>
        <v>7549.0499999999993</v>
      </c>
      <c r="K135" s="295">
        <f t="shared" si="691"/>
        <v>6651.2200000000012</v>
      </c>
      <c r="L135" s="295">
        <f t="shared" si="692"/>
        <v>7305.09</v>
      </c>
      <c r="M135" s="295">
        <f t="shared" si="693"/>
        <v>8248.0400000000009</v>
      </c>
      <c r="N135" s="295">
        <f t="shared" si="694"/>
        <v>7915.6299999999974</v>
      </c>
      <c r="O135" s="295">
        <f t="shared" si="695"/>
        <v>7867.75</v>
      </c>
      <c r="P135" s="295">
        <f t="shared" si="695"/>
        <v>-48951.56</v>
      </c>
      <c r="Q135" s="257">
        <f>EEFFun!Q605</f>
        <v>1473.79</v>
      </c>
      <c r="R135" s="257">
        <f>EEFFun!R605</f>
        <v>7989.49</v>
      </c>
      <c r="S135" s="257">
        <f>EEFFun!S605</f>
        <v>8922.6</v>
      </c>
      <c r="T135" s="257">
        <f>EEFFun!T605</f>
        <v>9180.9</v>
      </c>
      <c r="U135" s="257">
        <f>EEFFun!U605</f>
        <v>16998.18</v>
      </c>
      <c r="V135" s="257">
        <f>EEFFun!V605</f>
        <v>24547.23</v>
      </c>
      <c r="W135" s="257">
        <f>EEFFun!W605</f>
        <v>31198.45</v>
      </c>
      <c r="X135" s="257">
        <f>EEFFun!X605</f>
        <v>38503.54</v>
      </c>
      <c r="Y135" s="257">
        <f>EEFFun!Y605</f>
        <v>46751.58</v>
      </c>
      <c r="Z135" s="257">
        <f>EEFFun!Z605</f>
        <v>54667.21</v>
      </c>
      <c r="AA135" s="257">
        <f>EEFFun!AA605</f>
        <v>62534.96</v>
      </c>
      <c r="AB135" s="257">
        <f>EEFFun!AB605</f>
        <v>13583.4</v>
      </c>
      <c r="AC135" s="257">
        <f>EEFFun!AC605</f>
        <v>4998.4799999999996</v>
      </c>
      <c r="AD135" s="257">
        <f>EEFFun!AD605</f>
        <v>10078.39</v>
      </c>
      <c r="AE135" s="257">
        <f>EEFFun!AE605</f>
        <v>16227.05</v>
      </c>
      <c r="AF135" s="257">
        <f>EEFFun!AF605</f>
        <v>21278.31</v>
      </c>
      <c r="AG135" s="257">
        <f>EEFFun!AG605</f>
        <v>26268.04</v>
      </c>
      <c r="AH135" s="257">
        <f>EEFFun!AH605</f>
        <v>31300.47</v>
      </c>
      <c r="AI135" s="257">
        <f>EEFFun!AI605</f>
        <v>36172.51</v>
      </c>
      <c r="AJ135" s="257">
        <f>EEFFun!AJ605</f>
        <v>41132.46</v>
      </c>
      <c r="AK135" s="257">
        <f>EEFFun!AK605</f>
        <v>46214.53</v>
      </c>
      <c r="AL135" s="257">
        <f>EEFFun!AL605</f>
        <v>51057.54</v>
      </c>
      <c r="AM135" s="257">
        <f>EEFFun!AM605</f>
        <v>56007.1</v>
      </c>
      <c r="AN135" s="257">
        <f>EEFFun!AN605</f>
        <v>68148.460000000006</v>
      </c>
      <c r="AO135" s="257">
        <f>EEFFun!AO605</f>
        <v>292.5</v>
      </c>
      <c r="AP135" s="257">
        <f>EEFFun!AP605</f>
        <v>533.94000000000005</v>
      </c>
      <c r="AQ135" s="257">
        <f>EEFFun!AQ605</f>
        <v>1062.72</v>
      </c>
      <c r="AR135" s="257">
        <f>EEFFun!AR605</f>
        <v>1362.03</v>
      </c>
      <c r="AS135" s="257">
        <f>EEFFun!AS605</f>
        <v>1494.53</v>
      </c>
      <c r="AT135" s="257">
        <f>EEFFun!AT605</f>
        <v>1617.39</v>
      </c>
      <c r="AU135" s="257">
        <f>EEFFun!AU605</f>
        <v>1779.27</v>
      </c>
      <c r="AV135" s="257">
        <f>EEFFun!AV605</f>
        <v>1993.27</v>
      </c>
      <c r="AW135" s="257">
        <f>EEFFun!AW605</f>
        <v>2227.58</v>
      </c>
      <c r="AX135" s="257">
        <f>EEFFun!AX605</f>
        <v>2531.4499999999998</v>
      </c>
      <c r="AY135" s="295">
        <f>+AX135/10</f>
        <v>253.14499999999998</v>
      </c>
      <c r="AZ135" s="295">
        <f t="shared" si="648"/>
        <v>253.14499999999998</v>
      </c>
      <c r="BA135" s="295">
        <f t="shared" si="648"/>
        <v>253.14499999999998</v>
      </c>
      <c r="BB135" s="295">
        <f t="shared" si="648"/>
        <v>253.14499999999998</v>
      </c>
      <c r="BC135" s="295">
        <f t="shared" si="648"/>
        <v>253.14499999999998</v>
      </c>
      <c r="BD135" s="295">
        <f t="shared" si="648"/>
        <v>253.14499999999998</v>
      </c>
      <c r="BE135" s="295">
        <f t="shared" si="648"/>
        <v>253.14499999999998</v>
      </c>
      <c r="BF135" s="295">
        <f t="shared" si="648"/>
        <v>253.14499999999998</v>
      </c>
      <c r="BG135" s="295">
        <f t="shared" si="648"/>
        <v>253.14499999999998</v>
      </c>
      <c r="BH135" s="295">
        <f t="shared" si="648"/>
        <v>253.14499999999998</v>
      </c>
      <c r="BI135" s="295">
        <f t="shared" si="648"/>
        <v>253.14499999999998</v>
      </c>
      <c r="BJ135" s="295">
        <f t="shared" si="648"/>
        <v>253.14499999999998</v>
      </c>
      <c r="BK135" s="295">
        <f>SUM($AY$135:AY135)</f>
        <v>253.14499999999998</v>
      </c>
      <c r="BL135" s="295">
        <f>SUM($AY$135:AZ135)</f>
        <v>506.28999999999996</v>
      </c>
      <c r="BM135" s="295">
        <f>SUM($AY$135:BA135)</f>
        <v>759.43499999999995</v>
      </c>
      <c r="BN135" s="295">
        <f>SUM($AY$135:BB135)</f>
        <v>1012.5799999999999</v>
      </c>
      <c r="BO135" s="295">
        <f>SUM($AY$135:BC135)</f>
        <v>1265.7249999999999</v>
      </c>
      <c r="BP135" s="295">
        <f>SUM($AY$135:BD135)</f>
        <v>1518.87</v>
      </c>
      <c r="BQ135" s="295">
        <f>SUM($AY$135:BE135)</f>
        <v>1772.0149999999999</v>
      </c>
      <c r="BR135" s="295">
        <f>SUM($AY$135:BF135)</f>
        <v>2025.1599999999999</v>
      </c>
      <c r="BS135" s="295">
        <f>SUM($AY$135:BG135)</f>
        <v>2278.3049999999998</v>
      </c>
      <c r="BT135" s="295">
        <f>SUM($AY$135:BH135)</f>
        <v>2531.4499999999998</v>
      </c>
      <c r="BU135" s="295">
        <f>SUM($AY$135:BI135)</f>
        <v>2784.5949999999998</v>
      </c>
      <c r="BV135" s="295">
        <f>SUM($AY$135:BJ135)</f>
        <v>3037.74</v>
      </c>
      <c r="BW135" s="291"/>
    </row>
    <row r="136" spans="1:75" s="229" customFormat="1" x14ac:dyDescent="0.25">
      <c r="A136" s="222">
        <v>2</v>
      </c>
      <c r="B136" s="223">
        <f>EEFFun!B606</f>
        <v>46</v>
      </c>
      <c r="C136" s="223" t="str">
        <f>EEFFun!C606</f>
        <v>OTRAS PERDIDAS OPERACIONALES</v>
      </c>
      <c r="D136" s="279">
        <f>EEFFun!P606</f>
        <v>89512.5</v>
      </c>
      <c r="E136" s="297">
        <f>E137+E138</f>
        <v>0</v>
      </c>
      <c r="F136" s="297">
        <f t="shared" ref="F136" si="696">F137+F138</f>
        <v>882.14</v>
      </c>
      <c r="G136" s="297">
        <f t="shared" ref="G136" si="697">G137+G138</f>
        <v>0</v>
      </c>
      <c r="H136" s="297">
        <f t="shared" ref="H136:O136" si="698">H137+H138</f>
        <v>0</v>
      </c>
      <c r="I136" s="297">
        <f t="shared" si="698"/>
        <v>0</v>
      </c>
      <c r="J136" s="297">
        <f t="shared" si="698"/>
        <v>0</v>
      </c>
      <c r="K136" s="297">
        <f t="shared" si="698"/>
        <v>0</v>
      </c>
      <c r="L136" s="297">
        <f t="shared" si="698"/>
        <v>0</v>
      </c>
      <c r="M136" s="297">
        <f t="shared" si="698"/>
        <v>0</v>
      </c>
      <c r="N136" s="297">
        <f t="shared" si="698"/>
        <v>0</v>
      </c>
      <c r="O136" s="297">
        <f t="shared" si="698"/>
        <v>0</v>
      </c>
      <c r="P136" s="297">
        <f t="shared" ref="P136" si="699">P137+P138</f>
        <v>0</v>
      </c>
      <c r="Q136" s="279">
        <f>EEFFun!Q606</f>
        <v>0</v>
      </c>
      <c r="R136" s="279">
        <f>EEFFun!R606</f>
        <v>882.14</v>
      </c>
      <c r="S136" s="279">
        <f>EEFFun!S606</f>
        <v>882.14</v>
      </c>
      <c r="T136" s="279">
        <f>EEFFun!T606</f>
        <v>882.14</v>
      </c>
      <c r="U136" s="279">
        <f>EEFFun!U606</f>
        <v>882.14</v>
      </c>
      <c r="V136" s="279">
        <f>EEFFun!V606</f>
        <v>882.14</v>
      </c>
      <c r="W136" s="279">
        <f>EEFFun!W606</f>
        <v>882.14</v>
      </c>
      <c r="X136" s="279">
        <f>EEFFun!X606</f>
        <v>882.14</v>
      </c>
      <c r="Y136" s="279">
        <f>EEFFun!Y606</f>
        <v>882.14</v>
      </c>
      <c r="Z136" s="279">
        <f>EEFFun!Z606</f>
        <v>882.14</v>
      </c>
      <c r="AA136" s="279">
        <f>EEFFun!AA606</f>
        <v>882.14</v>
      </c>
      <c r="AB136" s="279">
        <f>EEFFun!AB606</f>
        <v>882.14</v>
      </c>
      <c r="AC136" s="279">
        <f>EEFFun!AC606</f>
        <v>0</v>
      </c>
      <c r="AD136" s="279">
        <f>EEFFun!AD606</f>
        <v>0</v>
      </c>
      <c r="AE136" s="279">
        <f>EEFFun!AE606</f>
        <v>0</v>
      </c>
      <c r="AF136" s="279">
        <f>EEFFun!AF606</f>
        <v>0</v>
      </c>
      <c r="AG136" s="279">
        <f>EEFFun!AG606</f>
        <v>0</v>
      </c>
      <c r="AH136" s="279">
        <f>EEFFun!AH606</f>
        <v>0</v>
      </c>
      <c r="AI136" s="279">
        <f>EEFFun!AI606</f>
        <v>0</v>
      </c>
      <c r="AJ136" s="279">
        <f>EEFFun!AJ606</f>
        <v>0</v>
      </c>
      <c r="AK136" s="279">
        <f>EEFFun!AK606</f>
        <v>0</v>
      </c>
      <c r="AL136" s="279">
        <f>EEFFun!AL606</f>
        <v>0</v>
      </c>
      <c r="AM136" s="279">
        <f>EEFFun!AM606</f>
        <v>0</v>
      </c>
      <c r="AN136" s="279">
        <f>EEFFun!AN606</f>
        <v>0</v>
      </c>
      <c r="AO136" s="279">
        <f>EEFFun!AO606</f>
        <v>0</v>
      </c>
      <c r="AP136" s="279">
        <f>EEFFun!AP606</f>
        <v>0</v>
      </c>
      <c r="AQ136" s="279">
        <f>EEFFun!AQ606</f>
        <v>0</v>
      </c>
      <c r="AR136" s="279">
        <f>EEFFun!AR606</f>
        <v>0</v>
      </c>
      <c r="AS136" s="279">
        <f>EEFFun!AS606</f>
        <v>0</v>
      </c>
      <c r="AT136" s="279">
        <f>EEFFun!AT606</f>
        <v>0</v>
      </c>
      <c r="AU136" s="279">
        <f>EEFFun!AU606</f>
        <v>0</v>
      </c>
      <c r="AV136" s="279">
        <f>EEFFun!AV606</f>
        <v>0</v>
      </c>
      <c r="AW136" s="279">
        <f>EEFFun!AW606</f>
        <v>0</v>
      </c>
      <c r="AX136" s="279">
        <f>EEFFun!AX606</f>
        <v>0</v>
      </c>
      <c r="AY136" s="297">
        <f t="shared" ref="AY136:BE136" si="700">AY137+AY138</f>
        <v>0</v>
      </c>
      <c r="AZ136" s="297">
        <f t="shared" si="700"/>
        <v>0</v>
      </c>
      <c r="BA136" s="297">
        <f t="shared" si="700"/>
        <v>0</v>
      </c>
      <c r="BB136" s="297">
        <f t="shared" si="700"/>
        <v>0</v>
      </c>
      <c r="BC136" s="297">
        <f t="shared" si="700"/>
        <v>0</v>
      </c>
      <c r="BD136" s="297">
        <f t="shared" si="700"/>
        <v>0</v>
      </c>
      <c r="BE136" s="297">
        <f t="shared" si="700"/>
        <v>0</v>
      </c>
      <c r="BF136" s="297">
        <f t="shared" ref="BF136" si="701">BF137+BF138</f>
        <v>0</v>
      </c>
      <c r="BG136" s="297">
        <f t="shared" ref="BG136" si="702">BG137+BG138</f>
        <v>0</v>
      </c>
      <c r="BH136" s="297">
        <f t="shared" ref="BH136" si="703">BH137+BH138</f>
        <v>0</v>
      </c>
      <c r="BI136" s="297">
        <f t="shared" ref="BI136" si="704">BI137+BI138</f>
        <v>0</v>
      </c>
      <c r="BJ136" s="297">
        <f t="shared" ref="BJ136" si="705">BJ137+BJ138</f>
        <v>0</v>
      </c>
      <c r="BK136" s="297">
        <f t="shared" ref="BK136:BQ136" si="706">BK137+BK138</f>
        <v>0</v>
      </c>
      <c r="BL136" s="297">
        <f t="shared" si="706"/>
        <v>0</v>
      </c>
      <c r="BM136" s="297">
        <f t="shared" si="706"/>
        <v>0</v>
      </c>
      <c r="BN136" s="297">
        <f t="shared" si="706"/>
        <v>0</v>
      </c>
      <c r="BO136" s="297">
        <f t="shared" si="706"/>
        <v>0</v>
      </c>
      <c r="BP136" s="297">
        <f t="shared" si="706"/>
        <v>0</v>
      </c>
      <c r="BQ136" s="297">
        <f t="shared" si="706"/>
        <v>0</v>
      </c>
      <c r="BR136" s="297">
        <f t="shared" ref="BR136" si="707">BR137+BR138</f>
        <v>0</v>
      </c>
      <c r="BS136" s="297">
        <f t="shared" ref="BS136" si="708">BS137+BS138</f>
        <v>0</v>
      </c>
      <c r="BT136" s="297">
        <f t="shared" ref="BT136" si="709">BT137+BT138</f>
        <v>0</v>
      </c>
      <c r="BU136" s="297">
        <f t="shared" ref="BU136" si="710">BU137+BU138</f>
        <v>0</v>
      </c>
      <c r="BV136" s="297">
        <f t="shared" ref="BV136" si="711">BV137+BV138</f>
        <v>0</v>
      </c>
      <c r="BW136" s="373"/>
    </row>
    <row r="137" spans="1:75" s="229" customFormat="1" outlineLevel="1" x14ac:dyDescent="0.25">
      <c r="A137" s="239">
        <v>4</v>
      </c>
      <c r="B137" s="223">
        <f>EEFFun!B607</f>
        <v>4602</v>
      </c>
      <c r="C137" s="223" t="str">
        <f>EEFFun!C607</f>
        <v>Pérdida en venta de bienes realizables y recuperad</v>
      </c>
      <c r="D137" s="279">
        <f>EEFFun!P607</f>
        <v>8757.42</v>
      </c>
      <c r="E137" s="295">
        <f>Q137</f>
        <v>0</v>
      </c>
      <c r="F137" s="295">
        <f t="shared" ref="F137:F138" si="712">R137-Q137</f>
        <v>882.14</v>
      </c>
      <c r="G137" s="295">
        <f t="shared" ref="G137:G138" si="713">S137-R137</f>
        <v>0</v>
      </c>
      <c r="H137" s="295">
        <f t="shared" ref="H137:H138" si="714">T137-S137</f>
        <v>0</v>
      </c>
      <c r="I137" s="295">
        <f t="shared" ref="I137:I138" si="715">U137-T137</f>
        <v>0</v>
      </c>
      <c r="J137" s="295">
        <f t="shared" ref="J137:J138" si="716">V137-U137</f>
        <v>0</v>
      </c>
      <c r="K137" s="295">
        <f t="shared" ref="K137:K138" si="717">W137-V137</f>
        <v>0</v>
      </c>
      <c r="L137" s="295">
        <f t="shared" ref="L137:L138" si="718">X137-W137</f>
        <v>0</v>
      </c>
      <c r="M137" s="295">
        <f t="shared" ref="M137:M138" si="719">Y137-X137</f>
        <v>0</v>
      </c>
      <c r="N137" s="295">
        <f t="shared" ref="N137:N138" si="720">Z137-Y137</f>
        <v>0</v>
      </c>
      <c r="O137" s="295">
        <f t="shared" ref="O137:P138" si="721">AA137-Z137</f>
        <v>0</v>
      </c>
      <c r="P137" s="295">
        <f t="shared" si="721"/>
        <v>0</v>
      </c>
      <c r="Q137" s="279">
        <f>EEFFun!Q607</f>
        <v>0</v>
      </c>
      <c r="R137" s="279">
        <f>EEFFun!R607</f>
        <v>882.14</v>
      </c>
      <c r="S137" s="279">
        <f>EEFFun!S607</f>
        <v>882.14</v>
      </c>
      <c r="T137" s="279">
        <f>EEFFun!T607</f>
        <v>882.14</v>
      </c>
      <c r="U137" s="279">
        <f>EEFFun!U607</f>
        <v>882.14</v>
      </c>
      <c r="V137" s="279">
        <f>EEFFun!V607</f>
        <v>882.14</v>
      </c>
      <c r="W137" s="279">
        <f>EEFFun!W607</f>
        <v>882.14</v>
      </c>
      <c r="X137" s="279">
        <f>EEFFun!X607</f>
        <v>882.14</v>
      </c>
      <c r="Y137" s="279">
        <f>EEFFun!Y607</f>
        <v>882.14</v>
      </c>
      <c r="Z137" s="279">
        <f>EEFFun!Z607</f>
        <v>882.14</v>
      </c>
      <c r="AA137" s="279">
        <f>EEFFun!AA607</f>
        <v>882.14</v>
      </c>
      <c r="AB137" s="279">
        <f>EEFFun!AB607</f>
        <v>882.14</v>
      </c>
      <c r="AC137" s="279">
        <f>EEFFun!AC607</f>
        <v>0</v>
      </c>
      <c r="AD137" s="279">
        <f>EEFFun!AD607</f>
        <v>0</v>
      </c>
      <c r="AE137" s="279">
        <f>EEFFun!AE607</f>
        <v>0</v>
      </c>
      <c r="AF137" s="279">
        <f>EEFFun!AF607</f>
        <v>0</v>
      </c>
      <c r="AG137" s="279">
        <f>EEFFun!AG607</f>
        <v>0</v>
      </c>
      <c r="AH137" s="279">
        <f>EEFFun!AH607</f>
        <v>0</v>
      </c>
      <c r="AI137" s="279">
        <f>EEFFun!AI607</f>
        <v>0</v>
      </c>
      <c r="AJ137" s="279">
        <f>EEFFun!AJ607</f>
        <v>0</v>
      </c>
      <c r="AK137" s="279">
        <f>EEFFun!AK607</f>
        <v>0</v>
      </c>
      <c r="AL137" s="279">
        <f>EEFFun!AL607</f>
        <v>0</v>
      </c>
      <c r="AM137" s="279">
        <f>EEFFun!AM607</f>
        <v>0</v>
      </c>
      <c r="AN137" s="279">
        <f>EEFFun!AN607</f>
        <v>0</v>
      </c>
      <c r="AO137" s="279">
        <f>EEFFun!AO607</f>
        <v>0</v>
      </c>
      <c r="AP137" s="279">
        <f>EEFFun!AP607</f>
        <v>0</v>
      </c>
      <c r="AQ137" s="279">
        <f>EEFFun!AQ607</f>
        <v>0</v>
      </c>
      <c r="AR137" s="279">
        <f>EEFFun!AR607</f>
        <v>0</v>
      </c>
      <c r="AS137" s="279">
        <f>EEFFun!AS607</f>
        <v>0</v>
      </c>
      <c r="AT137" s="279">
        <f>EEFFun!AT607</f>
        <v>0</v>
      </c>
      <c r="AU137" s="279">
        <f>EEFFun!AU607</f>
        <v>0</v>
      </c>
      <c r="AV137" s="279">
        <f>EEFFun!AV607</f>
        <v>0</v>
      </c>
      <c r="AW137" s="279">
        <f>EEFFun!AW607</f>
        <v>0</v>
      </c>
      <c r="AX137" s="279">
        <f>EEFFun!AX607</f>
        <v>0</v>
      </c>
      <c r="AY137" s="291"/>
      <c r="AZ137" s="291"/>
      <c r="BA137" s="291"/>
      <c r="BB137" s="291"/>
      <c r="BC137" s="291"/>
      <c r="BD137" s="291"/>
      <c r="BE137" s="291"/>
      <c r="BF137" s="291"/>
      <c r="BG137" s="291"/>
      <c r="BH137" s="291"/>
      <c r="BI137" s="291"/>
      <c r="BJ137" s="291"/>
      <c r="BK137" s="295">
        <f>SUM($AY$137:AY137)</f>
        <v>0</v>
      </c>
      <c r="BL137" s="295">
        <f>SUM($AY$137:AZ137)</f>
        <v>0</v>
      </c>
      <c r="BM137" s="295">
        <f>SUM($AY$137:BA137)</f>
        <v>0</v>
      </c>
      <c r="BN137" s="295">
        <f>SUM($AY$137:BB137)</f>
        <v>0</v>
      </c>
      <c r="BO137" s="295">
        <f>SUM($AY$137:BC137)</f>
        <v>0</v>
      </c>
      <c r="BP137" s="295">
        <f>SUM($AY$137:BD137)</f>
        <v>0</v>
      </c>
      <c r="BQ137" s="295">
        <f>SUM($AY$137:BE137)</f>
        <v>0</v>
      </c>
      <c r="BR137" s="295">
        <f>SUM($AY$137:BF137)</f>
        <v>0</v>
      </c>
      <c r="BS137" s="295">
        <f>SUM($AY$137:BG137)</f>
        <v>0</v>
      </c>
      <c r="BT137" s="295">
        <f>SUM($AY$137:BH137)</f>
        <v>0</v>
      </c>
      <c r="BU137" s="295">
        <f>SUM($AY$137:BI137)</f>
        <v>0</v>
      </c>
      <c r="BV137" s="295">
        <f>SUM($AY$137:BJ137)</f>
        <v>0</v>
      </c>
      <c r="BW137" s="284"/>
    </row>
    <row r="138" spans="1:75" s="229" customFormat="1" outlineLevel="1" x14ac:dyDescent="0.25">
      <c r="A138" s="239">
        <v>4</v>
      </c>
      <c r="B138" s="223">
        <f>EEFFun!B608</f>
        <v>4690</v>
      </c>
      <c r="C138" s="223" t="str">
        <f>EEFFun!C608</f>
        <v>Otras</v>
      </c>
      <c r="D138" s="279">
        <f>EEFFun!P608</f>
        <v>80755.08</v>
      </c>
      <c r="E138" s="295">
        <f>Q138</f>
        <v>0</v>
      </c>
      <c r="F138" s="295">
        <f t="shared" si="712"/>
        <v>0</v>
      </c>
      <c r="G138" s="295">
        <f t="shared" si="713"/>
        <v>0</v>
      </c>
      <c r="H138" s="295">
        <f t="shared" si="714"/>
        <v>0</v>
      </c>
      <c r="I138" s="295">
        <f t="shared" si="715"/>
        <v>0</v>
      </c>
      <c r="J138" s="295">
        <f t="shared" si="716"/>
        <v>0</v>
      </c>
      <c r="K138" s="295">
        <f t="shared" si="717"/>
        <v>0</v>
      </c>
      <c r="L138" s="295">
        <f t="shared" si="718"/>
        <v>0</v>
      </c>
      <c r="M138" s="295">
        <f t="shared" si="719"/>
        <v>0</v>
      </c>
      <c r="N138" s="295">
        <f t="shared" si="720"/>
        <v>0</v>
      </c>
      <c r="O138" s="295">
        <f t="shared" si="721"/>
        <v>0</v>
      </c>
      <c r="P138" s="295">
        <f t="shared" si="721"/>
        <v>0</v>
      </c>
      <c r="Q138" s="279">
        <f>EEFFun!Q608</f>
        <v>0</v>
      </c>
      <c r="R138" s="279">
        <f>EEFFun!R608</f>
        <v>0</v>
      </c>
      <c r="S138" s="279">
        <f>EEFFun!S608</f>
        <v>0</v>
      </c>
      <c r="T138" s="279">
        <f>EEFFun!T608</f>
        <v>0</v>
      </c>
      <c r="U138" s="279">
        <f>EEFFun!U608</f>
        <v>0</v>
      </c>
      <c r="V138" s="279">
        <f>EEFFun!V608</f>
        <v>0</v>
      </c>
      <c r="W138" s="279">
        <f>EEFFun!W608</f>
        <v>0</v>
      </c>
      <c r="X138" s="279">
        <f>EEFFun!X608</f>
        <v>0</v>
      </c>
      <c r="Y138" s="279">
        <f>EEFFun!Y608</f>
        <v>0</v>
      </c>
      <c r="Z138" s="279">
        <f>EEFFun!Z608</f>
        <v>0</v>
      </c>
      <c r="AA138" s="279">
        <f>EEFFun!AA608</f>
        <v>0</v>
      </c>
      <c r="AB138" s="279">
        <f>EEFFun!AB608</f>
        <v>0</v>
      </c>
      <c r="AC138" s="279">
        <f>EEFFun!AC608</f>
        <v>0</v>
      </c>
      <c r="AD138" s="279">
        <f>EEFFun!AD608</f>
        <v>0</v>
      </c>
      <c r="AE138" s="279">
        <f>EEFFun!AE608</f>
        <v>0</v>
      </c>
      <c r="AF138" s="279">
        <f>EEFFun!AF608</f>
        <v>0</v>
      </c>
      <c r="AG138" s="279">
        <f>EEFFun!AG608</f>
        <v>0</v>
      </c>
      <c r="AH138" s="279">
        <f>EEFFun!AH608</f>
        <v>0</v>
      </c>
      <c r="AI138" s="279">
        <f>EEFFun!AI608</f>
        <v>0</v>
      </c>
      <c r="AJ138" s="279">
        <f>EEFFun!AJ608</f>
        <v>0</v>
      </c>
      <c r="AK138" s="279">
        <f>EEFFun!AK608</f>
        <v>0</v>
      </c>
      <c r="AL138" s="279">
        <f>EEFFun!AL608</f>
        <v>0</v>
      </c>
      <c r="AM138" s="279">
        <f>EEFFun!AM608</f>
        <v>0</v>
      </c>
      <c r="AN138" s="279">
        <f>EEFFun!AN608</f>
        <v>0</v>
      </c>
      <c r="AO138" s="279">
        <f>EEFFun!AO608</f>
        <v>0</v>
      </c>
      <c r="AP138" s="279">
        <f>EEFFun!AP608</f>
        <v>0</v>
      </c>
      <c r="AQ138" s="279">
        <f>EEFFun!AQ608</f>
        <v>0</v>
      </c>
      <c r="AR138" s="279">
        <f>EEFFun!AR608</f>
        <v>0</v>
      </c>
      <c r="AS138" s="279">
        <f>EEFFun!AS608</f>
        <v>0</v>
      </c>
      <c r="AT138" s="279">
        <f>EEFFun!AT608</f>
        <v>0</v>
      </c>
      <c r="AU138" s="279">
        <f>EEFFun!AU608</f>
        <v>0</v>
      </c>
      <c r="AV138" s="279">
        <f>EEFFun!AV608</f>
        <v>0</v>
      </c>
      <c r="AW138" s="279">
        <f>EEFFun!AW608</f>
        <v>0</v>
      </c>
      <c r="AX138" s="279">
        <f>EEFFun!AX608</f>
        <v>0</v>
      </c>
      <c r="AY138" s="291"/>
      <c r="AZ138" s="291"/>
      <c r="BA138" s="291"/>
      <c r="BB138" s="291"/>
      <c r="BC138" s="291"/>
      <c r="BD138" s="291"/>
      <c r="BE138" s="291"/>
      <c r="BF138" s="291"/>
      <c r="BG138" s="291"/>
      <c r="BH138" s="291"/>
      <c r="BI138" s="291"/>
      <c r="BJ138" s="291"/>
      <c r="BK138" s="295">
        <f>SUM($AY$138:AY138)</f>
        <v>0</v>
      </c>
      <c r="BL138" s="295">
        <f>SUM($AY$138:AZ138)</f>
        <v>0</v>
      </c>
      <c r="BM138" s="295">
        <f>SUM($AY$138:BA138)</f>
        <v>0</v>
      </c>
      <c r="BN138" s="295">
        <f>SUM($AY$138:BB138)</f>
        <v>0</v>
      </c>
      <c r="BO138" s="295">
        <f>SUM($AY$138:BC138)</f>
        <v>0</v>
      </c>
      <c r="BP138" s="295">
        <f>SUM($AY$138:BD138)</f>
        <v>0</v>
      </c>
      <c r="BQ138" s="295">
        <f>SUM($AY$138:BE138)</f>
        <v>0</v>
      </c>
      <c r="BR138" s="295">
        <f>SUM($AY$138:BF138)</f>
        <v>0</v>
      </c>
      <c r="BS138" s="295">
        <f>SUM($AY$138:BG138)</f>
        <v>0</v>
      </c>
      <c r="BT138" s="295">
        <f>SUM($AY$138:BH138)</f>
        <v>0</v>
      </c>
      <c r="BU138" s="295">
        <f>SUM($AY$138:BI138)</f>
        <v>0</v>
      </c>
      <c r="BV138" s="295">
        <f>SUM($AY$138:BJ138)</f>
        <v>0</v>
      </c>
      <c r="BW138" s="284"/>
    </row>
    <row r="139" spans="1:75" s="229" customFormat="1" x14ac:dyDescent="0.25">
      <c r="A139" s="222">
        <v>2</v>
      </c>
      <c r="B139" s="223">
        <f>EEFFun!B609</f>
        <v>47</v>
      </c>
      <c r="C139" s="223" t="str">
        <f>EEFFun!C609</f>
        <v>OTROS GASTOS Y PERDIDAS</v>
      </c>
      <c r="D139" s="297">
        <f t="shared" ref="D139" si="722">D140+D141+D144</f>
        <v>18795.13</v>
      </c>
      <c r="E139" s="297">
        <f t="shared" ref="E139" si="723">E140+E141+E144</f>
        <v>0</v>
      </c>
      <c r="F139" s="297">
        <f t="shared" ref="F139" si="724">F140+F141+F144</f>
        <v>0</v>
      </c>
      <c r="G139" s="297">
        <f t="shared" ref="G139" si="725">G140+G141+G144</f>
        <v>0</v>
      </c>
      <c r="H139" s="297">
        <f t="shared" ref="H139" si="726">H140+H141+H144</f>
        <v>0</v>
      </c>
      <c r="I139" s="297">
        <f t="shared" ref="I139" si="727">I140+I141+I144</f>
        <v>0</v>
      </c>
      <c r="J139" s="297">
        <f t="shared" ref="J139" si="728">J140+J141+J144</f>
        <v>0</v>
      </c>
      <c r="K139" s="297">
        <f t="shared" ref="K139" si="729">K140+K141+K144</f>
        <v>0</v>
      </c>
      <c r="L139" s="297">
        <f t="shared" ref="L139" si="730">L140+L141+L144</f>
        <v>0</v>
      </c>
      <c r="M139" s="297">
        <f t="shared" ref="M139" si="731">M140+M141+M144</f>
        <v>0</v>
      </c>
      <c r="N139" s="297">
        <f t="shared" ref="N139" si="732">N140+N141+N144</f>
        <v>0</v>
      </c>
      <c r="O139" s="297">
        <f t="shared" ref="O139" si="733">O140+O141+O144</f>
        <v>0</v>
      </c>
      <c r="P139" s="297">
        <f t="shared" ref="P139" si="734">P140+P141+P144</f>
        <v>0</v>
      </c>
      <c r="Q139" s="297">
        <f t="shared" ref="Q139" si="735">Q140+Q141+Q144</f>
        <v>0</v>
      </c>
      <c r="R139" s="297">
        <f t="shared" ref="R139" si="736">R140+R141+R144</f>
        <v>0</v>
      </c>
      <c r="S139" s="297">
        <f t="shared" ref="S139" si="737">S140+S141+S144</f>
        <v>0</v>
      </c>
      <c r="T139" s="297">
        <f t="shared" ref="T139" si="738">T140+T141+T144</f>
        <v>0</v>
      </c>
      <c r="U139" s="297">
        <f t="shared" ref="U139" si="739">U140+U141+U144</f>
        <v>0</v>
      </c>
      <c r="V139" s="297">
        <f t="shared" ref="V139" si="740">V140+V141+V144</f>
        <v>0</v>
      </c>
      <c r="W139" s="297" t="e">
        <f t="shared" ref="W139" si="741">W140+W141+W144</f>
        <v>#REF!</v>
      </c>
      <c r="X139" s="297" t="e">
        <f t="shared" ref="X139" si="742">X140+X141+X144</f>
        <v>#REF!</v>
      </c>
      <c r="Y139" s="297">
        <f t="shared" ref="Y139" si="743">Y140+Y141+Y144</f>
        <v>0</v>
      </c>
      <c r="Z139" s="297">
        <f t="shared" ref="Z139" si="744">Z140+Z141+Z144</f>
        <v>0</v>
      </c>
      <c r="AA139" s="297">
        <f t="shared" ref="AA139" si="745">AA140+AA141+AA144</f>
        <v>0</v>
      </c>
      <c r="AB139" s="297">
        <f t="shared" ref="AB139" si="746">AB140+AB141+AB144</f>
        <v>0</v>
      </c>
      <c r="AC139" s="297">
        <f t="shared" ref="AC139:AH139" si="747">AC140+AC141+AC144</f>
        <v>2025.73</v>
      </c>
      <c r="AD139" s="297">
        <f t="shared" si="747"/>
        <v>4172.3599999999997</v>
      </c>
      <c r="AE139" s="297">
        <f t="shared" si="747"/>
        <v>6093.99</v>
      </c>
      <c r="AF139" s="297">
        <f t="shared" si="747"/>
        <v>7398.3399999999992</v>
      </c>
      <c r="AG139" s="297">
        <f t="shared" si="747"/>
        <v>8605.2900000000009</v>
      </c>
      <c r="AH139" s="297">
        <f t="shared" si="747"/>
        <v>13718.720000000001</v>
      </c>
      <c r="AI139" s="297">
        <f t="shared" ref="AI139:BQ139" si="748">AI140+AI141+AI144</f>
        <v>22751.230000000003</v>
      </c>
      <c r="AJ139" s="297">
        <f t="shared" si="748"/>
        <v>28434.93</v>
      </c>
      <c r="AK139" s="297">
        <f t="shared" si="748"/>
        <v>36025.96</v>
      </c>
      <c r="AL139" s="297">
        <f t="shared" si="748"/>
        <v>41618.089999999997</v>
      </c>
      <c r="AM139" s="297">
        <f t="shared" si="748"/>
        <v>42977.5</v>
      </c>
      <c r="AN139" s="297">
        <f t="shared" si="748"/>
        <v>44336.91</v>
      </c>
      <c r="AO139" s="297">
        <f t="shared" ref="AO139:AX139" si="749">AO140+AO141+AO144</f>
        <v>1359.41</v>
      </c>
      <c r="AP139" s="297">
        <f t="shared" si="749"/>
        <v>2718.82</v>
      </c>
      <c r="AQ139" s="297">
        <f t="shared" si="749"/>
        <v>4078.23</v>
      </c>
      <c r="AR139" s="297">
        <f t="shared" si="749"/>
        <v>5437.64</v>
      </c>
      <c r="AS139" s="297">
        <f t="shared" si="749"/>
        <v>6797.05</v>
      </c>
      <c r="AT139" s="297">
        <f t="shared" si="749"/>
        <v>8156.46</v>
      </c>
      <c r="AU139" s="297">
        <f t="shared" si="749"/>
        <v>45031.22</v>
      </c>
      <c r="AV139" s="297">
        <f t="shared" si="749"/>
        <v>117243.43</v>
      </c>
      <c r="AW139" s="297">
        <f t="shared" si="749"/>
        <v>170436.4</v>
      </c>
      <c r="AX139" s="297">
        <f t="shared" si="749"/>
        <v>240724.24</v>
      </c>
      <c r="AY139" s="297">
        <f t="shared" ref="AY139:BJ139" si="750">AY140+AY141+AY144</f>
        <v>94072.42</v>
      </c>
      <c r="AZ139" s="297">
        <f t="shared" si="750"/>
        <v>94072.42</v>
      </c>
      <c r="BA139" s="297">
        <f t="shared" si="750"/>
        <v>24072.423999999999</v>
      </c>
      <c r="BB139" s="297">
        <f t="shared" si="750"/>
        <v>24072.423999999999</v>
      </c>
      <c r="BC139" s="297">
        <f t="shared" si="750"/>
        <v>24072.423999999999</v>
      </c>
      <c r="BD139" s="297">
        <f t="shared" si="750"/>
        <v>24072.423999999999</v>
      </c>
      <c r="BE139" s="297">
        <f t="shared" si="750"/>
        <v>24072.423999999999</v>
      </c>
      <c r="BF139" s="297">
        <f t="shared" si="750"/>
        <v>24072.423999999999</v>
      </c>
      <c r="BG139" s="297">
        <f t="shared" si="750"/>
        <v>94072.42</v>
      </c>
      <c r="BH139" s="297">
        <f t="shared" si="750"/>
        <v>94072.42</v>
      </c>
      <c r="BI139" s="297">
        <f t="shared" si="750"/>
        <v>94072.42</v>
      </c>
      <c r="BJ139" s="297">
        <f t="shared" si="750"/>
        <v>94072.42</v>
      </c>
      <c r="BK139" s="297">
        <f t="shared" si="748"/>
        <v>94072.42</v>
      </c>
      <c r="BL139" s="297">
        <f t="shared" si="748"/>
        <v>188144.84</v>
      </c>
      <c r="BM139" s="297">
        <f t="shared" si="748"/>
        <v>212217.264</v>
      </c>
      <c r="BN139" s="297">
        <f t="shared" si="748"/>
        <v>236289.68799999999</v>
      </c>
      <c r="BO139" s="297">
        <f t="shared" si="748"/>
        <v>261666.462</v>
      </c>
      <c r="BP139" s="297">
        <f t="shared" si="748"/>
        <v>285738.88599999994</v>
      </c>
      <c r="BQ139" s="297">
        <f t="shared" si="748"/>
        <v>309811.30999999994</v>
      </c>
      <c r="BR139" s="297">
        <f t="shared" ref="BR139:BV139" si="751">BR140+BR141+BR144</f>
        <v>340988.56399999995</v>
      </c>
      <c r="BS139" s="297">
        <f t="shared" si="751"/>
        <v>435060.98399999994</v>
      </c>
      <c r="BT139" s="297">
        <f t="shared" si="751"/>
        <v>529133.40399999998</v>
      </c>
      <c r="BU139" s="297">
        <f t="shared" si="751"/>
        <v>623205.82400000002</v>
      </c>
      <c r="BV139" s="297">
        <f t="shared" si="751"/>
        <v>717278.24400000006</v>
      </c>
      <c r="BW139" s="373"/>
    </row>
    <row r="140" spans="1:75" outlineLevel="1" x14ac:dyDescent="0.25">
      <c r="A140" s="222">
        <v>4</v>
      </c>
      <c r="B140" s="233">
        <f>EEFFun!B610</f>
        <v>4701</v>
      </c>
      <c r="C140" s="233" t="str">
        <f>EEFFun!C610</f>
        <v>Pérdida en venta de bienes</v>
      </c>
      <c r="D140" s="295">
        <f t="shared" ref="D140:O140" si="752">Q140-P140</f>
        <v>0</v>
      </c>
      <c r="E140" s="295">
        <f t="shared" si="752"/>
        <v>0</v>
      </c>
      <c r="F140" s="295">
        <f t="shared" si="752"/>
        <v>0</v>
      </c>
      <c r="G140" s="295">
        <f t="shared" si="752"/>
        <v>0</v>
      </c>
      <c r="H140" s="295">
        <f t="shared" si="752"/>
        <v>0</v>
      </c>
      <c r="I140" s="295">
        <f t="shared" si="752"/>
        <v>0</v>
      </c>
      <c r="J140" s="378">
        <v>0</v>
      </c>
      <c r="K140" s="378">
        <v>0</v>
      </c>
      <c r="L140" s="378">
        <v>0</v>
      </c>
      <c r="M140" s="295">
        <f t="shared" si="752"/>
        <v>0</v>
      </c>
      <c r="N140" s="295">
        <f t="shared" si="752"/>
        <v>0</v>
      </c>
      <c r="O140" s="295">
        <f t="shared" si="752"/>
        <v>0</v>
      </c>
      <c r="P140" s="295">
        <f>AY140-AB140</f>
        <v>0</v>
      </c>
      <c r="Q140" s="295">
        <f>AZ140-AY140</f>
        <v>0</v>
      </c>
      <c r="R140" s="295">
        <f>BA140-AZ140</f>
        <v>0</v>
      </c>
      <c r="S140" s="378">
        <v>0</v>
      </c>
      <c r="T140" s="378">
        <v>0</v>
      </c>
      <c r="U140" s="295">
        <f>BD140-BC140</f>
        <v>0</v>
      </c>
      <c r="V140" s="295">
        <f>BE140-BD140</f>
        <v>0</v>
      </c>
      <c r="W140" s="257" t="e">
        <f>#REF!-BE140</f>
        <v>#REF!</v>
      </c>
      <c r="X140" s="257" t="e">
        <f>BF140-#REF!</f>
        <v>#REF!</v>
      </c>
      <c r="Y140" s="295">
        <f>BG140-BF140</f>
        <v>0</v>
      </c>
      <c r="Z140" s="295">
        <f>BH140-BG140</f>
        <v>0</v>
      </c>
      <c r="AA140" s="295">
        <f>BI140-BH140</f>
        <v>0</v>
      </c>
      <c r="AB140" s="295">
        <f>BJ140-BI140</f>
        <v>0</v>
      </c>
      <c r="AC140" s="257">
        <f>EEFFun!AC610</f>
        <v>0</v>
      </c>
      <c r="AD140" s="257">
        <f>EEFFun!AD610</f>
        <v>0</v>
      </c>
      <c r="AE140" s="257">
        <f>EEFFun!AE610</f>
        <v>0</v>
      </c>
      <c r="AF140" s="257">
        <f>EEFFun!AF610</f>
        <v>1304.3499999999999</v>
      </c>
      <c r="AG140" s="257">
        <f>EEFFun!AG610</f>
        <v>1304.3499999999999</v>
      </c>
      <c r="AH140" s="257">
        <f>EEFFun!AH610</f>
        <v>1304.3499999999999</v>
      </c>
      <c r="AI140" s="257">
        <f>EEFFun!AI610</f>
        <v>8409.18</v>
      </c>
      <c r="AJ140" s="257">
        <f>EEFFun!AJ610</f>
        <v>14092.88</v>
      </c>
      <c r="AK140" s="257">
        <f>EEFFun!AK610</f>
        <v>14092.88</v>
      </c>
      <c r="AL140" s="257">
        <f>EEFFun!AL610</f>
        <v>16040.84</v>
      </c>
      <c r="AM140" s="257">
        <f>EEFFun!AM610</f>
        <v>16040.84</v>
      </c>
      <c r="AN140" s="257">
        <f>EEFFun!AN610</f>
        <v>16040.84</v>
      </c>
      <c r="AO140" s="257">
        <f>EEFFun!AO610</f>
        <v>0</v>
      </c>
      <c r="AP140" s="257">
        <f>EEFFun!AP610</f>
        <v>0</v>
      </c>
      <c r="AQ140" s="257">
        <f>EEFFun!AQ610</f>
        <v>0</v>
      </c>
      <c r="AR140" s="257">
        <f>EEFFun!AR610</f>
        <v>0</v>
      </c>
      <c r="AS140" s="257">
        <f>EEFFun!AS610</f>
        <v>0</v>
      </c>
      <c r="AT140" s="257">
        <f>EEFFun!AT610</f>
        <v>0</v>
      </c>
      <c r="AU140" s="257">
        <f>EEFFun!AU610</f>
        <v>0</v>
      </c>
      <c r="AV140" s="257">
        <f>EEFFun!AV610</f>
        <v>0</v>
      </c>
      <c r="AW140" s="257">
        <f>EEFFun!AW610</f>
        <v>0</v>
      </c>
      <c r="AX140" s="257">
        <f>EEFFun!AX610</f>
        <v>0</v>
      </c>
      <c r="AY140" s="378">
        <v>0</v>
      </c>
      <c r="AZ140" s="378">
        <v>0</v>
      </c>
      <c r="BA140" s="378">
        <v>0</v>
      </c>
      <c r="BB140" s="378">
        <v>0</v>
      </c>
      <c r="BC140" s="378">
        <v>0</v>
      </c>
      <c r="BD140" s="378">
        <v>0</v>
      </c>
      <c r="BE140" s="378">
        <v>0</v>
      </c>
      <c r="BF140" s="378">
        <v>0</v>
      </c>
      <c r="BG140" s="295">
        <f>BF140</f>
        <v>0</v>
      </c>
      <c r="BH140" s="295">
        <f>BG140</f>
        <v>0</v>
      </c>
      <c r="BI140" s="295">
        <f t="shared" ref="BI140:BJ140" si="753">BH140</f>
        <v>0</v>
      </c>
      <c r="BJ140" s="295">
        <f t="shared" si="753"/>
        <v>0</v>
      </c>
      <c r="BK140" s="295">
        <f>BJ140</f>
        <v>0</v>
      </c>
      <c r="BL140" s="295">
        <f t="shared" ref="BL140:BR140" si="754">AC140</f>
        <v>0</v>
      </c>
      <c r="BM140" s="295">
        <f t="shared" si="754"/>
        <v>0</v>
      </c>
      <c r="BN140" s="295">
        <f t="shared" si="754"/>
        <v>0</v>
      </c>
      <c r="BO140" s="295">
        <f t="shared" si="754"/>
        <v>1304.3499999999999</v>
      </c>
      <c r="BP140" s="295">
        <f t="shared" si="754"/>
        <v>1304.3499999999999</v>
      </c>
      <c r="BQ140" s="295">
        <f t="shared" si="754"/>
        <v>1304.3499999999999</v>
      </c>
      <c r="BR140" s="295">
        <f t="shared" si="754"/>
        <v>8409.18</v>
      </c>
      <c r="BS140" s="295">
        <f t="shared" ref="BS140:BV140" si="755">BR140</f>
        <v>8409.18</v>
      </c>
      <c r="BT140" s="295">
        <f t="shared" si="755"/>
        <v>8409.18</v>
      </c>
      <c r="BU140" s="295">
        <f t="shared" si="755"/>
        <v>8409.18</v>
      </c>
      <c r="BV140" s="295">
        <f t="shared" si="755"/>
        <v>8409.18</v>
      </c>
      <c r="BW140" s="291"/>
    </row>
    <row r="141" spans="1:75" outlineLevel="1" x14ac:dyDescent="0.25">
      <c r="A141" s="222">
        <v>4</v>
      </c>
      <c r="B141" s="233">
        <f>EEFFun!B611</f>
        <v>4703</v>
      </c>
      <c r="C141" s="233" t="str">
        <f>EEFFun!C611</f>
        <v>Intereses y comisiones devengados en ejercicios an</v>
      </c>
      <c r="D141" s="257">
        <f>EEFFun!P611</f>
        <v>0</v>
      </c>
      <c r="E141" s="295">
        <f t="shared" ref="E141:P141" si="756">E142</f>
        <v>0</v>
      </c>
      <c r="F141" s="295">
        <f t="shared" si="756"/>
        <v>0</v>
      </c>
      <c r="G141" s="295">
        <f t="shared" si="756"/>
        <v>0</v>
      </c>
      <c r="H141" s="295">
        <f t="shared" si="756"/>
        <v>0</v>
      </c>
      <c r="I141" s="295">
        <f t="shared" si="756"/>
        <v>0</v>
      </c>
      <c r="J141" s="295">
        <f t="shared" si="756"/>
        <v>0</v>
      </c>
      <c r="K141" s="295">
        <f t="shared" si="756"/>
        <v>0</v>
      </c>
      <c r="L141" s="295">
        <f t="shared" si="756"/>
        <v>0</v>
      </c>
      <c r="M141" s="295">
        <f t="shared" si="756"/>
        <v>0</v>
      </c>
      <c r="N141" s="295">
        <f t="shared" si="756"/>
        <v>0</v>
      </c>
      <c r="O141" s="295">
        <f t="shared" si="756"/>
        <v>0</v>
      </c>
      <c r="P141" s="295">
        <f t="shared" si="756"/>
        <v>0</v>
      </c>
      <c r="Q141" s="257">
        <f>EEFFun!Q611</f>
        <v>0</v>
      </c>
      <c r="R141" s="257">
        <f>EEFFun!R611</f>
        <v>0</v>
      </c>
      <c r="S141" s="257">
        <f>EEFFun!S611</f>
        <v>0</v>
      </c>
      <c r="T141" s="257">
        <f>EEFFun!T611</f>
        <v>0</v>
      </c>
      <c r="U141" s="257">
        <f>EEFFun!U611</f>
        <v>0</v>
      </c>
      <c r="V141" s="257">
        <f>EEFFun!V611</f>
        <v>0</v>
      </c>
      <c r="W141" s="257">
        <f>EEFFun!W611</f>
        <v>0</v>
      </c>
      <c r="X141" s="257">
        <f>EEFFun!X611</f>
        <v>0</v>
      </c>
      <c r="Y141" s="257">
        <f>EEFFun!Y611</f>
        <v>0</v>
      </c>
      <c r="Z141" s="257">
        <f>EEFFun!Z611</f>
        <v>0</v>
      </c>
      <c r="AA141" s="257">
        <f>EEFFun!AA611</f>
        <v>0</v>
      </c>
      <c r="AB141" s="257">
        <f>EEFFun!AB611</f>
        <v>0</v>
      </c>
      <c r="AC141" s="295">
        <f t="shared" ref="AC141:AH141" si="757">AC142+AC143</f>
        <v>634.26</v>
      </c>
      <c r="AD141" s="295">
        <f t="shared" si="757"/>
        <v>634.26</v>
      </c>
      <c r="AE141" s="295">
        <f t="shared" si="757"/>
        <v>634.26</v>
      </c>
      <c r="AF141" s="295">
        <f t="shared" si="757"/>
        <v>634.26</v>
      </c>
      <c r="AG141" s="295">
        <f t="shared" si="757"/>
        <v>634.26</v>
      </c>
      <c r="AH141" s="295">
        <f t="shared" si="757"/>
        <v>634.26</v>
      </c>
      <c r="AI141" s="295">
        <f t="shared" ref="AI141:BQ141" si="758">AI142+AI143</f>
        <v>634.26</v>
      </c>
      <c r="AJ141" s="295">
        <f t="shared" si="758"/>
        <v>634.26</v>
      </c>
      <c r="AK141" s="295">
        <f t="shared" si="758"/>
        <v>634.26</v>
      </c>
      <c r="AL141" s="295">
        <f t="shared" si="758"/>
        <v>634.26</v>
      </c>
      <c r="AM141" s="295">
        <f t="shared" si="758"/>
        <v>634.26</v>
      </c>
      <c r="AN141" s="295">
        <f t="shared" si="758"/>
        <v>634.26</v>
      </c>
      <c r="AO141" s="295">
        <f t="shared" ref="AO141:AX141" si="759">AO142+AO143</f>
        <v>0</v>
      </c>
      <c r="AP141" s="295">
        <f t="shared" si="759"/>
        <v>0</v>
      </c>
      <c r="AQ141" s="295">
        <f t="shared" si="759"/>
        <v>0</v>
      </c>
      <c r="AR141" s="295">
        <f t="shared" si="759"/>
        <v>0</v>
      </c>
      <c r="AS141" s="295">
        <f t="shared" si="759"/>
        <v>0</v>
      </c>
      <c r="AT141" s="295">
        <f t="shared" si="759"/>
        <v>0</v>
      </c>
      <c r="AU141" s="295">
        <f t="shared" si="759"/>
        <v>0</v>
      </c>
      <c r="AV141" s="295">
        <f t="shared" si="759"/>
        <v>0</v>
      </c>
      <c r="AW141" s="295">
        <f t="shared" si="759"/>
        <v>0</v>
      </c>
      <c r="AX141" s="295">
        <f t="shared" si="759"/>
        <v>0</v>
      </c>
      <c r="AY141" s="295">
        <f t="shared" ref="AY141:BE141" si="760">AY142+AY143</f>
        <v>0</v>
      </c>
      <c r="AZ141" s="295">
        <f t="shared" si="760"/>
        <v>0</v>
      </c>
      <c r="BA141" s="295">
        <f t="shared" si="760"/>
        <v>0</v>
      </c>
      <c r="BB141" s="295">
        <f t="shared" si="760"/>
        <v>0</v>
      </c>
      <c r="BC141" s="295">
        <f t="shared" si="760"/>
        <v>0</v>
      </c>
      <c r="BD141" s="295">
        <f t="shared" si="760"/>
        <v>0</v>
      </c>
      <c r="BE141" s="295">
        <f t="shared" si="760"/>
        <v>0</v>
      </c>
      <c r="BF141" s="295">
        <f>BF142+BF143</f>
        <v>0</v>
      </c>
      <c r="BG141" s="295">
        <f>BG142+BG143</f>
        <v>0</v>
      </c>
      <c r="BH141" s="295">
        <f>BH142+BH143</f>
        <v>0</v>
      </c>
      <c r="BI141" s="295">
        <f>BI142+BI143</f>
        <v>0</v>
      </c>
      <c r="BJ141" s="295">
        <f>BJ142+BJ143</f>
        <v>0</v>
      </c>
      <c r="BK141" s="295">
        <f t="shared" si="758"/>
        <v>0</v>
      </c>
      <c r="BL141" s="295">
        <f t="shared" si="758"/>
        <v>0</v>
      </c>
      <c r="BM141" s="295">
        <f t="shared" si="758"/>
        <v>0</v>
      </c>
      <c r="BN141" s="295">
        <f t="shared" si="758"/>
        <v>0</v>
      </c>
      <c r="BO141" s="295">
        <f t="shared" si="758"/>
        <v>0</v>
      </c>
      <c r="BP141" s="295">
        <f t="shared" si="758"/>
        <v>0</v>
      </c>
      <c r="BQ141" s="295">
        <f t="shared" si="758"/>
        <v>0</v>
      </c>
      <c r="BR141" s="295">
        <f t="shared" ref="BR141:BV141" si="761">BR142+BR143</f>
        <v>0</v>
      </c>
      <c r="BS141" s="295">
        <f t="shared" si="761"/>
        <v>0</v>
      </c>
      <c r="BT141" s="295">
        <f t="shared" si="761"/>
        <v>0</v>
      </c>
      <c r="BU141" s="295">
        <f t="shared" si="761"/>
        <v>0</v>
      </c>
      <c r="BV141" s="295">
        <f t="shared" si="761"/>
        <v>0</v>
      </c>
      <c r="BW141" s="291"/>
    </row>
    <row r="142" spans="1:75" outlineLevel="1" x14ac:dyDescent="0.25">
      <c r="A142" s="222">
        <v>6</v>
      </c>
      <c r="B142" s="233">
        <f>EEFFun!B612</f>
        <v>470315</v>
      </c>
      <c r="C142" s="233" t="str">
        <f>EEFFun!C612</f>
        <v>TARIFAS COBRADAS EJERC.ANTERIORES</v>
      </c>
      <c r="D142" s="257">
        <f>EEFFun!P612</f>
        <v>0</v>
      </c>
      <c r="E142" s="295">
        <f>Q142</f>
        <v>0</v>
      </c>
      <c r="F142" s="295">
        <f t="shared" ref="F142:F144" si="762">R142-Q142</f>
        <v>0</v>
      </c>
      <c r="G142" s="295">
        <f t="shared" ref="G142:G144" si="763">S142-R142</f>
        <v>0</v>
      </c>
      <c r="H142" s="295">
        <f t="shared" ref="H142:H144" si="764">T142-S142</f>
        <v>0</v>
      </c>
      <c r="I142" s="295">
        <f t="shared" ref="I142:I144" si="765">U142-T142</f>
        <v>0</v>
      </c>
      <c r="J142" s="295">
        <f t="shared" ref="J142:J144" si="766">V142-U142</f>
        <v>0</v>
      </c>
      <c r="K142" s="295">
        <f t="shared" ref="K142:K144" si="767">W142-V142</f>
        <v>0</v>
      </c>
      <c r="L142" s="295">
        <f t="shared" ref="L142:L144" si="768">X142-W142</f>
        <v>0</v>
      </c>
      <c r="M142" s="295">
        <f t="shared" ref="M142:M144" si="769">Y142-X142</f>
        <v>0</v>
      </c>
      <c r="N142" s="295">
        <f t="shared" ref="N142:N144" si="770">Z142-Y142</f>
        <v>0</v>
      </c>
      <c r="O142" s="295">
        <f t="shared" ref="O142:P144" si="771">AA142-Z142</f>
        <v>0</v>
      </c>
      <c r="P142" s="295">
        <f t="shared" si="771"/>
        <v>0</v>
      </c>
      <c r="Q142" s="257">
        <f>EEFFun!Q612</f>
        <v>0</v>
      </c>
      <c r="R142" s="257">
        <f>EEFFun!R612</f>
        <v>0</v>
      </c>
      <c r="S142" s="257">
        <f>EEFFun!S612</f>
        <v>0</v>
      </c>
      <c r="T142" s="257">
        <f>EEFFun!T612</f>
        <v>0</v>
      </c>
      <c r="U142" s="257">
        <f>EEFFun!U612</f>
        <v>0</v>
      </c>
      <c r="V142" s="257">
        <f>EEFFun!V612</f>
        <v>0</v>
      </c>
      <c r="W142" s="257">
        <f>EEFFun!W612</f>
        <v>0</v>
      </c>
      <c r="X142" s="257">
        <f>EEFFun!X612</f>
        <v>0</v>
      </c>
      <c r="Y142" s="257">
        <f>EEFFun!Y612</f>
        <v>0</v>
      </c>
      <c r="Z142" s="257">
        <f>EEFFun!Z612</f>
        <v>0</v>
      </c>
      <c r="AA142" s="257">
        <f>EEFFun!AA612</f>
        <v>0</v>
      </c>
      <c r="AB142" s="257">
        <f>EEFFun!AB612</f>
        <v>0</v>
      </c>
      <c r="AC142" s="257">
        <f>EEFFun!AC612</f>
        <v>319.22000000000003</v>
      </c>
      <c r="AD142" s="257">
        <f>EEFFun!AD612</f>
        <v>319.22000000000003</v>
      </c>
      <c r="AE142" s="257">
        <f>EEFFun!AE612</f>
        <v>319.22000000000003</v>
      </c>
      <c r="AF142" s="257">
        <f>EEFFun!AF612</f>
        <v>319.22000000000003</v>
      </c>
      <c r="AG142" s="257">
        <f>EEFFun!AG612</f>
        <v>319.22000000000003</v>
      </c>
      <c r="AH142" s="257">
        <f>EEFFun!AH612</f>
        <v>319.22000000000003</v>
      </c>
      <c r="AI142" s="257">
        <f>EEFFun!AI612</f>
        <v>319.22000000000003</v>
      </c>
      <c r="AJ142" s="257">
        <f>EEFFun!AJ612</f>
        <v>319.22000000000003</v>
      </c>
      <c r="AK142" s="257">
        <f>EEFFun!AK612</f>
        <v>319.22000000000003</v>
      </c>
      <c r="AL142" s="257">
        <f>EEFFun!AL612</f>
        <v>319.22000000000003</v>
      </c>
      <c r="AM142" s="257">
        <f>EEFFun!AM612</f>
        <v>319.22000000000003</v>
      </c>
      <c r="AN142" s="257">
        <f>EEFFun!AN612</f>
        <v>319.22000000000003</v>
      </c>
      <c r="AO142" s="257">
        <f>EEFFun!AO612</f>
        <v>0</v>
      </c>
      <c r="AP142" s="257">
        <f>EEFFun!AP612</f>
        <v>0</v>
      </c>
      <c r="AQ142" s="257">
        <f>EEFFun!AQ612</f>
        <v>0</v>
      </c>
      <c r="AR142" s="257">
        <f>EEFFun!AR612</f>
        <v>0</v>
      </c>
      <c r="AS142" s="257">
        <f>EEFFun!AS612</f>
        <v>0</v>
      </c>
      <c r="AT142" s="257">
        <f>EEFFun!AT612</f>
        <v>0</v>
      </c>
      <c r="AU142" s="257">
        <f>EEFFun!AU612</f>
        <v>0</v>
      </c>
      <c r="AV142" s="257">
        <f>EEFFun!AV612</f>
        <v>0</v>
      </c>
      <c r="AW142" s="257">
        <f>EEFFun!AW612</f>
        <v>0</v>
      </c>
      <c r="AX142" s="257">
        <f>EEFFun!AX612</f>
        <v>0</v>
      </c>
      <c r="AY142" s="295">
        <f>AB142</f>
        <v>0</v>
      </c>
      <c r="AZ142" s="295">
        <f t="shared" ref="AZ142:AZ143" si="772">AY142</f>
        <v>0</v>
      </c>
      <c r="BA142" s="295">
        <f t="shared" ref="BA142:BA143" si="773">AZ142</f>
        <v>0</v>
      </c>
      <c r="BB142" s="295">
        <f t="shared" ref="BB142:BB144" si="774">BA142</f>
        <v>0</v>
      </c>
      <c r="BC142" s="295">
        <f t="shared" ref="BC142:BC144" si="775">BB142</f>
        <v>0</v>
      </c>
      <c r="BD142" s="295">
        <f t="shared" ref="BD142:BD144" si="776">BC142</f>
        <v>0</v>
      </c>
      <c r="BE142" s="295">
        <f t="shared" ref="BE142:BE144" si="777">BD142</f>
        <v>0</v>
      </c>
      <c r="BF142" s="295">
        <f t="shared" ref="BF142:BH144" si="778">BE142</f>
        <v>0</v>
      </c>
      <c r="BG142" s="295">
        <f t="shared" si="778"/>
        <v>0</v>
      </c>
      <c r="BH142" s="295">
        <f t="shared" si="778"/>
        <v>0</v>
      </c>
      <c r="BI142" s="295">
        <f t="shared" ref="BI142:BJ142" si="779">BH142</f>
        <v>0</v>
      </c>
      <c r="BJ142" s="295">
        <f t="shared" si="779"/>
        <v>0</v>
      </c>
      <c r="BK142" s="295">
        <f>SUM($AY$142:AY142)</f>
        <v>0</v>
      </c>
      <c r="BL142" s="295">
        <f>SUM($AY$142:AZ142)</f>
        <v>0</v>
      </c>
      <c r="BM142" s="295">
        <f>SUM($AY$142:BA142)</f>
        <v>0</v>
      </c>
      <c r="BN142" s="295">
        <f>SUM($AY$142:BB142)</f>
        <v>0</v>
      </c>
      <c r="BO142" s="295">
        <f>SUM($AY$142:BC142)</f>
        <v>0</v>
      </c>
      <c r="BP142" s="295">
        <f>SUM($AY$142:BD142)</f>
        <v>0</v>
      </c>
      <c r="BQ142" s="295">
        <f>SUM($AY$142:BE142)</f>
        <v>0</v>
      </c>
      <c r="BR142" s="295">
        <f>SUM($AY$142:BF142)</f>
        <v>0</v>
      </c>
      <c r="BS142" s="295">
        <f>SUM($AY$142:BG142)</f>
        <v>0</v>
      </c>
      <c r="BT142" s="295">
        <f>SUM($AY$142:BH142)</f>
        <v>0</v>
      </c>
      <c r="BU142" s="295">
        <f>SUM($AY$142:BI142)</f>
        <v>0</v>
      </c>
      <c r="BV142" s="295">
        <f>SUM($AY$142:BJ142)</f>
        <v>0</v>
      </c>
      <c r="BW142" s="291"/>
    </row>
    <row r="143" spans="1:75" outlineLevel="1" x14ac:dyDescent="0.25">
      <c r="A143" s="222">
        <v>6</v>
      </c>
      <c r="B143" s="233">
        <f>EEFFun!B613</f>
        <v>470335</v>
      </c>
      <c r="C143" s="233" t="str">
        <f>EEFFun!C613</f>
        <v>DE MORA</v>
      </c>
      <c r="D143" s="257">
        <f>EEFFun!P613</f>
        <v>0</v>
      </c>
      <c r="E143" s="295">
        <f>Q143</f>
        <v>0</v>
      </c>
      <c r="F143" s="295">
        <f t="shared" ref="F143" si="780">R143-Q143</f>
        <v>0</v>
      </c>
      <c r="G143" s="295">
        <f t="shared" ref="G143" si="781">S143-R143</f>
        <v>0</v>
      </c>
      <c r="H143" s="295">
        <f t="shared" ref="H143" si="782">T143-S143</f>
        <v>0</v>
      </c>
      <c r="I143" s="295">
        <f t="shared" ref="I143" si="783">U143-T143</f>
        <v>0</v>
      </c>
      <c r="J143" s="295">
        <f t="shared" ref="J143" si="784">V143-U143</f>
        <v>0</v>
      </c>
      <c r="K143" s="295">
        <f t="shared" ref="K143" si="785">W143-V143</f>
        <v>0</v>
      </c>
      <c r="L143" s="295">
        <f t="shared" ref="L143" si="786">X143-W143</f>
        <v>0</v>
      </c>
      <c r="M143" s="295">
        <f t="shared" ref="M143" si="787">Y143-X143</f>
        <v>0</v>
      </c>
      <c r="N143" s="295">
        <f t="shared" ref="N143" si="788">Z143-Y143</f>
        <v>0</v>
      </c>
      <c r="O143" s="295">
        <f t="shared" ref="O143" si="789">AA143-Z143</f>
        <v>0</v>
      </c>
      <c r="P143" s="295">
        <f t="shared" ref="P143" si="790">AB143-AA143</f>
        <v>0</v>
      </c>
      <c r="Q143" s="257">
        <f>EEFFun!Q613</f>
        <v>0</v>
      </c>
      <c r="R143" s="257">
        <f>EEFFun!R613</f>
        <v>0</v>
      </c>
      <c r="S143" s="257">
        <f>EEFFun!S613</f>
        <v>0</v>
      </c>
      <c r="T143" s="257">
        <f>EEFFun!T613</f>
        <v>0</v>
      </c>
      <c r="U143" s="257">
        <f>EEFFun!U613</f>
        <v>0</v>
      </c>
      <c r="V143" s="257">
        <f>EEFFun!V613</f>
        <v>0</v>
      </c>
      <c r="W143" s="257">
        <f>EEFFun!W613</f>
        <v>0</v>
      </c>
      <c r="X143" s="257">
        <f>EEFFun!X613</f>
        <v>0</v>
      </c>
      <c r="Y143" s="257">
        <f>EEFFun!Y613</f>
        <v>0</v>
      </c>
      <c r="Z143" s="257">
        <f>EEFFun!Z613</f>
        <v>0</v>
      </c>
      <c r="AA143" s="257">
        <f>EEFFun!AA613</f>
        <v>0</v>
      </c>
      <c r="AB143" s="257">
        <f>EEFFun!AB613</f>
        <v>0</v>
      </c>
      <c r="AC143" s="257">
        <f>EEFFun!AC613</f>
        <v>315.04000000000002</v>
      </c>
      <c r="AD143" s="257">
        <f>EEFFun!AD613</f>
        <v>315.04000000000002</v>
      </c>
      <c r="AE143" s="257">
        <f>EEFFun!AE613</f>
        <v>315.04000000000002</v>
      </c>
      <c r="AF143" s="257">
        <f>EEFFun!AF613</f>
        <v>315.04000000000002</v>
      </c>
      <c r="AG143" s="257">
        <f>EEFFun!AG613</f>
        <v>315.04000000000002</v>
      </c>
      <c r="AH143" s="257">
        <f>EEFFun!AH613</f>
        <v>315.04000000000002</v>
      </c>
      <c r="AI143" s="257">
        <f>EEFFun!AI613</f>
        <v>315.04000000000002</v>
      </c>
      <c r="AJ143" s="257">
        <f>EEFFun!AJ613</f>
        <v>315.04000000000002</v>
      </c>
      <c r="AK143" s="257">
        <f>EEFFun!AK613</f>
        <v>315.04000000000002</v>
      </c>
      <c r="AL143" s="257">
        <f>EEFFun!AL613</f>
        <v>315.04000000000002</v>
      </c>
      <c r="AM143" s="257">
        <f>EEFFun!AM613</f>
        <v>315.04000000000002</v>
      </c>
      <c r="AN143" s="257">
        <f>EEFFun!AN613</f>
        <v>315.04000000000002</v>
      </c>
      <c r="AO143" s="257">
        <f>EEFFun!AO613</f>
        <v>0</v>
      </c>
      <c r="AP143" s="257">
        <f>EEFFun!AP613</f>
        <v>0</v>
      </c>
      <c r="AQ143" s="257">
        <f>EEFFun!AQ613</f>
        <v>0</v>
      </c>
      <c r="AR143" s="257">
        <f>EEFFun!AR613</f>
        <v>0</v>
      </c>
      <c r="AS143" s="257">
        <f>EEFFun!AS613</f>
        <v>0</v>
      </c>
      <c r="AT143" s="257">
        <f>EEFFun!AT613</f>
        <v>0</v>
      </c>
      <c r="AU143" s="257">
        <f>EEFFun!AU613</f>
        <v>0</v>
      </c>
      <c r="AV143" s="257">
        <f>EEFFun!AV613</f>
        <v>0</v>
      </c>
      <c r="AW143" s="257">
        <f>EEFFun!AW613</f>
        <v>0</v>
      </c>
      <c r="AX143" s="257">
        <f>EEFFun!AX613</f>
        <v>0</v>
      </c>
      <c r="AY143" s="295">
        <f>AB143</f>
        <v>0</v>
      </c>
      <c r="AZ143" s="295">
        <f t="shared" si="772"/>
        <v>0</v>
      </c>
      <c r="BA143" s="295">
        <f t="shared" si="773"/>
        <v>0</v>
      </c>
      <c r="BB143" s="295">
        <f t="shared" si="774"/>
        <v>0</v>
      </c>
      <c r="BC143" s="295">
        <f t="shared" si="775"/>
        <v>0</v>
      </c>
      <c r="BD143" s="295">
        <f t="shared" si="776"/>
        <v>0</v>
      </c>
      <c r="BE143" s="295">
        <f t="shared" si="777"/>
        <v>0</v>
      </c>
      <c r="BF143" s="295">
        <f t="shared" si="778"/>
        <v>0</v>
      </c>
      <c r="BG143" s="295">
        <f t="shared" si="778"/>
        <v>0</v>
      </c>
      <c r="BH143" s="295">
        <f t="shared" si="778"/>
        <v>0</v>
      </c>
      <c r="BI143" s="295">
        <f t="shared" ref="BI143" si="791">BH143</f>
        <v>0</v>
      </c>
      <c r="BJ143" s="295">
        <f t="shared" ref="BJ143" si="792">BI143</f>
        <v>0</v>
      </c>
      <c r="BK143" s="295">
        <f>SUM($AY$143:AY143)</f>
        <v>0</v>
      </c>
      <c r="BL143" s="295">
        <f>SUM($AY$143:AZ143)</f>
        <v>0</v>
      </c>
      <c r="BM143" s="295">
        <f>SUM($AY$143:BA143)</f>
        <v>0</v>
      </c>
      <c r="BN143" s="295">
        <f>SUM($AY$143:BB143)</f>
        <v>0</v>
      </c>
      <c r="BO143" s="295">
        <f>SUM($AY$143:BC143)</f>
        <v>0</v>
      </c>
      <c r="BP143" s="295">
        <f>SUM($AY$143:BD143)</f>
        <v>0</v>
      </c>
      <c r="BQ143" s="295">
        <f>SUM($AY$143:BE143)</f>
        <v>0</v>
      </c>
      <c r="BR143" s="295">
        <f>SUM($AY$143:BF143)</f>
        <v>0</v>
      </c>
      <c r="BS143" s="295">
        <f>SUM($AY$143:BG143)</f>
        <v>0</v>
      </c>
      <c r="BT143" s="295">
        <f>SUM($AY$143:BH143)</f>
        <v>0</v>
      </c>
      <c r="BU143" s="295">
        <f>SUM($AY$143:BI143)</f>
        <v>0</v>
      </c>
      <c r="BV143" s="295">
        <f>SUM($AY$143:BJ143)</f>
        <v>0</v>
      </c>
      <c r="BW143" s="291"/>
    </row>
    <row r="144" spans="1:75" outlineLevel="1" x14ac:dyDescent="0.25">
      <c r="A144" s="222">
        <v>4</v>
      </c>
      <c r="B144" s="233">
        <f>EEFFun!B614</f>
        <v>4790</v>
      </c>
      <c r="C144" s="233" t="str">
        <f>EEFFun!C614</f>
        <v>Otros</v>
      </c>
      <c r="D144" s="257">
        <f>EEFFun!P614</f>
        <v>18795.13</v>
      </c>
      <c r="E144" s="295">
        <f>Q144</f>
        <v>0</v>
      </c>
      <c r="F144" s="295">
        <f t="shared" si="762"/>
        <v>0</v>
      </c>
      <c r="G144" s="295">
        <f t="shared" si="763"/>
        <v>0</v>
      </c>
      <c r="H144" s="295">
        <f t="shared" si="764"/>
        <v>0</v>
      </c>
      <c r="I144" s="295">
        <f t="shared" si="765"/>
        <v>0</v>
      </c>
      <c r="J144" s="295">
        <f t="shared" si="766"/>
        <v>0</v>
      </c>
      <c r="K144" s="295">
        <f t="shared" si="767"/>
        <v>0</v>
      </c>
      <c r="L144" s="295">
        <f t="shared" si="768"/>
        <v>0</v>
      </c>
      <c r="M144" s="295">
        <f t="shared" si="769"/>
        <v>0</v>
      </c>
      <c r="N144" s="295">
        <f t="shared" si="770"/>
        <v>0</v>
      </c>
      <c r="O144" s="295">
        <f t="shared" si="771"/>
        <v>0</v>
      </c>
      <c r="P144" s="295">
        <f t="shared" si="771"/>
        <v>0</v>
      </c>
      <c r="Q144" s="257">
        <f>EEFFun!Q614</f>
        <v>0</v>
      </c>
      <c r="R144" s="257">
        <f>EEFFun!R614</f>
        <v>0</v>
      </c>
      <c r="S144" s="257">
        <f>EEFFun!S614</f>
        <v>0</v>
      </c>
      <c r="T144" s="257">
        <f>EEFFun!T614</f>
        <v>0</v>
      </c>
      <c r="U144" s="257">
        <f>EEFFun!U614</f>
        <v>0</v>
      </c>
      <c r="V144" s="257">
        <f>EEFFun!V614</f>
        <v>0</v>
      </c>
      <c r="W144" s="257">
        <f>EEFFun!W614</f>
        <v>0</v>
      </c>
      <c r="X144" s="257">
        <f>EEFFun!X614</f>
        <v>0</v>
      </c>
      <c r="Y144" s="257">
        <f>EEFFun!Y614</f>
        <v>0</v>
      </c>
      <c r="Z144" s="257">
        <f>EEFFun!Z614</f>
        <v>0</v>
      </c>
      <c r="AA144" s="257">
        <f>EEFFun!AA614</f>
        <v>0</v>
      </c>
      <c r="AB144" s="257">
        <f>EEFFun!AB614</f>
        <v>0</v>
      </c>
      <c r="AC144" s="257">
        <f>EEFFun!AC614</f>
        <v>1391.47</v>
      </c>
      <c r="AD144" s="257">
        <f>EEFFun!AD614</f>
        <v>3538.1</v>
      </c>
      <c r="AE144" s="257">
        <f>EEFFun!AE614</f>
        <v>5459.73</v>
      </c>
      <c r="AF144" s="257">
        <f>EEFFun!AF614</f>
        <v>5459.73</v>
      </c>
      <c r="AG144" s="257">
        <f>EEFFun!AG614</f>
        <v>6666.68</v>
      </c>
      <c r="AH144" s="257">
        <f>EEFFun!AH614</f>
        <v>11780.11</v>
      </c>
      <c r="AI144" s="257">
        <f>EEFFun!AI614</f>
        <v>13707.79</v>
      </c>
      <c r="AJ144" s="257">
        <f>EEFFun!AJ614</f>
        <v>13707.79</v>
      </c>
      <c r="AK144" s="257">
        <f>EEFFun!AK614</f>
        <v>21298.82</v>
      </c>
      <c r="AL144" s="257">
        <f>EEFFun!AL614</f>
        <v>24942.99</v>
      </c>
      <c r="AM144" s="257">
        <f>EEFFun!AM614</f>
        <v>26302.400000000001</v>
      </c>
      <c r="AN144" s="257">
        <f>EEFFun!AN614</f>
        <v>27661.81</v>
      </c>
      <c r="AO144" s="257">
        <f>EEFFun!AO614</f>
        <v>1359.41</v>
      </c>
      <c r="AP144" s="257">
        <f>EEFFun!AP614</f>
        <v>2718.82</v>
      </c>
      <c r="AQ144" s="257">
        <f>EEFFun!AQ614</f>
        <v>4078.23</v>
      </c>
      <c r="AR144" s="257">
        <f>EEFFun!AR614</f>
        <v>5437.64</v>
      </c>
      <c r="AS144" s="257">
        <f>EEFFun!AS614</f>
        <v>6797.05</v>
      </c>
      <c r="AT144" s="257">
        <f>EEFFun!AT614</f>
        <v>8156.46</v>
      </c>
      <c r="AU144" s="257">
        <f>EEFFun!AU614</f>
        <v>45031.22</v>
      </c>
      <c r="AV144" s="257">
        <f>EEFFun!AV614</f>
        <v>117243.43</v>
      </c>
      <c r="AW144" s="257">
        <f>EEFFun!AW614</f>
        <v>170436.4</v>
      </c>
      <c r="AX144" s="257">
        <f>EEFFun!AX614</f>
        <v>240724.24</v>
      </c>
      <c r="AY144" s="378">
        <v>94072.42</v>
      </c>
      <c r="AZ144" s="378">
        <v>94072.42</v>
      </c>
      <c r="BA144" s="295">
        <f>+$AX144/10</f>
        <v>24072.423999999999</v>
      </c>
      <c r="BB144" s="295">
        <f t="shared" si="774"/>
        <v>24072.423999999999</v>
      </c>
      <c r="BC144" s="295">
        <f t="shared" si="775"/>
        <v>24072.423999999999</v>
      </c>
      <c r="BD144" s="295">
        <f t="shared" si="776"/>
        <v>24072.423999999999</v>
      </c>
      <c r="BE144" s="295">
        <f t="shared" si="777"/>
        <v>24072.423999999999</v>
      </c>
      <c r="BF144" s="295">
        <f t="shared" si="778"/>
        <v>24072.423999999999</v>
      </c>
      <c r="BG144" s="378">
        <v>94072.42</v>
      </c>
      <c r="BH144" s="295">
        <f t="shared" si="778"/>
        <v>94072.42</v>
      </c>
      <c r="BI144" s="295">
        <f t="shared" ref="BI144:BJ144" si="793">BH144</f>
        <v>94072.42</v>
      </c>
      <c r="BJ144" s="295">
        <f t="shared" si="793"/>
        <v>94072.42</v>
      </c>
      <c r="BK144" s="295">
        <f>SUM($AY$144:AY144)</f>
        <v>94072.42</v>
      </c>
      <c r="BL144" s="295">
        <f>SUM($AY$144:AZ144)</f>
        <v>188144.84</v>
      </c>
      <c r="BM144" s="295">
        <f>SUM($AY$144:BA144)</f>
        <v>212217.264</v>
      </c>
      <c r="BN144" s="295">
        <f>SUM($AY$144:BB144)</f>
        <v>236289.68799999999</v>
      </c>
      <c r="BO144" s="295">
        <f>SUM($AY$144:BC144)</f>
        <v>260362.11199999999</v>
      </c>
      <c r="BP144" s="295">
        <f>SUM($AY$144:BD144)</f>
        <v>284434.53599999996</v>
      </c>
      <c r="BQ144" s="295">
        <f>SUM($AY$144:BE144)</f>
        <v>308506.95999999996</v>
      </c>
      <c r="BR144" s="295">
        <f>SUM($AY$144:BF144)</f>
        <v>332579.38399999996</v>
      </c>
      <c r="BS144" s="295">
        <f>SUM($AY$144:BG144)</f>
        <v>426651.80399999995</v>
      </c>
      <c r="BT144" s="295">
        <f>SUM($AY$144:BH144)</f>
        <v>520724.22399999993</v>
      </c>
      <c r="BU144" s="295">
        <f>SUM($AY$144:BI144)</f>
        <v>614796.64399999997</v>
      </c>
      <c r="BV144" s="295">
        <f>SUM($AY$144:BJ144)</f>
        <v>708869.06400000001</v>
      </c>
      <c r="BW144" s="291"/>
    </row>
    <row r="145" spans="1:75" s="229" customFormat="1" x14ac:dyDescent="0.25">
      <c r="A145" s="222">
        <v>2</v>
      </c>
      <c r="B145" s="379">
        <v>48</v>
      </c>
      <c r="C145" s="241" t="s">
        <v>553</v>
      </c>
      <c r="D145" s="279">
        <f>EEFFun!P615</f>
        <v>0</v>
      </c>
      <c r="E145" s="297">
        <f t="shared" ref="E145:H145" si="794">SUM(E146:E147)</f>
        <v>0</v>
      </c>
      <c r="F145" s="297">
        <f t="shared" si="794"/>
        <v>0</v>
      </c>
      <c r="G145" s="297">
        <f t="shared" si="794"/>
        <v>0</v>
      </c>
      <c r="H145" s="297">
        <f t="shared" si="794"/>
        <v>65096.42</v>
      </c>
      <c r="I145" s="297">
        <f t="shared" ref="I145:O145" si="795">SUM(I146:I147)</f>
        <v>-48153.87</v>
      </c>
      <c r="J145" s="297">
        <f t="shared" si="795"/>
        <v>-16942.55</v>
      </c>
      <c r="K145" s="297">
        <f t="shared" si="795"/>
        <v>0</v>
      </c>
      <c r="L145" s="297">
        <f t="shared" si="795"/>
        <v>0</v>
      </c>
      <c r="M145" s="297">
        <f t="shared" si="795"/>
        <v>0</v>
      </c>
      <c r="N145" s="297">
        <f t="shared" si="795"/>
        <v>0</v>
      </c>
      <c r="O145" s="297">
        <f t="shared" si="795"/>
        <v>0</v>
      </c>
      <c r="P145" s="297">
        <f t="shared" ref="P145" si="796">SUM(P146:P147)</f>
        <v>46657.95</v>
      </c>
      <c r="Q145" s="279">
        <f>EEFFun!Q615</f>
        <v>0</v>
      </c>
      <c r="R145" s="279">
        <f>EEFFun!R615</f>
        <v>0</v>
      </c>
      <c r="S145" s="279">
        <f>EEFFun!S615</f>
        <v>0</v>
      </c>
      <c r="T145" s="279">
        <f>EEFFun!T615</f>
        <v>65096.42</v>
      </c>
      <c r="U145" s="279">
        <f>EEFFun!U615</f>
        <v>16942.55</v>
      </c>
      <c r="V145" s="279">
        <f>EEFFun!V615</f>
        <v>0</v>
      </c>
      <c r="W145" s="279">
        <f>EEFFun!W615</f>
        <v>0</v>
      </c>
      <c r="X145" s="279">
        <f>EEFFun!X615</f>
        <v>0</v>
      </c>
      <c r="Y145" s="279">
        <f>EEFFun!Y615</f>
        <v>0</v>
      </c>
      <c r="Z145" s="279">
        <f>EEFFun!Z615</f>
        <v>0</v>
      </c>
      <c r="AA145" s="279">
        <f>EEFFun!AA615</f>
        <v>0</v>
      </c>
      <c r="AB145" s="279">
        <f>EEFFun!AB615</f>
        <v>46657.95</v>
      </c>
      <c r="AC145" s="279">
        <f>EEFFun!AC615</f>
        <v>2080.61</v>
      </c>
      <c r="AD145" s="279">
        <f>EEFFun!AD615</f>
        <v>0</v>
      </c>
      <c r="AE145" s="279">
        <f>EEFFun!AE615</f>
        <v>0</v>
      </c>
      <c r="AF145" s="279">
        <f>EEFFun!AF615</f>
        <v>0</v>
      </c>
      <c r="AG145" s="279">
        <f>EEFFun!AG615</f>
        <v>0</v>
      </c>
      <c r="AH145" s="279">
        <f>EEFFun!AH615</f>
        <v>0</v>
      </c>
      <c r="AI145" s="279">
        <f>EEFFun!AI615</f>
        <v>0</v>
      </c>
      <c r="AJ145" s="279">
        <f>EEFFun!AJ615</f>
        <v>0</v>
      </c>
      <c r="AK145" s="279">
        <f>EEFFun!AK615</f>
        <v>0</v>
      </c>
      <c r="AL145" s="279">
        <f>EEFFun!AL615</f>
        <v>0</v>
      </c>
      <c r="AM145" s="279">
        <f>EEFFun!AM615</f>
        <v>0</v>
      </c>
      <c r="AN145" s="279">
        <f>EEFFun!AN615</f>
        <v>0</v>
      </c>
      <c r="AO145" s="279">
        <f>EEFFun!AO615</f>
        <v>0</v>
      </c>
      <c r="AP145" s="279">
        <f>EEFFun!AP615</f>
        <v>0</v>
      </c>
      <c r="AQ145" s="279">
        <f>EEFFun!AQ615</f>
        <v>0</v>
      </c>
      <c r="AR145" s="279">
        <f>EEFFun!AR615</f>
        <v>0</v>
      </c>
      <c r="AS145" s="279">
        <f>EEFFun!AS615</f>
        <v>0</v>
      </c>
      <c r="AT145" s="279">
        <f>EEFFun!AT615</f>
        <v>0</v>
      </c>
      <c r="AU145" s="279">
        <f>EEFFun!AU615</f>
        <v>0</v>
      </c>
      <c r="AV145" s="279">
        <f>EEFFun!AV615</f>
        <v>0</v>
      </c>
      <c r="AW145" s="279">
        <f>EEFFun!AW615</f>
        <v>0</v>
      </c>
      <c r="AX145" s="279">
        <f>EEFFun!AX615</f>
        <v>0</v>
      </c>
      <c r="AY145" s="297">
        <f t="shared" ref="AY145:BE145" si="797">SUM(AY146:AY147)</f>
        <v>19942.594197561284</v>
      </c>
      <c r="AZ145" s="297">
        <f t="shared" si="797"/>
        <v>24074.847206013557</v>
      </c>
      <c r="BA145" s="297">
        <f t="shared" si="797"/>
        <v>59426.321286270875</v>
      </c>
      <c r="BB145" s="297">
        <f t="shared" si="797"/>
        <v>68772.815716350757</v>
      </c>
      <c r="BC145" s="297">
        <f t="shared" si="797"/>
        <v>76165.792116036901</v>
      </c>
      <c r="BD145" s="297">
        <f t="shared" si="797"/>
        <v>81184.103466663248</v>
      </c>
      <c r="BE145" s="297">
        <f t="shared" si="797"/>
        <v>88157.827229085</v>
      </c>
      <c r="BF145" s="297">
        <f t="shared" ref="BF145:BJ145" si="798">SUM(BF146:BF147)</f>
        <v>110328.72887468839</v>
      </c>
      <c r="BG145" s="297">
        <f t="shared" si="798"/>
        <v>97100.179972779035</v>
      </c>
      <c r="BH145" s="297">
        <f t="shared" si="798"/>
        <v>119170.98268499976</v>
      </c>
      <c r="BI145" s="297">
        <f t="shared" si="798"/>
        <v>124044.87923910271</v>
      </c>
      <c r="BJ145" s="297">
        <f t="shared" si="798"/>
        <v>112664.96540036311</v>
      </c>
      <c r="BK145" s="297">
        <f t="shared" ref="BK145:BQ145" si="799">SUM(BK146:BK147)</f>
        <v>20110.348105061279</v>
      </c>
      <c r="BL145" s="297">
        <f t="shared" si="799"/>
        <v>44352.949218574831</v>
      </c>
      <c r="BM145" s="297">
        <f t="shared" si="799"/>
        <v>103947.02441234575</v>
      </c>
      <c r="BN145" s="297">
        <f t="shared" si="799"/>
        <v>171681.65205494629</v>
      </c>
      <c r="BO145" s="297">
        <f t="shared" si="799"/>
        <v>246336.4292222333</v>
      </c>
      <c r="BP145" s="297">
        <f t="shared" si="799"/>
        <v>326482.34461514687</v>
      </c>
      <c r="BQ145" s="297">
        <f t="shared" si="799"/>
        <v>413601.98377048178</v>
      </c>
      <c r="BR145" s="297">
        <f t="shared" ref="BR145:BV145" si="800">SUM(BR146:BR147)</f>
        <v>520317.02369642007</v>
      </c>
      <c r="BS145" s="297">
        <f t="shared" si="800"/>
        <v>616379.01559544797</v>
      </c>
      <c r="BT145" s="297">
        <f t="shared" si="800"/>
        <v>734511.81020669837</v>
      </c>
      <c r="BU145" s="297">
        <f t="shared" si="800"/>
        <v>857518.50137205108</v>
      </c>
      <c r="BV145" s="297">
        <f t="shared" si="800"/>
        <v>969145.27869866416</v>
      </c>
      <c r="BW145" s="373"/>
    </row>
    <row r="146" spans="1:75" outlineLevel="1" x14ac:dyDescent="0.25">
      <c r="A146" s="222">
        <v>4</v>
      </c>
      <c r="B146" s="259">
        <v>4810</v>
      </c>
      <c r="C146" s="246" t="s">
        <v>554</v>
      </c>
      <c r="D146" s="257">
        <f>EEFFun!P616</f>
        <v>0</v>
      </c>
      <c r="E146" s="295">
        <f t="shared" ref="E146:E147" si="801">Q146</f>
        <v>0</v>
      </c>
      <c r="F146" s="295">
        <f t="shared" ref="F146:F147" si="802">R146-Q146</f>
        <v>0</v>
      </c>
      <c r="G146" s="295">
        <f t="shared" ref="G146:G147" si="803">S146-R146</f>
        <v>0</v>
      </c>
      <c r="H146" s="295">
        <f t="shared" ref="H146:H147" si="804">T146-S146</f>
        <v>26936.45</v>
      </c>
      <c r="I146" s="295">
        <f t="shared" ref="I146:I147" si="805">U146-T146</f>
        <v>-19925.740000000002</v>
      </c>
      <c r="J146" s="295">
        <f t="shared" ref="J146:J147" si="806">V146-U146</f>
        <v>-7010.7099999999991</v>
      </c>
      <c r="K146" s="295">
        <f t="shared" ref="K146:K147" si="807">W146-V146</f>
        <v>0</v>
      </c>
      <c r="L146" s="295">
        <f t="shared" ref="L146:L147" si="808">X146-W146</f>
        <v>0</v>
      </c>
      <c r="M146" s="295">
        <f t="shared" ref="M146:M147" si="809">Y146-X146</f>
        <v>0</v>
      </c>
      <c r="N146" s="295">
        <f t="shared" ref="N146:N147" si="810">Z146-Y146</f>
        <v>0</v>
      </c>
      <c r="O146" s="295">
        <f t="shared" ref="O146:P147" si="811">AA146-Z146</f>
        <v>0</v>
      </c>
      <c r="P146" s="295">
        <f t="shared" si="811"/>
        <v>9368.11</v>
      </c>
      <c r="Q146" s="257">
        <f>EEFFun!Q616</f>
        <v>0</v>
      </c>
      <c r="R146" s="257">
        <f>EEFFun!R616</f>
        <v>0</v>
      </c>
      <c r="S146" s="257">
        <f>EEFFun!S616</f>
        <v>0</v>
      </c>
      <c r="T146" s="257">
        <f>EEFFun!T616</f>
        <v>26936.45</v>
      </c>
      <c r="U146" s="257">
        <f>EEFFun!U616</f>
        <v>7010.7099999999991</v>
      </c>
      <c r="V146" s="257">
        <f>EEFFun!V616</f>
        <v>0</v>
      </c>
      <c r="W146" s="257">
        <f>EEFFun!W616</f>
        <v>0</v>
      </c>
      <c r="X146" s="257">
        <f>EEFFun!X616</f>
        <v>0</v>
      </c>
      <c r="Y146" s="257">
        <f>EEFFun!Y616</f>
        <v>0</v>
      </c>
      <c r="Z146" s="257">
        <f>EEFFun!Z616</f>
        <v>0</v>
      </c>
      <c r="AA146" s="257">
        <f>EEFFun!AA616</f>
        <v>0</v>
      </c>
      <c r="AB146" s="257">
        <f>EEFFun!AB616</f>
        <v>9368.11</v>
      </c>
      <c r="AC146" s="257">
        <f>EEFFun!AC616</f>
        <v>860.94</v>
      </c>
      <c r="AD146" s="257">
        <f>EEFFun!AD616</f>
        <v>0</v>
      </c>
      <c r="AE146" s="257">
        <f>EEFFun!AE616</f>
        <v>0</v>
      </c>
      <c r="AF146" s="257">
        <f>EEFFun!AF616</f>
        <v>0</v>
      </c>
      <c r="AG146" s="257">
        <f>EEFFun!AG616</f>
        <v>0</v>
      </c>
      <c r="AH146" s="257">
        <f>EEFFun!AH616</f>
        <v>0</v>
      </c>
      <c r="AI146" s="257">
        <f>EEFFun!AI616</f>
        <v>0</v>
      </c>
      <c r="AJ146" s="257">
        <f>EEFFun!AJ616</f>
        <v>0</v>
      </c>
      <c r="AK146" s="257">
        <f>EEFFun!AK616</f>
        <v>0</v>
      </c>
      <c r="AL146" s="257">
        <f>EEFFun!AL616</f>
        <v>0</v>
      </c>
      <c r="AM146" s="257">
        <f>EEFFun!AM616</f>
        <v>0</v>
      </c>
      <c r="AN146" s="257">
        <f>EEFFun!AN616</f>
        <v>0</v>
      </c>
      <c r="AO146" s="257">
        <f>EEFFun!AO616</f>
        <v>0</v>
      </c>
      <c r="AP146" s="257">
        <f>EEFFun!AP616</f>
        <v>0</v>
      </c>
      <c r="AQ146" s="257">
        <f>EEFFun!AQ616</f>
        <v>0</v>
      </c>
      <c r="AR146" s="257">
        <f>EEFFun!AR616</f>
        <v>0</v>
      </c>
      <c r="AS146" s="257">
        <f>EEFFun!AS616</f>
        <v>0</v>
      </c>
      <c r="AT146" s="257">
        <f>EEFFun!AT616</f>
        <v>0</v>
      </c>
      <c r="AU146" s="257">
        <f>EEFFun!AU616</f>
        <v>0</v>
      </c>
      <c r="AV146" s="257">
        <f>EEFFun!AV616</f>
        <v>0</v>
      </c>
      <c r="AW146" s="257">
        <f>EEFFun!AW616</f>
        <v>0</v>
      </c>
      <c r="AX146" s="257">
        <f>EEFFun!AX616</f>
        <v>0</v>
      </c>
      <c r="AY146" s="295">
        <f t="shared" ref="AY146:BJ146" si="812">IF(AY200&gt;0,AY200*15%,0)</f>
        <v>8252.1079438184624</v>
      </c>
      <c r="AZ146" s="295">
        <f t="shared" si="812"/>
        <v>9962.0057404194031</v>
      </c>
      <c r="BA146" s="295">
        <f t="shared" si="812"/>
        <v>24590.201911560365</v>
      </c>
      <c r="BB146" s="295">
        <f t="shared" si="812"/>
        <v>28457.716848145141</v>
      </c>
      <c r="BC146" s="295">
        <f t="shared" si="812"/>
        <v>31516.879496291134</v>
      </c>
      <c r="BD146" s="295">
        <f t="shared" si="812"/>
        <v>33593.422124136516</v>
      </c>
      <c r="BE146" s="295">
        <f t="shared" si="812"/>
        <v>36479.100922379999</v>
      </c>
      <c r="BF146" s="295">
        <f t="shared" si="812"/>
        <v>45653.267120560711</v>
      </c>
      <c r="BG146" s="295">
        <f t="shared" si="812"/>
        <v>40179.384816322359</v>
      </c>
      <c r="BH146" s="295">
        <f t="shared" si="812"/>
        <v>49312.130766206792</v>
      </c>
      <c r="BI146" s="295">
        <f t="shared" si="812"/>
        <v>51328.915547214914</v>
      </c>
      <c r="BJ146" s="295">
        <f t="shared" si="812"/>
        <v>46619.985682908875</v>
      </c>
      <c r="BK146" s="295">
        <f t="shared" ref="BK146:BQ146" si="813">IF(BK200&gt;0,BK200*15%,0)</f>
        <v>8321.5233538184602</v>
      </c>
      <c r="BL146" s="295">
        <f t="shared" si="813"/>
        <v>18352.944504237861</v>
      </c>
      <c r="BM146" s="295">
        <f t="shared" si="813"/>
        <v>43012.561825798242</v>
      </c>
      <c r="BN146" s="295">
        <f t="shared" si="813"/>
        <v>71040.683608943291</v>
      </c>
      <c r="BO146" s="295">
        <f t="shared" si="813"/>
        <v>101932.31554023446</v>
      </c>
      <c r="BP146" s="295">
        <f t="shared" si="813"/>
        <v>135096.14259937112</v>
      </c>
      <c r="BQ146" s="295">
        <f t="shared" si="813"/>
        <v>171145.64845675108</v>
      </c>
      <c r="BR146" s="295">
        <f t="shared" ref="BR146:BV146" si="814">IF(BR200&gt;0,BR200*15%,0)</f>
        <v>215303.59601231175</v>
      </c>
      <c r="BS146" s="295">
        <f t="shared" si="814"/>
        <v>255053.38576363362</v>
      </c>
      <c r="BT146" s="295">
        <f t="shared" si="814"/>
        <v>303935.92146484071</v>
      </c>
      <c r="BU146" s="295">
        <f t="shared" si="814"/>
        <v>354835.24194705562</v>
      </c>
      <c r="BV146" s="295">
        <f t="shared" si="814"/>
        <v>401025.63256496453</v>
      </c>
      <c r="BW146" s="291"/>
    </row>
    <row r="147" spans="1:75" outlineLevel="1" x14ac:dyDescent="0.25">
      <c r="A147" s="222">
        <v>4</v>
      </c>
      <c r="B147" s="259">
        <v>4815</v>
      </c>
      <c r="C147" s="246" t="s">
        <v>332</v>
      </c>
      <c r="D147" s="257">
        <f>EEFFun!P617</f>
        <v>0</v>
      </c>
      <c r="E147" s="295">
        <f t="shared" si="801"/>
        <v>0</v>
      </c>
      <c r="F147" s="295">
        <f t="shared" si="802"/>
        <v>0</v>
      </c>
      <c r="G147" s="295">
        <f t="shared" si="803"/>
        <v>0</v>
      </c>
      <c r="H147" s="295">
        <f t="shared" si="804"/>
        <v>38159.97</v>
      </c>
      <c r="I147" s="295">
        <f t="shared" si="805"/>
        <v>-28228.13</v>
      </c>
      <c r="J147" s="295">
        <f t="shared" si="806"/>
        <v>-9931.84</v>
      </c>
      <c r="K147" s="295">
        <f t="shared" si="807"/>
        <v>0</v>
      </c>
      <c r="L147" s="295">
        <f t="shared" si="808"/>
        <v>0</v>
      </c>
      <c r="M147" s="295">
        <f t="shared" si="809"/>
        <v>0</v>
      </c>
      <c r="N147" s="295">
        <f t="shared" si="810"/>
        <v>0</v>
      </c>
      <c r="O147" s="295">
        <f t="shared" si="811"/>
        <v>0</v>
      </c>
      <c r="P147" s="295">
        <f t="shared" si="811"/>
        <v>37289.839999999997</v>
      </c>
      <c r="Q147" s="257">
        <f>EEFFun!Q617</f>
        <v>0</v>
      </c>
      <c r="R147" s="257">
        <f>EEFFun!R617</f>
        <v>0</v>
      </c>
      <c r="S147" s="257">
        <f>EEFFun!S617</f>
        <v>0</v>
      </c>
      <c r="T147" s="257">
        <f>EEFFun!T617</f>
        <v>38159.97</v>
      </c>
      <c r="U147" s="257">
        <f>EEFFun!U617</f>
        <v>9931.84</v>
      </c>
      <c r="V147" s="257">
        <f>EEFFun!V617</f>
        <v>0</v>
      </c>
      <c r="W147" s="257">
        <f>EEFFun!W617</f>
        <v>0</v>
      </c>
      <c r="X147" s="257">
        <f>EEFFun!X617</f>
        <v>0</v>
      </c>
      <c r="Y147" s="257">
        <f>EEFFun!Y617</f>
        <v>0</v>
      </c>
      <c r="Z147" s="257">
        <f>EEFFun!Z617</f>
        <v>0</v>
      </c>
      <c r="AA147" s="257">
        <f>EEFFun!AA617</f>
        <v>0</v>
      </c>
      <c r="AB147" s="257">
        <f>EEFFun!AB617</f>
        <v>37289.839999999997</v>
      </c>
      <c r="AC147" s="257">
        <f>EEFFun!AC617</f>
        <v>1219.67</v>
      </c>
      <c r="AD147" s="257">
        <f>EEFFun!AD617</f>
        <v>0</v>
      </c>
      <c r="AE147" s="257">
        <f>EEFFun!AE617</f>
        <v>0</v>
      </c>
      <c r="AF147" s="257">
        <f>EEFFun!AF617</f>
        <v>0</v>
      </c>
      <c r="AG147" s="257">
        <f>EEFFun!AG617</f>
        <v>0</v>
      </c>
      <c r="AH147" s="257">
        <f>EEFFun!AH617</f>
        <v>0</v>
      </c>
      <c r="AI147" s="257">
        <f>EEFFun!AI617</f>
        <v>0</v>
      </c>
      <c r="AJ147" s="257">
        <f>EEFFun!AJ617</f>
        <v>0</v>
      </c>
      <c r="AK147" s="257">
        <f>EEFFun!AK617</f>
        <v>0</v>
      </c>
      <c r="AL147" s="257">
        <f>EEFFun!AL617</f>
        <v>0</v>
      </c>
      <c r="AM147" s="257">
        <f>EEFFun!AM617</f>
        <v>0</v>
      </c>
      <c r="AN147" s="257">
        <f>EEFFun!AN617</f>
        <v>0</v>
      </c>
      <c r="AO147" s="257">
        <f>EEFFun!AO617</f>
        <v>0</v>
      </c>
      <c r="AP147" s="257">
        <f>EEFFun!AP617</f>
        <v>0</v>
      </c>
      <c r="AQ147" s="257">
        <f>EEFFun!AQ617</f>
        <v>0</v>
      </c>
      <c r="AR147" s="257">
        <f>EEFFun!AR617</f>
        <v>0</v>
      </c>
      <c r="AS147" s="257">
        <f>EEFFun!AS617</f>
        <v>0</v>
      </c>
      <c r="AT147" s="257">
        <f>EEFFun!AT617</f>
        <v>0</v>
      </c>
      <c r="AU147" s="257">
        <f>EEFFun!AU617</f>
        <v>0</v>
      </c>
      <c r="AV147" s="257">
        <f>EEFFun!AV617</f>
        <v>0</v>
      </c>
      <c r="AW147" s="257">
        <f>EEFFun!AW617</f>
        <v>0</v>
      </c>
      <c r="AX147" s="257">
        <f>EEFFun!AX617</f>
        <v>0</v>
      </c>
      <c r="AY147" s="295">
        <f t="shared" ref="AY147:BJ147" si="815">IF(AY201&gt;0,AY201*25%,0)</f>
        <v>11690.486253742822</v>
      </c>
      <c r="AZ147" s="295">
        <f t="shared" si="815"/>
        <v>14112.841465594154</v>
      </c>
      <c r="BA147" s="295">
        <f t="shared" si="815"/>
        <v>34836.119374710514</v>
      </c>
      <c r="BB147" s="295">
        <f t="shared" si="815"/>
        <v>40315.098868205612</v>
      </c>
      <c r="BC147" s="295">
        <f t="shared" si="815"/>
        <v>44648.912619745774</v>
      </c>
      <c r="BD147" s="295">
        <f t="shared" si="815"/>
        <v>47590.681342526732</v>
      </c>
      <c r="BE147" s="295">
        <f t="shared" si="815"/>
        <v>51678.726306705008</v>
      </c>
      <c r="BF147" s="295">
        <f t="shared" si="815"/>
        <v>64675.461754127675</v>
      </c>
      <c r="BG147" s="295">
        <f t="shared" si="815"/>
        <v>56920.795156456676</v>
      </c>
      <c r="BH147" s="295">
        <f t="shared" si="815"/>
        <v>69858.851918792963</v>
      </c>
      <c r="BI147" s="295">
        <f t="shared" si="815"/>
        <v>72715.963691887795</v>
      </c>
      <c r="BJ147" s="295">
        <f t="shared" si="815"/>
        <v>66044.979717454247</v>
      </c>
      <c r="BK147" s="295">
        <f t="shared" ref="BK147:BQ147" si="816">IF(BK201&gt;0,BK201*25%,0)</f>
        <v>11788.824751242819</v>
      </c>
      <c r="BL147" s="295">
        <f t="shared" si="816"/>
        <v>26000.00471433697</v>
      </c>
      <c r="BM147" s="295">
        <f t="shared" si="816"/>
        <v>60934.46258654751</v>
      </c>
      <c r="BN147" s="295">
        <f t="shared" si="816"/>
        <v>100640.968446003</v>
      </c>
      <c r="BO147" s="295">
        <f t="shared" si="816"/>
        <v>144404.11368199883</v>
      </c>
      <c r="BP147" s="295">
        <f t="shared" si="816"/>
        <v>191386.20201577575</v>
      </c>
      <c r="BQ147" s="295">
        <f t="shared" si="816"/>
        <v>242456.3353137307</v>
      </c>
      <c r="BR147" s="295">
        <f t="shared" ref="BR147:BV147" si="817">IF(BR201&gt;0,BR201*25%,0)</f>
        <v>305013.42768410832</v>
      </c>
      <c r="BS147" s="295">
        <f t="shared" si="817"/>
        <v>361325.62983181432</v>
      </c>
      <c r="BT147" s="295">
        <f t="shared" si="817"/>
        <v>430575.88874185766</v>
      </c>
      <c r="BU147" s="295">
        <f t="shared" si="817"/>
        <v>502683.25942499546</v>
      </c>
      <c r="BV147" s="295">
        <f t="shared" si="817"/>
        <v>568119.64613369969</v>
      </c>
      <c r="BW147" s="291"/>
    </row>
    <row r="148" spans="1:75" s="229" customFormat="1" x14ac:dyDescent="0.25">
      <c r="A148" s="222">
        <v>1</v>
      </c>
      <c r="B148" s="223">
        <f>EEFFun!B618</f>
        <v>5</v>
      </c>
      <c r="C148" s="223" t="str">
        <f>EEFFun!C618</f>
        <v>INGRESOS</v>
      </c>
      <c r="D148" s="297">
        <f t="shared" ref="D148:AH148" si="818">D149+D172+D174+D179+D188+D190</f>
        <v>4773614.91</v>
      </c>
      <c r="E148" s="297">
        <f t="shared" si="818"/>
        <v>334032.29000000004</v>
      </c>
      <c r="F148" s="297">
        <f t="shared" si="818"/>
        <v>385423.01000000013</v>
      </c>
      <c r="G148" s="297">
        <f t="shared" si="818"/>
        <v>404953.29999999993</v>
      </c>
      <c r="H148" s="297">
        <f t="shared" si="818"/>
        <v>734766.04</v>
      </c>
      <c r="I148" s="297">
        <f t="shared" si="818"/>
        <v>437587.44999999995</v>
      </c>
      <c r="J148" s="297">
        <f t="shared" si="818"/>
        <v>420229.77000000008</v>
      </c>
      <c r="K148" s="297">
        <f t="shared" si="818"/>
        <v>429494.09999999986</v>
      </c>
      <c r="L148" s="297">
        <f t="shared" si="818"/>
        <v>436516.23000000004</v>
      </c>
      <c r="M148" s="297">
        <f t="shared" si="818"/>
        <v>412373.11</v>
      </c>
      <c r="N148" s="297">
        <f t="shared" si="818"/>
        <v>350421.34000000008</v>
      </c>
      <c r="O148" s="297">
        <f t="shared" si="818"/>
        <v>497676.68000000005</v>
      </c>
      <c r="P148" s="297">
        <f t="shared" si="818"/>
        <v>687474.23</v>
      </c>
      <c r="Q148" s="297">
        <f t="shared" si="818"/>
        <v>334032.28999999998</v>
      </c>
      <c r="R148" s="297">
        <f t="shared" si="818"/>
        <v>719455.29999999993</v>
      </c>
      <c r="S148" s="297">
        <f t="shared" si="818"/>
        <v>1124408.6000000001</v>
      </c>
      <c r="T148" s="297">
        <f t="shared" si="818"/>
        <v>1859174.64</v>
      </c>
      <c r="U148" s="297">
        <f t="shared" si="818"/>
        <v>2296762.0900000003</v>
      </c>
      <c r="V148" s="297">
        <f t="shared" si="818"/>
        <v>2716991.86</v>
      </c>
      <c r="W148" s="297">
        <f t="shared" si="818"/>
        <v>3146485.9600000004</v>
      </c>
      <c r="X148" s="297">
        <f t="shared" si="818"/>
        <v>3583002.1900000004</v>
      </c>
      <c r="Y148" s="297">
        <f t="shared" si="818"/>
        <v>3995375.3000000003</v>
      </c>
      <c r="Z148" s="297">
        <f t="shared" si="818"/>
        <v>4345796.6399999997</v>
      </c>
      <c r="AA148" s="297">
        <f t="shared" si="818"/>
        <v>4843473.32</v>
      </c>
      <c r="AB148" s="297">
        <f t="shared" si="818"/>
        <v>5530947.5500000007</v>
      </c>
      <c r="AC148" s="297">
        <f t="shared" si="818"/>
        <v>469660.57</v>
      </c>
      <c r="AD148" s="297">
        <f t="shared" si="818"/>
        <v>859596.66999999993</v>
      </c>
      <c r="AE148" s="297">
        <f t="shared" si="818"/>
        <v>1240409.98</v>
      </c>
      <c r="AF148" s="297">
        <f t="shared" si="818"/>
        <v>1675316.6800000002</v>
      </c>
      <c r="AG148" s="297">
        <f t="shared" si="818"/>
        <v>2089769.7700000003</v>
      </c>
      <c r="AH148" s="297">
        <f t="shared" si="818"/>
        <v>2524576.81</v>
      </c>
      <c r="AI148" s="297">
        <f t="shared" ref="AI148:BQ148" si="819">AI149+AI172+AI174+AI179+AI188+AI190</f>
        <v>2998364.98</v>
      </c>
      <c r="AJ148" s="297">
        <f t="shared" si="819"/>
        <v>3457509.63</v>
      </c>
      <c r="AK148" s="297">
        <f t="shared" si="819"/>
        <v>3940982.5099999993</v>
      </c>
      <c r="AL148" s="297">
        <f t="shared" si="819"/>
        <v>4352257.8</v>
      </c>
      <c r="AM148" s="297">
        <f t="shared" si="819"/>
        <v>4894282.6600000011</v>
      </c>
      <c r="AN148" s="297">
        <f t="shared" si="819"/>
        <v>5846223.8499999987</v>
      </c>
      <c r="AO148" s="297">
        <f t="shared" ref="AO148:AX148" si="820">AO149+AO172+AO174+AO179+AO188+AO190</f>
        <v>746133.54</v>
      </c>
      <c r="AP148" s="297">
        <f t="shared" si="820"/>
        <v>1635881.8599999999</v>
      </c>
      <c r="AQ148" s="297">
        <f t="shared" si="820"/>
        <v>2453072.4699999997</v>
      </c>
      <c r="AR148" s="297">
        <f t="shared" si="820"/>
        <v>3225374.92</v>
      </c>
      <c r="AS148" s="297">
        <f t="shared" si="820"/>
        <v>4063895.13</v>
      </c>
      <c r="AT148" s="297">
        <f t="shared" si="820"/>
        <v>4830248.8499999996</v>
      </c>
      <c r="AU148" s="297">
        <f t="shared" si="820"/>
        <v>5772280.8600000003</v>
      </c>
      <c r="AV148" s="297">
        <f t="shared" si="820"/>
        <v>6692920.1600000011</v>
      </c>
      <c r="AW148" s="297">
        <f t="shared" si="820"/>
        <v>7606768.2400000002</v>
      </c>
      <c r="AX148" s="297">
        <f t="shared" si="820"/>
        <v>8681417.6799999997</v>
      </c>
      <c r="AY148" s="297">
        <f t="shared" ref="AY148:BE148" si="821">AY149+AY172+AY174+AY179+AY188+AY190</f>
        <v>1035661.5040144338</v>
      </c>
      <c r="AZ148" s="297">
        <f t="shared" si="821"/>
        <v>1024085.4689988694</v>
      </c>
      <c r="BA148" s="297">
        <f t="shared" si="821"/>
        <v>1136566.7083319123</v>
      </c>
      <c r="BB148" s="297">
        <f t="shared" si="821"/>
        <v>1165112.0348105291</v>
      </c>
      <c r="BC148" s="297">
        <f t="shared" si="821"/>
        <v>1249351.893302615</v>
      </c>
      <c r="BD148" s="297">
        <f t="shared" si="821"/>
        <v>1284944.5916735812</v>
      </c>
      <c r="BE148" s="297">
        <f t="shared" si="821"/>
        <v>1366132.1128582738</v>
      </c>
      <c r="BF148" s="297">
        <f>BF149+BF172+BF174+BF179+BF188+BF190</f>
        <v>1441998.8468441565</v>
      </c>
      <c r="BG148" s="297">
        <f>BG149+BG172+BG174+BG179+BG188+BG190</f>
        <v>1477530.3816215394</v>
      </c>
      <c r="BH148" s="297">
        <f>BH149+BH172+BH174+BH179+BH188+BH190</f>
        <v>1579025.9414958835</v>
      </c>
      <c r="BI148" s="297">
        <f>BI149+BI172+BI174+BI179+BI188+BI190</f>
        <v>1595651.8052558717</v>
      </c>
      <c r="BJ148" s="297">
        <f>BJ149+BJ172+BJ174+BJ179+BJ188+BJ190</f>
        <v>1641900.6748771311</v>
      </c>
      <c r="BK148" s="297">
        <f t="shared" si="819"/>
        <v>1035661.5040144338</v>
      </c>
      <c r="BL148" s="297">
        <f t="shared" si="819"/>
        <v>2059746.9730133032</v>
      </c>
      <c r="BM148" s="297">
        <f t="shared" si="819"/>
        <v>3196313.6813452155</v>
      </c>
      <c r="BN148" s="297">
        <f t="shared" si="819"/>
        <v>4361425.7161557442</v>
      </c>
      <c r="BO148" s="297">
        <f t="shared" si="819"/>
        <v>5610777.6094583599</v>
      </c>
      <c r="BP148" s="297">
        <f t="shared" si="819"/>
        <v>6895722.2011319408</v>
      </c>
      <c r="BQ148" s="297">
        <f t="shared" si="819"/>
        <v>8261854.3139902148</v>
      </c>
      <c r="BR148" s="297">
        <f t="shared" ref="BR148:BV148" si="822">BR149+BR172+BR174+BR179+BR188+BR190</f>
        <v>9703853.160834372</v>
      </c>
      <c r="BS148" s="297">
        <f t="shared" si="822"/>
        <v>11181383.542455908</v>
      </c>
      <c r="BT148" s="297">
        <f t="shared" si="822"/>
        <v>12760409.483951792</v>
      </c>
      <c r="BU148" s="297">
        <f t="shared" si="822"/>
        <v>14356061.289207663</v>
      </c>
      <c r="BV148" s="297">
        <f t="shared" si="822"/>
        <v>15997961.964084798</v>
      </c>
      <c r="BW148" s="373"/>
    </row>
    <row r="149" spans="1:75" s="229" customFormat="1" x14ac:dyDescent="0.25">
      <c r="A149" s="222">
        <v>2</v>
      </c>
      <c r="B149" s="223">
        <f>EEFFun!B619</f>
        <v>51</v>
      </c>
      <c r="C149" s="223" t="str">
        <f>EEFFun!C619</f>
        <v>INTERESES Y DESCUENTOS GANADOS</v>
      </c>
      <c r="D149" s="279">
        <f>EEFFun!P619</f>
        <v>3561492.32</v>
      </c>
      <c r="E149" s="297">
        <f>E150+E152+E156+E170</f>
        <v>302679.29000000004</v>
      </c>
      <c r="F149" s="297">
        <f t="shared" ref="F149" si="823">F150+F152+F156+F170</f>
        <v>279692.69000000012</v>
      </c>
      <c r="G149" s="297">
        <f t="shared" ref="G149" si="824">G150+G152+G156+G170</f>
        <v>340875.89999999997</v>
      </c>
      <c r="H149" s="297">
        <f t="shared" ref="H149:O149" si="825">H150+H152+H156+H170</f>
        <v>321167.29000000004</v>
      </c>
      <c r="I149" s="297">
        <f t="shared" si="825"/>
        <v>388457.44999999995</v>
      </c>
      <c r="J149" s="297">
        <f t="shared" si="825"/>
        <v>328596.9800000001</v>
      </c>
      <c r="K149" s="297">
        <f t="shared" si="825"/>
        <v>331911.20999999985</v>
      </c>
      <c r="L149" s="297">
        <f t="shared" si="825"/>
        <v>338662.7900000001</v>
      </c>
      <c r="M149" s="297">
        <f t="shared" si="825"/>
        <v>310152.37</v>
      </c>
      <c r="N149" s="297">
        <f t="shared" si="825"/>
        <v>251052.11000000004</v>
      </c>
      <c r="O149" s="297">
        <f t="shared" si="825"/>
        <v>377649.41000000009</v>
      </c>
      <c r="P149" s="297">
        <f t="shared" ref="P149" si="826">P150+P152+P156+P170</f>
        <v>289006.25999999989</v>
      </c>
      <c r="Q149" s="279">
        <f>EEFFun!Q619</f>
        <v>302679.28999999998</v>
      </c>
      <c r="R149" s="279">
        <f>EEFFun!R619</f>
        <v>582371.98</v>
      </c>
      <c r="S149" s="279">
        <f>EEFFun!S619</f>
        <v>923247.88</v>
      </c>
      <c r="T149" s="279">
        <f>EEFFun!T619</f>
        <v>1244415.17</v>
      </c>
      <c r="U149" s="279">
        <f>EEFFun!U619</f>
        <v>1632872.62</v>
      </c>
      <c r="V149" s="279">
        <f>EEFFun!V619</f>
        <v>1961469.6</v>
      </c>
      <c r="W149" s="279">
        <f>EEFFun!W619</f>
        <v>2293380.81</v>
      </c>
      <c r="X149" s="279">
        <f>EEFFun!X619</f>
        <v>2632043.6</v>
      </c>
      <c r="Y149" s="279">
        <f>EEFFun!Y619</f>
        <v>2942195.97</v>
      </c>
      <c r="Z149" s="279">
        <f>EEFFun!Z619</f>
        <v>3193248.08</v>
      </c>
      <c r="AA149" s="279">
        <f>EEFFun!AA619</f>
        <v>3570897.49</v>
      </c>
      <c r="AB149" s="279">
        <f>EEFFun!AB619</f>
        <v>3859903.75</v>
      </c>
      <c r="AC149" s="279">
        <f>EEFFun!AC619</f>
        <v>281980.63</v>
      </c>
      <c r="AD149" s="279">
        <f>EEFFun!AD619</f>
        <v>545976.34</v>
      </c>
      <c r="AE149" s="279">
        <f>EEFFun!AE619</f>
        <v>821810.36</v>
      </c>
      <c r="AF149" s="279">
        <f>EEFFun!AF619</f>
        <v>1127150.18</v>
      </c>
      <c r="AG149" s="279">
        <f>EEFFun!AG619</f>
        <v>1395997.6</v>
      </c>
      <c r="AH149" s="279">
        <f>EEFFun!AH619</f>
        <v>1697307.07</v>
      </c>
      <c r="AI149" s="279">
        <f>EEFFun!AI619</f>
        <v>2029290.53</v>
      </c>
      <c r="AJ149" s="279">
        <f>EEFFun!AJ619</f>
        <v>2333727.77</v>
      </c>
      <c r="AK149" s="279">
        <f>EEFFun!AK619</f>
        <v>2654344.11</v>
      </c>
      <c r="AL149" s="279">
        <f>EEFFun!AL619</f>
        <v>2943942.66</v>
      </c>
      <c r="AM149" s="279">
        <f>EEFFun!AM619</f>
        <v>3316276.68</v>
      </c>
      <c r="AN149" s="279">
        <f>EEFFun!AN619</f>
        <v>3681370.53</v>
      </c>
      <c r="AO149" s="279">
        <f>EEFFun!AO619</f>
        <v>366974.75</v>
      </c>
      <c r="AP149" s="279">
        <f>EEFFun!AP619</f>
        <v>715934.99</v>
      </c>
      <c r="AQ149" s="279">
        <f>EEFFun!AQ619</f>
        <v>1140389.3899999999</v>
      </c>
      <c r="AR149" s="279">
        <f>EEFFun!AR619</f>
        <v>1564621.59</v>
      </c>
      <c r="AS149" s="279">
        <f>EEFFun!AS619</f>
        <v>2070958.31</v>
      </c>
      <c r="AT149" s="279">
        <f>EEFFun!AT619</f>
        <v>2533203.7400000002</v>
      </c>
      <c r="AU149" s="279">
        <f>EEFFun!AU619</f>
        <v>3061382.83</v>
      </c>
      <c r="AV149" s="279">
        <f>EEFFun!AV619</f>
        <v>3598050.45</v>
      </c>
      <c r="AW149" s="279">
        <f>EEFFun!AW619</f>
        <v>4161981.52</v>
      </c>
      <c r="AX149" s="279">
        <f>EEFFun!AX619</f>
        <v>4828011.5199999996</v>
      </c>
      <c r="AY149" s="297">
        <f t="shared" ref="AY149:BE149" si="827">AY150+AY152+AY156+AY170</f>
        <v>707419.01598410879</v>
      </c>
      <c r="AZ149" s="297">
        <f t="shared" si="827"/>
        <v>689890.57170136948</v>
      </c>
      <c r="BA149" s="297">
        <f t="shared" si="827"/>
        <v>796607.42792372056</v>
      </c>
      <c r="BB149" s="297">
        <f t="shared" si="827"/>
        <v>819825.07535612909</v>
      </c>
      <c r="BC149" s="297">
        <f t="shared" si="827"/>
        <v>898523.58688649</v>
      </c>
      <c r="BD149" s="297">
        <f t="shared" si="827"/>
        <v>928645.94340421446</v>
      </c>
      <c r="BE149" s="297">
        <f t="shared" si="827"/>
        <v>1004474.7696601488</v>
      </c>
      <c r="BF149" s="297">
        <f t="shared" ref="BF149:BJ149" si="828">BF150+BF152+BF156+BF170</f>
        <v>1075092.5828497566</v>
      </c>
      <c r="BG149" s="297">
        <f t="shared" si="828"/>
        <v>1099948.3854193476</v>
      </c>
      <c r="BH149" s="297">
        <f t="shared" si="828"/>
        <v>1196508.0290383836</v>
      </c>
      <c r="BI149" s="297">
        <f t="shared" si="828"/>
        <v>1198237.8807955468</v>
      </c>
      <c r="BJ149" s="297">
        <f t="shared" si="828"/>
        <v>1289691.2050224645</v>
      </c>
      <c r="BK149" s="297">
        <f t="shared" ref="BK149:BQ149" si="829">BK150+BK152+BK156+BK170</f>
        <v>707419.01598410879</v>
      </c>
      <c r="BL149" s="297">
        <f t="shared" si="829"/>
        <v>1397309.5876854784</v>
      </c>
      <c r="BM149" s="297">
        <f t="shared" si="829"/>
        <v>2193917.0156091987</v>
      </c>
      <c r="BN149" s="297">
        <f t="shared" si="829"/>
        <v>3013742.0909653278</v>
      </c>
      <c r="BO149" s="297">
        <f t="shared" si="829"/>
        <v>3912265.677851818</v>
      </c>
      <c r="BP149" s="297">
        <f t="shared" si="829"/>
        <v>4840911.621256032</v>
      </c>
      <c r="BQ149" s="297">
        <f t="shared" si="829"/>
        <v>5845386.3909161817</v>
      </c>
      <c r="BR149" s="297">
        <f t="shared" ref="BR149" si="830">BR150+BR152+BR156+BR170</f>
        <v>6920478.9737659385</v>
      </c>
      <c r="BS149" s="297">
        <f t="shared" ref="BS149" si="831">BS150+BS152+BS156+BS170</f>
        <v>8020427.359185284</v>
      </c>
      <c r="BT149" s="297">
        <f t="shared" ref="BT149" si="832">BT150+BT152+BT156+BT170</f>
        <v>9216935.3882236686</v>
      </c>
      <c r="BU149" s="297">
        <f t="shared" ref="BU149" si="833">BU150+BU152+BU156+BU170</f>
        <v>10415173.269019213</v>
      </c>
      <c r="BV149" s="297">
        <f t="shared" ref="BV149" si="834">BV150+BV152+BV156+BV170</f>
        <v>11704864.474041682</v>
      </c>
      <c r="BW149" s="373"/>
    </row>
    <row r="150" spans="1:75" s="229" customFormat="1" outlineLevel="1" x14ac:dyDescent="0.25">
      <c r="A150" s="239">
        <v>4</v>
      </c>
      <c r="B150" s="223">
        <f>EEFFun!B620</f>
        <v>5101</v>
      </c>
      <c r="C150" s="223" t="str">
        <f>EEFFun!C620</f>
        <v>Depósitos</v>
      </c>
      <c r="D150" s="279">
        <f>EEFFun!P620</f>
        <v>1331.94</v>
      </c>
      <c r="E150" s="297">
        <f t="shared" ref="E150:P150" si="835">E151</f>
        <v>14.34</v>
      </c>
      <c r="F150" s="297">
        <f t="shared" si="835"/>
        <v>10.080000000000002</v>
      </c>
      <c r="G150" s="297">
        <f t="shared" si="835"/>
        <v>4.9599999999999973</v>
      </c>
      <c r="H150" s="297">
        <f t="shared" si="835"/>
        <v>6.5400000000000027</v>
      </c>
      <c r="I150" s="297">
        <f t="shared" si="835"/>
        <v>10.519999999999996</v>
      </c>
      <c r="J150" s="297">
        <f t="shared" si="835"/>
        <v>13.400000000000006</v>
      </c>
      <c r="K150" s="297">
        <f t="shared" si="835"/>
        <v>3.4599999999999937</v>
      </c>
      <c r="L150" s="297">
        <f t="shared" si="835"/>
        <v>12.75</v>
      </c>
      <c r="M150" s="297">
        <f t="shared" si="835"/>
        <v>9.5799999999999983</v>
      </c>
      <c r="N150" s="297">
        <f t="shared" si="835"/>
        <v>10.030000000000001</v>
      </c>
      <c r="O150" s="297">
        <f t="shared" si="835"/>
        <v>18.75</v>
      </c>
      <c r="P150" s="297">
        <f t="shared" si="835"/>
        <v>12.680000000000007</v>
      </c>
      <c r="Q150" s="279">
        <f>EEFFun!Q620</f>
        <v>14.34</v>
      </c>
      <c r="R150" s="279">
        <f>EEFFun!R620</f>
        <v>24.42</v>
      </c>
      <c r="S150" s="279">
        <f>EEFFun!S620</f>
        <v>29.38</v>
      </c>
      <c r="T150" s="279">
        <f>EEFFun!T620</f>
        <v>35.92</v>
      </c>
      <c r="U150" s="279">
        <f>EEFFun!U620</f>
        <v>46.44</v>
      </c>
      <c r="V150" s="279">
        <f>EEFFun!V620</f>
        <v>59.84</v>
      </c>
      <c r="W150" s="279">
        <f>EEFFun!W620</f>
        <v>63.3</v>
      </c>
      <c r="X150" s="279">
        <f>EEFFun!X620</f>
        <v>76.05</v>
      </c>
      <c r="Y150" s="279">
        <f>EEFFun!Y620</f>
        <v>85.63</v>
      </c>
      <c r="Z150" s="279">
        <f>EEFFun!Z620</f>
        <v>95.66</v>
      </c>
      <c r="AA150" s="279">
        <f>EEFFun!AA620</f>
        <v>114.41</v>
      </c>
      <c r="AB150" s="279">
        <f>EEFFun!AB620</f>
        <v>127.09</v>
      </c>
      <c r="AC150" s="279">
        <f>EEFFun!AC620</f>
        <v>8.33</v>
      </c>
      <c r="AD150" s="279">
        <f>EEFFun!AD620</f>
        <v>21.75</v>
      </c>
      <c r="AE150" s="279">
        <f>EEFFun!AE620</f>
        <v>32.799999999999997</v>
      </c>
      <c r="AF150" s="279">
        <f>EEFFun!AF620</f>
        <v>43.91</v>
      </c>
      <c r="AG150" s="279">
        <f>EEFFun!AG620</f>
        <v>57.17</v>
      </c>
      <c r="AH150" s="279">
        <f>EEFFun!AH620</f>
        <v>68.75</v>
      </c>
      <c r="AI150" s="279">
        <f>EEFFun!AI620</f>
        <v>98.94</v>
      </c>
      <c r="AJ150" s="279">
        <f>EEFFun!AJ620</f>
        <v>405.46</v>
      </c>
      <c r="AK150" s="279">
        <f>EEFFun!AK620</f>
        <v>1469.77</v>
      </c>
      <c r="AL150" s="279">
        <f>EEFFun!AL620</f>
        <v>1672.69</v>
      </c>
      <c r="AM150" s="279">
        <f>EEFFun!AM620</f>
        <v>1816.35</v>
      </c>
      <c r="AN150" s="279">
        <f>EEFFun!AN620</f>
        <v>3164.05</v>
      </c>
      <c r="AO150" s="279">
        <f>EEFFun!AO620</f>
        <v>770.05</v>
      </c>
      <c r="AP150" s="279">
        <f>EEFFun!AP620</f>
        <v>954.12</v>
      </c>
      <c r="AQ150" s="279">
        <f>EEFFun!AQ620</f>
        <v>1172.7</v>
      </c>
      <c r="AR150" s="279">
        <f>EEFFun!AR620</f>
        <v>2287.17</v>
      </c>
      <c r="AS150" s="279">
        <f>EEFFun!AS620</f>
        <v>4008.05</v>
      </c>
      <c r="AT150" s="279">
        <f>EEFFun!AT620</f>
        <v>4913.99</v>
      </c>
      <c r="AU150" s="279">
        <f>EEFFun!AU620</f>
        <v>5372.81</v>
      </c>
      <c r="AV150" s="279">
        <f>EEFFun!AV620</f>
        <v>5840.86</v>
      </c>
      <c r="AW150" s="279">
        <f>EEFFun!AW620</f>
        <v>6325.22</v>
      </c>
      <c r="AX150" s="279">
        <f>EEFFun!AX620</f>
        <v>6724.44</v>
      </c>
      <c r="AY150" s="297">
        <f>+AY151</f>
        <v>672.44399999999996</v>
      </c>
      <c r="AZ150" s="297">
        <f t="shared" ref="AZ150:BJ150" si="836">+AZ151</f>
        <v>672.44399999999996</v>
      </c>
      <c r="BA150" s="297">
        <f t="shared" si="836"/>
        <v>672.44399999999996</v>
      </c>
      <c r="BB150" s="297">
        <f t="shared" si="836"/>
        <v>672.44399999999996</v>
      </c>
      <c r="BC150" s="297">
        <f t="shared" si="836"/>
        <v>672.44399999999996</v>
      </c>
      <c r="BD150" s="297">
        <f t="shared" si="836"/>
        <v>672.44399999999996</v>
      </c>
      <c r="BE150" s="297">
        <f t="shared" si="836"/>
        <v>672.44399999999996</v>
      </c>
      <c r="BF150" s="297">
        <f t="shared" si="836"/>
        <v>672.44399999999996</v>
      </c>
      <c r="BG150" s="297">
        <f t="shared" si="836"/>
        <v>672.44399999999996</v>
      </c>
      <c r="BH150" s="297">
        <f t="shared" si="836"/>
        <v>672.44399999999996</v>
      </c>
      <c r="BI150" s="297">
        <f t="shared" si="836"/>
        <v>672.44399999999996</v>
      </c>
      <c r="BJ150" s="297">
        <f t="shared" si="836"/>
        <v>672.44399999999996</v>
      </c>
      <c r="BK150" s="297">
        <f t="shared" ref="BK150:BV150" si="837">BK151</f>
        <v>672.44399999999996</v>
      </c>
      <c r="BL150" s="297">
        <f t="shared" si="837"/>
        <v>1344.8879999999999</v>
      </c>
      <c r="BM150" s="297">
        <f t="shared" si="837"/>
        <v>2017.3319999999999</v>
      </c>
      <c r="BN150" s="297">
        <f t="shared" si="837"/>
        <v>2689.7759999999998</v>
      </c>
      <c r="BO150" s="297">
        <f t="shared" si="837"/>
        <v>3362.22</v>
      </c>
      <c r="BP150" s="297">
        <f t="shared" si="837"/>
        <v>4034.6639999999998</v>
      </c>
      <c r="BQ150" s="297">
        <f t="shared" si="837"/>
        <v>4707.1080000000002</v>
      </c>
      <c r="BR150" s="297">
        <f t="shared" si="837"/>
        <v>5379.5519999999997</v>
      </c>
      <c r="BS150" s="297">
        <f t="shared" si="837"/>
        <v>6051.9959999999992</v>
      </c>
      <c r="BT150" s="297">
        <f t="shared" si="837"/>
        <v>6724.4399999999987</v>
      </c>
      <c r="BU150" s="297">
        <f t="shared" si="837"/>
        <v>7396.8839999999982</v>
      </c>
      <c r="BV150" s="297">
        <f t="shared" si="837"/>
        <v>8069.3279999999977</v>
      </c>
      <c r="BW150" s="284"/>
    </row>
    <row r="151" spans="1:75" outlineLevel="1" x14ac:dyDescent="0.25">
      <c r="A151" s="222">
        <v>6</v>
      </c>
      <c r="B151" s="233">
        <f>EEFFun!B621</f>
        <v>510110</v>
      </c>
      <c r="C151" s="233" t="str">
        <f>EEFFun!C621</f>
        <v>Depósitos en bancos y otras instituciones financie</v>
      </c>
      <c r="D151" s="257">
        <f>EEFFun!P621</f>
        <v>1331.94</v>
      </c>
      <c r="E151" s="295">
        <f t="shared" ref="E151" si="838">Q151</f>
        <v>14.34</v>
      </c>
      <c r="F151" s="295">
        <f t="shared" ref="F151" si="839">R151-Q151</f>
        <v>10.080000000000002</v>
      </c>
      <c r="G151" s="295">
        <f t="shared" ref="G151" si="840">S151-R151</f>
        <v>4.9599999999999973</v>
      </c>
      <c r="H151" s="295">
        <f t="shared" ref="H151" si="841">T151-S151</f>
        <v>6.5400000000000027</v>
      </c>
      <c r="I151" s="295">
        <f t="shared" ref="I151" si="842">U151-T151</f>
        <v>10.519999999999996</v>
      </c>
      <c r="J151" s="295">
        <f t="shared" ref="J151" si="843">V151-U151</f>
        <v>13.400000000000006</v>
      </c>
      <c r="K151" s="295">
        <f t="shared" ref="K151" si="844">W151-V151</f>
        <v>3.4599999999999937</v>
      </c>
      <c r="L151" s="295">
        <f t="shared" ref="L151" si="845">X151-W151</f>
        <v>12.75</v>
      </c>
      <c r="M151" s="295">
        <f t="shared" ref="M151" si="846">Y151-X151</f>
        <v>9.5799999999999983</v>
      </c>
      <c r="N151" s="295">
        <f t="shared" ref="N151" si="847">Z151-Y151</f>
        <v>10.030000000000001</v>
      </c>
      <c r="O151" s="295">
        <f t="shared" ref="O151:P151" si="848">AA151-Z151</f>
        <v>18.75</v>
      </c>
      <c r="P151" s="295">
        <f t="shared" si="848"/>
        <v>12.680000000000007</v>
      </c>
      <c r="Q151" s="257">
        <f>EEFFun!Q621</f>
        <v>14.34</v>
      </c>
      <c r="R151" s="257">
        <f>EEFFun!R621</f>
        <v>24.42</v>
      </c>
      <c r="S151" s="257">
        <f>EEFFun!S621</f>
        <v>29.38</v>
      </c>
      <c r="T151" s="257">
        <f>EEFFun!T621</f>
        <v>35.92</v>
      </c>
      <c r="U151" s="257">
        <f>EEFFun!U621</f>
        <v>46.44</v>
      </c>
      <c r="V151" s="257">
        <f>EEFFun!V621</f>
        <v>59.84</v>
      </c>
      <c r="W151" s="257">
        <f>EEFFun!W621</f>
        <v>63.3</v>
      </c>
      <c r="X151" s="257">
        <f>EEFFun!X621</f>
        <v>76.05</v>
      </c>
      <c r="Y151" s="257">
        <f>EEFFun!Y621</f>
        <v>85.63</v>
      </c>
      <c r="Z151" s="257">
        <f>EEFFun!Z621</f>
        <v>95.66</v>
      </c>
      <c r="AA151" s="257">
        <f>EEFFun!AA621</f>
        <v>114.41</v>
      </c>
      <c r="AB151" s="257">
        <f>EEFFun!AB621</f>
        <v>127.09</v>
      </c>
      <c r="AC151" s="257">
        <f>EEFFun!AC621</f>
        <v>8.33</v>
      </c>
      <c r="AD151" s="257">
        <f>EEFFun!AD621</f>
        <v>21.75</v>
      </c>
      <c r="AE151" s="257">
        <f>EEFFun!AE621</f>
        <v>32.799999999999997</v>
      </c>
      <c r="AF151" s="257">
        <f>EEFFun!AF621</f>
        <v>43.91</v>
      </c>
      <c r="AG151" s="257">
        <f>EEFFun!AG621</f>
        <v>57.17</v>
      </c>
      <c r="AH151" s="257">
        <f>EEFFun!AH621</f>
        <v>68.75</v>
      </c>
      <c r="AI151" s="257">
        <f>EEFFun!AI621</f>
        <v>98.94</v>
      </c>
      <c r="AJ151" s="257">
        <f>EEFFun!AJ621</f>
        <v>405.46</v>
      </c>
      <c r="AK151" s="257">
        <f>EEFFun!AK621</f>
        <v>1469.77</v>
      </c>
      <c r="AL151" s="257">
        <f>EEFFun!AL621</f>
        <v>1672.69</v>
      </c>
      <c r="AM151" s="257">
        <f>EEFFun!AM621</f>
        <v>1816.35</v>
      </c>
      <c r="AN151" s="257">
        <f>EEFFun!AN621</f>
        <v>3164.05</v>
      </c>
      <c r="AO151" s="257">
        <f>EEFFun!AO621</f>
        <v>770.05</v>
      </c>
      <c r="AP151" s="257">
        <f>EEFFun!AP621</f>
        <v>954.12</v>
      </c>
      <c r="AQ151" s="257">
        <f>EEFFun!AQ621</f>
        <v>1172.7</v>
      </c>
      <c r="AR151" s="257">
        <f>EEFFun!AR621</f>
        <v>2287.17</v>
      </c>
      <c r="AS151" s="257">
        <f>EEFFun!AS621</f>
        <v>4008.05</v>
      </c>
      <c r="AT151" s="257">
        <f>EEFFun!AT621</f>
        <v>4913.99</v>
      </c>
      <c r="AU151" s="257">
        <f>EEFFun!AU621</f>
        <v>5372.81</v>
      </c>
      <c r="AV151" s="257">
        <f>EEFFun!AV621</f>
        <v>5840.86</v>
      </c>
      <c r="AW151" s="257">
        <f>EEFFun!AW621</f>
        <v>6325.22</v>
      </c>
      <c r="AX151" s="257">
        <f>EEFFun!AX621</f>
        <v>6724.44</v>
      </c>
      <c r="AY151" s="295">
        <f>+AX151/10</f>
        <v>672.44399999999996</v>
      </c>
      <c r="AZ151" s="295">
        <f>+AY151</f>
        <v>672.44399999999996</v>
      </c>
      <c r="BA151" s="295">
        <f t="shared" ref="BA151:BJ151" si="849">+AZ151</f>
        <v>672.44399999999996</v>
      </c>
      <c r="BB151" s="295">
        <f t="shared" si="849"/>
        <v>672.44399999999996</v>
      </c>
      <c r="BC151" s="295">
        <f t="shared" si="849"/>
        <v>672.44399999999996</v>
      </c>
      <c r="BD151" s="295">
        <f t="shared" si="849"/>
        <v>672.44399999999996</v>
      </c>
      <c r="BE151" s="295">
        <f t="shared" si="849"/>
        <v>672.44399999999996</v>
      </c>
      <c r="BF151" s="295">
        <f t="shared" si="849"/>
        <v>672.44399999999996</v>
      </c>
      <c r="BG151" s="295">
        <f t="shared" si="849"/>
        <v>672.44399999999996</v>
      </c>
      <c r="BH151" s="295">
        <f t="shared" si="849"/>
        <v>672.44399999999996</v>
      </c>
      <c r="BI151" s="295">
        <f t="shared" si="849"/>
        <v>672.44399999999996</v>
      </c>
      <c r="BJ151" s="295">
        <f t="shared" si="849"/>
        <v>672.44399999999996</v>
      </c>
      <c r="BK151" s="295">
        <f>SUM($AY$151:AY151)</f>
        <v>672.44399999999996</v>
      </c>
      <c r="BL151" s="295">
        <f>SUM($AY$151:AZ151)</f>
        <v>1344.8879999999999</v>
      </c>
      <c r="BM151" s="295">
        <f>SUM($AY$151:BA151)</f>
        <v>2017.3319999999999</v>
      </c>
      <c r="BN151" s="295">
        <f>SUM($AY$151:BB151)</f>
        <v>2689.7759999999998</v>
      </c>
      <c r="BO151" s="295">
        <f>SUM($AY$151:BC151)</f>
        <v>3362.22</v>
      </c>
      <c r="BP151" s="295">
        <f>SUM($AY$151:BD151)</f>
        <v>4034.6639999999998</v>
      </c>
      <c r="BQ151" s="295">
        <f>SUM($AY$151:BE151)</f>
        <v>4707.1080000000002</v>
      </c>
      <c r="BR151" s="295">
        <f>SUM($AY$151:BF151)</f>
        <v>5379.5519999999997</v>
      </c>
      <c r="BS151" s="295">
        <f>SUM($AY$151:BG151)</f>
        <v>6051.9959999999992</v>
      </c>
      <c r="BT151" s="295">
        <f>SUM($AY$151:BH151)</f>
        <v>6724.4399999999987</v>
      </c>
      <c r="BU151" s="295">
        <f>SUM($AY$151:BI151)</f>
        <v>7396.8839999999982</v>
      </c>
      <c r="BV151" s="295">
        <f>SUM($AY$151:BJ151)</f>
        <v>8069.3279999999977</v>
      </c>
      <c r="BW151" s="291"/>
    </row>
    <row r="152" spans="1:75" s="229" customFormat="1" x14ac:dyDescent="0.25">
      <c r="A152" s="239">
        <v>4</v>
      </c>
      <c r="B152" s="223">
        <f>EEFFun!B622</f>
        <v>5103</v>
      </c>
      <c r="C152" s="223" t="str">
        <f>EEFFun!C622</f>
        <v>Intereses y descuentos de inversiones en títulos v</v>
      </c>
      <c r="D152" s="279">
        <f>EEFFun!P622</f>
        <v>99275.49</v>
      </c>
      <c r="E152" s="297">
        <f t="shared" ref="E152:H152" si="850">SUM(E153:E155)</f>
        <v>6878.61</v>
      </c>
      <c r="F152" s="297">
        <f t="shared" si="850"/>
        <v>5060.1800000000012</v>
      </c>
      <c r="G152" s="297">
        <f t="shared" si="850"/>
        <v>4172.9699999999993</v>
      </c>
      <c r="H152" s="297">
        <f t="shared" si="850"/>
        <v>2059.2900000000009</v>
      </c>
      <c r="I152" s="297">
        <f t="shared" ref="I152:O152" si="851">SUM(I153:I155)</f>
        <v>3798.9599999999982</v>
      </c>
      <c r="J152" s="297">
        <f t="shared" si="851"/>
        <v>403.2400000000016</v>
      </c>
      <c r="K152" s="297">
        <f t="shared" si="851"/>
        <v>6084.869999999999</v>
      </c>
      <c r="L152" s="297">
        <f t="shared" si="851"/>
        <v>624.29</v>
      </c>
      <c r="M152" s="297">
        <f t="shared" si="851"/>
        <v>523.60999999999967</v>
      </c>
      <c r="N152" s="297">
        <f t="shared" si="851"/>
        <v>6304.4500000000007</v>
      </c>
      <c r="O152" s="297">
        <f t="shared" si="851"/>
        <v>659.31999999999971</v>
      </c>
      <c r="P152" s="297">
        <f t="shared" ref="P152" si="852">SUM(P153:P155)</f>
        <v>19779.670000000006</v>
      </c>
      <c r="Q152" s="279">
        <f>EEFFun!Q622</f>
        <v>6878.61</v>
      </c>
      <c r="R152" s="279">
        <f>EEFFun!R622</f>
        <v>11938.79</v>
      </c>
      <c r="S152" s="279">
        <f>EEFFun!S622</f>
        <v>16111.76</v>
      </c>
      <c r="T152" s="279">
        <f>EEFFun!T622</f>
        <v>18171.05</v>
      </c>
      <c r="U152" s="279">
        <f>EEFFun!U622</f>
        <v>21970.01</v>
      </c>
      <c r="V152" s="279">
        <f>EEFFun!V622</f>
        <v>22373.25</v>
      </c>
      <c r="W152" s="279">
        <f>EEFFun!W622</f>
        <v>28458.12</v>
      </c>
      <c r="X152" s="279">
        <f>EEFFun!X622</f>
        <v>29082.41</v>
      </c>
      <c r="Y152" s="279">
        <f>EEFFun!Y622</f>
        <v>29606.02</v>
      </c>
      <c r="Z152" s="279">
        <f>EEFFun!Z622</f>
        <v>35910.47</v>
      </c>
      <c r="AA152" s="279">
        <f>EEFFun!AA622</f>
        <v>36569.79</v>
      </c>
      <c r="AB152" s="279">
        <f>EEFFun!AB622</f>
        <v>56349.46</v>
      </c>
      <c r="AC152" s="279">
        <f>EEFFun!AC622</f>
        <v>23131.16</v>
      </c>
      <c r="AD152" s="279">
        <f>EEFFun!AD622</f>
        <v>44364.89</v>
      </c>
      <c r="AE152" s="279">
        <f>EEFFun!AE622</f>
        <v>67971.22</v>
      </c>
      <c r="AF152" s="279">
        <f>EEFFun!AF622</f>
        <v>95845.15</v>
      </c>
      <c r="AG152" s="279">
        <f>EEFFun!AG622</f>
        <v>120950.07</v>
      </c>
      <c r="AH152" s="279">
        <f>EEFFun!AH622</f>
        <v>146635.28</v>
      </c>
      <c r="AI152" s="279">
        <f>EEFFun!AI622</f>
        <v>174293.52</v>
      </c>
      <c r="AJ152" s="279">
        <f>EEFFun!AJ622</f>
        <v>196864.23</v>
      </c>
      <c r="AK152" s="279">
        <f>EEFFun!AK622</f>
        <v>221657.94</v>
      </c>
      <c r="AL152" s="279">
        <f>EEFFun!AL622</f>
        <v>249111.11</v>
      </c>
      <c r="AM152" s="279">
        <f>EEFFun!AM622</f>
        <v>276653.02</v>
      </c>
      <c r="AN152" s="279">
        <f>EEFFun!AN622</f>
        <v>303861.93</v>
      </c>
      <c r="AO152" s="279">
        <f>EEFFun!AO622</f>
        <v>28769.91</v>
      </c>
      <c r="AP152" s="279">
        <f>EEFFun!AP622</f>
        <v>55934.080000000002</v>
      </c>
      <c r="AQ152" s="279">
        <f>EEFFun!AQ622</f>
        <v>90324.79</v>
      </c>
      <c r="AR152" s="279">
        <f>EEFFun!AR622</f>
        <v>122713.74</v>
      </c>
      <c r="AS152" s="279">
        <f>EEFFun!AS622</f>
        <v>153470.23000000001</v>
      </c>
      <c r="AT152" s="279">
        <f>EEFFun!AT622</f>
        <v>181038.75</v>
      </c>
      <c r="AU152" s="279">
        <f>EEFFun!AU622</f>
        <v>209314.87</v>
      </c>
      <c r="AV152" s="279">
        <f>EEFFun!AV622</f>
        <v>237791.08</v>
      </c>
      <c r="AW152" s="279">
        <f>EEFFun!AW622</f>
        <v>265357.67</v>
      </c>
      <c r="AX152" s="279">
        <f>EEFFun!AX622</f>
        <v>295674.48</v>
      </c>
      <c r="AY152" s="297">
        <f t="shared" ref="AY152:BE152" si="853">SUM(AY153:AY155)</f>
        <v>14894.327852083334</v>
      </c>
      <c r="AZ152" s="297">
        <f t="shared" si="853"/>
        <v>23531.941575333334</v>
      </c>
      <c r="BA152" s="297">
        <f t="shared" si="853"/>
        <v>26789.928484916669</v>
      </c>
      <c r="BB152" s="297">
        <f t="shared" si="853"/>
        <v>34660.85973541667</v>
      </c>
      <c r="BC152" s="297">
        <f t="shared" si="853"/>
        <v>33320.810389833336</v>
      </c>
      <c r="BD152" s="297">
        <f t="shared" si="853"/>
        <v>34207.356390000001</v>
      </c>
      <c r="BE152" s="297">
        <f t="shared" si="853"/>
        <v>34808.364074000005</v>
      </c>
      <c r="BF152" s="297">
        <f t="shared" ref="BF152:BJ152" si="854">SUM(BF153:BF155)</f>
        <v>49791.859792499999</v>
      </c>
      <c r="BG152" s="297">
        <f t="shared" si="854"/>
        <v>53943.287785416673</v>
      </c>
      <c r="BH152" s="297">
        <f t="shared" si="854"/>
        <v>63672.140212166662</v>
      </c>
      <c r="BI152" s="297">
        <f t="shared" si="854"/>
        <v>51567.251509583337</v>
      </c>
      <c r="BJ152" s="297">
        <f t="shared" si="854"/>
        <v>55462.612882000001</v>
      </c>
      <c r="BK152" s="297">
        <f t="shared" ref="BK152:BQ152" si="855">SUM(BK153:BK155)</f>
        <v>14894.327852083334</v>
      </c>
      <c r="BL152" s="297">
        <f t="shared" si="855"/>
        <v>38426.269427416672</v>
      </c>
      <c r="BM152" s="297">
        <f t="shared" si="855"/>
        <v>65216.197912333344</v>
      </c>
      <c r="BN152" s="297">
        <f t="shared" si="855"/>
        <v>99877.057647750014</v>
      </c>
      <c r="BO152" s="297">
        <f t="shared" si="855"/>
        <v>133197.86803758334</v>
      </c>
      <c r="BP152" s="297">
        <f t="shared" si="855"/>
        <v>167405.22442758334</v>
      </c>
      <c r="BQ152" s="297">
        <f t="shared" si="855"/>
        <v>202213.58850158335</v>
      </c>
      <c r="BR152" s="297">
        <f t="shared" ref="BR152" si="856">SUM(BR153:BR155)</f>
        <v>252005.44829408335</v>
      </c>
      <c r="BS152" s="297">
        <f t="shared" ref="BS152" si="857">SUM(BS153:BS155)</f>
        <v>305948.73607950006</v>
      </c>
      <c r="BT152" s="297">
        <f t="shared" ref="BT152" si="858">SUM(BT153:BT155)</f>
        <v>369620.8762916667</v>
      </c>
      <c r="BU152" s="297">
        <f t="shared" ref="BU152" si="859">SUM(BU153:BU155)</f>
        <v>421188.12780125003</v>
      </c>
      <c r="BV152" s="297">
        <f t="shared" ref="BV152" si="860">SUM(BV153:BV155)</f>
        <v>476650.74068325001</v>
      </c>
      <c r="BW152" s="284"/>
    </row>
    <row r="153" spans="1:75" outlineLevel="1" x14ac:dyDescent="0.25">
      <c r="A153" s="222">
        <v>6</v>
      </c>
      <c r="B153" s="233">
        <f>EEFFun!B623</f>
        <v>510310</v>
      </c>
      <c r="C153" s="233" t="str">
        <f>EEFFun!C623</f>
        <v>Disponibles para la venta</v>
      </c>
      <c r="D153" s="257">
        <f>EEFFun!P623</f>
        <v>91068.35</v>
      </c>
      <c r="E153" s="295">
        <f t="shared" ref="E153:E155" si="861">Q153</f>
        <v>6314.73</v>
      </c>
      <c r="F153" s="295">
        <f t="shared" ref="F153:F155" si="862">R153-Q153</f>
        <v>4496.3100000000013</v>
      </c>
      <c r="G153" s="295">
        <f t="shared" ref="G153:G155" si="863">S153-R153</f>
        <v>3588.9499999999989</v>
      </c>
      <c r="H153" s="295">
        <f t="shared" ref="H153:H155" si="864">T153-S153</f>
        <v>1455.130000000001</v>
      </c>
      <c r="I153" s="295">
        <f t="shared" ref="I153:I155" si="865">U153-T153</f>
        <v>3235.0699999999979</v>
      </c>
      <c r="J153" s="295">
        <f t="shared" ref="J153:J155" si="866">V153-U153</f>
        <v>-200.91999999999825</v>
      </c>
      <c r="K153" s="295">
        <f t="shared" ref="K153:K155" si="867">W153-V153</f>
        <v>5460.5799999999981</v>
      </c>
      <c r="L153" s="295">
        <f t="shared" ref="L153:L155" si="868">X153-W153</f>
        <v>0</v>
      </c>
      <c r="M153" s="295">
        <f t="shared" ref="M153:M155" si="869">Y153-X153</f>
        <v>0</v>
      </c>
      <c r="N153" s="295">
        <f t="shared" ref="N153:N155" si="870">Z153-Y153</f>
        <v>6304.4500000000007</v>
      </c>
      <c r="O153" s="295">
        <f t="shared" ref="O153:P155" si="871">AA153-Z153</f>
        <v>659.31999999999971</v>
      </c>
      <c r="P153" s="295">
        <f t="shared" si="871"/>
        <v>19450.110000000004</v>
      </c>
      <c r="Q153" s="257">
        <f>EEFFun!Q623</f>
        <v>6314.73</v>
      </c>
      <c r="R153" s="257">
        <f>EEFFun!R623</f>
        <v>10811.04</v>
      </c>
      <c r="S153" s="257">
        <f>EEFFun!S623</f>
        <v>14399.99</v>
      </c>
      <c r="T153" s="257">
        <f>EEFFun!T623</f>
        <v>15855.12</v>
      </c>
      <c r="U153" s="257">
        <f>EEFFun!U623</f>
        <v>19090.189999999999</v>
      </c>
      <c r="V153" s="257">
        <f>EEFFun!V623</f>
        <v>18889.27</v>
      </c>
      <c r="W153" s="257">
        <f>EEFFun!W623</f>
        <v>24349.85</v>
      </c>
      <c r="X153" s="257">
        <f>EEFFun!X623</f>
        <v>24349.85</v>
      </c>
      <c r="Y153" s="257">
        <f>EEFFun!Y623</f>
        <v>24349.85</v>
      </c>
      <c r="Z153" s="257">
        <f>EEFFun!Z623</f>
        <v>30654.3</v>
      </c>
      <c r="AA153" s="257">
        <f>EEFFun!AA623</f>
        <v>31313.62</v>
      </c>
      <c r="AB153" s="257">
        <f>EEFFun!AB623</f>
        <v>50763.73</v>
      </c>
      <c r="AC153" s="257">
        <f>EEFFun!AC623</f>
        <v>20873.48</v>
      </c>
      <c r="AD153" s="257">
        <f>EEFFun!AD623</f>
        <v>42107.21</v>
      </c>
      <c r="AE153" s="257">
        <f>EEFFun!AE623</f>
        <v>65713.539999999994</v>
      </c>
      <c r="AF153" s="257">
        <f>EEFFun!AF623</f>
        <v>91854.04</v>
      </c>
      <c r="AG153" s="257">
        <f>EEFFun!AG623</f>
        <v>116958.96</v>
      </c>
      <c r="AH153" s="257">
        <f>EEFFun!AH623</f>
        <v>142644.17000000001</v>
      </c>
      <c r="AI153" s="257">
        <f>EEFFun!AI623</f>
        <v>168992.51</v>
      </c>
      <c r="AJ153" s="257">
        <f>EEFFun!AJ623</f>
        <v>190835.5</v>
      </c>
      <c r="AK153" s="257">
        <f>EEFFun!AK623</f>
        <v>214428.47</v>
      </c>
      <c r="AL153" s="257">
        <f>EEFFun!AL623</f>
        <v>241881.64</v>
      </c>
      <c r="AM153" s="257">
        <f>EEFFun!AM623</f>
        <v>268695.83</v>
      </c>
      <c r="AN153" s="257">
        <f>EEFFun!AN623</f>
        <v>295904.74</v>
      </c>
      <c r="AO153" s="257">
        <f>EEFFun!AO623</f>
        <v>27460.01</v>
      </c>
      <c r="AP153" s="257">
        <f>EEFFun!AP623</f>
        <v>54624.18</v>
      </c>
      <c r="AQ153" s="257">
        <f>EEFFun!AQ623</f>
        <v>89014.89</v>
      </c>
      <c r="AR153" s="257">
        <f>EEFFun!AR623</f>
        <v>121403.84</v>
      </c>
      <c r="AS153" s="257">
        <f>EEFFun!AS623</f>
        <v>152160.32999999999</v>
      </c>
      <c r="AT153" s="257">
        <f>EEFFun!AT623</f>
        <v>179728.85</v>
      </c>
      <c r="AU153" s="257">
        <f>EEFFun!AU623</f>
        <v>208004.97</v>
      </c>
      <c r="AV153" s="257">
        <f>EEFFun!AV623</f>
        <v>236481.18</v>
      </c>
      <c r="AW153" s="257">
        <f>EEFFun!AW623</f>
        <v>264047.77</v>
      </c>
      <c r="AX153" s="257">
        <f>EEFFun!AX623</f>
        <v>273299.24</v>
      </c>
      <c r="AY153" s="257">
        <f>((BGhoriz!AM21*Premisas!$C$41+BGhoriz!AM27*Premisas!$C$42)/12)</f>
        <v>14828.703936583333</v>
      </c>
      <c r="AZ153" s="257">
        <f>((BGhoriz!AN21*Premisas!$C$41+BGhoriz!AN27*Premisas!$C$42)/12)</f>
        <v>23466.026607166667</v>
      </c>
      <c r="BA153" s="257">
        <f>((BGhoriz!AO21*Premisas!$C$41+BGhoriz!AO27*Premisas!$C$42)/12)</f>
        <v>26723.691289166669</v>
      </c>
      <c r="BB153" s="257">
        <f>((BGhoriz!AP21*Premisas!$C$41+BGhoriz!AP27*Premisas!$C$42)/12)</f>
        <v>34594.310660333336</v>
      </c>
      <c r="BC153" s="257">
        <f>((BGhoriz!AQ21*Premisas!$C$41+BGhoriz!AQ27*Premisas!$C$42)/12)</f>
        <v>33253.939087166669</v>
      </c>
      <c r="BD153" s="257">
        <f>((BGhoriz!AR21*Premisas!$C$41+BGhoriz!AR27*Premisas!$C$42)/12)</f>
        <v>34140.173208</v>
      </c>
      <c r="BE153" s="257">
        <f>((BGhoriz!AS21*Premisas!$C$41+BGhoriz!AS27*Premisas!$C$42)/12)</f>
        <v>34740.858664416672</v>
      </c>
      <c r="BF153" s="257">
        <f>((BGhoriz!AT21*Premisas!$C$41+BGhoriz!AT27*Premisas!$C$42)/12)</f>
        <v>49724.032090250003</v>
      </c>
      <c r="BG153" s="257">
        <f>((BGhoriz!AU21*Premisas!$C$41+BGhoriz!AU27*Premisas!$C$42)/12)</f>
        <v>53875.148268916673</v>
      </c>
      <c r="BH153" s="257">
        <f>((BGhoriz!AV21*Premisas!$C$41+BGhoriz!AV27*Premisas!$C$42)/12)</f>
        <v>63603.678402999998</v>
      </c>
      <c r="BI153" s="257">
        <f>((BGhoriz!AW21*Premisas!$C$41+BGhoriz!AW27*Premisas!$C$42)/12)</f>
        <v>51501.627594083337</v>
      </c>
      <c r="BJ153" s="257">
        <f>((BGhoriz!AX21*Premisas!$C$41+BGhoriz!AX27*Premisas!$C$42)/12)</f>
        <v>55396.697913833334</v>
      </c>
      <c r="BK153" s="295">
        <f>SUM($AY$153:AY153)</f>
        <v>14828.703936583333</v>
      </c>
      <c r="BL153" s="295">
        <f>SUM($AY$153:AZ153)</f>
        <v>38294.730543750004</v>
      </c>
      <c r="BM153" s="295">
        <f>SUM($AY$153:BA153)</f>
        <v>65018.421832916676</v>
      </c>
      <c r="BN153" s="295">
        <f>SUM($AY$153:BB153)</f>
        <v>99612.73249325002</v>
      </c>
      <c r="BO153" s="295">
        <f>SUM($AY$153:BC153)</f>
        <v>132866.67158041667</v>
      </c>
      <c r="BP153" s="295">
        <f>SUM($AY$153:BD153)</f>
        <v>167006.84478841667</v>
      </c>
      <c r="BQ153" s="295">
        <f>SUM($AY$153:BE153)</f>
        <v>201747.70345283335</v>
      </c>
      <c r="BR153" s="295">
        <f>SUM($AY$153:BF153)</f>
        <v>251471.73554308334</v>
      </c>
      <c r="BS153" s="295">
        <f>SUM($AY$153:BG153)</f>
        <v>305346.88381200004</v>
      </c>
      <c r="BT153" s="295">
        <f>SUM($AY$153:BH153)</f>
        <v>368950.56221500004</v>
      </c>
      <c r="BU153" s="295">
        <f>SUM($AY$153:BI153)</f>
        <v>420452.18980908336</v>
      </c>
      <c r="BV153" s="295">
        <f>SUM($AY$153:BJ153)</f>
        <v>475848.88772291667</v>
      </c>
      <c r="BW153" s="291"/>
    </row>
    <row r="154" spans="1:75" outlineLevel="1" x14ac:dyDescent="0.25">
      <c r="A154" s="222">
        <v>6</v>
      </c>
      <c r="B154" s="233">
        <f>EEFFun!B624</f>
        <v>510315</v>
      </c>
      <c r="C154" s="233" t="str">
        <f>EEFFun!C624</f>
        <v>Mantenidas hasta el vencimiento</v>
      </c>
      <c r="D154" s="257">
        <f>EEFFun!P624</f>
        <v>0</v>
      </c>
      <c r="E154" s="295">
        <f t="shared" si="861"/>
        <v>0</v>
      </c>
      <c r="F154" s="295">
        <f t="shared" si="862"/>
        <v>0</v>
      </c>
      <c r="G154" s="295">
        <f t="shared" si="863"/>
        <v>0</v>
      </c>
      <c r="H154" s="295">
        <f t="shared" si="864"/>
        <v>0</v>
      </c>
      <c r="I154" s="295">
        <f t="shared" si="865"/>
        <v>0</v>
      </c>
      <c r="J154" s="295">
        <f t="shared" si="866"/>
        <v>0</v>
      </c>
      <c r="K154" s="295">
        <f t="shared" si="867"/>
        <v>0</v>
      </c>
      <c r="L154" s="295">
        <f t="shared" si="868"/>
        <v>0</v>
      </c>
      <c r="M154" s="295">
        <f t="shared" si="869"/>
        <v>0</v>
      </c>
      <c r="N154" s="295">
        <f t="shared" si="870"/>
        <v>0</v>
      </c>
      <c r="O154" s="295">
        <f t="shared" si="871"/>
        <v>0</v>
      </c>
      <c r="P154" s="295">
        <f t="shared" si="871"/>
        <v>0</v>
      </c>
      <c r="Q154" s="257">
        <f>EEFFun!Q624</f>
        <v>0</v>
      </c>
      <c r="R154" s="257">
        <f>EEFFun!R624</f>
        <v>0</v>
      </c>
      <c r="S154" s="257">
        <f>EEFFun!S624</f>
        <v>0</v>
      </c>
      <c r="T154" s="257">
        <f>EEFFun!T624</f>
        <v>0</v>
      </c>
      <c r="U154" s="257">
        <f>EEFFun!U624</f>
        <v>0</v>
      </c>
      <c r="V154" s="257">
        <f>EEFFun!V624</f>
        <v>0</v>
      </c>
      <c r="W154" s="257">
        <f>EEFFun!W624</f>
        <v>0</v>
      </c>
      <c r="X154" s="257">
        <f>EEFFun!X624</f>
        <v>0</v>
      </c>
      <c r="Y154" s="257">
        <f>EEFFun!Y624</f>
        <v>0</v>
      </c>
      <c r="Z154" s="257">
        <f>EEFFun!Z624</f>
        <v>0</v>
      </c>
      <c r="AA154" s="257">
        <f>EEFFun!AA624</f>
        <v>0</v>
      </c>
      <c r="AB154" s="257">
        <f>EEFFun!AB624</f>
        <v>0</v>
      </c>
      <c r="AC154" s="257">
        <f>EEFFun!AC624</f>
        <v>0</v>
      </c>
      <c r="AD154" s="257">
        <f>EEFFun!AD624</f>
        <v>0</v>
      </c>
      <c r="AE154" s="257">
        <f>EEFFun!AE624</f>
        <v>0</v>
      </c>
      <c r="AF154" s="257">
        <f>EEFFun!AF624</f>
        <v>0</v>
      </c>
      <c r="AG154" s="257">
        <f>EEFFun!AG624</f>
        <v>0</v>
      </c>
      <c r="AH154" s="257">
        <f>EEFFun!AH624</f>
        <v>0</v>
      </c>
      <c r="AI154" s="257">
        <f>EEFFun!AI624</f>
        <v>0</v>
      </c>
      <c r="AJ154" s="257">
        <f>EEFFun!AJ624</f>
        <v>0</v>
      </c>
      <c r="AK154" s="257">
        <f>EEFFun!AK624</f>
        <v>0</v>
      </c>
      <c r="AL154" s="257">
        <f>EEFFun!AL624</f>
        <v>0</v>
      </c>
      <c r="AM154" s="257">
        <f>EEFFun!AM624</f>
        <v>0</v>
      </c>
      <c r="AN154" s="257">
        <f>EEFFun!AN624</f>
        <v>0</v>
      </c>
      <c r="AO154" s="257">
        <f>EEFFun!AO624</f>
        <v>0</v>
      </c>
      <c r="AP154" s="257">
        <f>EEFFun!AP624</f>
        <v>0</v>
      </c>
      <c r="AQ154" s="257">
        <f>EEFFun!AQ624</f>
        <v>0</v>
      </c>
      <c r="AR154" s="257">
        <f>EEFFun!AR624</f>
        <v>0</v>
      </c>
      <c r="AS154" s="257">
        <f>EEFFun!AS624</f>
        <v>0</v>
      </c>
      <c r="AT154" s="257">
        <f>EEFFun!AT624</f>
        <v>0</v>
      </c>
      <c r="AU154" s="257">
        <f>EEFFun!AU624</f>
        <v>0</v>
      </c>
      <c r="AV154" s="257">
        <f>EEFFun!AV624</f>
        <v>0</v>
      </c>
      <c r="AW154" s="257">
        <f>EEFFun!AW624</f>
        <v>0</v>
      </c>
      <c r="AX154" s="257">
        <f>EEFFun!AX624</f>
        <v>0</v>
      </c>
      <c r="AY154" s="257">
        <f>(BGhoriz!AM32*Premisas!$C$42)/12</f>
        <v>0</v>
      </c>
      <c r="AZ154" s="257">
        <f>(BGhoriz!AN32*Premisas!$C$42)/12</f>
        <v>0</v>
      </c>
      <c r="BA154" s="257">
        <f>(BGhoriz!AO32*Premisas!$C$42)/12</f>
        <v>0</v>
      </c>
      <c r="BB154" s="257">
        <f>(BGhoriz!AP32*Premisas!$C$42)/12</f>
        <v>0</v>
      </c>
      <c r="BC154" s="257">
        <f>(BGhoriz!AQ32*Premisas!$C$42)/12</f>
        <v>0</v>
      </c>
      <c r="BD154" s="257">
        <f>(BGhoriz!AR32*Premisas!$C$42)/12</f>
        <v>0</v>
      </c>
      <c r="BE154" s="257">
        <f>(BGhoriz!AS32*Premisas!$C$42)/12</f>
        <v>0</v>
      </c>
      <c r="BF154" s="257">
        <f>(BGhoriz!AT32*Premisas!$C$42)/12</f>
        <v>0</v>
      </c>
      <c r="BG154" s="257">
        <f>(BGhoriz!AU32*Premisas!$C$42)/12</f>
        <v>0</v>
      </c>
      <c r="BH154" s="257">
        <f>(BGhoriz!AV32*Premisas!$C$42)/12</f>
        <v>0</v>
      </c>
      <c r="BI154" s="257">
        <f>(BGhoriz!AW32*Premisas!$C$42)/12</f>
        <v>0</v>
      </c>
      <c r="BJ154" s="257">
        <f>(BGhoriz!AX32*Premisas!$C$42)/12</f>
        <v>0</v>
      </c>
      <c r="BK154" s="295">
        <f>SUM($AY$154:AY154)</f>
        <v>0</v>
      </c>
      <c r="BL154" s="295">
        <f>SUM($AY$154:AZ154)</f>
        <v>0</v>
      </c>
      <c r="BM154" s="295">
        <f>SUM($AY$154:BA154)</f>
        <v>0</v>
      </c>
      <c r="BN154" s="295">
        <f>SUM($AY$154:BB154)</f>
        <v>0</v>
      </c>
      <c r="BO154" s="295">
        <f>SUM($AY$154:BC154)</f>
        <v>0</v>
      </c>
      <c r="BP154" s="295">
        <f>SUM($AY$154:BD154)</f>
        <v>0</v>
      </c>
      <c r="BQ154" s="295">
        <f>SUM($AY$154:BE154)</f>
        <v>0</v>
      </c>
      <c r="BR154" s="295">
        <f>SUM($AY$154:BF154)</f>
        <v>0</v>
      </c>
      <c r="BS154" s="295">
        <f>SUM($AY$154:BG154)</f>
        <v>0</v>
      </c>
      <c r="BT154" s="295">
        <f>SUM($AY$154:BH154)</f>
        <v>0</v>
      </c>
      <c r="BU154" s="295">
        <f>SUM($AY$154:BI154)</f>
        <v>0</v>
      </c>
      <c r="BV154" s="295">
        <f>SUM($AY$154:BJ154)</f>
        <v>0</v>
      </c>
      <c r="BW154" s="291"/>
    </row>
    <row r="155" spans="1:75" s="229" customFormat="1" x14ac:dyDescent="0.25">
      <c r="A155" s="222">
        <v>6</v>
      </c>
      <c r="B155" s="233">
        <f>EEFFun!B625</f>
        <v>510320</v>
      </c>
      <c r="C155" s="233" t="str">
        <f>EEFFun!C625</f>
        <v>De disponibilidad restringida</v>
      </c>
      <c r="D155" s="257">
        <f>EEFFun!P625</f>
        <v>8207.14</v>
      </c>
      <c r="E155" s="295">
        <f t="shared" si="861"/>
        <v>563.88</v>
      </c>
      <c r="F155" s="295">
        <f t="shared" si="862"/>
        <v>563.87</v>
      </c>
      <c r="G155" s="295">
        <f t="shared" si="863"/>
        <v>584.02</v>
      </c>
      <c r="H155" s="295">
        <f t="shared" si="864"/>
        <v>604.15999999999985</v>
      </c>
      <c r="I155" s="295">
        <f t="shared" si="865"/>
        <v>563.89000000000033</v>
      </c>
      <c r="J155" s="295">
        <f t="shared" si="866"/>
        <v>604.15999999999985</v>
      </c>
      <c r="K155" s="295">
        <f t="shared" si="867"/>
        <v>624.29000000000042</v>
      </c>
      <c r="L155" s="295">
        <f t="shared" si="868"/>
        <v>624.29</v>
      </c>
      <c r="M155" s="295">
        <f t="shared" si="869"/>
        <v>523.60999999999967</v>
      </c>
      <c r="N155" s="295">
        <f t="shared" si="870"/>
        <v>0</v>
      </c>
      <c r="O155" s="295">
        <f t="shared" si="871"/>
        <v>0</v>
      </c>
      <c r="P155" s="295">
        <f t="shared" si="871"/>
        <v>329.55999999999949</v>
      </c>
      <c r="Q155" s="257">
        <f>EEFFun!Q625</f>
        <v>563.88</v>
      </c>
      <c r="R155" s="257">
        <f>EEFFun!R625</f>
        <v>1127.75</v>
      </c>
      <c r="S155" s="257">
        <f>EEFFun!S625</f>
        <v>1711.77</v>
      </c>
      <c r="T155" s="257">
        <f>EEFFun!T625</f>
        <v>2315.9299999999998</v>
      </c>
      <c r="U155" s="257">
        <f>EEFFun!U625</f>
        <v>2879.82</v>
      </c>
      <c r="V155" s="257">
        <f>EEFFun!V625</f>
        <v>3483.98</v>
      </c>
      <c r="W155" s="257">
        <f>EEFFun!W625</f>
        <v>4108.2700000000004</v>
      </c>
      <c r="X155" s="257">
        <f>EEFFun!X625</f>
        <v>4732.5600000000004</v>
      </c>
      <c r="Y155" s="257">
        <f>EEFFun!Y625</f>
        <v>5256.17</v>
      </c>
      <c r="Z155" s="257">
        <f>EEFFun!Z625</f>
        <v>5256.17</v>
      </c>
      <c r="AA155" s="257">
        <f>EEFFun!AA625</f>
        <v>5256.17</v>
      </c>
      <c r="AB155" s="257">
        <f>EEFFun!AB625</f>
        <v>5585.73</v>
      </c>
      <c r="AC155" s="257">
        <f>EEFFun!AC625</f>
        <v>2257.6799999999998</v>
      </c>
      <c r="AD155" s="257">
        <f>EEFFun!AD625</f>
        <v>2257.6799999999998</v>
      </c>
      <c r="AE155" s="257">
        <f>EEFFun!AE625</f>
        <v>2257.6799999999998</v>
      </c>
      <c r="AF155" s="257">
        <f>EEFFun!AF625</f>
        <v>3991.11</v>
      </c>
      <c r="AG155" s="257">
        <f>EEFFun!AG625</f>
        <v>3991.11</v>
      </c>
      <c r="AH155" s="257">
        <f>EEFFun!AH625</f>
        <v>3991.11</v>
      </c>
      <c r="AI155" s="257">
        <f>EEFFun!AI625</f>
        <v>5301.01</v>
      </c>
      <c r="AJ155" s="257">
        <f>EEFFun!AJ625</f>
        <v>6028.73</v>
      </c>
      <c r="AK155" s="257">
        <f>EEFFun!AK625</f>
        <v>7229.47</v>
      </c>
      <c r="AL155" s="257">
        <f>EEFFun!AL625</f>
        <v>7229.47</v>
      </c>
      <c r="AM155" s="257">
        <f>EEFFun!AM625</f>
        <v>7957.19</v>
      </c>
      <c r="AN155" s="257">
        <f>EEFFun!AN625</f>
        <v>7957.19</v>
      </c>
      <c r="AO155" s="257">
        <f>EEFFun!AO625</f>
        <v>1309.9000000000001</v>
      </c>
      <c r="AP155" s="257">
        <f>EEFFun!AP625</f>
        <v>1309.9000000000001</v>
      </c>
      <c r="AQ155" s="257">
        <f>EEFFun!AQ625</f>
        <v>1309.9000000000001</v>
      </c>
      <c r="AR155" s="257">
        <f>EEFFun!AR625</f>
        <v>1309.9000000000001</v>
      </c>
      <c r="AS155" s="257">
        <f>EEFFun!AS625</f>
        <v>1309.9000000000001</v>
      </c>
      <c r="AT155" s="257">
        <f>EEFFun!AT625</f>
        <v>1309.9000000000001</v>
      </c>
      <c r="AU155" s="257">
        <f>EEFFun!AU625</f>
        <v>1309.9000000000001</v>
      </c>
      <c r="AV155" s="257">
        <f>EEFFun!AV625</f>
        <v>1309.9000000000001</v>
      </c>
      <c r="AW155" s="257">
        <f>EEFFun!AW625</f>
        <v>1309.9000000000001</v>
      </c>
      <c r="AX155" s="257">
        <f>EEFFun!AX625</f>
        <v>22375.24</v>
      </c>
      <c r="AY155" s="257">
        <f>(BGhoriz!AM37*Premisas!$C$41)/12</f>
        <v>65.623915499999995</v>
      </c>
      <c r="AZ155" s="257">
        <f>(BGhoriz!AN37*Premisas!$C$41)/12</f>
        <v>65.914968166666668</v>
      </c>
      <c r="BA155" s="257">
        <f>(BGhoriz!AO37*Premisas!$C$41)/12</f>
        <v>66.237195750000012</v>
      </c>
      <c r="BB155" s="257">
        <f>(BGhoriz!AP37*Premisas!$C$41)/12</f>
        <v>66.549075083333335</v>
      </c>
      <c r="BC155" s="257">
        <f>(BGhoriz!AQ37*Premisas!$C$41)/12</f>
        <v>66.871302666666665</v>
      </c>
      <c r="BD155" s="257">
        <f>(BGhoriz!AR37*Premisas!$C$41)/12</f>
        <v>67.183182000000002</v>
      </c>
      <c r="BE155" s="257">
        <f>(BGhoriz!AS37*Premisas!$C$41)/12</f>
        <v>67.505409583333332</v>
      </c>
      <c r="BF155" s="257">
        <f>(BGhoriz!AT37*Premisas!$C$41)/12</f>
        <v>67.827702250000002</v>
      </c>
      <c r="BG155" s="257">
        <f>(BGhoriz!AU37*Premisas!$C$41)/12</f>
        <v>68.139516499999999</v>
      </c>
      <c r="BH155" s="257">
        <f>(BGhoriz!AV37*Premisas!$C$41)/12</f>
        <v>68.461809166666669</v>
      </c>
      <c r="BI155" s="257">
        <f>(BGhoriz!AW37*Premisas!$C$41)/12</f>
        <v>65.623915499999995</v>
      </c>
      <c r="BJ155" s="257">
        <f>(BGhoriz!AX37*Premisas!$C$41)/12</f>
        <v>65.914968166666668</v>
      </c>
      <c r="BK155" s="295">
        <f>SUM($AY$155:AY155)</f>
        <v>65.623915499999995</v>
      </c>
      <c r="BL155" s="295">
        <f>SUM($AY$155:AZ155)</f>
        <v>131.53888366666666</v>
      </c>
      <c r="BM155" s="295">
        <f>SUM($AY$155:BA155)</f>
        <v>197.77607941666668</v>
      </c>
      <c r="BN155" s="295">
        <f>SUM($AY$155:BB155)</f>
        <v>264.3251545</v>
      </c>
      <c r="BO155" s="295">
        <f>SUM($AY$155:BC155)</f>
        <v>331.19645716666668</v>
      </c>
      <c r="BP155" s="295">
        <f>SUM($AY$155:BD155)</f>
        <v>398.37963916666666</v>
      </c>
      <c r="BQ155" s="295">
        <f>SUM($AY$155:BE155)</f>
        <v>465.88504875000001</v>
      </c>
      <c r="BR155" s="295">
        <f>SUM($AY$155:BF155)</f>
        <v>533.71275100000003</v>
      </c>
      <c r="BS155" s="295">
        <f>SUM($AY$155:BG155)</f>
        <v>601.85226750000004</v>
      </c>
      <c r="BT155" s="295">
        <f>SUM($AY$155:BH155)</f>
        <v>670.31407666666667</v>
      </c>
      <c r="BU155" s="295">
        <f>SUM($AY$155:BI155)</f>
        <v>735.93799216666662</v>
      </c>
      <c r="BV155" s="295">
        <f>SUM($AY$155:BJ155)</f>
        <v>801.85296033333327</v>
      </c>
      <c r="BW155" s="291"/>
    </row>
    <row r="156" spans="1:75" s="229" customFormat="1" outlineLevel="1" x14ac:dyDescent="0.25">
      <c r="A156" s="222">
        <v>4</v>
      </c>
      <c r="B156" s="223">
        <f>EEFFun!B626</f>
        <v>5104</v>
      </c>
      <c r="C156" s="223" t="str">
        <f>EEFFun!C626</f>
        <v>Intereses de cartera de créditos</v>
      </c>
      <c r="D156" s="279">
        <f>EEFFun!P626</f>
        <v>3415604.43</v>
      </c>
      <c r="E156" s="297">
        <f t="shared" ref="E156:H156" si="872">SUM(E157:E164)</f>
        <v>295786.34000000003</v>
      </c>
      <c r="F156" s="297">
        <f t="shared" si="872"/>
        <v>274135.99000000011</v>
      </c>
      <c r="G156" s="297">
        <f t="shared" si="872"/>
        <v>336697.97</v>
      </c>
      <c r="H156" s="297">
        <f t="shared" si="872"/>
        <v>319101.46000000002</v>
      </c>
      <c r="I156" s="297">
        <f t="shared" ref="I156:O156" si="873">SUM(I157:I164)</f>
        <v>326733.32999999996</v>
      </c>
      <c r="J156" s="297">
        <f t="shared" si="873"/>
        <v>315690.89000000007</v>
      </c>
      <c r="K156" s="297">
        <f t="shared" si="873"/>
        <v>313862.97999999981</v>
      </c>
      <c r="L156" s="297">
        <f t="shared" si="873"/>
        <v>325590.85000000009</v>
      </c>
      <c r="M156" s="297">
        <f t="shared" si="873"/>
        <v>297781.08999999997</v>
      </c>
      <c r="N156" s="297">
        <f t="shared" si="873"/>
        <v>232131.59000000003</v>
      </c>
      <c r="O156" s="297">
        <f t="shared" si="873"/>
        <v>364765.96000000008</v>
      </c>
      <c r="P156" s="297">
        <f t="shared" ref="P156" si="874">SUM(P157:P164)</f>
        <v>256777.60999999981</v>
      </c>
      <c r="Q156" s="279">
        <f>EEFFun!Q626</f>
        <v>295786.34000000003</v>
      </c>
      <c r="R156" s="279">
        <f>EEFFun!R626</f>
        <v>569922.32999999996</v>
      </c>
      <c r="S156" s="279">
        <f>EEFFun!S626</f>
        <v>906620.3</v>
      </c>
      <c r="T156" s="279">
        <f>EEFFun!T626</f>
        <v>1225721.76</v>
      </c>
      <c r="U156" s="279">
        <f>EEFFun!U626</f>
        <v>1552455.09</v>
      </c>
      <c r="V156" s="279">
        <f>EEFFun!V626</f>
        <v>1868145.98</v>
      </c>
      <c r="W156" s="279">
        <f>EEFFun!W626</f>
        <v>2182008.96</v>
      </c>
      <c r="X156" s="279">
        <f>EEFFun!X626</f>
        <v>2507599.81</v>
      </c>
      <c r="Y156" s="279">
        <f>EEFFun!Y626</f>
        <v>2805380.9</v>
      </c>
      <c r="Z156" s="279">
        <f>EEFFun!Z626</f>
        <v>3037512.49</v>
      </c>
      <c r="AA156" s="279">
        <f>EEFFun!AA626</f>
        <v>3402278.45</v>
      </c>
      <c r="AB156" s="279">
        <f>EEFFun!AB626</f>
        <v>3659056.06</v>
      </c>
      <c r="AC156" s="279">
        <f>EEFFun!AC626</f>
        <v>246096.14</v>
      </c>
      <c r="AD156" s="279">
        <f>EEFFun!AD626</f>
        <v>477455.48</v>
      </c>
      <c r="AE156" s="279">
        <f>EEFFun!AE626</f>
        <v>718511.59</v>
      </c>
      <c r="AF156" s="279">
        <f>EEFFun!AF626</f>
        <v>983799.62</v>
      </c>
      <c r="AG156" s="279">
        <f>EEFFun!AG626</f>
        <v>1215110.3</v>
      </c>
      <c r="AH156" s="279">
        <f>EEFFun!AH626</f>
        <v>1478963.35</v>
      </c>
      <c r="AI156" s="279">
        <f>EEFFun!AI626</f>
        <v>1768983.71</v>
      </c>
      <c r="AJ156" s="279">
        <f>EEFFun!AJ626</f>
        <v>2037463.77</v>
      </c>
      <c r="AK156" s="279">
        <f>EEFFun!AK626</f>
        <v>2318804.7000000002</v>
      </c>
      <c r="AL156" s="279">
        <f>EEFFun!AL626</f>
        <v>2568398.09</v>
      </c>
      <c r="AM156" s="279">
        <f>EEFFun!AM626</f>
        <v>2901414.07</v>
      </c>
      <c r="AN156" s="279">
        <f>EEFFun!AN626</f>
        <v>3225719.55</v>
      </c>
      <c r="AO156" s="279">
        <f>EEFFun!AO626</f>
        <v>325457.13</v>
      </c>
      <c r="AP156" s="279">
        <f>EEFFun!AP626</f>
        <v>636320.11</v>
      </c>
      <c r="AQ156" s="279">
        <f>EEFFun!AQ626</f>
        <v>1013953.51</v>
      </c>
      <c r="AR156" s="279">
        <f>EEFFun!AR626</f>
        <v>1392387.92</v>
      </c>
      <c r="AS156" s="279">
        <f>EEFFun!AS626</f>
        <v>1853037.86</v>
      </c>
      <c r="AT156" s="279">
        <f>EEFFun!AT626</f>
        <v>2273870.2200000002</v>
      </c>
      <c r="AU156" s="279">
        <f>EEFFun!AU626</f>
        <v>2759714.21</v>
      </c>
      <c r="AV156" s="279">
        <f>EEFFun!AV626</f>
        <v>3253251.28</v>
      </c>
      <c r="AW156" s="279">
        <f>EEFFun!AW626</f>
        <v>3774840.6</v>
      </c>
      <c r="AX156" s="279">
        <f>EEFFun!AX626</f>
        <v>4396873.28</v>
      </c>
      <c r="AY156" s="297">
        <f t="shared" ref="AY156:BE156" si="875">SUM(AY157:AY164)</f>
        <v>678978.31213202537</v>
      </c>
      <c r="AZ156" s="297">
        <f t="shared" si="875"/>
        <v>652812.25412603607</v>
      </c>
      <c r="BA156" s="297">
        <f t="shared" si="875"/>
        <v>756271.12343880383</v>
      </c>
      <c r="BB156" s="297">
        <f t="shared" si="875"/>
        <v>771617.83962071245</v>
      </c>
      <c r="BC156" s="297">
        <f t="shared" si="875"/>
        <v>851656.40049665666</v>
      </c>
      <c r="BD156" s="297">
        <f t="shared" si="875"/>
        <v>880892.21101421444</v>
      </c>
      <c r="BE156" s="297">
        <f t="shared" si="875"/>
        <v>956120.02958614868</v>
      </c>
      <c r="BF156" s="297">
        <f t="shared" ref="BF156:BJ156" si="876">SUM(BF157:BF164)</f>
        <v>1011754.3470572566</v>
      </c>
      <c r="BG156" s="297">
        <f t="shared" si="876"/>
        <v>1032458.7216339309</v>
      </c>
      <c r="BH156" s="297">
        <f t="shared" si="876"/>
        <v>1119289.5128262169</v>
      </c>
      <c r="BI156" s="297">
        <f t="shared" si="876"/>
        <v>1133124.2532859636</v>
      </c>
      <c r="BJ156" s="297">
        <f t="shared" si="876"/>
        <v>1220682.2161404644</v>
      </c>
      <c r="BK156" s="297">
        <f t="shared" ref="BK156:BQ156" si="877">SUM(BK157:BK164)</f>
        <v>678978.31213202537</v>
      </c>
      <c r="BL156" s="297">
        <f t="shared" si="877"/>
        <v>1331790.5662580617</v>
      </c>
      <c r="BM156" s="297">
        <f t="shared" si="877"/>
        <v>2088061.6896968652</v>
      </c>
      <c r="BN156" s="297">
        <f t="shared" si="877"/>
        <v>2859679.5293175778</v>
      </c>
      <c r="BO156" s="297">
        <f t="shared" si="877"/>
        <v>3711335.9298142344</v>
      </c>
      <c r="BP156" s="297">
        <f t="shared" si="877"/>
        <v>4592228.1408284483</v>
      </c>
      <c r="BQ156" s="297">
        <f t="shared" si="877"/>
        <v>5548348.1704145977</v>
      </c>
      <c r="BR156" s="297">
        <f t="shared" ref="BR156" si="878">SUM(BR157:BR164)</f>
        <v>6560102.5174718546</v>
      </c>
      <c r="BS156" s="297">
        <f t="shared" ref="BS156" si="879">SUM(BS157:BS164)</f>
        <v>7592561.2391057834</v>
      </c>
      <c r="BT156" s="297">
        <f t="shared" ref="BT156" si="880">SUM(BT157:BT164)</f>
        <v>8711850.7519320007</v>
      </c>
      <c r="BU156" s="297">
        <f t="shared" ref="BU156" si="881">SUM(BU157:BU164)</f>
        <v>9844975.005217962</v>
      </c>
      <c r="BV156" s="297">
        <f t="shared" ref="BV156" si="882">SUM(BV157:BV164)</f>
        <v>11065657.221358432</v>
      </c>
      <c r="BW156" s="284"/>
    </row>
    <row r="157" spans="1:75" outlineLevel="1" x14ac:dyDescent="0.25">
      <c r="A157" s="222">
        <v>6</v>
      </c>
      <c r="B157" s="233">
        <f>EEFFun!B627</f>
        <v>510405</v>
      </c>
      <c r="C157" s="246" t="s">
        <v>850</v>
      </c>
      <c r="D157" s="257">
        <f>EEFFun!P627</f>
        <v>137326.03</v>
      </c>
      <c r="E157" s="295">
        <f t="shared" ref="E157:E163" si="883">Q157</f>
        <v>10520.44</v>
      </c>
      <c r="F157" s="295">
        <f t="shared" ref="F157:F163" si="884">R157-Q157</f>
        <v>10649.51</v>
      </c>
      <c r="G157" s="295">
        <f t="shared" ref="G157:G163" si="885">S157-R157</f>
        <v>11681.969999999998</v>
      </c>
      <c r="H157" s="295">
        <f t="shared" ref="H157:H163" si="886">T157-S157</f>
        <v>10221.130000000005</v>
      </c>
      <c r="I157" s="295">
        <f t="shared" ref="I157:I163" si="887">U157-T157</f>
        <v>10696.129999999997</v>
      </c>
      <c r="J157" s="295">
        <f t="shared" ref="J157:J163" si="888">V157-U157</f>
        <v>9953.739999999998</v>
      </c>
      <c r="K157" s="295">
        <f t="shared" ref="K157:K163" si="889">W157-V157</f>
        <v>9237.9900000000052</v>
      </c>
      <c r="L157" s="295">
        <f t="shared" ref="L157:L163" si="890">X157-W157</f>
        <v>8543.6699999999983</v>
      </c>
      <c r="M157" s="295">
        <f t="shared" ref="M157:M163" si="891">Y157-X157</f>
        <v>7217.4799999999959</v>
      </c>
      <c r="N157" s="295">
        <f t="shared" ref="N157:N163" si="892">Z157-Y157</f>
        <v>6026.1100000000006</v>
      </c>
      <c r="O157" s="295">
        <f t="shared" ref="O157:P163" si="893">AA157-Z157</f>
        <v>6486.2200000000012</v>
      </c>
      <c r="P157" s="295">
        <f t="shared" si="893"/>
        <v>5338.2899999999936</v>
      </c>
      <c r="Q157" s="257">
        <f>EEFFun!Q627</f>
        <v>10520.44</v>
      </c>
      <c r="R157" s="257">
        <f>EEFFun!R627</f>
        <v>21169.95</v>
      </c>
      <c r="S157" s="257">
        <f>EEFFun!S627</f>
        <v>32851.919999999998</v>
      </c>
      <c r="T157" s="257">
        <f>EEFFun!T627</f>
        <v>43073.05</v>
      </c>
      <c r="U157" s="257">
        <f>EEFFun!U627</f>
        <v>53769.18</v>
      </c>
      <c r="V157" s="257">
        <f>EEFFun!V627</f>
        <v>63722.92</v>
      </c>
      <c r="W157" s="257">
        <f>EEFFun!W627</f>
        <v>72960.91</v>
      </c>
      <c r="X157" s="257">
        <f>EEFFun!X627</f>
        <v>81504.58</v>
      </c>
      <c r="Y157" s="257">
        <f>EEFFun!Y627</f>
        <v>88722.06</v>
      </c>
      <c r="Z157" s="257">
        <f>EEFFun!Z627</f>
        <v>94748.17</v>
      </c>
      <c r="AA157" s="257">
        <f>EEFFun!AA627</f>
        <v>101234.39</v>
      </c>
      <c r="AB157" s="257">
        <f>EEFFun!AB627</f>
        <v>106572.68</v>
      </c>
      <c r="AC157" s="257">
        <f>EEFFun!AC627</f>
        <v>5765.05</v>
      </c>
      <c r="AD157" s="257">
        <f>EEFFun!AD627</f>
        <v>11743.39</v>
      </c>
      <c r="AE157" s="257">
        <f>EEFFun!AE627</f>
        <v>17782.5</v>
      </c>
      <c r="AF157" s="257">
        <f>EEFFun!AF627</f>
        <v>23578.79</v>
      </c>
      <c r="AG157" s="257">
        <f>EEFFun!AG627</f>
        <v>31002.23</v>
      </c>
      <c r="AH157" s="257">
        <f>EEFFun!AH627</f>
        <v>37742.49</v>
      </c>
      <c r="AI157" s="257">
        <f>EEFFun!AI627</f>
        <v>43934.94</v>
      </c>
      <c r="AJ157" s="257">
        <f>EEFFun!AJ627</f>
        <v>50341.82</v>
      </c>
      <c r="AK157" s="257">
        <f>EEFFun!AK627</f>
        <v>57353.65</v>
      </c>
      <c r="AL157" s="257">
        <f>EEFFun!AL627</f>
        <v>64323.64</v>
      </c>
      <c r="AM157" s="257">
        <f>EEFFun!AM627</f>
        <v>70600.59</v>
      </c>
      <c r="AN157" s="257">
        <f>EEFFun!AN627</f>
        <v>77078.75</v>
      </c>
      <c r="AO157" s="257">
        <f>EEFFun!AO627</f>
        <v>4731.1400000000003</v>
      </c>
      <c r="AP157" s="257">
        <f>EEFFun!AP627</f>
        <v>12452.92</v>
      </c>
      <c r="AQ157" s="257">
        <f>EEFFun!AQ627</f>
        <v>18975.22</v>
      </c>
      <c r="AR157" s="257">
        <f>EEFFun!AR627</f>
        <v>22452.84</v>
      </c>
      <c r="AS157" s="257">
        <f>EEFFun!AS627</f>
        <v>25155.27</v>
      </c>
      <c r="AT157" s="257">
        <f>EEFFun!AT627</f>
        <v>29754.55</v>
      </c>
      <c r="AU157" s="257">
        <f>EEFFun!AU627</f>
        <v>33950.17</v>
      </c>
      <c r="AV157" s="257">
        <f>EEFFun!AV627</f>
        <v>38104.29</v>
      </c>
      <c r="AW157" s="257">
        <f>EEFFun!AW627</f>
        <v>45555.58</v>
      </c>
      <c r="AX157" s="257">
        <f>EEFFun!AX627</f>
        <v>50994.19</v>
      </c>
      <c r="AY157" s="257">
        <f>CalcIntCart!E8</f>
        <v>5285.5555149920474</v>
      </c>
      <c r="AZ157" s="257">
        <f>CalcIntCart!F8</f>
        <v>4938.5899999481271</v>
      </c>
      <c r="BA157" s="257">
        <f>CalcIntCart!G8</f>
        <v>5278.9879901813765</v>
      </c>
      <c r="BB157" s="257">
        <f>CalcIntCart!H8</f>
        <v>5102.1713779232614</v>
      </c>
      <c r="BC157" s="257">
        <f>CalcIntCart!I8</f>
        <v>5265.1739994477712</v>
      </c>
      <c r="BD157" s="257">
        <f>CalcIntCart!J8</f>
        <v>5092.5182273081682</v>
      </c>
      <c r="BE157" s="257">
        <f>CalcIntCart!K8</f>
        <v>5258.3614652249134</v>
      </c>
      <c r="BF157" s="257">
        <f>CalcIntCart!L8</f>
        <v>5262.8736596723747</v>
      </c>
      <c r="BG157" s="257">
        <f>CalcIntCart!M8</f>
        <v>5096.5988422643159</v>
      </c>
      <c r="BH157" s="257">
        <f>CalcIntCart!N8</f>
        <v>5267.3573128058533</v>
      </c>
      <c r="BI157" s="257">
        <f>CalcIntCart!O8</f>
        <v>5106.4530451157507</v>
      </c>
      <c r="BJ157" s="257">
        <f>CalcIntCart!P8</f>
        <v>5289.3660702711995</v>
      </c>
      <c r="BK157" s="295">
        <f>SUM($AY$157:AY157)</f>
        <v>5285.5555149920474</v>
      </c>
      <c r="BL157" s="295">
        <f>SUM($AY$157:AZ157)</f>
        <v>10224.145514940174</v>
      </c>
      <c r="BM157" s="295">
        <f>SUM($AY$157:BA157)</f>
        <v>15503.13350512155</v>
      </c>
      <c r="BN157" s="295">
        <f>SUM($AY$157:BB157)</f>
        <v>20605.30488304481</v>
      </c>
      <c r="BO157" s="295">
        <f>SUM($AY$157:BC157)</f>
        <v>25870.478882492582</v>
      </c>
      <c r="BP157" s="295">
        <f>SUM($AY$157:BD157)</f>
        <v>30962.997109800752</v>
      </c>
      <c r="BQ157" s="295">
        <f>SUM($AY$157:BE157)</f>
        <v>36221.358575025668</v>
      </c>
      <c r="BR157" s="295">
        <f>SUM($AY$157:BF157)</f>
        <v>41484.232234698044</v>
      </c>
      <c r="BS157" s="295">
        <f>SUM($AY$157:BG157)</f>
        <v>46580.831076962357</v>
      </c>
      <c r="BT157" s="295">
        <f>SUM($AY$157:BH157)</f>
        <v>51848.188389768213</v>
      </c>
      <c r="BU157" s="295">
        <f>SUM($AY$157:BI157)</f>
        <v>56954.641434883961</v>
      </c>
      <c r="BV157" s="295">
        <f>SUM($AY$157:BJ157)</f>
        <v>62244.007505155161</v>
      </c>
      <c r="BW157" s="291"/>
    </row>
    <row r="158" spans="1:75" outlineLevel="1" x14ac:dyDescent="0.25">
      <c r="A158" s="222">
        <v>6</v>
      </c>
      <c r="B158" s="233">
        <f>EEFFun!B628</f>
        <v>510410</v>
      </c>
      <c r="C158" s="246" t="s">
        <v>851</v>
      </c>
      <c r="D158" s="257">
        <f>EEFFun!P628</f>
        <v>2208537.66</v>
      </c>
      <c r="E158" s="295">
        <f t="shared" si="883"/>
        <v>154890.53</v>
      </c>
      <c r="F158" s="295">
        <f t="shared" si="884"/>
        <v>152819.81000000003</v>
      </c>
      <c r="G158" s="295">
        <f t="shared" si="885"/>
        <v>175298.94999999995</v>
      </c>
      <c r="H158" s="295">
        <f t="shared" si="886"/>
        <v>170459.75000000006</v>
      </c>
      <c r="I158" s="295">
        <f t="shared" si="887"/>
        <v>165797.71999999997</v>
      </c>
      <c r="J158" s="295">
        <f t="shared" si="888"/>
        <v>156837.80000000005</v>
      </c>
      <c r="K158" s="295">
        <f t="shared" si="889"/>
        <v>158417.60999999987</v>
      </c>
      <c r="L158" s="295">
        <f t="shared" si="890"/>
        <v>155177.34000000008</v>
      </c>
      <c r="M158" s="295">
        <f t="shared" si="891"/>
        <v>146559.74</v>
      </c>
      <c r="N158" s="295">
        <f t="shared" si="892"/>
        <v>148078.05000000005</v>
      </c>
      <c r="O158" s="295">
        <f t="shared" si="893"/>
        <v>150128.78000000003</v>
      </c>
      <c r="P158" s="295">
        <f t="shared" si="893"/>
        <v>140667.90999999992</v>
      </c>
      <c r="Q158" s="257">
        <f>EEFFun!Q628</f>
        <v>154890.53</v>
      </c>
      <c r="R158" s="257">
        <f>EEFFun!R628</f>
        <v>307710.34000000003</v>
      </c>
      <c r="S158" s="257">
        <f>EEFFun!S628</f>
        <v>483009.29</v>
      </c>
      <c r="T158" s="257">
        <f>EEFFun!T628</f>
        <v>653469.04</v>
      </c>
      <c r="U158" s="257">
        <f>EEFFun!U628</f>
        <v>819266.76</v>
      </c>
      <c r="V158" s="257">
        <f>EEFFun!V628</f>
        <v>976104.56</v>
      </c>
      <c r="W158" s="257">
        <f>EEFFun!W628</f>
        <v>1134522.17</v>
      </c>
      <c r="X158" s="257">
        <f>EEFFun!X628</f>
        <v>1289699.51</v>
      </c>
      <c r="Y158" s="257">
        <f>EEFFun!Y628</f>
        <v>1436259.25</v>
      </c>
      <c r="Z158" s="257">
        <f>EEFFun!Z628</f>
        <v>1584337.3</v>
      </c>
      <c r="AA158" s="257">
        <f>EEFFun!AA628</f>
        <v>1734466.08</v>
      </c>
      <c r="AB158" s="257">
        <f>EEFFun!AB628</f>
        <v>1875133.99</v>
      </c>
      <c r="AC158" s="257">
        <f>EEFFun!AC628</f>
        <v>147427.65</v>
      </c>
      <c r="AD158" s="257">
        <f>EEFFun!AD628</f>
        <v>278514.38</v>
      </c>
      <c r="AE158" s="257">
        <f>EEFFun!AE628</f>
        <v>415230.25</v>
      </c>
      <c r="AF158" s="257">
        <f>EEFFun!AF628</f>
        <v>571816.82999999996</v>
      </c>
      <c r="AG158" s="257">
        <f>EEFFun!AG628</f>
        <v>705407.23</v>
      </c>
      <c r="AH158" s="257">
        <f>EEFFun!AH628</f>
        <v>835833.82</v>
      </c>
      <c r="AI158" s="257">
        <f>EEFFun!AI628</f>
        <v>985896.8</v>
      </c>
      <c r="AJ158" s="257">
        <f>EEFFun!AJ628</f>
        <v>1124584.25</v>
      </c>
      <c r="AK158" s="257">
        <f>EEFFun!AK628</f>
        <v>1273500.07</v>
      </c>
      <c r="AL158" s="257">
        <f>EEFFun!AL628</f>
        <v>1423159.88</v>
      </c>
      <c r="AM158" s="257">
        <f>EEFFun!AM628</f>
        <v>1592607.05</v>
      </c>
      <c r="AN158" s="257">
        <f>EEFFun!AN628</f>
        <v>1790277.5</v>
      </c>
      <c r="AO158" s="257">
        <f>EEFFun!AO628</f>
        <v>204411.18</v>
      </c>
      <c r="AP158" s="257">
        <f>EEFFun!AP628</f>
        <v>391208.95</v>
      </c>
      <c r="AQ158" s="257">
        <f>EEFFun!AQ628</f>
        <v>597906.9</v>
      </c>
      <c r="AR158" s="257">
        <f>EEFFun!AR628</f>
        <v>797520.58</v>
      </c>
      <c r="AS158" s="257">
        <f>EEFFun!AS628</f>
        <v>998234.32</v>
      </c>
      <c r="AT158" s="257">
        <f>EEFFun!AT628</f>
        <v>1214002.1100000001</v>
      </c>
      <c r="AU158" s="257">
        <f>EEFFun!AU628</f>
        <v>1458081.68</v>
      </c>
      <c r="AV158" s="257">
        <f>EEFFun!AV628</f>
        <v>1717531.01</v>
      </c>
      <c r="AW158" s="257">
        <f>EEFFun!AW628</f>
        <v>1995149.39</v>
      </c>
      <c r="AX158" s="257">
        <f>EEFFun!AX628</f>
        <v>2317691.42</v>
      </c>
      <c r="AY158" s="257">
        <f>CalcIntCart!E14</f>
        <v>319315.39779229392</v>
      </c>
      <c r="AZ158" s="257">
        <f>CalcIntCart!F14</f>
        <v>388287.05987510778</v>
      </c>
      <c r="BA158" s="257">
        <f>CalcIntCart!G14</f>
        <v>457643.013060909</v>
      </c>
      <c r="BB158" s="257">
        <f>CalcIntCart!H14</f>
        <v>482604.66542627051</v>
      </c>
      <c r="BC158" s="257">
        <f>CalcIntCart!I14</f>
        <v>535278.72193552821</v>
      </c>
      <c r="BD158" s="257">
        <f>CalcIntCart!J14</f>
        <v>555899.42443840066</v>
      </c>
      <c r="BE158" s="257">
        <f>CalcIntCart!K14</f>
        <v>612953.56880584999</v>
      </c>
      <c r="BF158" s="257">
        <f>CalcIntCart!L14</f>
        <v>650593.18897844758</v>
      </c>
      <c r="BG158" s="257">
        <f>CalcIntCart!M14</f>
        <v>665165.88241920713</v>
      </c>
      <c r="BH158" s="257">
        <f>CalcIntCart!N14</f>
        <v>723216.98198076186</v>
      </c>
      <c r="BI158" s="257">
        <f>CalcIntCart!O14</f>
        <v>732809.2537840429</v>
      </c>
      <c r="BJ158" s="257">
        <f>CalcIntCart!P14</f>
        <v>791077.680170423</v>
      </c>
      <c r="BK158" s="295">
        <f>SUM($AY$158:AY158)</f>
        <v>319315.39779229392</v>
      </c>
      <c r="BL158" s="295">
        <f>SUM($AY$158:AZ158)</f>
        <v>707602.45766740176</v>
      </c>
      <c r="BM158" s="295">
        <f>SUM($AY$158:BA158)</f>
        <v>1165245.4707283108</v>
      </c>
      <c r="BN158" s="295">
        <f>SUM($AY$158:BB158)</f>
        <v>1647850.1361545813</v>
      </c>
      <c r="BO158" s="295">
        <f>SUM($AY$158:BC158)</f>
        <v>2183128.8580901097</v>
      </c>
      <c r="BP158" s="295">
        <f>SUM($AY$158:BD158)</f>
        <v>2739028.2825285103</v>
      </c>
      <c r="BQ158" s="295">
        <f>SUM($AY$158:BE158)</f>
        <v>3351981.8513343604</v>
      </c>
      <c r="BR158" s="295">
        <f>SUM($AY$158:BF158)</f>
        <v>4002575.040312808</v>
      </c>
      <c r="BS158" s="295">
        <f>SUM($AY$158:BG158)</f>
        <v>4667740.9227320151</v>
      </c>
      <c r="BT158" s="295">
        <f>SUM($AY$158:BH158)</f>
        <v>5390957.9047127767</v>
      </c>
      <c r="BU158" s="295">
        <f>SUM($AY$158:BI158)</f>
        <v>6123767.1584968194</v>
      </c>
      <c r="BV158" s="295">
        <f>SUM($AY$158:BJ158)</f>
        <v>6914844.8386672428</v>
      </c>
      <c r="BW158" s="291"/>
    </row>
    <row r="159" spans="1:75" outlineLevel="1" x14ac:dyDescent="0.25">
      <c r="A159" s="222">
        <v>6</v>
      </c>
      <c r="B159" s="233">
        <f>EEFFun!B629</f>
        <v>510415</v>
      </c>
      <c r="C159" s="246" t="s">
        <v>852</v>
      </c>
      <c r="D159" s="257">
        <f>EEFFun!P629</f>
        <v>0</v>
      </c>
      <c r="E159" s="295">
        <f t="shared" si="883"/>
        <v>0</v>
      </c>
      <c r="F159" s="295">
        <f t="shared" si="884"/>
        <v>0</v>
      </c>
      <c r="G159" s="295">
        <f t="shared" si="885"/>
        <v>0</v>
      </c>
      <c r="H159" s="295">
        <f t="shared" si="886"/>
        <v>0</v>
      </c>
      <c r="I159" s="295">
        <f t="shared" si="887"/>
        <v>0</v>
      </c>
      <c r="J159" s="295">
        <f t="shared" si="888"/>
        <v>0</v>
      </c>
      <c r="K159" s="295">
        <f t="shared" si="889"/>
        <v>0</v>
      </c>
      <c r="L159" s="295">
        <f t="shared" si="890"/>
        <v>0</v>
      </c>
      <c r="M159" s="295">
        <f t="shared" si="891"/>
        <v>0</v>
      </c>
      <c r="N159" s="295">
        <f t="shared" si="892"/>
        <v>0</v>
      </c>
      <c r="O159" s="295">
        <f t="shared" si="893"/>
        <v>0</v>
      </c>
      <c r="P159" s="295">
        <f t="shared" si="893"/>
        <v>0</v>
      </c>
      <c r="Q159" s="257">
        <f>EEFFun!Q629</f>
        <v>0</v>
      </c>
      <c r="R159" s="257">
        <f>EEFFun!R629</f>
        <v>0</v>
      </c>
      <c r="S159" s="257">
        <f>EEFFun!S629</f>
        <v>0</v>
      </c>
      <c r="T159" s="257">
        <f>EEFFun!T629</f>
        <v>0</v>
      </c>
      <c r="U159" s="257">
        <f>EEFFun!U629</f>
        <v>0</v>
      </c>
      <c r="V159" s="257">
        <f>EEFFun!V629</f>
        <v>0</v>
      </c>
      <c r="W159" s="257">
        <f>EEFFun!W629</f>
        <v>0</v>
      </c>
      <c r="X159" s="257">
        <f>EEFFun!X629</f>
        <v>0</v>
      </c>
      <c r="Y159" s="257">
        <f>EEFFun!Y629</f>
        <v>0</v>
      </c>
      <c r="Z159" s="257">
        <f>EEFFun!Z629</f>
        <v>0</v>
      </c>
      <c r="AA159" s="257">
        <f>EEFFun!AA629</f>
        <v>0</v>
      </c>
      <c r="AB159" s="257">
        <f>EEFFun!AB629</f>
        <v>0</v>
      </c>
      <c r="AC159" s="257">
        <f>EEFFun!AC629</f>
        <v>0</v>
      </c>
      <c r="AD159" s="257">
        <f>EEFFun!AD629</f>
        <v>0</v>
      </c>
      <c r="AE159" s="257">
        <f>EEFFun!AE629</f>
        <v>0</v>
      </c>
      <c r="AF159" s="257">
        <f>EEFFun!AF629</f>
        <v>0</v>
      </c>
      <c r="AG159" s="257">
        <f>EEFFun!AG629</f>
        <v>0</v>
      </c>
      <c r="AH159" s="257">
        <f>EEFFun!AH629</f>
        <v>0</v>
      </c>
      <c r="AI159" s="257">
        <f>EEFFun!AI629</f>
        <v>0</v>
      </c>
      <c r="AJ159" s="257">
        <f>EEFFun!AJ629</f>
        <v>0</v>
      </c>
      <c r="AK159" s="257">
        <f>EEFFun!AK629</f>
        <v>0</v>
      </c>
      <c r="AL159" s="257">
        <f>EEFFun!AL629</f>
        <v>0</v>
      </c>
      <c r="AM159" s="257">
        <f>EEFFun!AM629</f>
        <v>0</v>
      </c>
      <c r="AN159" s="257">
        <f>EEFFun!AN629</f>
        <v>0</v>
      </c>
      <c r="AO159" s="257">
        <f>EEFFun!AO629</f>
        <v>0</v>
      </c>
      <c r="AP159" s="257">
        <f>EEFFun!AP629</f>
        <v>0</v>
      </c>
      <c r="AQ159" s="257">
        <f>EEFFun!AQ629</f>
        <v>0</v>
      </c>
      <c r="AR159" s="257">
        <f>EEFFun!AR629</f>
        <v>0</v>
      </c>
      <c r="AS159" s="257">
        <f>EEFFun!AS629</f>
        <v>0</v>
      </c>
      <c r="AT159" s="257">
        <f>EEFFun!AT629</f>
        <v>0</v>
      </c>
      <c r="AU159" s="257">
        <f>EEFFun!AU629</f>
        <v>0</v>
      </c>
      <c r="AV159" s="257">
        <f>EEFFun!AV629</f>
        <v>0</v>
      </c>
      <c r="AW159" s="257">
        <f>EEFFun!AW629</f>
        <v>0</v>
      </c>
      <c r="AX159" s="257">
        <f>EEFFun!AX629</f>
        <v>0</v>
      </c>
      <c r="AY159" s="291"/>
      <c r="AZ159" s="291"/>
      <c r="BA159" s="291"/>
      <c r="BB159" s="291"/>
      <c r="BC159" s="291"/>
      <c r="BD159" s="291"/>
      <c r="BE159" s="291"/>
      <c r="BF159" s="291"/>
      <c r="BG159" s="291"/>
      <c r="BH159" s="291"/>
      <c r="BI159" s="291"/>
      <c r="BJ159" s="291"/>
      <c r="BK159" s="295">
        <f>SUM($AY$159:AY159)</f>
        <v>0</v>
      </c>
      <c r="BL159" s="295">
        <f>SUM($AY$159:AZ159)</f>
        <v>0</v>
      </c>
      <c r="BM159" s="295">
        <f>SUM($AY$159:BA159)</f>
        <v>0</v>
      </c>
      <c r="BN159" s="295">
        <f>SUM($AY$159:BB159)</f>
        <v>0</v>
      </c>
      <c r="BO159" s="295">
        <f>SUM($AY$159:BC159)</f>
        <v>0</v>
      </c>
      <c r="BP159" s="295">
        <f>SUM($AY$159:BD159)</f>
        <v>0</v>
      </c>
      <c r="BQ159" s="295">
        <f>SUM($AY$159:BE159)</f>
        <v>0</v>
      </c>
      <c r="BR159" s="295">
        <f>SUM($AY$159:BF159)</f>
        <v>0</v>
      </c>
      <c r="BS159" s="295">
        <f>SUM($AY$159:BG159)</f>
        <v>0</v>
      </c>
      <c r="BT159" s="295">
        <f>SUM($AY$159:BH159)</f>
        <v>0</v>
      </c>
      <c r="BU159" s="295">
        <f>SUM($AY$159:BI159)</f>
        <v>0</v>
      </c>
      <c r="BV159" s="295">
        <f>SUM($AY$159:BJ159)</f>
        <v>0</v>
      </c>
      <c r="BW159" s="291"/>
    </row>
    <row r="160" spans="1:75" outlineLevel="1" x14ac:dyDescent="0.25">
      <c r="A160" s="222">
        <v>6</v>
      </c>
      <c r="B160" s="233">
        <f>EEFFun!B630</f>
        <v>510420</v>
      </c>
      <c r="C160" s="246" t="s">
        <v>853</v>
      </c>
      <c r="D160" s="257">
        <f>EEFFun!P630</f>
        <v>479653.68</v>
      </c>
      <c r="E160" s="295">
        <f t="shared" si="883"/>
        <v>77345.240000000005</v>
      </c>
      <c r="F160" s="295">
        <f t="shared" si="884"/>
        <v>73523.990000000005</v>
      </c>
      <c r="G160" s="295">
        <f t="shared" si="885"/>
        <v>95593.22</v>
      </c>
      <c r="H160" s="295">
        <f t="shared" si="886"/>
        <v>91737.339999999967</v>
      </c>
      <c r="I160" s="295">
        <f t="shared" si="887"/>
        <v>97300.580000000016</v>
      </c>
      <c r="J160" s="295">
        <f t="shared" si="888"/>
        <v>92690.140000000014</v>
      </c>
      <c r="K160" s="295">
        <f t="shared" si="889"/>
        <v>92190.969999999972</v>
      </c>
      <c r="L160" s="295">
        <f t="shared" si="890"/>
        <v>104373.42000000004</v>
      </c>
      <c r="M160" s="295">
        <f t="shared" si="891"/>
        <v>92042.449999999953</v>
      </c>
      <c r="N160" s="295">
        <f t="shared" si="892"/>
        <v>88735.140000000014</v>
      </c>
      <c r="O160" s="295">
        <f t="shared" si="893"/>
        <v>82622.469999999972</v>
      </c>
      <c r="P160" s="295">
        <f t="shared" si="893"/>
        <v>85961.209999999963</v>
      </c>
      <c r="Q160" s="257">
        <f>EEFFun!Q630</f>
        <v>77345.240000000005</v>
      </c>
      <c r="R160" s="257">
        <f>EEFFun!R630</f>
        <v>150869.23000000001</v>
      </c>
      <c r="S160" s="257">
        <f>EEFFun!S630</f>
        <v>246462.45</v>
      </c>
      <c r="T160" s="257">
        <f>EEFFun!T630</f>
        <v>338199.79</v>
      </c>
      <c r="U160" s="257">
        <f>EEFFun!U630</f>
        <v>435500.37</v>
      </c>
      <c r="V160" s="257">
        <f>EEFFun!V630</f>
        <v>528190.51</v>
      </c>
      <c r="W160" s="257">
        <f>EEFFun!W630</f>
        <v>620381.48</v>
      </c>
      <c r="X160" s="257">
        <f>EEFFun!X630</f>
        <v>724754.9</v>
      </c>
      <c r="Y160" s="257">
        <f>EEFFun!Y630</f>
        <v>816797.35</v>
      </c>
      <c r="Z160" s="257">
        <f>EEFFun!Z630</f>
        <v>905532.49</v>
      </c>
      <c r="AA160" s="257">
        <f>EEFFun!AA630</f>
        <v>988154.96</v>
      </c>
      <c r="AB160" s="257">
        <f>EEFFun!AB630</f>
        <v>1074116.17</v>
      </c>
      <c r="AC160" s="257">
        <f>EEFFun!AC630</f>
        <v>78004.34</v>
      </c>
      <c r="AD160" s="257">
        <f>EEFFun!AD630</f>
        <v>159014.46</v>
      </c>
      <c r="AE160" s="257">
        <f>EEFFun!AE630</f>
        <v>241854.53</v>
      </c>
      <c r="AF160" s="257">
        <f>EEFFun!AF630</f>
        <v>327977.75</v>
      </c>
      <c r="AG160" s="257">
        <f>EEFFun!AG630</f>
        <v>409188.99</v>
      </c>
      <c r="AH160" s="257">
        <f>EEFFun!AH630</f>
        <v>492923.35</v>
      </c>
      <c r="AI160" s="257">
        <f>EEFFun!AI630</f>
        <v>570436.36</v>
      </c>
      <c r="AJ160" s="257">
        <f>EEFFun!AJ630</f>
        <v>640991.27</v>
      </c>
      <c r="AK160" s="257">
        <f>EEFFun!AK630</f>
        <v>716140.54</v>
      </c>
      <c r="AL160" s="257">
        <f>EEFFun!AL630</f>
        <v>791804.27</v>
      </c>
      <c r="AM160" s="257">
        <f>EEFFun!AM630</f>
        <v>864420.06</v>
      </c>
      <c r="AN160" s="257">
        <f>EEFFun!AN630</f>
        <v>937595.05</v>
      </c>
      <c r="AO160" s="257">
        <f>EEFFun!AO630</f>
        <v>72337.960000000006</v>
      </c>
      <c r="AP160" s="257">
        <f>EEFFun!AP630</f>
        <v>145152.65</v>
      </c>
      <c r="AQ160" s="257">
        <f>EEFFun!AQ630</f>
        <v>259042.96</v>
      </c>
      <c r="AR160" s="257">
        <f>EEFFun!AR630</f>
        <v>389608.24</v>
      </c>
      <c r="AS160" s="257">
        <f>EEFFun!AS630</f>
        <v>543956.73</v>
      </c>
      <c r="AT160" s="257">
        <f>EEFFun!AT630</f>
        <v>701430.39</v>
      </c>
      <c r="AU160" s="257">
        <f>EEFFun!AU630</f>
        <v>877139.83</v>
      </c>
      <c r="AV160" s="257">
        <f>EEFFun!AV630</f>
        <v>1060916.1499999999</v>
      </c>
      <c r="AW160" s="257">
        <f>EEFFun!AW630</f>
        <v>1254654.48</v>
      </c>
      <c r="AX160" s="257">
        <f>EEFFun!AX630</f>
        <v>1470389.55</v>
      </c>
      <c r="AY160" s="257">
        <f>CalcIntCart!E20</f>
        <v>197183.35270594782</v>
      </c>
      <c r="AZ160" s="257">
        <f>CalcIntCart!F20</f>
        <v>202844.98136486873</v>
      </c>
      <c r="BA160" s="257">
        <f>CalcIntCart!G20</f>
        <v>236185.10599672043</v>
      </c>
      <c r="BB160" s="257">
        <f>CalcIntCart!H20</f>
        <v>246971.53507796576</v>
      </c>
      <c r="BC160" s="257">
        <f>CalcIntCart!I20</f>
        <v>273993.81752289669</v>
      </c>
      <c r="BD160" s="257">
        <f>CalcIntCart!J20</f>
        <v>283073.04013430822</v>
      </c>
      <c r="BE160" s="257">
        <f>CalcIntCart!K20</f>
        <v>310920.81718023005</v>
      </c>
      <c r="BF160" s="257">
        <f>CalcIntCart!L20</f>
        <v>329053.78347824491</v>
      </c>
      <c r="BG160" s="257">
        <f>CalcIntCart!M20</f>
        <v>335756.85871657875</v>
      </c>
      <c r="BH160" s="257">
        <f>CalcIntCart!N20</f>
        <v>364376.82363220432</v>
      </c>
      <c r="BI160" s="257">
        <f>CalcIntCart!O20</f>
        <v>369414.32808189385</v>
      </c>
      <c r="BJ160" s="257">
        <f>CalcIntCart!P20</f>
        <v>398844.10454827966</v>
      </c>
      <c r="BK160" s="295">
        <f>SUM($AY$160:AY160)</f>
        <v>197183.35270594782</v>
      </c>
      <c r="BL160" s="295">
        <f>SUM($AY$160:AZ160)</f>
        <v>400028.33407081652</v>
      </c>
      <c r="BM160" s="295">
        <f>SUM($AY$160:BA160)</f>
        <v>636213.4400675369</v>
      </c>
      <c r="BN160" s="295">
        <f>SUM($AY$160:BB160)</f>
        <v>883184.97514550271</v>
      </c>
      <c r="BO160" s="295">
        <f>SUM($AY$160:BC160)</f>
        <v>1157178.7926683994</v>
      </c>
      <c r="BP160" s="295">
        <f>SUM($AY$160:BD160)</f>
        <v>1440251.8328027076</v>
      </c>
      <c r="BQ160" s="295">
        <f>SUM($AY$160:BE160)</f>
        <v>1751172.6499829376</v>
      </c>
      <c r="BR160" s="295">
        <f>SUM($AY$160:BF160)</f>
        <v>2080226.4334611825</v>
      </c>
      <c r="BS160" s="295">
        <f>SUM($AY$160:BG160)</f>
        <v>2415983.2921777614</v>
      </c>
      <c r="BT160" s="295">
        <f>SUM($AY$160:BH160)</f>
        <v>2780360.1158099659</v>
      </c>
      <c r="BU160" s="295">
        <f>SUM($AY$160:BI160)</f>
        <v>3149774.4438918596</v>
      </c>
      <c r="BV160" s="295">
        <f>SUM($AY$160:BJ160)</f>
        <v>3548618.5484401393</v>
      </c>
      <c r="BW160" s="291"/>
    </row>
    <row r="161" spans="1:75" outlineLevel="1" x14ac:dyDescent="0.25">
      <c r="A161" s="222">
        <v>6</v>
      </c>
      <c r="B161" s="259">
        <v>510430</v>
      </c>
      <c r="C161" s="246" t="s">
        <v>563</v>
      </c>
      <c r="D161" s="257">
        <f>EEFFun!P631</f>
        <v>1055.3499999999999</v>
      </c>
      <c r="E161" s="295">
        <f t="shared" si="883"/>
        <v>189.89</v>
      </c>
      <c r="F161" s="295">
        <f t="shared" si="884"/>
        <v>232.73000000000002</v>
      </c>
      <c r="G161" s="295">
        <f t="shared" si="885"/>
        <v>253.13</v>
      </c>
      <c r="H161" s="295">
        <f t="shared" si="886"/>
        <v>62.029999999999973</v>
      </c>
      <c r="I161" s="295">
        <f t="shared" si="887"/>
        <v>-13.269999999999982</v>
      </c>
      <c r="J161" s="295">
        <f t="shared" si="888"/>
        <v>1249.71</v>
      </c>
      <c r="K161" s="295">
        <f t="shared" si="889"/>
        <v>938.22999999999979</v>
      </c>
      <c r="L161" s="295">
        <f t="shared" si="890"/>
        <v>1127.4500000000003</v>
      </c>
      <c r="M161" s="295">
        <f t="shared" si="891"/>
        <v>1516.3799999999997</v>
      </c>
      <c r="N161" s="295">
        <f t="shared" si="892"/>
        <v>1380.9000000000005</v>
      </c>
      <c r="O161" s="295">
        <f t="shared" si="893"/>
        <v>1809.0299999999988</v>
      </c>
      <c r="P161" s="295">
        <f t="shared" si="893"/>
        <v>1988.1200000000008</v>
      </c>
      <c r="Q161" s="257">
        <f>EEFFun!Q631</f>
        <v>189.89</v>
      </c>
      <c r="R161" s="257">
        <f>EEFFun!R631</f>
        <v>422.62</v>
      </c>
      <c r="S161" s="257">
        <f>EEFFun!S631</f>
        <v>675.75</v>
      </c>
      <c r="T161" s="257">
        <f>EEFFun!T631</f>
        <v>737.78</v>
      </c>
      <c r="U161" s="257">
        <f>EEFFun!U631</f>
        <v>724.51</v>
      </c>
      <c r="V161" s="257">
        <f>EEFFun!V631</f>
        <v>1974.22</v>
      </c>
      <c r="W161" s="257">
        <f>EEFFun!W631</f>
        <v>2912.45</v>
      </c>
      <c r="X161" s="257">
        <f>EEFFun!X631</f>
        <v>4039.9</v>
      </c>
      <c r="Y161" s="257">
        <f>EEFFun!Y631</f>
        <v>5556.28</v>
      </c>
      <c r="Z161" s="257">
        <f>EEFFun!Z631</f>
        <v>6937.18</v>
      </c>
      <c r="AA161" s="257">
        <f>EEFFun!AA631</f>
        <v>8746.2099999999991</v>
      </c>
      <c r="AB161" s="257">
        <f>EEFFun!AB631</f>
        <v>10734.33</v>
      </c>
      <c r="AC161" s="257">
        <f>EEFFun!AC631</f>
        <v>3232.6</v>
      </c>
      <c r="AD161" s="257">
        <f>EEFFun!AD631</f>
        <v>5289.7</v>
      </c>
      <c r="AE161" s="257">
        <f>EEFFun!AE631</f>
        <v>8627.67</v>
      </c>
      <c r="AF161" s="257">
        <f>EEFFun!AF631</f>
        <v>11896.14</v>
      </c>
      <c r="AG161" s="257">
        <f>EEFFun!AG631</f>
        <v>13978.54</v>
      </c>
      <c r="AH161" s="257">
        <f>EEFFun!AH631</f>
        <v>15253.07</v>
      </c>
      <c r="AI161" s="257">
        <f>EEFFun!AI631</f>
        <v>18069.689999999999</v>
      </c>
      <c r="AJ161" s="257">
        <f>EEFFun!AJ631</f>
        <v>24305.55</v>
      </c>
      <c r="AK161" s="257">
        <f>EEFFun!AK631</f>
        <v>26624.85</v>
      </c>
      <c r="AL161" s="257">
        <f>EEFFun!AL631</f>
        <v>29693.32</v>
      </c>
      <c r="AM161" s="257">
        <f>EEFFun!AM631</f>
        <v>33151.800000000003</v>
      </c>
      <c r="AN161" s="257">
        <f>EEFFun!AN631</f>
        <v>33882.769999999997</v>
      </c>
      <c r="AO161" s="257">
        <f>EEFFun!AO631</f>
        <v>1312.81</v>
      </c>
      <c r="AP161" s="257">
        <f>EEFFun!AP631</f>
        <v>4204.47</v>
      </c>
      <c r="AQ161" s="257">
        <f>EEFFun!AQ631</f>
        <v>5772.7</v>
      </c>
      <c r="AR161" s="257">
        <f>EEFFun!AR631</f>
        <v>8746.82</v>
      </c>
      <c r="AS161" s="257">
        <f>EEFFun!AS631</f>
        <v>11687.19</v>
      </c>
      <c r="AT161" s="257">
        <f>EEFFun!AT631</f>
        <v>13167.47</v>
      </c>
      <c r="AU161" s="257">
        <f>EEFFun!AU631</f>
        <v>17114.830000000002</v>
      </c>
      <c r="AV161" s="257">
        <f>EEFFun!AV631</f>
        <v>20231.29</v>
      </c>
      <c r="AW161" s="257">
        <f>EEFFun!AW631</f>
        <v>23778.77</v>
      </c>
      <c r="AX161" s="257">
        <f>EEFFun!AX631</f>
        <v>27183.56</v>
      </c>
      <c r="AY161" s="257">
        <f>CalcIntCart!E26</f>
        <v>5222.9277603984519</v>
      </c>
      <c r="AZ161" s="257">
        <f>CalcIntCart!F26</f>
        <v>4866.3950989972764</v>
      </c>
      <c r="BA161" s="257">
        <f>CalcIntCart!G26</f>
        <v>5221.18918848874</v>
      </c>
      <c r="BB161" s="257">
        <f>CalcIntCart!H26</f>
        <v>5056.2935973877829</v>
      </c>
      <c r="BC161" s="257">
        <f>CalcIntCart!I26</f>
        <v>5235.9665395432557</v>
      </c>
      <c r="BD161" s="257">
        <f>CalcIntCart!J26</f>
        <v>5073.3120402418126</v>
      </c>
      <c r="BE161" s="257">
        <f>CalcIntCart!K26</f>
        <v>5248.0530896850296</v>
      </c>
      <c r="BF161" s="257">
        <f>CalcIntCart!L26</f>
        <v>5249.0581707095544</v>
      </c>
      <c r="BG161" s="257">
        <f>CalcIntCart!M26</f>
        <v>5079.7639612381518</v>
      </c>
      <c r="BH161" s="257">
        <f>CalcIntCart!N26</f>
        <v>5246.3607773668155</v>
      </c>
      <c r="BI161" s="257">
        <f>CalcIntCart!O26</f>
        <v>5070.0303095390427</v>
      </c>
      <c r="BJ161" s="257">
        <f>CalcIntCart!P26</f>
        <v>5233.1262264103843</v>
      </c>
      <c r="BK161" s="295">
        <f>SUM($AY$161:AY161)</f>
        <v>5222.9277603984519</v>
      </c>
      <c r="BL161" s="295">
        <f>SUM($AY$161:AZ161)</f>
        <v>10089.322859395728</v>
      </c>
      <c r="BM161" s="295">
        <f>SUM($AY$161:BA161)</f>
        <v>15310.512047884469</v>
      </c>
      <c r="BN161" s="295">
        <f>SUM($AY$161:BB161)</f>
        <v>20366.805645272252</v>
      </c>
      <c r="BO161" s="295">
        <f>SUM($AY$161:BC161)</f>
        <v>25602.772184815509</v>
      </c>
      <c r="BP161" s="295">
        <f>SUM($AY$161:BD161)</f>
        <v>30676.084225057322</v>
      </c>
      <c r="BQ161" s="295">
        <f>SUM($AY$161:BE161)</f>
        <v>35924.137314742351</v>
      </c>
      <c r="BR161" s="295">
        <f>SUM($AY$161:BF161)</f>
        <v>41173.195485451906</v>
      </c>
      <c r="BS161" s="295">
        <f>SUM($AY$161:BG161)</f>
        <v>46252.95944669006</v>
      </c>
      <c r="BT161" s="295">
        <f>SUM($AY$161:BH161)</f>
        <v>51499.320224056879</v>
      </c>
      <c r="BU161" s="295">
        <f>SUM($AY$161:BI161)</f>
        <v>56569.35053359592</v>
      </c>
      <c r="BV161" s="295">
        <f>SUM($AY$161:BJ161)</f>
        <v>61802.476760006306</v>
      </c>
      <c r="BW161" s="291"/>
    </row>
    <row r="162" spans="1:75" outlineLevel="1" x14ac:dyDescent="0.25">
      <c r="A162" s="222">
        <v>6</v>
      </c>
      <c r="B162" s="233">
        <f>EEFFun!B632</f>
        <v>510435</v>
      </c>
      <c r="C162" s="246" t="s">
        <v>854</v>
      </c>
      <c r="D162" s="257">
        <f>EEFFun!P632</f>
        <v>3745.3</v>
      </c>
      <c r="E162" s="295">
        <f t="shared" si="883"/>
        <v>198.52</v>
      </c>
      <c r="F162" s="295">
        <f t="shared" si="884"/>
        <v>174.18999999999997</v>
      </c>
      <c r="G162" s="295">
        <f t="shared" si="885"/>
        <v>171.01000000000005</v>
      </c>
      <c r="H162" s="295">
        <f t="shared" si="886"/>
        <v>157.60000000000002</v>
      </c>
      <c r="I162" s="295">
        <f t="shared" si="887"/>
        <v>-289.65000000000003</v>
      </c>
      <c r="J162" s="295">
        <f t="shared" si="888"/>
        <v>4080.1099999999997</v>
      </c>
      <c r="K162" s="295">
        <f t="shared" si="889"/>
        <v>2396.25</v>
      </c>
      <c r="L162" s="295">
        <f t="shared" si="890"/>
        <v>3170.0299999999997</v>
      </c>
      <c r="M162" s="295">
        <f t="shared" si="891"/>
        <v>5027.68</v>
      </c>
      <c r="N162" s="295">
        <f t="shared" si="892"/>
        <v>4609.9299999999985</v>
      </c>
      <c r="O162" s="295">
        <f t="shared" si="893"/>
        <v>4353.2200000000012</v>
      </c>
      <c r="P162" s="295">
        <f t="shared" si="893"/>
        <v>4330.4900000000016</v>
      </c>
      <c r="Q162" s="257">
        <f>EEFFun!Q632</f>
        <v>198.52</v>
      </c>
      <c r="R162" s="257">
        <f>EEFFun!R632</f>
        <v>372.71</v>
      </c>
      <c r="S162" s="257">
        <f>EEFFun!S632</f>
        <v>543.72</v>
      </c>
      <c r="T162" s="257">
        <f>EEFFun!T632</f>
        <v>701.32</v>
      </c>
      <c r="U162" s="257">
        <f>EEFFun!U632</f>
        <v>411.67</v>
      </c>
      <c r="V162" s="257">
        <f>EEFFun!V632</f>
        <v>4491.78</v>
      </c>
      <c r="W162" s="257">
        <f>EEFFun!W632</f>
        <v>6888.03</v>
      </c>
      <c r="X162" s="257">
        <f>EEFFun!X632</f>
        <v>10058.06</v>
      </c>
      <c r="Y162" s="257">
        <f>EEFFun!Y632</f>
        <v>15085.74</v>
      </c>
      <c r="Z162" s="257">
        <f>EEFFun!Z632</f>
        <v>19695.669999999998</v>
      </c>
      <c r="AA162" s="257">
        <f>EEFFun!AA632</f>
        <v>24048.89</v>
      </c>
      <c r="AB162" s="257">
        <f>EEFFun!AB632</f>
        <v>28379.38</v>
      </c>
      <c r="AC162" s="257">
        <f>EEFFun!AC632</f>
        <v>3639.52</v>
      </c>
      <c r="AD162" s="257">
        <f>EEFFun!AD632</f>
        <v>8131.65</v>
      </c>
      <c r="AE162" s="257">
        <f>EEFFun!AE632</f>
        <v>13749.25</v>
      </c>
      <c r="AF162" s="257">
        <f>EEFFun!AF632</f>
        <v>20126.849999999999</v>
      </c>
      <c r="AG162" s="257">
        <f>EEFFun!AG632</f>
        <v>22569.65</v>
      </c>
      <c r="AH162" s="257">
        <f>EEFFun!AH632</f>
        <v>27970.48</v>
      </c>
      <c r="AI162" s="257">
        <f>EEFFun!AI632</f>
        <v>31107.78</v>
      </c>
      <c r="AJ162" s="257">
        <f>EEFFun!AJ632</f>
        <v>35150.69</v>
      </c>
      <c r="AK162" s="257">
        <f>EEFFun!AK632</f>
        <v>38760.620000000003</v>
      </c>
      <c r="AL162" s="257">
        <f>EEFFun!AL632</f>
        <v>42370.81</v>
      </c>
      <c r="AM162" s="257">
        <f>EEFFun!AM632</f>
        <v>45574.3</v>
      </c>
      <c r="AN162" s="257">
        <f>EEFFun!AN632</f>
        <v>48304.83</v>
      </c>
      <c r="AO162" s="257">
        <f>EEFFun!AO632</f>
        <v>3687.67</v>
      </c>
      <c r="AP162" s="257">
        <f>EEFFun!AP632</f>
        <v>7173.02</v>
      </c>
      <c r="AQ162" s="257">
        <f>EEFFun!AQ632</f>
        <v>10750.72</v>
      </c>
      <c r="AR162" s="257">
        <f>EEFFun!AR632</f>
        <v>14641.49</v>
      </c>
      <c r="AS162" s="257">
        <f>EEFFun!AS632</f>
        <v>16487.71</v>
      </c>
      <c r="AT162" s="257">
        <f>EEFFun!AT632</f>
        <v>19621.72</v>
      </c>
      <c r="AU162" s="257">
        <f>EEFFun!AU632</f>
        <v>21282.74</v>
      </c>
      <c r="AV162" s="257">
        <f>EEFFun!AV632</f>
        <v>24820.27</v>
      </c>
      <c r="AW162" s="257">
        <f>EEFFun!AW632</f>
        <v>27092.46</v>
      </c>
      <c r="AX162" s="257">
        <f>EEFFun!AX632</f>
        <v>28721.53</v>
      </c>
      <c r="AY162" s="257">
        <f>CalcIntCart!E32</f>
        <v>1948.2548583930643</v>
      </c>
      <c r="AZ162" s="257">
        <f>CalcIntCart!F32</f>
        <v>1852.3542871140753</v>
      </c>
      <c r="BA162" s="257">
        <f>CalcIntCart!G32</f>
        <v>2000.8537025042178</v>
      </c>
      <c r="BB162" s="257">
        <f>CalcIntCart!H32</f>
        <v>1941.2306411651091</v>
      </c>
      <c r="BC162" s="257">
        <f>CalcIntCart!I32</f>
        <v>2011.7569992407432</v>
      </c>
      <c r="BD162" s="257">
        <f>CalcIntCart!J32</f>
        <v>1946.2726739555003</v>
      </c>
      <c r="BE162" s="257">
        <f>CalcIntCart!K32</f>
        <v>2012.4355451586507</v>
      </c>
      <c r="BF162" s="257">
        <f>CalcIntCart!L32</f>
        <v>2007.4492701822423</v>
      </c>
      <c r="BG162" s="257">
        <f>CalcIntCart!M32</f>
        <v>1935.2241946423819</v>
      </c>
      <c r="BH162" s="257">
        <f>CalcIntCart!N32</f>
        <v>1991.2856230779057</v>
      </c>
      <c r="BI162" s="257">
        <f>CalcIntCart!O32</f>
        <v>1912.7345653721677</v>
      </c>
      <c r="BJ162" s="257">
        <f>CalcIntCart!P32</f>
        <v>1965.9456250802548</v>
      </c>
      <c r="BK162" s="295">
        <f>SUM($AY$162:AY162)</f>
        <v>1948.2548583930643</v>
      </c>
      <c r="BL162" s="295">
        <f>SUM($AY$162:AZ162)</f>
        <v>3800.6091455071396</v>
      </c>
      <c r="BM162" s="295">
        <f>SUM($AY$162:BA162)</f>
        <v>5801.462848011357</v>
      </c>
      <c r="BN162" s="295">
        <f>SUM($AY$162:BB162)</f>
        <v>7742.6934891764658</v>
      </c>
      <c r="BO162" s="295">
        <f>SUM($AY$162:BC162)</f>
        <v>9754.4504884172093</v>
      </c>
      <c r="BP162" s="295">
        <f>SUM($AY$162:BD162)</f>
        <v>11700.723162372709</v>
      </c>
      <c r="BQ162" s="295">
        <f>SUM($AY$162:BE162)</f>
        <v>13713.15870753136</v>
      </c>
      <c r="BR162" s="295">
        <f>SUM($AY$162:BF162)</f>
        <v>15720.607977713602</v>
      </c>
      <c r="BS162" s="295">
        <f>SUM($AY$162:BG162)</f>
        <v>17655.832172355986</v>
      </c>
      <c r="BT162" s="295">
        <f>SUM($AY$162:BH162)</f>
        <v>19647.117795433893</v>
      </c>
      <c r="BU162" s="295">
        <f>SUM($AY$162:BI162)</f>
        <v>21559.85236080606</v>
      </c>
      <c r="BV162" s="295">
        <f>SUM($AY$162:BJ162)</f>
        <v>23525.797985886315</v>
      </c>
      <c r="BW162" s="291"/>
    </row>
    <row r="163" spans="1:75" s="229" customFormat="1" x14ac:dyDescent="0.25">
      <c r="A163" s="222">
        <v>6</v>
      </c>
      <c r="B163" s="233">
        <f>EEFFun!B633</f>
        <v>510450</v>
      </c>
      <c r="C163" s="233" t="str">
        <f>EEFFun!C633</f>
        <v>DE MORA</v>
      </c>
      <c r="D163" s="257">
        <f>EEFFun!P633</f>
        <v>36636.370000000003</v>
      </c>
      <c r="E163" s="295">
        <f t="shared" si="883"/>
        <v>4178.1000000000004</v>
      </c>
      <c r="F163" s="295">
        <f t="shared" si="884"/>
        <v>-4397.55</v>
      </c>
      <c r="G163" s="295">
        <f t="shared" si="885"/>
        <v>4783.8099999999995</v>
      </c>
      <c r="H163" s="295">
        <f t="shared" si="886"/>
        <v>-1324.7699999999995</v>
      </c>
      <c r="I163" s="295">
        <f t="shared" si="887"/>
        <v>4233.12</v>
      </c>
      <c r="J163" s="295">
        <f t="shared" si="888"/>
        <v>4007.2699999999995</v>
      </c>
      <c r="K163" s="295">
        <f t="shared" si="889"/>
        <v>3591.9300000000003</v>
      </c>
      <c r="L163" s="295">
        <f t="shared" si="890"/>
        <v>6802.9700000000012</v>
      </c>
      <c r="M163" s="295">
        <f t="shared" si="891"/>
        <v>5452.6499999999978</v>
      </c>
      <c r="N163" s="295">
        <f t="shared" si="892"/>
        <v>4621.2299999999996</v>
      </c>
      <c r="O163" s="295">
        <f t="shared" si="893"/>
        <v>16201.390000000003</v>
      </c>
      <c r="P163" s="295">
        <f t="shared" si="893"/>
        <v>1793.4799999999959</v>
      </c>
      <c r="Q163" s="257">
        <f>EEFFun!Q633</f>
        <v>4178.1000000000004</v>
      </c>
      <c r="R163" s="257">
        <f>EEFFun!R633</f>
        <v>-219.45</v>
      </c>
      <c r="S163" s="257">
        <f>EEFFun!S633</f>
        <v>4564.3599999999997</v>
      </c>
      <c r="T163" s="257">
        <f>EEFFun!T633</f>
        <v>3239.59</v>
      </c>
      <c r="U163" s="257">
        <f>EEFFun!U633</f>
        <v>7472.71</v>
      </c>
      <c r="V163" s="257">
        <f>EEFFun!V633</f>
        <v>11479.98</v>
      </c>
      <c r="W163" s="257">
        <f>EEFFun!W633</f>
        <v>15071.91</v>
      </c>
      <c r="X163" s="257">
        <f>EEFFun!X633</f>
        <v>21874.880000000001</v>
      </c>
      <c r="Y163" s="257">
        <f>EEFFun!Y633</f>
        <v>27327.53</v>
      </c>
      <c r="Z163" s="257">
        <f>EEFFun!Z633</f>
        <v>31948.76</v>
      </c>
      <c r="AA163" s="257">
        <f>EEFFun!AA633</f>
        <v>48150.15</v>
      </c>
      <c r="AB163" s="257">
        <f>EEFFun!AB633</f>
        <v>49943.63</v>
      </c>
      <c r="AC163" s="257">
        <f>EEFFun!AC633</f>
        <v>5430.69</v>
      </c>
      <c r="AD163" s="257">
        <f>EEFFun!AD633</f>
        <v>7889.44</v>
      </c>
      <c r="AE163" s="257">
        <f>EEFFun!AE633</f>
        <v>10756.46</v>
      </c>
      <c r="AF163" s="257">
        <f>EEFFun!AF633</f>
        <v>14719.99</v>
      </c>
      <c r="AG163" s="257">
        <f>EEFFun!AG633</f>
        <v>15907.75</v>
      </c>
      <c r="AH163" s="257">
        <f>EEFFun!AH633</f>
        <v>18350.580000000002</v>
      </c>
      <c r="AI163" s="257">
        <f>EEFFun!AI633</f>
        <v>22741.83</v>
      </c>
      <c r="AJ163" s="257">
        <f>EEFFun!AJ633</f>
        <v>25558.53</v>
      </c>
      <c r="AK163" s="257">
        <f>EEFFun!AK633</f>
        <v>28548.240000000002</v>
      </c>
      <c r="AL163" s="257">
        <f>EEFFun!AL633</f>
        <v>31969.7</v>
      </c>
      <c r="AM163" s="257">
        <f>EEFFun!AM633</f>
        <v>34691.360000000001</v>
      </c>
      <c r="AN163" s="257">
        <f>EEFFun!AN633</f>
        <v>37840.04</v>
      </c>
      <c r="AO163" s="257">
        <f>EEFFun!AO633</f>
        <v>-4883.75</v>
      </c>
      <c r="AP163" s="257">
        <f>EEFFun!AP633</f>
        <v>-2718.99</v>
      </c>
      <c r="AQ163" s="257">
        <f>EEFFun!AQ633</f>
        <v>31.74</v>
      </c>
      <c r="AR163" s="257">
        <f>EEFFun!AR633</f>
        <v>668.26</v>
      </c>
      <c r="AS163" s="257">
        <f>EEFFun!AS633</f>
        <v>39063.21</v>
      </c>
      <c r="AT163" s="257">
        <f>EEFFun!AT633</f>
        <v>40299.08</v>
      </c>
      <c r="AU163" s="257">
        <f>EEFFun!AU633</f>
        <v>41709.519999999997</v>
      </c>
      <c r="AV163" s="257">
        <f>EEFFun!AV633</f>
        <v>43172.21</v>
      </c>
      <c r="AW163" s="257">
        <f>EEFFun!AW633</f>
        <v>44691.16</v>
      </c>
      <c r="AX163" s="257">
        <f>EEFFun!AX633</f>
        <v>54891.26</v>
      </c>
      <c r="AY163" s="295">
        <f>+AX163/10</f>
        <v>5489.1260000000002</v>
      </c>
      <c r="AZ163" s="295">
        <f>+AY163</f>
        <v>5489.1260000000002</v>
      </c>
      <c r="BA163" s="295">
        <f t="shared" ref="BA163:BJ163" si="894">+AZ163</f>
        <v>5489.1260000000002</v>
      </c>
      <c r="BB163" s="295">
        <f t="shared" si="894"/>
        <v>5489.1260000000002</v>
      </c>
      <c r="BC163" s="295">
        <f t="shared" si="894"/>
        <v>5489.1260000000002</v>
      </c>
      <c r="BD163" s="295">
        <f t="shared" si="894"/>
        <v>5489.1260000000002</v>
      </c>
      <c r="BE163" s="295">
        <f t="shared" si="894"/>
        <v>5489.1260000000002</v>
      </c>
      <c r="BF163" s="295">
        <f t="shared" si="894"/>
        <v>5489.1260000000002</v>
      </c>
      <c r="BG163" s="295">
        <f t="shared" si="894"/>
        <v>5489.1260000000002</v>
      </c>
      <c r="BH163" s="295">
        <f t="shared" si="894"/>
        <v>5489.1260000000002</v>
      </c>
      <c r="BI163" s="295">
        <f t="shared" si="894"/>
        <v>5489.1260000000002</v>
      </c>
      <c r="BJ163" s="295">
        <f t="shared" si="894"/>
        <v>5489.1260000000002</v>
      </c>
      <c r="BK163" s="295">
        <f>SUM($AY$163:AY163)</f>
        <v>5489.1260000000002</v>
      </c>
      <c r="BL163" s="295">
        <f>SUM($AY$163:AZ163)</f>
        <v>10978.252</v>
      </c>
      <c r="BM163" s="295">
        <f>SUM($AY$163:BA163)</f>
        <v>16467.378000000001</v>
      </c>
      <c r="BN163" s="295">
        <f>SUM($AY$163:BB163)</f>
        <v>21956.504000000001</v>
      </c>
      <c r="BO163" s="295">
        <f>SUM($AY$163:BC163)</f>
        <v>27445.63</v>
      </c>
      <c r="BP163" s="295">
        <f>SUM($AY$163:BD163)</f>
        <v>32934.756000000001</v>
      </c>
      <c r="BQ163" s="295">
        <f>SUM($AY$163:BE163)</f>
        <v>38423.881999999998</v>
      </c>
      <c r="BR163" s="295">
        <f>SUM($AY$163:BF163)</f>
        <v>43913.008000000002</v>
      </c>
      <c r="BS163" s="295">
        <f>SUM($AY$163:BG163)</f>
        <v>49402.134000000005</v>
      </c>
      <c r="BT163" s="295">
        <f>SUM($AY$163:BH163)</f>
        <v>54891.260000000009</v>
      </c>
      <c r="BU163" s="295">
        <f>SUM($AY$163:BI163)</f>
        <v>60380.386000000013</v>
      </c>
      <c r="BV163" s="295">
        <f>SUM($AY$163:BJ163)</f>
        <v>65869.512000000017</v>
      </c>
      <c r="BW163" s="291"/>
    </row>
    <row r="164" spans="1:75" s="229" customFormat="1" x14ac:dyDescent="0.25">
      <c r="A164" s="222">
        <v>6</v>
      </c>
      <c r="B164" s="233">
        <f>EEFFun!B634</f>
        <v>510455</v>
      </c>
      <c r="C164" s="233" t="str">
        <f>EEFFun!C634</f>
        <v>DESCUENTOS EN CARTERA COMPRADA</v>
      </c>
      <c r="D164" s="257">
        <f>EEFFun!P634</f>
        <v>548650.04</v>
      </c>
      <c r="E164" s="295">
        <f t="shared" ref="E164" si="895">E165+E167</f>
        <v>48463.62</v>
      </c>
      <c r="F164" s="295">
        <f t="shared" ref="F164" si="896">F165+F167</f>
        <v>41133.31</v>
      </c>
      <c r="G164" s="295">
        <f t="shared" ref="G164" si="897">G165+G167</f>
        <v>48915.880000000005</v>
      </c>
      <c r="H164" s="295">
        <f t="shared" ref="H164:O164" si="898">H165+H167</f>
        <v>47788.38</v>
      </c>
      <c r="I164" s="295">
        <f t="shared" si="898"/>
        <v>49008.7</v>
      </c>
      <c r="J164" s="295">
        <f t="shared" si="898"/>
        <v>46872.12</v>
      </c>
      <c r="K164" s="295">
        <f t="shared" si="898"/>
        <v>47090.000000000015</v>
      </c>
      <c r="L164" s="295">
        <f t="shared" si="898"/>
        <v>46395.969999999972</v>
      </c>
      <c r="M164" s="295">
        <f t="shared" si="898"/>
        <v>39964.710000000021</v>
      </c>
      <c r="N164" s="295">
        <f t="shared" si="898"/>
        <v>-21319.770000000019</v>
      </c>
      <c r="O164" s="295">
        <f t="shared" si="898"/>
        <v>103164.85000000003</v>
      </c>
      <c r="P164" s="295">
        <f t="shared" ref="P164" si="899">P165+P167</f>
        <v>16698.109999999971</v>
      </c>
      <c r="Q164" s="257">
        <f>EEFFun!Q634</f>
        <v>48463.62</v>
      </c>
      <c r="R164" s="257">
        <f>EEFFun!R634</f>
        <v>89596.93</v>
      </c>
      <c r="S164" s="257">
        <f>EEFFun!S634</f>
        <v>138512.81</v>
      </c>
      <c r="T164" s="257">
        <f>EEFFun!T634</f>
        <v>186301.19</v>
      </c>
      <c r="U164" s="257">
        <f>EEFFun!U634</f>
        <v>235309.89</v>
      </c>
      <c r="V164" s="257">
        <f>EEFFun!V634</f>
        <v>282182.01</v>
      </c>
      <c r="W164" s="257">
        <f>EEFFun!W634</f>
        <v>329272.01</v>
      </c>
      <c r="X164" s="257">
        <f>EEFFun!X634</f>
        <v>375667.98</v>
      </c>
      <c r="Y164" s="257">
        <f>EEFFun!Y634</f>
        <v>415632.69</v>
      </c>
      <c r="Z164" s="257">
        <f>EEFFun!Z634</f>
        <v>394312.92</v>
      </c>
      <c r="AA164" s="257">
        <f>EEFFun!AA634</f>
        <v>497477.77</v>
      </c>
      <c r="AB164" s="257">
        <f>EEFFun!AB634</f>
        <v>514175.88</v>
      </c>
      <c r="AC164" s="257">
        <f>EEFFun!AC634</f>
        <v>2596.29</v>
      </c>
      <c r="AD164" s="257">
        <f>EEFFun!AD634</f>
        <v>6872.46</v>
      </c>
      <c r="AE164" s="257">
        <f>EEFFun!AE634</f>
        <v>10510.93</v>
      </c>
      <c r="AF164" s="257">
        <f>EEFFun!AF634</f>
        <v>13683.27</v>
      </c>
      <c r="AG164" s="257">
        <f>EEFFun!AG634</f>
        <v>17055.91</v>
      </c>
      <c r="AH164" s="257">
        <f>EEFFun!AH634</f>
        <v>50889.56</v>
      </c>
      <c r="AI164" s="257">
        <f>EEFFun!AI634</f>
        <v>96796.31</v>
      </c>
      <c r="AJ164" s="257">
        <f>EEFFun!AJ634</f>
        <v>136531.66</v>
      </c>
      <c r="AK164" s="257">
        <f>EEFFun!AK634</f>
        <v>177876.73</v>
      </c>
      <c r="AL164" s="257">
        <f>EEFFun!AL634</f>
        <v>185076.47</v>
      </c>
      <c r="AM164" s="257">
        <f>EEFFun!AM634</f>
        <v>260368.91</v>
      </c>
      <c r="AN164" s="257">
        <f>EEFFun!AN634</f>
        <v>300740.61</v>
      </c>
      <c r="AO164" s="257">
        <f>EEFFun!AO634</f>
        <v>43860.12</v>
      </c>
      <c r="AP164" s="257">
        <f>EEFFun!AP634</f>
        <v>78847.09</v>
      </c>
      <c r="AQ164" s="257">
        <f>EEFFun!AQ634</f>
        <v>121473.27</v>
      </c>
      <c r="AR164" s="257">
        <f>EEFFun!AR634</f>
        <v>158749.69</v>
      </c>
      <c r="AS164" s="257">
        <f>EEFFun!AS634</f>
        <v>218453.43</v>
      </c>
      <c r="AT164" s="257">
        <f>EEFFun!AT634</f>
        <v>255594.9</v>
      </c>
      <c r="AU164" s="257">
        <f>EEFFun!AU634</f>
        <v>310435.44</v>
      </c>
      <c r="AV164" s="257">
        <f>EEFFun!AV634</f>
        <v>348476.06</v>
      </c>
      <c r="AW164" s="257">
        <f>EEFFun!AW634</f>
        <v>383918.76</v>
      </c>
      <c r="AX164" s="257">
        <f>EEFFun!AX634</f>
        <v>447001.77</v>
      </c>
      <c r="AY164" s="295">
        <f t="shared" ref="AY164:BD164" si="900">AY165+AY167</f>
        <v>144533.69750000001</v>
      </c>
      <c r="AZ164" s="295">
        <f t="shared" si="900"/>
        <v>44533.747499999998</v>
      </c>
      <c r="BA164" s="295">
        <f t="shared" si="900"/>
        <v>44452.847500000003</v>
      </c>
      <c r="BB164" s="295">
        <f t="shared" si="900"/>
        <v>24452.817500000005</v>
      </c>
      <c r="BC164" s="295">
        <f t="shared" si="900"/>
        <v>24381.837500000023</v>
      </c>
      <c r="BD164" s="295">
        <f t="shared" si="900"/>
        <v>24318.517500000016</v>
      </c>
      <c r="BE164" s="295">
        <f>BE165+BE167</f>
        <v>14237.66750000001</v>
      </c>
      <c r="BF164" s="295">
        <f t="shared" ref="BF164:BJ164" si="901">BF165+BF167</f>
        <v>14098.867499999993</v>
      </c>
      <c r="BG164" s="295">
        <f t="shared" si="901"/>
        <v>13935.267500000016</v>
      </c>
      <c r="BH164" s="295">
        <f t="shared" si="901"/>
        <v>13701.577500000014</v>
      </c>
      <c r="BI164" s="295">
        <f t="shared" si="901"/>
        <v>13322.327500000014</v>
      </c>
      <c r="BJ164" s="295">
        <f t="shared" si="901"/>
        <v>12782.867499999993</v>
      </c>
      <c r="BK164" s="295">
        <f t="shared" ref="BK164:BQ164" si="902">BK165+BK167</f>
        <v>144533.69750000001</v>
      </c>
      <c r="BL164" s="295">
        <f t="shared" si="902"/>
        <v>189067.44500000001</v>
      </c>
      <c r="BM164" s="295">
        <f t="shared" si="902"/>
        <v>233520.29250000001</v>
      </c>
      <c r="BN164" s="295">
        <f t="shared" si="902"/>
        <v>257973.11000000002</v>
      </c>
      <c r="BO164" s="295">
        <f t="shared" si="902"/>
        <v>282354.94750000001</v>
      </c>
      <c r="BP164" s="295">
        <f t="shared" si="902"/>
        <v>306673.46500000003</v>
      </c>
      <c r="BQ164" s="295">
        <f t="shared" si="902"/>
        <v>320911.13250000007</v>
      </c>
      <c r="BR164" s="295">
        <f t="shared" ref="BR164" si="903">BR165+BR167</f>
        <v>335010.00000000006</v>
      </c>
      <c r="BS164" s="295">
        <f t="shared" ref="BS164" si="904">BS165+BS167</f>
        <v>348945.26750000007</v>
      </c>
      <c r="BT164" s="295">
        <f t="shared" ref="BT164" si="905">BT165+BT167</f>
        <v>362646.84500000009</v>
      </c>
      <c r="BU164" s="295">
        <f t="shared" ref="BU164" si="906">BU165+BU167</f>
        <v>375969.1725000001</v>
      </c>
      <c r="BV164" s="295">
        <f t="shared" ref="BV164" si="907">BV165+BV167</f>
        <v>388752.0400000001</v>
      </c>
      <c r="BW164" s="291"/>
    </row>
    <row r="165" spans="1:75" outlineLevel="1" x14ac:dyDescent="0.25">
      <c r="A165" s="222">
        <v>8</v>
      </c>
      <c r="B165" s="233">
        <f>EEFFun!B635</f>
        <v>51045505</v>
      </c>
      <c r="C165" s="233" t="str">
        <f>EEFFun!C635</f>
        <v>CARTERA COMERCIAL</v>
      </c>
      <c r="D165" s="257">
        <f>EEFFun!P635</f>
        <v>977.68</v>
      </c>
      <c r="E165" s="295">
        <f t="shared" ref="E165" si="908">E166</f>
        <v>0</v>
      </c>
      <c r="F165" s="295">
        <f t="shared" ref="F165" si="909">F166</f>
        <v>0</v>
      </c>
      <c r="G165" s="295">
        <f t="shared" ref="G165" si="910">G166</f>
        <v>0</v>
      </c>
      <c r="H165" s="295">
        <f t="shared" ref="H165:P165" si="911">H166</f>
        <v>0</v>
      </c>
      <c r="I165" s="295">
        <f t="shared" si="911"/>
        <v>0</v>
      </c>
      <c r="J165" s="295">
        <f t="shared" si="911"/>
        <v>0</v>
      </c>
      <c r="K165" s="295">
        <f t="shared" si="911"/>
        <v>0</v>
      </c>
      <c r="L165" s="295">
        <f t="shared" si="911"/>
        <v>0</v>
      </c>
      <c r="M165" s="295">
        <f t="shared" si="911"/>
        <v>0</v>
      </c>
      <c r="N165" s="295">
        <f t="shared" si="911"/>
        <v>0</v>
      </c>
      <c r="O165" s="295">
        <f t="shared" si="911"/>
        <v>0</v>
      </c>
      <c r="P165" s="295">
        <f t="shared" si="911"/>
        <v>447.89</v>
      </c>
      <c r="Q165" s="257">
        <f>EEFFun!Q635</f>
        <v>0</v>
      </c>
      <c r="R165" s="257">
        <f>EEFFun!R635</f>
        <v>0</v>
      </c>
      <c r="S165" s="257">
        <f>EEFFun!S635</f>
        <v>0</v>
      </c>
      <c r="T165" s="257">
        <f>EEFFun!T635</f>
        <v>0</v>
      </c>
      <c r="U165" s="257">
        <f>EEFFun!U635</f>
        <v>0</v>
      </c>
      <c r="V165" s="257">
        <f>EEFFun!V635</f>
        <v>0</v>
      </c>
      <c r="W165" s="257">
        <f>EEFFun!W635</f>
        <v>0</v>
      </c>
      <c r="X165" s="257">
        <f>EEFFun!X635</f>
        <v>0</v>
      </c>
      <c r="Y165" s="257">
        <f>EEFFun!Y635</f>
        <v>0</v>
      </c>
      <c r="Z165" s="257">
        <f>EEFFun!Z635</f>
        <v>0</v>
      </c>
      <c r="AA165" s="257">
        <f>EEFFun!AA635</f>
        <v>0</v>
      </c>
      <c r="AB165" s="257">
        <f>EEFFun!AB635</f>
        <v>447.89</v>
      </c>
      <c r="AC165" s="257">
        <f>EEFFun!AC635</f>
        <v>0</v>
      </c>
      <c r="AD165" s="257">
        <f>EEFFun!AD635</f>
        <v>0</v>
      </c>
      <c r="AE165" s="257">
        <f>EEFFun!AE635</f>
        <v>0</v>
      </c>
      <c r="AF165" s="257">
        <f>EEFFun!AF635</f>
        <v>0</v>
      </c>
      <c r="AG165" s="257">
        <f>EEFFun!AG635</f>
        <v>0</v>
      </c>
      <c r="AH165" s="257">
        <f>EEFFun!AH635</f>
        <v>0</v>
      </c>
      <c r="AI165" s="257">
        <f>EEFFun!AI635</f>
        <v>0</v>
      </c>
      <c r="AJ165" s="257">
        <f>EEFFun!AJ635</f>
        <v>0</v>
      </c>
      <c r="AK165" s="257">
        <f>EEFFun!AK635</f>
        <v>0</v>
      </c>
      <c r="AL165" s="257">
        <f>EEFFun!AL635</f>
        <v>0</v>
      </c>
      <c r="AM165" s="257">
        <f>EEFFun!AM635</f>
        <v>0</v>
      </c>
      <c r="AN165" s="257">
        <f>EEFFun!AN635</f>
        <v>0</v>
      </c>
      <c r="AO165" s="257">
        <f>EEFFun!AO635</f>
        <v>0</v>
      </c>
      <c r="AP165" s="257">
        <f>EEFFun!AP635</f>
        <v>0</v>
      </c>
      <c r="AQ165" s="257">
        <f>EEFFun!AQ635</f>
        <v>0</v>
      </c>
      <c r="AR165" s="257">
        <f>EEFFun!AR635</f>
        <v>0</v>
      </c>
      <c r="AS165" s="257">
        <f>EEFFun!AS635</f>
        <v>0</v>
      </c>
      <c r="AT165" s="257">
        <f>EEFFun!AT635</f>
        <v>0</v>
      </c>
      <c r="AU165" s="257">
        <f>EEFFun!AU635</f>
        <v>0</v>
      </c>
      <c r="AV165" s="257">
        <f>EEFFun!AV635</f>
        <v>0</v>
      </c>
      <c r="AW165" s="257">
        <f>EEFFun!AW635</f>
        <v>0</v>
      </c>
      <c r="AX165" s="257">
        <f>EEFFun!AX635</f>
        <v>0</v>
      </c>
      <c r="AY165" s="295">
        <f t="shared" ref="AY165:BJ165" si="912">AY166</f>
        <v>0</v>
      </c>
      <c r="AZ165" s="295">
        <f t="shared" si="912"/>
        <v>0</v>
      </c>
      <c r="BA165" s="295">
        <f t="shared" si="912"/>
        <v>0</v>
      </c>
      <c r="BB165" s="295">
        <f t="shared" si="912"/>
        <v>0</v>
      </c>
      <c r="BC165" s="295">
        <f t="shared" si="912"/>
        <v>0</v>
      </c>
      <c r="BD165" s="295">
        <f t="shared" si="912"/>
        <v>0</v>
      </c>
      <c r="BE165" s="295">
        <f t="shared" si="912"/>
        <v>0</v>
      </c>
      <c r="BF165" s="295">
        <f t="shared" si="912"/>
        <v>0</v>
      </c>
      <c r="BG165" s="295">
        <f t="shared" si="912"/>
        <v>0</v>
      </c>
      <c r="BH165" s="295">
        <f t="shared" si="912"/>
        <v>0</v>
      </c>
      <c r="BI165" s="295">
        <f t="shared" si="912"/>
        <v>0</v>
      </c>
      <c r="BJ165" s="295">
        <f t="shared" si="912"/>
        <v>0</v>
      </c>
      <c r="BK165" s="295">
        <f t="shared" ref="BK165:BQ165" si="913">BK166</f>
        <v>0</v>
      </c>
      <c r="BL165" s="295">
        <f t="shared" si="913"/>
        <v>0</v>
      </c>
      <c r="BM165" s="295">
        <f t="shared" si="913"/>
        <v>0</v>
      </c>
      <c r="BN165" s="295">
        <f t="shared" si="913"/>
        <v>0</v>
      </c>
      <c r="BO165" s="295">
        <f t="shared" si="913"/>
        <v>0</v>
      </c>
      <c r="BP165" s="295">
        <f t="shared" si="913"/>
        <v>0</v>
      </c>
      <c r="BQ165" s="295">
        <f t="shared" si="913"/>
        <v>0</v>
      </c>
      <c r="BR165" s="295">
        <f t="shared" ref="BR165" si="914">BR166</f>
        <v>0</v>
      </c>
      <c r="BS165" s="295">
        <f t="shared" ref="BS165" si="915">BS166</f>
        <v>0</v>
      </c>
      <c r="BT165" s="295">
        <f t="shared" ref="BT165" si="916">BT166</f>
        <v>0</v>
      </c>
      <c r="BU165" s="295">
        <f t="shared" ref="BU165" si="917">BU166</f>
        <v>0</v>
      </c>
      <c r="BV165" s="295">
        <f t="shared" ref="BV165" si="918">BV166</f>
        <v>0</v>
      </c>
      <c r="BW165" s="291"/>
    </row>
    <row r="166" spans="1:75" outlineLevel="1" x14ac:dyDescent="0.25">
      <c r="A166" s="222">
        <v>10</v>
      </c>
      <c r="B166" s="233">
        <f>EEFFun!B636</f>
        <v>5104550505</v>
      </c>
      <c r="C166" s="233" t="str">
        <f>EEFFun!C636</f>
        <v>CONVENIOS</v>
      </c>
      <c r="D166" s="257">
        <f>EEFFun!P636</f>
        <v>977.68</v>
      </c>
      <c r="E166" s="295">
        <f t="shared" ref="E166" si="919">Q166</f>
        <v>0</v>
      </c>
      <c r="F166" s="295">
        <f t="shared" ref="F166" si="920">R166-Q166</f>
        <v>0</v>
      </c>
      <c r="G166" s="295">
        <f t="shared" ref="G166" si="921">S166-R166</f>
        <v>0</v>
      </c>
      <c r="H166" s="295">
        <f t="shared" ref="H166" si="922">T166-S166</f>
        <v>0</v>
      </c>
      <c r="I166" s="295">
        <f t="shared" ref="I166" si="923">U166-T166</f>
        <v>0</v>
      </c>
      <c r="J166" s="295">
        <f t="shared" ref="J166" si="924">V166-U166</f>
        <v>0</v>
      </c>
      <c r="K166" s="295">
        <f t="shared" ref="K166" si="925">W166-V166</f>
        <v>0</v>
      </c>
      <c r="L166" s="295">
        <f t="shared" ref="L166" si="926">X166-W166</f>
        <v>0</v>
      </c>
      <c r="M166" s="295">
        <f t="shared" ref="M166" si="927">Y166-X166</f>
        <v>0</v>
      </c>
      <c r="N166" s="295">
        <f t="shared" ref="N166" si="928">Z166-Y166</f>
        <v>0</v>
      </c>
      <c r="O166" s="295">
        <f t="shared" ref="O166:P166" si="929">AA166-Z166</f>
        <v>0</v>
      </c>
      <c r="P166" s="295">
        <f t="shared" si="929"/>
        <v>447.89</v>
      </c>
      <c r="Q166" s="257">
        <f>EEFFun!Q636</f>
        <v>0</v>
      </c>
      <c r="R166" s="257">
        <f>EEFFun!R636</f>
        <v>0</v>
      </c>
      <c r="S166" s="257">
        <f>EEFFun!S636</f>
        <v>0</v>
      </c>
      <c r="T166" s="257">
        <f>EEFFun!T636</f>
        <v>0</v>
      </c>
      <c r="U166" s="257">
        <f>EEFFun!U636</f>
        <v>0</v>
      </c>
      <c r="V166" s="257">
        <f>EEFFun!V636</f>
        <v>0</v>
      </c>
      <c r="W166" s="257">
        <f>EEFFun!W636</f>
        <v>0</v>
      </c>
      <c r="X166" s="257">
        <f>EEFFun!X636</f>
        <v>0</v>
      </c>
      <c r="Y166" s="257">
        <f>EEFFun!Y636</f>
        <v>0</v>
      </c>
      <c r="Z166" s="257">
        <f>EEFFun!Z636</f>
        <v>0</v>
      </c>
      <c r="AA166" s="257">
        <f>EEFFun!AA636</f>
        <v>0</v>
      </c>
      <c r="AB166" s="257">
        <f>EEFFun!AB636</f>
        <v>447.89</v>
      </c>
      <c r="AC166" s="257">
        <f>EEFFun!AC636</f>
        <v>0</v>
      </c>
      <c r="AD166" s="257">
        <f>EEFFun!AD636</f>
        <v>0</v>
      </c>
      <c r="AE166" s="257">
        <f>EEFFun!AE636</f>
        <v>0</v>
      </c>
      <c r="AF166" s="257">
        <f>EEFFun!AF636</f>
        <v>0</v>
      </c>
      <c r="AG166" s="257">
        <f>EEFFun!AG636</f>
        <v>0</v>
      </c>
      <c r="AH166" s="257">
        <f>EEFFun!AH636</f>
        <v>0</v>
      </c>
      <c r="AI166" s="257">
        <f>EEFFun!AI636</f>
        <v>0</v>
      </c>
      <c r="AJ166" s="257">
        <f>EEFFun!AJ636</f>
        <v>0</v>
      </c>
      <c r="AK166" s="257">
        <f>EEFFun!AK636</f>
        <v>0</v>
      </c>
      <c r="AL166" s="257">
        <f>EEFFun!AL636</f>
        <v>0</v>
      </c>
      <c r="AM166" s="257">
        <f>EEFFun!AM636</f>
        <v>0</v>
      </c>
      <c r="AN166" s="257">
        <f>EEFFun!AN636</f>
        <v>0</v>
      </c>
      <c r="AO166" s="257">
        <f>EEFFun!AO636</f>
        <v>0</v>
      </c>
      <c r="AP166" s="257">
        <f>EEFFun!AP636</f>
        <v>0</v>
      </c>
      <c r="AQ166" s="257">
        <f>EEFFun!AQ636</f>
        <v>0</v>
      </c>
      <c r="AR166" s="257">
        <f>EEFFun!AR636</f>
        <v>0</v>
      </c>
      <c r="AS166" s="257">
        <f>EEFFun!AS636</f>
        <v>0</v>
      </c>
      <c r="AT166" s="257">
        <f>EEFFun!AT636</f>
        <v>0</v>
      </c>
      <c r="AU166" s="257">
        <f>EEFFun!AU636</f>
        <v>0</v>
      </c>
      <c r="AV166" s="257">
        <f>EEFFun!AV636</f>
        <v>0</v>
      </c>
      <c r="AW166" s="257">
        <f>EEFFun!AW636</f>
        <v>0</v>
      </c>
      <c r="AX166" s="257">
        <f>EEFFun!AX636</f>
        <v>0</v>
      </c>
      <c r="AY166" s="291"/>
      <c r="AZ166" s="291"/>
      <c r="BA166" s="291"/>
      <c r="BB166" s="291"/>
      <c r="BC166" s="291"/>
      <c r="BD166" s="291"/>
      <c r="BE166" s="291"/>
      <c r="BF166" s="291"/>
      <c r="BG166" s="291"/>
      <c r="BH166" s="291"/>
      <c r="BI166" s="291"/>
      <c r="BJ166" s="291"/>
      <c r="BK166" s="295">
        <f>SUM($AY$166:AY166)</f>
        <v>0</v>
      </c>
      <c r="BL166" s="295">
        <f>SUM($AY$166:AZ166)</f>
        <v>0</v>
      </c>
      <c r="BM166" s="295">
        <f>SUM($AY$166:BA166)</f>
        <v>0</v>
      </c>
      <c r="BN166" s="295">
        <f>SUM($AY$166:BB166)</f>
        <v>0</v>
      </c>
      <c r="BO166" s="295">
        <f>SUM($AY$166:BC166)</f>
        <v>0</v>
      </c>
      <c r="BP166" s="295">
        <f>SUM($AY$166:BD166)</f>
        <v>0</v>
      </c>
      <c r="BQ166" s="295">
        <f>SUM($AY$166:BE166)</f>
        <v>0</v>
      </c>
      <c r="BR166" s="295">
        <f>SUM($AY$166:BF166)</f>
        <v>0</v>
      </c>
      <c r="BS166" s="295">
        <f>SUM($AY$166:BG166)</f>
        <v>0</v>
      </c>
      <c r="BT166" s="295">
        <f>SUM($AY$166:BH166)</f>
        <v>0</v>
      </c>
      <c r="BU166" s="295">
        <f>SUM($AY$166:BI166)</f>
        <v>0</v>
      </c>
      <c r="BV166" s="295">
        <f>SUM($AY$166:BJ166)</f>
        <v>0</v>
      </c>
      <c r="BW166" s="291"/>
    </row>
    <row r="167" spans="1:75" s="229" customFormat="1" x14ac:dyDescent="0.25">
      <c r="A167" s="222">
        <v>8</v>
      </c>
      <c r="B167" s="233">
        <f>EEFFun!B637</f>
        <v>51045510</v>
      </c>
      <c r="C167" s="233" t="str">
        <f>EEFFun!C637</f>
        <v>CARTERA CONSUMO</v>
      </c>
      <c r="D167" s="257">
        <f>EEFFun!P637</f>
        <v>547672.36</v>
      </c>
      <c r="E167" s="295">
        <f t="shared" ref="E167" si="930">SUM(E168:E169)</f>
        <v>48463.62</v>
      </c>
      <c r="F167" s="295">
        <f t="shared" ref="F167" si="931">SUM(F168:F169)</f>
        <v>41133.31</v>
      </c>
      <c r="G167" s="295">
        <f t="shared" ref="G167" si="932">SUM(G168:G169)</f>
        <v>48915.880000000005</v>
      </c>
      <c r="H167" s="295">
        <f t="shared" ref="H167:O167" si="933">SUM(H168:H169)</f>
        <v>47788.38</v>
      </c>
      <c r="I167" s="295">
        <f t="shared" si="933"/>
        <v>49008.7</v>
      </c>
      <c r="J167" s="295">
        <f t="shared" si="933"/>
        <v>46872.12</v>
      </c>
      <c r="K167" s="295">
        <f t="shared" si="933"/>
        <v>47090.000000000015</v>
      </c>
      <c r="L167" s="295">
        <f t="shared" si="933"/>
        <v>46395.969999999972</v>
      </c>
      <c r="M167" s="295">
        <f t="shared" si="933"/>
        <v>39964.710000000021</v>
      </c>
      <c r="N167" s="295">
        <f t="shared" si="933"/>
        <v>-21319.770000000019</v>
      </c>
      <c r="O167" s="295">
        <f t="shared" si="933"/>
        <v>103164.85000000003</v>
      </c>
      <c r="P167" s="295">
        <f t="shared" ref="P167" si="934">SUM(P168:P169)</f>
        <v>16250.219999999972</v>
      </c>
      <c r="Q167" s="257">
        <f>EEFFun!Q637</f>
        <v>48463.62</v>
      </c>
      <c r="R167" s="257">
        <f>EEFFun!R637</f>
        <v>89596.93</v>
      </c>
      <c r="S167" s="257">
        <f>EEFFun!S637</f>
        <v>138512.81</v>
      </c>
      <c r="T167" s="257">
        <f>EEFFun!T637</f>
        <v>186301.19</v>
      </c>
      <c r="U167" s="257">
        <f>EEFFun!U637</f>
        <v>235309.89</v>
      </c>
      <c r="V167" s="257">
        <f>EEFFun!V637</f>
        <v>282182.01</v>
      </c>
      <c r="W167" s="257">
        <f>EEFFun!W637</f>
        <v>329272.01</v>
      </c>
      <c r="X167" s="257">
        <f>EEFFun!X637</f>
        <v>375667.98</v>
      </c>
      <c r="Y167" s="257">
        <f>EEFFun!Y637</f>
        <v>415632.69</v>
      </c>
      <c r="Z167" s="257">
        <f>EEFFun!Z637</f>
        <v>394312.92</v>
      </c>
      <c r="AA167" s="257">
        <f>EEFFun!AA637</f>
        <v>497477.77</v>
      </c>
      <c r="AB167" s="257">
        <f>EEFFun!AB637</f>
        <v>513727.99</v>
      </c>
      <c r="AC167" s="257">
        <f>EEFFun!AC637</f>
        <v>2596.29</v>
      </c>
      <c r="AD167" s="257">
        <f>EEFFun!AD637</f>
        <v>6872.46</v>
      </c>
      <c r="AE167" s="257">
        <f>EEFFun!AE637</f>
        <v>10510.93</v>
      </c>
      <c r="AF167" s="257">
        <f>EEFFun!AF637</f>
        <v>13683.27</v>
      </c>
      <c r="AG167" s="257">
        <f>EEFFun!AG637</f>
        <v>17055.91</v>
      </c>
      <c r="AH167" s="257">
        <f>EEFFun!AH637</f>
        <v>50889.56</v>
      </c>
      <c r="AI167" s="257">
        <f>EEFFun!AI637</f>
        <v>96796.31</v>
      </c>
      <c r="AJ167" s="257">
        <f>EEFFun!AJ637</f>
        <v>136531.66</v>
      </c>
      <c r="AK167" s="257">
        <f>EEFFun!AK637</f>
        <v>177876.73</v>
      </c>
      <c r="AL167" s="257">
        <f>EEFFun!AL637</f>
        <v>185076.47</v>
      </c>
      <c r="AM167" s="257">
        <f>EEFFun!AM637</f>
        <v>260368.91</v>
      </c>
      <c r="AN167" s="257">
        <f>EEFFun!AN637</f>
        <v>300740.61</v>
      </c>
      <c r="AO167" s="257">
        <f>EEFFun!AO637</f>
        <v>43860.12</v>
      </c>
      <c r="AP167" s="257">
        <f>EEFFun!AP637</f>
        <v>78847.09</v>
      </c>
      <c r="AQ167" s="257">
        <f>EEFFun!AQ637</f>
        <v>121473.27</v>
      </c>
      <c r="AR167" s="257">
        <f>EEFFun!AR637</f>
        <v>158749.69</v>
      </c>
      <c r="AS167" s="257">
        <f>EEFFun!AS637</f>
        <v>218453.43</v>
      </c>
      <c r="AT167" s="257">
        <f>EEFFun!AT637</f>
        <v>255594.9</v>
      </c>
      <c r="AU167" s="257">
        <f>EEFFun!AU637</f>
        <v>310435.44</v>
      </c>
      <c r="AV167" s="257">
        <f>EEFFun!AV637</f>
        <v>348476.06</v>
      </c>
      <c r="AW167" s="257">
        <f>EEFFun!AW637</f>
        <v>383918.76</v>
      </c>
      <c r="AX167" s="257">
        <f>EEFFun!AX637</f>
        <v>447001.77</v>
      </c>
      <c r="AY167" s="295">
        <f t="shared" ref="AY167:BJ167" si="935">SUM(AY168:AY169)</f>
        <v>144533.69750000001</v>
      </c>
      <c r="AZ167" s="295">
        <f>SUM(AZ168:AZ169)</f>
        <v>44533.747499999998</v>
      </c>
      <c r="BA167" s="295">
        <f t="shared" si="935"/>
        <v>44452.847500000003</v>
      </c>
      <c r="BB167" s="295">
        <f t="shared" si="935"/>
        <v>24452.817500000005</v>
      </c>
      <c r="BC167" s="295">
        <f t="shared" si="935"/>
        <v>24381.837500000023</v>
      </c>
      <c r="BD167" s="295">
        <f t="shared" si="935"/>
        <v>24318.517500000016</v>
      </c>
      <c r="BE167" s="295">
        <f t="shared" si="935"/>
        <v>14237.66750000001</v>
      </c>
      <c r="BF167" s="295">
        <f t="shared" si="935"/>
        <v>14098.867499999993</v>
      </c>
      <c r="BG167" s="295">
        <f t="shared" si="935"/>
        <v>13935.267500000016</v>
      </c>
      <c r="BH167" s="295">
        <f t="shared" si="935"/>
        <v>13701.577500000014</v>
      </c>
      <c r="BI167" s="295">
        <f t="shared" si="935"/>
        <v>13322.327500000014</v>
      </c>
      <c r="BJ167" s="295">
        <f t="shared" si="935"/>
        <v>12782.867499999993</v>
      </c>
      <c r="BK167" s="295">
        <f t="shared" ref="BK167:BQ167" si="936">SUM(BK168:BK169)</f>
        <v>144533.69750000001</v>
      </c>
      <c r="BL167" s="295">
        <f t="shared" si="936"/>
        <v>189067.44500000001</v>
      </c>
      <c r="BM167" s="295">
        <f t="shared" si="936"/>
        <v>233520.29250000001</v>
      </c>
      <c r="BN167" s="295">
        <f t="shared" si="936"/>
        <v>257973.11000000002</v>
      </c>
      <c r="BO167" s="295">
        <f t="shared" si="936"/>
        <v>282354.94750000001</v>
      </c>
      <c r="BP167" s="295">
        <f t="shared" si="936"/>
        <v>306673.46500000003</v>
      </c>
      <c r="BQ167" s="295">
        <f t="shared" si="936"/>
        <v>320911.13250000007</v>
      </c>
      <c r="BR167" s="295">
        <f t="shared" ref="BR167" si="937">SUM(BR168:BR169)</f>
        <v>335010.00000000006</v>
      </c>
      <c r="BS167" s="295">
        <f t="shared" ref="BS167" si="938">SUM(BS168:BS169)</f>
        <v>348945.26750000007</v>
      </c>
      <c r="BT167" s="295">
        <f t="shared" ref="BT167" si="939">SUM(BT168:BT169)</f>
        <v>362646.84500000009</v>
      </c>
      <c r="BU167" s="295">
        <f t="shared" ref="BU167" si="940">SUM(BU168:BU169)</f>
        <v>375969.1725000001</v>
      </c>
      <c r="BV167" s="295">
        <f t="shared" ref="BV167" si="941">SUM(BV168:BV169)</f>
        <v>388752.0400000001</v>
      </c>
      <c r="BW167" s="291"/>
    </row>
    <row r="168" spans="1:75" s="229" customFormat="1" x14ac:dyDescent="0.25">
      <c r="A168" s="222">
        <v>10</v>
      </c>
      <c r="B168" s="233">
        <f>EEFFun!B638</f>
        <v>5104551005</v>
      </c>
      <c r="C168" s="233" t="str">
        <f>EEFFun!C638</f>
        <v>CONVENIOS</v>
      </c>
      <c r="D168" s="257">
        <f>EEFFun!P638</f>
        <v>547544.03</v>
      </c>
      <c r="E168" s="295">
        <f t="shared" ref="E168:E169" si="942">Q168</f>
        <v>48463.62</v>
      </c>
      <c r="F168" s="295">
        <f t="shared" ref="F168:F169" si="943">R168-Q168</f>
        <v>-152752.56</v>
      </c>
      <c r="G168" s="295">
        <f t="shared" ref="G168:G169" si="944">S168-R168</f>
        <v>48915.880000000005</v>
      </c>
      <c r="H168" s="295">
        <f t="shared" ref="H168:H169" si="945">T168-S168</f>
        <v>47788.38</v>
      </c>
      <c r="I168" s="295">
        <f t="shared" ref="I168:I169" si="946">U168-T168</f>
        <v>49008.7</v>
      </c>
      <c r="J168" s="295">
        <f t="shared" ref="J168:J169" si="947">V168-U168</f>
        <v>46872.12</v>
      </c>
      <c r="K168" s="295">
        <f t="shared" ref="K168:K169" si="948">W168-V168</f>
        <v>47090.000000000015</v>
      </c>
      <c r="L168" s="295">
        <f t="shared" ref="L168:L169" si="949">X168-W168</f>
        <v>46395.969999999972</v>
      </c>
      <c r="M168" s="295">
        <f t="shared" ref="M168:M169" si="950">Y168-X168</f>
        <v>39964.710000000021</v>
      </c>
      <c r="N168" s="295">
        <f t="shared" ref="N168:N169" si="951">Z168-Y168</f>
        <v>-21319.770000000019</v>
      </c>
      <c r="O168" s="295">
        <f t="shared" ref="O168:P169" si="952">AA168-Z168</f>
        <v>103164.85000000003</v>
      </c>
      <c r="P168" s="295">
        <f t="shared" si="952"/>
        <v>16250.219999999972</v>
      </c>
      <c r="Q168" s="257">
        <f>EEFFun!Q638</f>
        <v>48463.62</v>
      </c>
      <c r="R168" s="257">
        <f>EEFFun!R638</f>
        <v>-104288.94</v>
      </c>
      <c r="S168" s="257">
        <f>EEFFun!S638</f>
        <v>-55373.06</v>
      </c>
      <c r="T168" s="257">
        <f>EEFFun!T638</f>
        <v>-7584.68</v>
      </c>
      <c r="U168" s="257">
        <f>EEFFun!U638</f>
        <v>41424.019999999997</v>
      </c>
      <c r="V168" s="257">
        <f>EEFFun!V638</f>
        <v>88296.14</v>
      </c>
      <c r="W168" s="257">
        <f>EEFFun!W638</f>
        <v>135386.14000000001</v>
      </c>
      <c r="X168" s="257">
        <f>EEFFun!X638</f>
        <v>181782.11</v>
      </c>
      <c r="Y168" s="257">
        <f>EEFFun!Y638</f>
        <v>221746.82</v>
      </c>
      <c r="Z168" s="257">
        <f>EEFFun!Z638</f>
        <v>200427.05</v>
      </c>
      <c r="AA168" s="257">
        <f>EEFFun!AA638</f>
        <v>303591.90000000002</v>
      </c>
      <c r="AB168" s="257">
        <f>EEFFun!AB638</f>
        <v>319842.12</v>
      </c>
      <c r="AC168" s="257">
        <f>EEFFun!AC638</f>
        <v>7458.39</v>
      </c>
      <c r="AD168" s="257">
        <f>EEFFun!AD638</f>
        <v>11734.56</v>
      </c>
      <c r="AE168" s="257">
        <f>EEFFun!AE638</f>
        <v>15373.03</v>
      </c>
      <c r="AF168" s="257">
        <f>EEFFun!AF638</f>
        <v>13683.27</v>
      </c>
      <c r="AG168" s="257">
        <f>EEFFun!AG638</f>
        <v>17055.91</v>
      </c>
      <c r="AH168" s="257">
        <f>EEFFun!AH638</f>
        <v>50889.56</v>
      </c>
      <c r="AI168" s="257">
        <f>EEFFun!AI638</f>
        <v>96796.31</v>
      </c>
      <c r="AJ168" s="257">
        <f>EEFFun!AJ638</f>
        <v>136531.66</v>
      </c>
      <c r="AK168" s="257">
        <f>EEFFun!AK638</f>
        <v>177876.73</v>
      </c>
      <c r="AL168" s="257">
        <f>EEFFun!AL638</f>
        <v>185076.47</v>
      </c>
      <c r="AM168" s="257">
        <f>EEFFun!AM638</f>
        <v>260368.91</v>
      </c>
      <c r="AN168" s="257">
        <f>EEFFun!AN638</f>
        <v>300740.61</v>
      </c>
      <c r="AO168" s="257">
        <f>EEFFun!AO638</f>
        <v>43860.12</v>
      </c>
      <c r="AP168" s="257">
        <f>EEFFun!AP638</f>
        <v>78847.09</v>
      </c>
      <c r="AQ168" s="257">
        <f>EEFFun!AQ638</f>
        <v>121473.27</v>
      </c>
      <c r="AR168" s="257">
        <f>EEFFun!AR638</f>
        <v>158749.69</v>
      </c>
      <c r="AS168" s="257">
        <f>EEFFun!AS638</f>
        <v>218453.43</v>
      </c>
      <c r="AT168" s="257">
        <f>EEFFun!AT638</f>
        <v>255594.9</v>
      </c>
      <c r="AU168" s="257">
        <f>EEFFun!AU638</f>
        <v>310435.44</v>
      </c>
      <c r="AV168" s="257">
        <f>EEFFun!AV638</f>
        <v>348476.06</v>
      </c>
      <c r="AW168" s="257">
        <f>EEFFun!AW638</f>
        <v>383918.76</v>
      </c>
      <c r="AX168" s="257">
        <f>EEFFun!AX638</f>
        <v>447001.77</v>
      </c>
      <c r="AY168" s="257">
        <f>AVERAGE($AC$168:$AN$168)+ECU!D8</f>
        <v>144533.69750000001</v>
      </c>
      <c r="AZ168" s="257">
        <f>AVERAGE($AC$168:$AN$168)+ECU!E8-100000</f>
        <v>44533.747499999998</v>
      </c>
      <c r="BA168" s="257">
        <f>AVERAGE($AC$168:$AN$168)+ECU!F8-100000</f>
        <v>44452.847500000003</v>
      </c>
      <c r="BB168" s="257">
        <f>AVERAGE($AC$168:$AN$168)+ECU!G8-120000</f>
        <v>24452.817500000005</v>
      </c>
      <c r="BC168" s="257">
        <f>AVERAGE($AC$168:$AN$168)+ECU!H8-120000</f>
        <v>24381.837500000023</v>
      </c>
      <c r="BD168" s="257">
        <f>AVERAGE($AC$168:$AN$168)+ECU!I8-120000</f>
        <v>24318.517500000016</v>
      </c>
      <c r="BE168" s="257">
        <f>AVERAGE($AC$168:$AN$168)+ECU!J8-130000</f>
        <v>14237.66750000001</v>
      </c>
      <c r="BF168" s="257">
        <f>AVERAGE($AC$168:$AN$168)+ECU!K8-130000</f>
        <v>14098.867499999993</v>
      </c>
      <c r="BG168" s="257">
        <f>AVERAGE($AC$168:$AN$168)+ECU!L8-130000</f>
        <v>13935.267500000016</v>
      </c>
      <c r="BH168" s="257">
        <f>AVERAGE($AC$168:$AN$168)+ECU!M8-130000</f>
        <v>13701.577500000014</v>
      </c>
      <c r="BI168" s="257">
        <f>AVERAGE($AC$168:$AN$168)+ECU!N8-130000</f>
        <v>13322.327500000014</v>
      </c>
      <c r="BJ168" s="257">
        <f>AVERAGE($AC$168:$AN$168)+ECU!O8-130000</f>
        <v>12782.867499999993</v>
      </c>
      <c r="BK168" s="295">
        <f>SUM($AY$168:AY168)</f>
        <v>144533.69750000001</v>
      </c>
      <c r="BL168" s="295">
        <f>SUM($AY$168:AZ168)</f>
        <v>189067.44500000001</v>
      </c>
      <c r="BM168" s="295">
        <f>SUM($AY$168:BA168)</f>
        <v>233520.29250000001</v>
      </c>
      <c r="BN168" s="295">
        <f>SUM($AY$168:BB168)</f>
        <v>257973.11000000002</v>
      </c>
      <c r="BO168" s="295">
        <f>SUM($AY$168:BC168)</f>
        <v>282354.94750000001</v>
      </c>
      <c r="BP168" s="295">
        <f>SUM($AY$168:BD168)</f>
        <v>306673.46500000003</v>
      </c>
      <c r="BQ168" s="295">
        <f>SUM($AY$168:BE168)</f>
        <v>320911.13250000007</v>
      </c>
      <c r="BR168" s="295">
        <f>SUM($AY$168:BF168)</f>
        <v>335010.00000000006</v>
      </c>
      <c r="BS168" s="295">
        <f>SUM($AY$168:BG168)</f>
        <v>348945.26750000007</v>
      </c>
      <c r="BT168" s="295">
        <f>SUM($AY$168:BH168)</f>
        <v>362646.84500000009</v>
      </c>
      <c r="BU168" s="295">
        <f>SUM($AY$168:BI168)</f>
        <v>375969.1725000001</v>
      </c>
      <c r="BV168" s="295">
        <f>SUM($AY$168:BJ168)</f>
        <v>388752.0400000001</v>
      </c>
      <c r="BW168" s="291"/>
    </row>
    <row r="169" spans="1:75" s="229" customFormat="1" x14ac:dyDescent="0.25">
      <c r="A169" s="222">
        <v>10</v>
      </c>
      <c r="B169" s="233">
        <f>EEFFun!B639</f>
        <v>5104551015</v>
      </c>
      <c r="C169" s="233" t="str">
        <f>EEFFun!C639</f>
        <v>CONVENIO ORDINARIO</v>
      </c>
      <c r="D169" s="257">
        <f>EEFFun!P639</f>
        <v>128.33000000000001</v>
      </c>
      <c r="E169" s="295">
        <f t="shared" si="942"/>
        <v>0</v>
      </c>
      <c r="F169" s="295">
        <f t="shared" si="943"/>
        <v>193885.87</v>
      </c>
      <c r="G169" s="295">
        <f t="shared" si="944"/>
        <v>0</v>
      </c>
      <c r="H169" s="295">
        <f t="shared" si="945"/>
        <v>0</v>
      </c>
      <c r="I169" s="295">
        <f t="shared" si="946"/>
        <v>0</v>
      </c>
      <c r="J169" s="295">
        <f t="shared" si="947"/>
        <v>0</v>
      </c>
      <c r="K169" s="295">
        <f t="shared" si="948"/>
        <v>0</v>
      </c>
      <c r="L169" s="295">
        <f t="shared" si="949"/>
        <v>0</v>
      </c>
      <c r="M169" s="295">
        <f t="shared" si="950"/>
        <v>0</v>
      </c>
      <c r="N169" s="295">
        <f t="shared" si="951"/>
        <v>0</v>
      </c>
      <c r="O169" s="295">
        <f t="shared" si="952"/>
        <v>0</v>
      </c>
      <c r="P169" s="295">
        <f t="shared" si="952"/>
        <v>0</v>
      </c>
      <c r="Q169" s="257">
        <f>EEFFun!Q639</f>
        <v>0</v>
      </c>
      <c r="R169" s="257">
        <f>EEFFun!R639</f>
        <v>193885.87</v>
      </c>
      <c r="S169" s="257">
        <f>EEFFun!S639</f>
        <v>193885.87</v>
      </c>
      <c r="T169" s="257">
        <f>EEFFun!T639</f>
        <v>193885.87</v>
      </c>
      <c r="U169" s="257">
        <f>EEFFun!U639</f>
        <v>193885.87</v>
      </c>
      <c r="V169" s="257">
        <f>EEFFun!V639</f>
        <v>193885.87</v>
      </c>
      <c r="W169" s="257">
        <f>EEFFun!W639</f>
        <v>193885.87</v>
      </c>
      <c r="X169" s="257">
        <f>EEFFun!X639</f>
        <v>193885.87</v>
      </c>
      <c r="Y169" s="257">
        <f>EEFFun!Y639</f>
        <v>193885.87</v>
      </c>
      <c r="Z169" s="257">
        <f>EEFFun!Z639</f>
        <v>193885.87</v>
      </c>
      <c r="AA169" s="257">
        <f>EEFFun!AA639</f>
        <v>193885.87</v>
      </c>
      <c r="AB169" s="257">
        <f>EEFFun!AB639</f>
        <v>193885.87</v>
      </c>
      <c r="AC169" s="257">
        <f>EEFFun!AC639</f>
        <v>-4862.1000000000004</v>
      </c>
      <c r="AD169" s="257">
        <f>EEFFun!AD639</f>
        <v>-4862.1000000000004</v>
      </c>
      <c r="AE169" s="257">
        <f>EEFFun!AE639</f>
        <v>-4862.1000000000004</v>
      </c>
      <c r="AF169" s="257">
        <f>EEFFun!AF639</f>
        <v>0</v>
      </c>
      <c r="AG169" s="257">
        <f>EEFFun!AG639</f>
        <v>0</v>
      </c>
      <c r="AH169" s="257">
        <f>EEFFun!AH639</f>
        <v>0</v>
      </c>
      <c r="AI169" s="257">
        <f>EEFFun!AI639</f>
        <v>0</v>
      </c>
      <c r="AJ169" s="257">
        <f>EEFFun!AJ639</f>
        <v>0</v>
      </c>
      <c r="AK169" s="257">
        <f>EEFFun!AK639</f>
        <v>0</v>
      </c>
      <c r="AL169" s="257">
        <f>EEFFun!AL639</f>
        <v>0</v>
      </c>
      <c r="AM169" s="257">
        <f>EEFFun!AM639</f>
        <v>0</v>
      </c>
      <c r="AN169" s="257">
        <f>EEFFun!AN639</f>
        <v>0</v>
      </c>
      <c r="AO169" s="257">
        <f>EEFFun!AO639</f>
        <v>0</v>
      </c>
      <c r="AP169" s="257">
        <f>EEFFun!AP639</f>
        <v>0</v>
      </c>
      <c r="AQ169" s="257">
        <f>EEFFun!AQ639</f>
        <v>0</v>
      </c>
      <c r="AR169" s="257">
        <f>EEFFun!AR639</f>
        <v>0</v>
      </c>
      <c r="AS169" s="257">
        <f>EEFFun!AS639</f>
        <v>0</v>
      </c>
      <c r="AT169" s="257">
        <f>EEFFun!AT639</f>
        <v>0</v>
      </c>
      <c r="AU169" s="257">
        <f>EEFFun!AU639</f>
        <v>0</v>
      </c>
      <c r="AV169" s="257">
        <f>EEFFun!AV639</f>
        <v>0</v>
      </c>
      <c r="AW169" s="257">
        <f>EEFFun!AW639</f>
        <v>0</v>
      </c>
      <c r="AX169" s="257">
        <f>EEFFun!AX639</f>
        <v>0</v>
      </c>
      <c r="AY169" s="291"/>
      <c r="AZ169" s="291"/>
      <c r="BA169" s="291"/>
      <c r="BB169" s="291"/>
      <c r="BC169" s="291"/>
      <c r="BD169" s="291"/>
      <c r="BE169" s="291"/>
      <c r="BF169" s="291"/>
      <c r="BG169" s="291"/>
      <c r="BH169" s="291"/>
      <c r="BI169" s="291"/>
      <c r="BJ169" s="291"/>
      <c r="BK169" s="295">
        <f>SUM($AY$169:AY169)</f>
        <v>0</v>
      </c>
      <c r="BL169" s="295">
        <f>SUM($AY$169:AZ169)</f>
        <v>0</v>
      </c>
      <c r="BM169" s="295">
        <f>SUM($AY$169:BA169)</f>
        <v>0</v>
      </c>
      <c r="BN169" s="295">
        <f>SUM($AY$169:BB169)</f>
        <v>0</v>
      </c>
      <c r="BO169" s="295">
        <f>SUM($AY$169:BC169)</f>
        <v>0</v>
      </c>
      <c r="BP169" s="295">
        <f>SUM($AY$169:BD169)</f>
        <v>0</v>
      </c>
      <c r="BQ169" s="295">
        <f>SUM($AY$169:BE169)</f>
        <v>0</v>
      </c>
      <c r="BR169" s="295">
        <f>SUM($AY$169:BF169)</f>
        <v>0</v>
      </c>
      <c r="BS169" s="295">
        <f>SUM($AY$169:BG169)</f>
        <v>0</v>
      </c>
      <c r="BT169" s="295">
        <f>SUM($AY$169:BH169)</f>
        <v>0</v>
      </c>
      <c r="BU169" s="295">
        <f>SUM($AY$169:BI169)</f>
        <v>0</v>
      </c>
      <c r="BV169" s="295">
        <f>SUM($AY$169:BJ169)</f>
        <v>0</v>
      </c>
      <c r="BW169" s="291"/>
    </row>
    <row r="170" spans="1:75" s="229" customFormat="1" x14ac:dyDescent="0.25">
      <c r="A170" s="239">
        <v>4</v>
      </c>
      <c r="B170" s="223">
        <f>EEFFun!B640</f>
        <v>5190</v>
      </c>
      <c r="C170" s="223" t="str">
        <f>EEFFun!C640</f>
        <v>Otros intereses y descuentos</v>
      </c>
      <c r="D170" s="279">
        <f>EEFFun!P640</f>
        <v>45280.46</v>
      </c>
      <c r="E170" s="297">
        <f t="shared" ref="E170:P172" si="953">E171</f>
        <v>0</v>
      </c>
      <c r="F170" s="297">
        <f t="shared" si="953"/>
        <v>486.44</v>
      </c>
      <c r="G170" s="297">
        <f t="shared" si="953"/>
        <v>0</v>
      </c>
      <c r="H170" s="297">
        <f t="shared" si="953"/>
        <v>0</v>
      </c>
      <c r="I170" s="297">
        <f t="shared" si="953"/>
        <v>57914.64</v>
      </c>
      <c r="J170" s="297">
        <f t="shared" si="953"/>
        <v>12489.449999999997</v>
      </c>
      <c r="K170" s="297">
        <f t="shared" si="953"/>
        <v>11959.899999999994</v>
      </c>
      <c r="L170" s="297">
        <f t="shared" si="953"/>
        <v>12434.900000000009</v>
      </c>
      <c r="M170" s="297">
        <f t="shared" si="953"/>
        <v>11838.089999999997</v>
      </c>
      <c r="N170" s="297">
        <f t="shared" si="953"/>
        <v>12606.040000000008</v>
      </c>
      <c r="O170" s="297">
        <f t="shared" si="953"/>
        <v>12205.37999999999</v>
      </c>
      <c r="P170" s="297">
        <f t="shared" si="953"/>
        <v>12436.300000000017</v>
      </c>
      <c r="Q170" s="279">
        <f>EEFFun!Q640</f>
        <v>0</v>
      </c>
      <c r="R170" s="279">
        <f>EEFFun!R640</f>
        <v>486.44</v>
      </c>
      <c r="S170" s="279">
        <f>EEFFun!S640</f>
        <v>486.44</v>
      </c>
      <c r="T170" s="279">
        <f>EEFFun!T640</f>
        <v>486.44</v>
      </c>
      <c r="U170" s="279">
        <f>EEFFun!U640</f>
        <v>58401.08</v>
      </c>
      <c r="V170" s="279">
        <f>EEFFun!V640</f>
        <v>70890.53</v>
      </c>
      <c r="W170" s="279">
        <f>EEFFun!W640</f>
        <v>82850.429999999993</v>
      </c>
      <c r="X170" s="279">
        <f>EEFFun!X640</f>
        <v>95285.33</v>
      </c>
      <c r="Y170" s="279">
        <f>EEFFun!Y640</f>
        <v>107123.42</v>
      </c>
      <c r="Z170" s="279">
        <f>EEFFun!Z640</f>
        <v>119729.46</v>
      </c>
      <c r="AA170" s="279">
        <f>EEFFun!AA640</f>
        <v>131934.84</v>
      </c>
      <c r="AB170" s="279">
        <f>EEFFun!AB640</f>
        <v>144371.14000000001</v>
      </c>
      <c r="AC170" s="279">
        <f>EEFFun!AC640</f>
        <v>12745</v>
      </c>
      <c r="AD170" s="279">
        <f>EEFFun!AD640</f>
        <v>24134.22</v>
      </c>
      <c r="AE170" s="279">
        <f>EEFFun!AE640</f>
        <v>35294.75</v>
      </c>
      <c r="AF170" s="279">
        <f>EEFFun!AF640</f>
        <v>47461.5</v>
      </c>
      <c r="AG170" s="279">
        <f>EEFFun!AG640</f>
        <v>59880.06</v>
      </c>
      <c r="AH170" s="279">
        <f>EEFFun!AH640</f>
        <v>71639.69</v>
      </c>
      <c r="AI170" s="279">
        <f>EEFFun!AI640</f>
        <v>85914.36</v>
      </c>
      <c r="AJ170" s="279">
        <f>EEFFun!AJ640</f>
        <v>98994.31</v>
      </c>
      <c r="AK170" s="279">
        <f>EEFFun!AK640</f>
        <v>112411.7</v>
      </c>
      <c r="AL170" s="279">
        <f>EEFFun!AL640</f>
        <v>124760.77</v>
      </c>
      <c r="AM170" s="279">
        <f>EEFFun!AM640</f>
        <v>136393.24</v>
      </c>
      <c r="AN170" s="279">
        <f>EEFFun!AN640</f>
        <v>148625</v>
      </c>
      <c r="AO170" s="279">
        <f>EEFFun!AO640</f>
        <v>11977.66</v>
      </c>
      <c r="AP170" s="279">
        <f>EEFFun!AP640</f>
        <v>22726.68</v>
      </c>
      <c r="AQ170" s="279">
        <f>EEFFun!AQ640</f>
        <v>34938.39</v>
      </c>
      <c r="AR170" s="279">
        <f>EEFFun!AR640</f>
        <v>47232.76</v>
      </c>
      <c r="AS170" s="279">
        <f>EEFFun!AS640</f>
        <v>60442.17</v>
      </c>
      <c r="AT170" s="279">
        <f>EEFFun!AT640</f>
        <v>73380.78</v>
      </c>
      <c r="AU170" s="279">
        <f>EEFFun!AU640</f>
        <v>86980.94</v>
      </c>
      <c r="AV170" s="279">
        <f>EEFFun!AV640</f>
        <v>101167.23</v>
      </c>
      <c r="AW170" s="279">
        <f>EEFFun!AW640</f>
        <v>115175.74</v>
      </c>
      <c r="AX170" s="279">
        <f>EEFFun!AX640</f>
        <v>128739.32</v>
      </c>
      <c r="AY170" s="297">
        <f t="shared" ref="AY170:BJ170" si="954">AY171</f>
        <v>12873.932000000001</v>
      </c>
      <c r="AZ170" s="297">
        <f t="shared" si="954"/>
        <v>12873.932000000001</v>
      </c>
      <c r="BA170" s="297">
        <f t="shared" si="954"/>
        <v>12873.932000000001</v>
      </c>
      <c r="BB170" s="297">
        <f t="shared" si="954"/>
        <v>12873.932000000001</v>
      </c>
      <c r="BC170" s="297">
        <f t="shared" si="954"/>
        <v>12873.932000000001</v>
      </c>
      <c r="BD170" s="297">
        <f t="shared" si="954"/>
        <v>12873.932000000001</v>
      </c>
      <c r="BE170" s="297">
        <f t="shared" si="954"/>
        <v>12873.932000000001</v>
      </c>
      <c r="BF170" s="297">
        <f t="shared" si="954"/>
        <v>12873.932000000001</v>
      </c>
      <c r="BG170" s="297">
        <f t="shared" si="954"/>
        <v>12873.932000000001</v>
      </c>
      <c r="BH170" s="297">
        <f t="shared" si="954"/>
        <v>12873.932000000001</v>
      </c>
      <c r="BI170" s="297">
        <f t="shared" si="954"/>
        <v>12873.932000000001</v>
      </c>
      <c r="BJ170" s="297">
        <f t="shared" si="954"/>
        <v>12873.932000000001</v>
      </c>
      <c r="BK170" s="297">
        <f t="shared" ref="BK170:BV172" si="955">BK171</f>
        <v>12873.932000000001</v>
      </c>
      <c r="BL170" s="297">
        <f t="shared" si="955"/>
        <v>25747.864000000001</v>
      </c>
      <c r="BM170" s="297">
        <f t="shared" si="955"/>
        <v>38621.796000000002</v>
      </c>
      <c r="BN170" s="297">
        <f t="shared" si="955"/>
        <v>51495.728000000003</v>
      </c>
      <c r="BO170" s="297">
        <f t="shared" si="955"/>
        <v>64369.66</v>
      </c>
      <c r="BP170" s="297">
        <f t="shared" si="955"/>
        <v>77243.592000000004</v>
      </c>
      <c r="BQ170" s="297">
        <f t="shared" si="955"/>
        <v>90117.524000000005</v>
      </c>
      <c r="BR170" s="297">
        <f t="shared" si="955"/>
        <v>102991.45600000001</v>
      </c>
      <c r="BS170" s="297">
        <f t="shared" si="955"/>
        <v>115865.38800000001</v>
      </c>
      <c r="BT170" s="297">
        <f t="shared" si="955"/>
        <v>128739.32</v>
      </c>
      <c r="BU170" s="297">
        <f t="shared" si="955"/>
        <v>141613.25200000001</v>
      </c>
      <c r="BV170" s="297">
        <f t="shared" si="955"/>
        <v>154487.18400000001</v>
      </c>
      <c r="BW170" s="284"/>
    </row>
    <row r="171" spans="1:75" outlineLevel="1" x14ac:dyDescent="0.25">
      <c r="A171" s="222">
        <v>6</v>
      </c>
      <c r="B171" s="233">
        <f>EEFFun!B641</f>
        <v>519090</v>
      </c>
      <c r="C171" s="233" t="str">
        <f>EEFFun!C641</f>
        <v>Otros</v>
      </c>
      <c r="D171" s="257">
        <f>EEFFun!P641</f>
        <v>45280.46</v>
      </c>
      <c r="E171" s="295">
        <f t="shared" ref="E171" si="956">Q171</f>
        <v>0</v>
      </c>
      <c r="F171" s="295">
        <f t="shared" ref="F171" si="957">R171-Q171</f>
        <v>486.44</v>
      </c>
      <c r="G171" s="295">
        <f t="shared" ref="G171" si="958">S171-R171</f>
        <v>0</v>
      </c>
      <c r="H171" s="295">
        <f t="shared" ref="H171" si="959">T171-S171</f>
        <v>0</v>
      </c>
      <c r="I171" s="295">
        <f t="shared" ref="I171" si="960">U171-T171</f>
        <v>57914.64</v>
      </c>
      <c r="J171" s="295">
        <f t="shared" ref="J171" si="961">V171-U171</f>
        <v>12489.449999999997</v>
      </c>
      <c r="K171" s="295">
        <f t="shared" ref="K171" si="962">W171-V171</f>
        <v>11959.899999999994</v>
      </c>
      <c r="L171" s="295">
        <f t="shared" ref="L171" si="963">X171-W171</f>
        <v>12434.900000000009</v>
      </c>
      <c r="M171" s="295">
        <f t="shared" ref="M171" si="964">Y171-X171</f>
        <v>11838.089999999997</v>
      </c>
      <c r="N171" s="295">
        <f t="shared" ref="N171" si="965">Z171-Y171</f>
        <v>12606.040000000008</v>
      </c>
      <c r="O171" s="295">
        <f t="shared" ref="O171:P171" si="966">AA171-Z171</f>
        <v>12205.37999999999</v>
      </c>
      <c r="P171" s="295">
        <f t="shared" si="966"/>
        <v>12436.300000000017</v>
      </c>
      <c r="Q171" s="257">
        <f>EEFFun!Q641</f>
        <v>0</v>
      </c>
      <c r="R171" s="257">
        <f>EEFFun!R641</f>
        <v>486.44</v>
      </c>
      <c r="S171" s="257">
        <f>EEFFun!S641</f>
        <v>486.44</v>
      </c>
      <c r="T171" s="257">
        <f>EEFFun!T641</f>
        <v>486.44</v>
      </c>
      <c r="U171" s="257">
        <f>EEFFun!U641</f>
        <v>58401.08</v>
      </c>
      <c r="V171" s="257">
        <f>EEFFun!V641</f>
        <v>70890.53</v>
      </c>
      <c r="W171" s="257">
        <f>EEFFun!W641</f>
        <v>82850.429999999993</v>
      </c>
      <c r="X171" s="257">
        <f>EEFFun!X641</f>
        <v>95285.33</v>
      </c>
      <c r="Y171" s="257">
        <f>EEFFun!Y641</f>
        <v>107123.42</v>
      </c>
      <c r="Z171" s="257">
        <f>EEFFun!Z641</f>
        <v>119729.46</v>
      </c>
      <c r="AA171" s="257">
        <f>EEFFun!AA641</f>
        <v>131934.84</v>
      </c>
      <c r="AB171" s="257">
        <f>EEFFun!AB641</f>
        <v>144371.14000000001</v>
      </c>
      <c r="AC171" s="257">
        <f>EEFFun!AC641</f>
        <v>12745</v>
      </c>
      <c r="AD171" s="257">
        <f>EEFFun!AD641</f>
        <v>24134.22</v>
      </c>
      <c r="AE171" s="257">
        <f>EEFFun!AE641</f>
        <v>35294.75</v>
      </c>
      <c r="AF171" s="257">
        <f>EEFFun!AF641</f>
        <v>47461.5</v>
      </c>
      <c r="AG171" s="257">
        <f>EEFFun!AG641</f>
        <v>59880.06</v>
      </c>
      <c r="AH171" s="257">
        <f>EEFFun!AH641</f>
        <v>71639.69</v>
      </c>
      <c r="AI171" s="257">
        <f>EEFFun!AI641</f>
        <v>85914.36</v>
      </c>
      <c r="AJ171" s="257">
        <f>EEFFun!AJ641</f>
        <v>98994.31</v>
      </c>
      <c r="AK171" s="257">
        <f>EEFFun!AK641</f>
        <v>112411.7</v>
      </c>
      <c r="AL171" s="257">
        <f>EEFFun!AL641</f>
        <v>124760.77</v>
      </c>
      <c r="AM171" s="257">
        <f>EEFFun!AM641</f>
        <v>136393.24</v>
      </c>
      <c r="AN171" s="257">
        <f>EEFFun!AN641</f>
        <v>148625</v>
      </c>
      <c r="AO171" s="257">
        <f>EEFFun!AO641</f>
        <v>11977.66</v>
      </c>
      <c r="AP171" s="257">
        <f>EEFFun!AP641</f>
        <v>22726.68</v>
      </c>
      <c r="AQ171" s="257">
        <f>EEFFun!AQ641</f>
        <v>34938.39</v>
      </c>
      <c r="AR171" s="257">
        <f>EEFFun!AR641</f>
        <v>47232.76</v>
      </c>
      <c r="AS171" s="257">
        <f>EEFFun!AS641</f>
        <v>60442.17</v>
      </c>
      <c r="AT171" s="257">
        <f>EEFFun!AT641</f>
        <v>73380.78</v>
      </c>
      <c r="AU171" s="257">
        <f>EEFFun!AU641</f>
        <v>86980.94</v>
      </c>
      <c r="AV171" s="257">
        <f>EEFFun!AV641</f>
        <v>101167.23</v>
      </c>
      <c r="AW171" s="257">
        <f>EEFFun!AW641</f>
        <v>115175.74</v>
      </c>
      <c r="AX171" s="257">
        <f>EEFFun!AX641</f>
        <v>128739.32</v>
      </c>
      <c r="AY171" s="295">
        <f>+AX171/10</f>
        <v>12873.932000000001</v>
      </c>
      <c r="AZ171" s="295">
        <f>+AY171</f>
        <v>12873.932000000001</v>
      </c>
      <c r="BA171" s="295">
        <f t="shared" ref="BA171:BJ171" si="967">+AZ171</f>
        <v>12873.932000000001</v>
      </c>
      <c r="BB171" s="295">
        <f t="shared" si="967"/>
        <v>12873.932000000001</v>
      </c>
      <c r="BC171" s="295">
        <f t="shared" si="967"/>
        <v>12873.932000000001</v>
      </c>
      <c r="BD171" s="295">
        <f t="shared" si="967"/>
        <v>12873.932000000001</v>
      </c>
      <c r="BE171" s="295">
        <f t="shared" si="967"/>
        <v>12873.932000000001</v>
      </c>
      <c r="BF171" s="295">
        <f t="shared" si="967"/>
        <v>12873.932000000001</v>
      </c>
      <c r="BG171" s="295">
        <f t="shared" si="967"/>
        <v>12873.932000000001</v>
      </c>
      <c r="BH171" s="295">
        <f t="shared" si="967"/>
        <v>12873.932000000001</v>
      </c>
      <c r="BI171" s="295">
        <f t="shared" si="967"/>
        <v>12873.932000000001</v>
      </c>
      <c r="BJ171" s="295">
        <f t="shared" si="967"/>
        <v>12873.932000000001</v>
      </c>
      <c r="BK171" s="295">
        <f>SUM($AY$171:AY171)</f>
        <v>12873.932000000001</v>
      </c>
      <c r="BL171" s="295">
        <f>SUM($AY$171:AZ171)</f>
        <v>25747.864000000001</v>
      </c>
      <c r="BM171" s="295">
        <f>SUM($AY$171:BA171)</f>
        <v>38621.796000000002</v>
      </c>
      <c r="BN171" s="295">
        <f>SUM($AY$171:BB171)</f>
        <v>51495.728000000003</v>
      </c>
      <c r="BO171" s="295">
        <f>SUM($AY$171:BC171)</f>
        <v>64369.66</v>
      </c>
      <c r="BP171" s="295">
        <f>SUM($AY$171:BD171)</f>
        <v>77243.592000000004</v>
      </c>
      <c r="BQ171" s="295">
        <f>SUM($AY$171:BE171)</f>
        <v>90117.524000000005</v>
      </c>
      <c r="BR171" s="295">
        <f>SUM($AY$171:BF171)</f>
        <v>102991.45600000001</v>
      </c>
      <c r="BS171" s="295">
        <f>SUM($AY$171:BG171)</f>
        <v>115865.38800000001</v>
      </c>
      <c r="BT171" s="295">
        <f>SUM($AY$171:BH171)</f>
        <v>128739.32</v>
      </c>
      <c r="BU171" s="295">
        <f>SUM($AY$171:BI171)</f>
        <v>141613.25200000001</v>
      </c>
      <c r="BV171" s="295">
        <f>SUM($AY$171:BJ171)</f>
        <v>154487.18400000001</v>
      </c>
      <c r="BW171" s="291"/>
    </row>
    <row r="172" spans="1:75" s="229" customFormat="1" x14ac:dyDescent="0.25">
      <c r="A172" s="222">
        <v>4</v>
      </c>
      <c r="B172" s="223">
        <f>EEFFun!B642</f>
        <v>52</v>
      </c>
      <c r="C172" s="223" t="str">
        <f>EEFFun!C642</f>
        <v>COMISIONES GANADAS</v>
      </c>
      <c r="D172" s="279">
        <f>EEFFun!P642</f>
        <v>0</v>
      </c>
      <c r="E172" s="297">
        <f t="shared" si="953"/>
        <v>0</v>
      </c>
      <c r="F172" s="297">
        <f t="shared" si="953"/>
        <v>0</v>
      </c>
      <c r="G172" s="297">
        <f t="shared" si="953"/>
        <v>0</v>
      </c>
      <c r="H172" s="297">
        <f t="shared" si="953"/>
        <v>0</v>
      </c>
      <c r="I172" s="297">
        <f t="shared" si="953"/>
        <v>0</v>
      </c>
      <c r="J172" s="297">
        <f t="shared" si="953"/>
        <v>0</v>
      </c>
      <c r="K172" s="297">
        <f t="shared" si="953"/>
        <v>0</v>
      </c>
      <c r="L172" s="297">
        <f t="shared" si="953"/>
        <v>0</v>
      </c>
      <c r="M172" s="297">
        <f t="shared" si="953"/>
        <v>0</v>
      </c>
      <c r="N172" s="297">
        <f t="shared" si="953"/>
        <v>0</v>
      </c>
      <c r="O172" s="297">
        <f t="shared" si="953"/>
        <v>0</v>
      </c>
      <c r="P172" s="297">
        <f t="shared" si="953"/>
        <v>0</v>
      </c>
      <c r="Q172" s="279">
        <f>EEFFun!Q642</f>
        <v>0</v>
      </c>
      <c r="R172" s="279">
        <f>EEFFun!R642</f>
        <v>0</v>
      </c>
      <c r="S172" s="279">
        <f>EEFFun!S642</f>
        <v>0</v>
      </c>
      <c r="T172" s="279">
        <f>EEFFun!T642</f>
        <v>0</v>
      </c>
      <c r="U172" s="279">
        <f>EEFFun!U642</f>
        <v>0</v>
      </c>
      <c r="V172" s="279">
        <f>EEFFun!V642</f>
        <v>0</v>
      </c>
      <c r="W172" s="279">
        <f>EEFFun!W642</f>
        <v>0</v>
      </c>
      <c r="X172" s="279">
        <f>EEFFun!X642</f>
        <v>0</v>
      </c>
      <c r="Y172" s="279">
        <f>EEFFun!Y642</f>
        <v>0</v>
      </c>
      <c r="Z172" s="279">
        <f>EEFFun!Z642</f>
        <v>0</v>
      </c>
      <c r="AA172" s="279">
        <f>EEFFun!AA642</f>
        <v>0</v>
      </c>
      <c r="AB172" s="279">
        <f>EEFFun!AB642</f>
        <v>0</v>
      </c>
      <c r="AC172" s="279">
        <f>EEFFun!AC642</f>
        <v>0</v>
      </c>
      <c r="AD172" s="279">
        <f>EEFFun!AD642</f>
        <v>1205.3599999999999</v>
      </c>
      <c r="AE172" s="279">
        <f>EEFFun!AE642</f>
        <v>1205.3599999999999</v>
      </c>
      <c r="AF172" s="279">
        <f>EEFFun!AF642</f>
        <v>1205.3599999999999</v>
      </c>
      <c r="AG172" s="279">
        <f>EEFFun!AG642</f>
        <v>1205.3599999999999</v>
      </c>
      <c r="AH172" s="279">
        <f>EEFFun!AH642</f>
        <v>1205.3599999999999</v>
      </c>
      <c r="AI172" s="279">
        <f>EEFFun!AI642</f>
        <v>1205.3599999999999</v>
      </c>
      <c r="AJ172" s="279">
        <f>EEFFun!AJ642</f>
        <v>1205.3599999999999</v>
      </c>
      <c r="AK172" s="279">
        <f>EEFFun!AK642</f>
        <v>1205.3599999999999</v>
      </c>
      <c r="AL172" s="279">
        <f>EEFFun!AL642</f>
        <v>1205.3599999999999</v>
      </c>
      <c r="AM172" s="279">
        <f>EEFFun!AM642</f>
        <v>1205.3599999999999</v>
      </c>
      <c r="AN172" s="279">
        <f>EEFFun!AN642</f>
        <v>1205.3599999999999</v>
      </c>
      <c r="AO172" s="279">
        <f>EEFFun!AO642</f>
        <v>0</v>
      </c>
      <c r="AP172" s="279">
        <f>EEFFun!AP642</f>
        <v>0</v>
      </c>
      <c r="AQ172" s="279">
        <f>EEFFun!AQ642</f>
        <v>0</v>
      </c>
      <c r="AR172" s="279">
        <f>EEFFun!AR642</f>
        <v>0</v>
      </c>
      <c r="AS172" s="279">
        <f>EEFFun!AS642</f>
        <v>0</v>
      </c>
      <c r="AT172" s="279">
        <f>EEFFun!AT642</f>
        <v>0</v>
      </c>
      <c r="AU172" s="279">
        <f>EEFFun!AU642</f>
        <v>0</v>
      </c>
      <c r="AV172" s="279">
        <f>EEFFun!AV642</f>
        <v>0</v>
      </c>
      <c r="AW172" s="279">
        <f>EEFFun!AW642</f>
        <v>0</v>
      </c>
      <c r="AX172" s="279">
        <f>EEFFun!AX642</f>
        <v>0</v>
      </c>
      <c r="AY172" s="297">
        <f t="shared" ref="AY172:BJ172" si="968">AY173</f>
        <v>0</v>
      </c>
      <c r="AZ172" s="297">
        <f t="shared" si="968"/>
        <v>0</v>
      </c>
      <c r="BA172" s="297">
        <f t="shared" si="968"/>
        <v>0</v>
      </c>
      <c r="BB172" s="297">
        <f t="shared" si="968"/>
        <v>0</v>
      </c>
      <c r="BC172" s="297">
        <f t="shared" si="968"/>
        <v>0</v>
      </c>
      <c r="BD172" s="297">
        <f t="shared" si="968"/>
        <v>0</v>
      </c>
      <c r="BE172" s="297">
        <f t="shared" si="968"/>
        <v>0</v>
      </c>
      <c r="BF172" s="297">
        <f t="shared" si="968"/>
        <v>0</v>
      </c>
      <c r="BG172" s="297">
        <f t="shared" si="968"/>
        <v>0</v>
      </c>
      <c r="BH172" s="297">
        <f t="shared" si="968"/>
        <v>0</v>
      </c>
      <c r="BI172" s="297">
        <f t="shared" si="968"/>
        <v>0</v>
      </c>
      <c r="BJ172" s="297">
        <f t="shared" si="968"/>
        <v>0</v>
      </c>
      <c r="BK172" s="297">
        <f t="shared" si="955"/>
        <v>0</v>
      </c>
      <c r="BL172" s="297">
        <f t="shared" si="955"/>
        <v>0</v>
      </c>
      <c r="BM172" s="297">
        <f t="shared" si="955"/>
        <v>0</v>
      </c>
      <c r="BN172" s="297">
        <f t="shared" si="955"/>
        <v>0</v>
      </c>
      <c r="BO172" s="297">
        <f t="shared" si="955"/>
        <v>0</v>
      </c>
      <c r="BP172" s="297">
        <f t="shared" si="955"/>
        <v>0</v>
      </c>
      <c r="BQ172" s="297">
        <f t="shared" si="955"/>
        <v>0</v>
      </c>
      <c r="BR172" s="297">
        <f t="shared" si="955"/>
        <v>0</v>
      </c>
      <c r="BS172" s="297">
        <f t="shared" si="955"/>
        <v>0</v>
      </c>
      <c r="BT172" s="297">
        <f t="shared" si="955"/>
        <v>0</v>
      </c>
      <c r="BU172" s="297">
        <f t="shared" si="955"/>
        <v>0</v>
      </c>
      <c r="BV172" s="297">
        <f t="shared" si="955"/>
        <v>0</v>
      </c>
      <c r="BW172" s="373"/>
    </row>
    <row r="173" spans="1:75" outlineLevel="1" x14ac:dyDescent="0.25">
      <c r="A173" s="222">
        <v>6</v>
      </c>
      <c r="B173" s="233">
        <f>EEFFun!B643</f>
        <v>5290</v>
      </c>
      <c r="C173" s="233" t="str">
        <f>EEFFun!C643</f>
        <v>Otras</v>
      </c>
      <c r="D173" s="257">
        <f>EEFFun!P643</f>
        <v>0</v>
      </c>
      <c r="E173" s="295">
        <f t="shared" ref="E173" si="969">Q173</f>
        <v>0</v>
      </c>
      <c r="F173" s="295">
        <f t="shared" ref="F173" si="970">R173-Q173</f>
        <v>0</v>
      </c>
      <c r="G173" s="295">
        <f t="shared" ref="G173" si="971">S173-R173</f>
        <v>0</v>
      </c>
      <c r="H173" s="295">
        <f t="shared" ref="H173" si="972">T173-S173</f>
        <v>0</v>
      </c>
      <c r="I173" s="295">
        <f t="shared" ref="I173" si="973">U173-T173</f>
        <v>0</v>
      </c>
      <c r="J173" s="295">
        <f t="shared" ref="J173" si="974">V173-U173</f>
        <v>0</v>
      </c>
      <c r="K173" s="295">
        <f t="shared" ref="K173" si="975">W173-V173</f>
        <v>0</v>
      </c>
      <c r="L173" s="295">
        <f t="shared" ref="L173" si="976">X173-W173</f>
        <v>0</v>
      </c>
      <c r="M173" s="295">
        <f t="shared" ref="M173" si="977">Y173-X173</f>
        <v>0</v>
      </c>
      <c r="N173" s="295">
        <f t="shared" ref="N173" si="978">Z173-Y173</f>
        <v>0</v>
      </c>
      <c r="O173" s="295">
        <f t="shared" ref="O173" si="979">AA173-Z173</f>
        <v>0</v>
      </c>
      <c r="P173" s="295">
        <f t="shared" ref="P173" si="980">AB173-AA173</f>
        <v>0</v>
      </c>
      <c r="Q173" s="257">
        <f>EEFFun!Q643</f>
        <v>0</v>
      </c>
      <c r="R173" s="257">
        <f>EEFFun!R643</f>
        <v>0</v>
      </c>
      <c r="S173" s="257">
        <f>EEFFun!S643</f>
        <v>0</v>
      </c>
      <c r="T173" s="257">
        <f>EEFFun!T643</f>
        <v>0</v>
      </c>
      <c r="U173" s="257">
        <f>EEFFun!U643</f>
        <v>0</v>
      </c>
      <c r="V173" s="257">
        <f>EEFFun!V643</f>
        <v>0</v>
      </c>
      <c r="W173" s="257">
        <f>EEFFun!W643</f>
        <v>0</v>
      </c>
      <c r="X173" s="257">
        <f>EEFFun!X643</f>
        <v>0</v>
      </c>
      <c r="Y173" s="257">
        <f>EEFFun!Y643</f>
        <v>0</v>
      </c>
      <c r="Z173" s="257">
        <f>EEFFun!Z643</f>
        <v>0</v>
      </c>
      <c r="AA173" s="257">
        <f>EEFFun!AA643</f>
        <v>0</v>
      </c>
      <c r="AB173" s="257">
        <f>EEFFun!AB643</f>
        <v>0</v>
      </c>
      <c r="AC173" s="257">
        <f>EEFFun!AC643</f>
        <v>0</v>
      </c>
      <c r="AD173" s="257">
        <f>EEFFun!AD643</f>
        <v>1205.3599999999999</v>
      </c>
      <c r="AE173" s="257">
        <f>EEFFun!AE643</f>
        <v>1205.3599999999999</v>
      </c>
      <c r="AF173" s="257">
        <f>EEFFun!AF643</f>
        <v>1205.3599999999999</v>
      </c>
      <c r="AG173" s="257">
        <f>EEFFun!AG643</f>
        <v>1205.3599999999999</v>
      </c>
      <c r="AH173" s="257">
        <f>EEFFun!AH643</f>
        <v>1205.3599999999999</v>
      </c>
      <c r="AI173" s="257">
        <f>EEFFun!AI643</f>
        <v>1205.3599999999999</v>
      </c>
      <c r="AJ173" s="257">
        <f>EEFFun!AJ643</f>
        <v>1205.3599999999999</v>
      </c>
      <c r="AK173" s="257">
        <f>EEFFun!AK643</f>
        <v>1205.3599999999999</v>
      </c>
      <c r="AL173" s="257">
        <f>EEFFun!AL643</f>
        <v>1205.3599999999999</v>
      </c>
      <c r="AM173" s="257">
        <f>EEFFun!AM643</f>
        <v>1205.3599999999999</v>
      </c>
      <c r="AN173" s="257">
        <f>EEFFun!AN643</f>
        <v>1205.3599999999999</v>
      </c>
      <c r="AO173" s="257">
        <f>EEFFun!AO643</f>
        <v>0</v>
      </c>
      <c r="AP173" s="257">
        <f>EEFFun!AP643</f>
        <v>0</v>
      </c>
      <c r="AQ173" s="257">
        <f>EEFFun!AQ643</f>
        <v>0</v>
      </c>
      <c r="AR173" s="257">
        <f>EEFFun!AR643</f>
        <v>0</v>
      </c>
      <c r="AS173" s="257">
        <f>EEFFun!AS643</f>
        <v>0</v>
      </c>
      <c r="AT173" s="257">
        <f>EEFFun!AT643</f>
        <v>0</v>
      </c>
      <c r="AU173" s="257">
        <f>EEFFun!AU643</f>
        <v>0</v>
      </c>
      <c r="AV173" s="257">
        <f>EEFFun!AV643</f>
        <v>0</v>
      </c>
      <c r="AW173" s="257">
        <f>EEFFun!AW643</f>
        <v>0</v>
      </c>
      <c r="AX173" s="257">
        <f>EEFFun!AX643</f>
        <v>0</v>
      </c>
      <c r="AY173" s="378">
        <v>0</v>
      </c>
      <c r="AZ173" s="378">
        <v>0</v>
      </c>
      <c r="BA173" s="378">
        <v>0</v>
      </c>
      <c r="BB173" s="378">
        <v>0</v>
      </c>
      <c r="BC173" s="378">
        <v>0</v>
      </c>
      <c r="BD173" s="378">
        <v>0</v>
      </c>
      <c r="BE173" s="378">
        <v>0</v>
      </c>
      <c r="BF173" s="378">
        <v>0</v>
      </c>
      <c r="BG173" s="378">
        <v>0</v>
      </c>
      <c r="BH173" s="378">
        <v>0</v>
      </c>
      <c r="BI173" s="378">
        <v>0</v>
      </c>
      <c r="BJ173" s="378">
        <v>0</v>
      </c>
      <c r="BK173" s="295">
        <f>SUM($AY$173:AY173)</f>
        <v>0</v>
      </c>
      <c r="BL173" s="295">
        <f>SUM($AY$173:AZ173)</f>
        <v>0</v>
      </c>
      <c r="BM173" s="295">
        <f>SUM($AY$173:BA173)</f>
        <v>0</v>
      </c>
      <c r="BN173" s="295">
        <f>SUM($AY$173:BB173)</f>
        <v>0</v>
      </c>
      <c r="BO173" s="295">
        <f>SUM($AY$173:BC173)</f>
        <v>0</v>
      </c>
      <c r="BP173" s="295">
        <f>SUM($AY$173:BD173)</f>
        <v>0</v>
      </c>
      <c r="BQ173" s="295">
        <f>SUM($AY$173:BE173)</f>
        <v>0</v>
      </c>
      <c r="BR173" s="295">
        <f>SUM($AY$173:BF173)</f>
        <v>0</v>
      </c>
      <c r="BS173" s="295">
        <f>SUM($AY$173:BG173)</f>
        <v>0</v>
      </c>
      <c r="BT173" s="295">
        <f>SUM($AY$173:BH173)</f>
        <v>0</v>
      </c>
      <c r="BU173" s="295">
        <f>SUM($AY$173:BI173)</f>
        <v>0</v>
      </c>
      <c r="BV173" s="295">
        <f>SUM($AY$173:BJ173)</f>
        <v>0</v>
      </c>
      <c r="BW173" s="291"/>
    </row>
    <row r="174" spans="1:75" s="229" customFormat="1" x14ac:dyDescent="0.25">
      <c r="A174" s="222">
        <v>2</v>
      </c>
      <c r="B174" s="223">
        <f>EEFFun!B644</f>
        <v>53</v>
      </c>
      <c r="C174" s="223" t="str">
        <f>EEFFun!C644</f>
        <v>UTILIDADES FINANCIERAS</v>
      </c>
      <c r="D174" s="279">
        <f>EEFFun!P644</f>
        <v>10962.62</v>
      </c>
      <c r="E174" s="297">
        <f>E175+E178</f>
        <v>0</v>
      </c>
      <c r="F174" s="297">
        <f>F175+F178</f>
        <v>0</v>
      </c>
      <c r="G174" s="297">
        <f>G175+G178</f>
        <v>0</v>
      </c>
      <c r="H174" s="297">
        <f t="shared" ref="H174:O174" si="981">H175+H178</f>
        <v>0</v>
      </c>
      <c r="I174" s="297">
        <f t="shared" si="981"/>
        <v>0</v>
      </c>
      <c r="J174" s="297">
        <f t="shared" si="981"/>
        <v>46599.31</v>
      </c>
      <c r="K174" s="297">
        <f t="shared" si="981"/>
        <v>46226.710000000006</v>
      </c>
      <c r="L174" s="297">
        <f t="shared" si="981"/>
        <v>44648.729999999996</v>
      </c>
      <c r="M174" s="297">
        <f t="shared" si="981"/>
        <v>54818.579999999987</v>
      </c>
      <c r="N174" s="297">
        <f t="shared" si="981"/>
        <v>55808.72</v>
      </c>
      <c r="O174" s="297">
        <f t="shared" si="981"/>
        <v>16849.119999999995</v>
      </c>
      <c r="P174" s="297">
        <f t="shared" ref="P174" si="982">P175+P178</f>
        <v>120024.34000000003</v>
      </c>
      <c r="Q174" s="279">
        <f>EEFFun!Q644</f>
        <v>0</v>
      </c>
      <c r="R174" s="279">
        <f>EEFFun!R644</f>
        <v>0</v>
      </c>
      <c r="S174" s="279">
        <f>EEFFun!S644</f>
        <v>0</v>
      </c>
      <c r="T174" s="279">
        <f>EEFFun!T644</f>
        <v>0</v>
      </c>
      <c r="U174" s="279">
        <f>EEFFun!U644</f>
        <v>0</v>
      </c>
      <c r="V174" s="279">
        <f>EEFFun!V644</f>
        <v>46599.31</v>
      </c>
      <c r="W174" s="279">
        <f>EEFFun!W644</f>
        <v>92826.02</v>
      </c>
      <c r="X174" s="279">
        <f>EEFFun!X644</f>
        <v>137474.75</v>
      </c>
      <c r="Y174" s="279">
        <f>EEFFun!Y644</f>
        <v>192293.33</v>
      </c>
      <c r="Z174" s="279">
        <f>EEFFun!Z644</f>
        <v>248102.05</v>
      </c>
      <c r="AA174" s="279">
        <f>EEFFun!AA644</f>
        <v>264951.17</v>
      </c>
      <c r="AB174" s="279">
        <f>EEFFun!AB644</f>
        <v>384975.51</v>
      </c>
      <c r="AC174" s="279">
        <f>EEFFun!AC644</f>
        <v>58945.13</v>
      </c>
      <c r="AD174" s="279">
        <f>EEFFun!AD644</f>
        <v>110897.04</v>
      </c>
      <c r="AE174" s="279">
        <f>EEFFun!AE644</f>
        <v>155818.60999999999</v>
      </c>
      <c r="AF174" s="279">
        <f>EEFFun!AF644</f>
        <v>215995.1</v>
      </c>
      <c r="AG174" s="279">
        <f>EEFFun!AG644</f>
        <v>275038.45</v>
      </c>
      <c r="AH174" s="279">
        <f>EEFFun!AH644</f>
        <v>328061.96000000002</v>
      </c>
      <c r="AI174" s="279">
        <f>EEFFun!AI644</f>
        <v>353249.62</v>
      </c>
      <c r="AJ174" s="279">
        <f>EEFFun!AJ644</f>
        <v>429448.93</v>
      </c>
      <c r="AK174" s="279">
        <f>EEFFun!AK644</f>
        <v>509824.1</v>
      </c>
      <c r="AL174" s="279">
        <f>EEFFun!AL644</f>
        <v>559572.31000000006</v>
      </c>
      <c r="AM174" s="279">
        <f>EEFFun!AM644</f>
        <v>644753.12</v>
      </c>
      <c r="AN174" s="279">
        <f>EEFFun!AN644</f>
        <v>890921.56</v>
      </c>
      <c r="AO174" s="279">
        <f>EEFFun!AO644</f>
        <v>179961.32</v>
      </c>
      <c r="AP174" s="279">
        <f>EEFFun!AP644</f>
        <v>395140.92</v>
      </c>
      <c r="AQ174" s="279">
        <f>EEFFun!AQ644</f>
        <v>591069.65</v>
      </c>
      <c r="AR174" s="279">
        <f>EEFFun!AR644</f>
        <v>697641.36</v>
      </c>
      <c r="AS174" s="279">
        <f>EEFFun!AS644</f>
        <v>807618.19</v>
      </c>
      <c r="AT174" s="279">
        <f>EEFFun!AT644</f>
        <v>903690.54</v>
      </c>
      <c r="AU174" s="279">
        <f>EEFFun!AU644</f>
        <v>1116956.81</v>
      </c>
      <c r="AV174" s="279">
        <f>EEFFun!AV644</f>
        <v>1138542.04</v>
      </c>
      <c r="AW174" s="279">
        <f>EEFFun!AW644</f>
        <v>1134431.03</v>
      </c>
      <c r="AX174" s="279">
        <f>EEFFun!AX644</f>
        <v>1118646.6000000001</v>
      </c>
      <c r="AY174" s="297">
        <f t="shared" ref="AY174:BE174" si="983">AY175+AY178</f>
        <v>150000</v>
      </c>
      <c r="AZ174" s="297">
        <f t="shared" si="983"/>
        <v>150000</v>
      </c>
      <c r="BA174" s="297">
        <f t="shared" si="983"/>
        <v>150000</v>
      </c>
      <c r="BB174" s="297">
        <f t="shared" si="983"/>
        <v>150000</v>
      </c>
      <c r="BC174" s="297">
        <f t="shared" si="983"/>
        <v>150000</v>
      </c>
      <c r="BD174" s="297">
        <f t="shared" si="983"/>
        <v>150000</v>
      </c>
      <c r="BE174" s="297">
        <f t="shared" si="983"/>
        <v>150000</v>
      </c>
      <c r="BF174" s="297">
        <f t="shared" ref="BF174" si="984">BF175+BF178</f>
        <v>150000</v>
      </c>
      <c r="BG174" s="297">
        <f t="shared" ref="BG174" si="985">BG175+BG178</f>
        <v>150000</v>
      </c>
      <c r="BH174" s="297">
        <f t="shared" ref="BH174" si="986">BH175+BH178</f>
        <v>150000</v>
      </c>
      <c r="BI174" s="297">
        <f t="shared" ref="BI174" si="987">BI175+BI178</f>
        <v>150000</v>
      </c>
      <c r="BJ174" s="297">
        <f t="shared" ref="BJ174" si="988">BJ175+BJ178</f>
        <v>150000</v>
      </c>
      <c r="BK174" s="297">
        <f t="shared" ref="BK174:BQ174" si="989">BK175+BK178</f>
        <v>150000</v>
      </c>
      <c r="BL174" s="297">
        <f t="shared" si="989"/>
        <v>300000</v>
      </c>
      <c r="BM174" s="297">
        <f t="shared" si="989"/>
        <v>450000</v>
      </c>
      <c r="BN174" s="297">
        <f t="shared" si="989"/>
        <v>600000</v>
      </c>
      <c r="BO174" s="297">
        <f t="shared" si="989"/>
        <v>750000</v>
      </c>
      <c r="BP174" s="297">
        <f t="shared" si="989"/>
        <v>900000</v>
      </c>
      <c r="BQ174" s="297">
        <f t="shared" si="989"/>
        <v>1050000</v>
      </c>
      <c r="BR174" s="297">
        <f t="shared" ref="BR174" si="990">BR175+BR178</f>
        <v>1200000</v>
      </c>
      <c r="BS174" s="297">
        <f t="shared" ref="BS174" si="991">BS175+BS178</f>
        <v>1350000</v>
      </c>
      <c r="BT174" s="297">
        <f t="shared" ref="BT174" si="992">BT175+BT178</f>
        <v>1500000</v>
      </c>
      <c r="BU174" s="297">
        <f t="shared" ref="BU174" si="993">BU175+BU178</f>
        <v>1650000</v>
      </c>
      <c r="BV174" s="297">
        <f t="shared" ref="BV174" si="994">BV175+BV178</f>
        <v>1800000</v>
      </c>
      <c r="BW174" s="373"/>
    </row>
    <row r="175" spans="1:75" s="229" customFormat="1" outlineLevel="1" x14ac:dyDescent="0.25">
      <c r="A175" s="222">
        <v>4</v>
      </c>
      <c r="B175" s="223">
        <f>EEFFun!B645</f>
        <v>5303</v>
      </c>
      <c r="C175" s="223" t="str">
        <f>EEFFun!C645</f>
        <v>En venta de activos productivos</v>
      </c>
      <c r="D175" s="279">
        <f>EEFFun!P645</f>
        <v>2489.69</v>
      </c>
      <c r="E175" s="297">
        <f>SUM(E176:E177)</f>
        <v>0</v>
      </c>
      <c r="F175" s="297">
        <f t="shared" ref="F175:BV175" si="995">SUM(F176:F177)</f>
        <v>0</v>
      </c>
      <c r="G175" s="297">
        <f t="shared" si="995"/>
        <v>0</v>
      </c>
      <c r="H175" s="297">
        <f t="shared" si="995"/>
        <v>0</v>
      </c>
      <c r="I175" s="297">
        <f t="shared" si="995"/>
        <v>0</v>
      </c>
      <c r="J175" s="297">
        <f t="shared" si="995"/>
        <v>46599.31</v>
      </c>
      <c r="K175" s="297">
        <f t="shared" si="995"/>
        <v>46226.710000000006</v>
      </c>
      <c r="L175" s="297">
        <f t="shared" si="995"/>
        <v>44648.729999999996</v>
      </c>
      <c r="M175" s="297">
        <f t="shared" si="995"/>
        <v>54818.579999999987</v>
      </c>
      <c r="N175" s="297">
        <f t="shared" si="995"/>
        <v>55808.72</v>
      </c>
      <c r="O175" s="297">
        <f t="shared" si="995"/>
        <v>16849.119999999995</v>
      </c>
      <c r="P175" s="297">
        <f t="shared" ref="P175" si="996">SUM(P176:P177)</f>
        <v>120024.34000000003</v>
      </c>
      <c r="Q175" s="297">
        <f t="shared" si="995"/>
        <v>0</v>
      </c>
      <c r="R175" s="297">
        <f t="shared" si="995"/>
        <v>0</v>
      </c>
      <c r="S175" s="297">
        <f t="shared" si="995"/>
        <v>0</v>
      </c>
      <c r="T175" s="297">
        <f t="shared" si="995"/>
        <v>0</v>
      </c>
      <c r="U175" s="297">
        <f t="shared" si="995"/>
        <v>0</v>
      </c>
      <c r="V175" s="297">
        <f t="shared" si="995"/>
        <v>46599.31</v>
      </c>
      <c r="W175" s="297">
        <f t="shared" si="995"/>
        <v>92826.02</v>
      </c>
      <c r="X175" s="297">
        <f t="shared" si="995"/>
        <v>137474.75</v>
      </c>
      <c r="Y175" s="297">
        <f t="shared" si="995"/>
        <v>192293.33</v>
      </c>
      <c r="Z175" s="297">
        <f t="shared" si="995"/>
        <v>248102.05</v>
      </c>
      <c r="AA175" s="297">
        <f t="shared" si="995"/>
        <v>264951.17</v>
      </c>
      <c r="AB175" s="297">
        <f t="shared" ref="AB175" si="997">SUM(AB176:AB177)</f>
        <v>384975.51</v>
      </c>
      <c r="AC175" s="297">
        <f t="shared" ref="AC175:AH175" si="998">SUM(AC176:AC177)</f>
        <v>58945.13</v>
      </c>
      <c r="AD175" s="297">
        <f t="shared" si="998"/>
        <v>110897.04</v>
      </c>
      <c r="AE175" s="297">
        <f t="shared" si="998"/>
        <v>155818.60999999999</v>
      </c>
      <c r="AF175" s="297">
        <f t="shared" si="998"/>
        <v>215995.1</v>
      </c>
      <c r="AG175" s="297">
        <f t="shared" si="998"/>
        <v>275038.45</v>
      </c>
      <c r="AH175" s="297">
        <f t="shared" si="998"/>
        <v>328061.96000000002</v>
      </c>
      <c r="AI175" s="297">
        <f t="shared" ref="AI175:BQ175" si="999">SUM(AI176:AI177)</f>
        <v>353249.62</v>
      </c>
      <c r="AJ175" s="297">
        <f t="shared" si="999"/>
        <v>429448.93</v>
      </c>
      <c r="AK175" s="297">
        <f t="shared" si="999"/>
        <v>509824.1</v>
      </c>
      <c r="AL175" s="297">
        <f t="shared" si="999"/>
        <v>559572.31000000006</v>
      </c>
      <c r="AM175" s="297">
        <f t="shared" si="999"/>
        <v>644753.12</v>
      </c>
      <c r="AN175" s="297">
        <f t="shared" si="999"/>
        <v>890921.56</v>
      </c>
      <c r="AO175" s="297">
        <f t="shared" ref="AO175:AX175" si="1000">SUM(AO176:AO177)</f>
        <v>179961.32</v>
      </c>
      <c r="AP175" s="297">
        <f t="shared" si="1000"/>
        <v>395140.92</v>
      </c>
      <c r="AQ175" s="297">
        <f t="shared" si="1000"/>
        <v>591069.65</v>
      </c>
      <c r="AR175" s="297">
        <f t="shared" si="1000"/>
        <v>697641.36</v>
      </c>
      <c r="AS175" s="297">
        <f t="shared" si="1000"/>
        <v>807618.19</v>
      </c>
      <c r="AT175" s="297">
        <f t="shared" si="1000"/>
        <v>903690.54</v>
      </c>
      <c r="AU175" s="297">
        <f t="shared" si="1000"/>
        <v>1116955.04</v>
      </c>
      <c r="AV175" s="297">
        <f t="shared" si="1000"/>
        <v>1138540.27</v>
      </c>
      <c r="AW175" s="297">
        <f t="shared" si="1000"/>
        <v>1134429.26</v>
      </c>
      <c r="AX175" s="297">
        <f t="shared" si="1000"/>
        <v>1118644.83</v>
      </c>
      <c r="AY175" s="297">
        <f t="shared" ref="AY175:BJ175" si="1001">SUM(AY176:AY176)</f>
        <v>150000</v>
      </c>
      <c r="AZ175" s="297">
        <f t="shared" si="1001"/>
        <v>150000</v>
      </c>
      <c r="BA175" s="297">
        <f t="shared" si="1001"/>
        <v>150000</v>
      </c>
      <c r="BB175" s="297">
        <f t="shared" si="1001"/>
        <v>150000</v>
      </c>
      <c r="BC175" s="297">
        <f t="shared" si="1001"/>
        <v>150000</v>
      </c>
      <c r="BD175" s="297">
        <f t="shared" si="1001"/>
        <v>150000</v>
      </c>
      <c r="BE175" s="297">
        <f t="shared" si="1001"/>
        <v>150000</v>
      </c>
      <c r="BF175" s="297">
        <f t="shared" si="1001"/>
        <v>150000</v>
      </c>
      <c r="BG175" s="297">
        <f t="shared" si="1001"/>
        <v>150000</v>
      </c>
      <c r="BH175" s="297">
        <f t="shared" si="1001"/>
        <v>150000</v>
      </c>
      <c r="BI175" s="297">
        <f t="shared" si="1001"/>
        <v>150000</v>
      </c>
      <c r="BJ175" s="297">
        <f t="shared" si="1001"/>
        <v>150000</v>
      </c>
      <c r="BK175" s="297">
        <f t="shared" si="999"/>
        <v>150000</v>
      </c>
      <c r="BL175" s="297">
        <f t="shared" si="999"/>
        <v>300000</v>
      </c>
      <c r="BM175" s="297">
        <f t="shared" si="999"/>
        <v>450000</v>
      </c>
      <c r="BN175" s="297">
        <f t="shared" si="999"/>
        <v>600000</v>
      </c>
      <c r="BO175" s="297">
        <f t="shared" si="999"/>
        <v>750000</v>
      </c>
      <c r="BP175" s="297">
        <f t="shared" si="999"/>
        <v>900000</v>
      </c>
      <c r="BQ175" s="297">
        <f t="shared" si="999"/>
        <v>1050000</v>
      </c>
      <c r="BR175" s="297">
        <f t="shared" si="995"/>
        <v>1200000</v>
      </c>
      <c r="BS175" s="297">
        <f t="shared" si="995"/>
        <v>1350000</v>
      </c>
      <c r="BT175" s="297">
        <f t="shared" si="995"/>
        <v>1500000</v>
      </c>
      <c r="BU175" s="297">
        <f t="shared" si="995"/>
        <v>1650000</v>
      </c>
      <c r="BV175" s="297">
        <f t="shared" si="995"/>
        <v>1800000</v>
      </c>
      <c r="BW175" s="284"/>
    </row>
    <row r="176" spans="1:75" outlineLevel="1" x14ac:dyDescent="0.25">
      <c r="A176" s="222">
        <v>6</v>
      </c>
      <c r="B176" s="233">
        <f>EEFFun!B646</f>
        <v>530310</v>
      </c>
      <c r="C176" s="233" t="str">
        <f>EEFFun!C646</f>
        <v>En venta de cartera de créditos</v>
      </c>
      <c r="D176" s="279">
        <f>EEFFun!P646</f>
        <v>0</v>
      </c>
      <c r="E176" s="295">
        <f t="shared" ref="E176" si="1002">Q176</f>
        <v>0</v>
      </c>
      <c r="F176" s="295">
        <f>R176-Q176</f>
        <v>0</v>
      </c>
      <c r="G176" s="295">
        <f>S176-R176</f>
        <v>0</v>
      </c>
      <c r="H176" s="295">
        <f t="shared" ref="H176" si="1003">T176-S176</f>
        <v>0</v>
      </c>
      <c r="I176" s="295">
        <f t="shared" ref="I176" si="1004">U176-T176</f>
        <v>0</v>
      </c>
      <c r="J176" s="295">
        <f t="shared" ref="J176" si="1005">V176-U176</f>
        <v>46599.31</v>
      </c>
      <c r="K176" s="295">
        <f t="shared" ref="K176" si="1006">W176-V176</f>
        <v>46226.710000000006</v>
      </c>
      <c r="L176" s="295">
        <f t="shared" ref="L176" si="1007">X176-W176</f>
        <v>44648.729999999996</v>
      </c>
      <c r="M176" s="295">
        <f t="shared" ref="M176" si="1008">Y176-X176</f>
        <v>54818.579999999987</v>
      </c>
      <c r="N176" s="295">
        <f t="shared" ref="N176" si="1009">Z176-Y176</f>
        <v>55808.72</v>
      </c>
      <c r="O176" s="295">
        <f t="shared" ref="O176:P176" si="1010">AA176-Z176</f>
        <v>16849.119999999995</v>
      </c>
      <c r="P176" s="295">
        <f t="shared" si="1010"/>
        <v>120024.34000000003</v>
      </c>
      <c r="Q176" s="279">
        <f>EEFFun!Q646</f>
        <v>0</v>
      </c>
      <c r="R176" s="279">
        <f>EEFFun!R646</f>
        <v>0</v>
      </c>
      <c r="S176" s="279">
        <f>EEFFun!S646</f>
        <v>0</v>
      </c>
      <c r="T176" s="279">
        <f>EEFFun!T646</f>
        <v>0</v>
      </c>
      <c r="U176" s="279">
        <f>EEFFun!U646</f>
        <v>0</v>
      </c>
      <c r="V176" s="279">
        <f>EEFFun!V646</f>
        <v>46599.31</v>
      </c>
      <c r="W176" s="279">
        <f>EEFFun!W646</f>
        <v>92826.02</v>
      </c>
      <c r="X176" s="279">
        <f>EEFFun!X646</f>
        <v>137474.75</v>
      </c>
      <c r="Y176" s="279">
        <f>EEFFun!Y646</f>
        <v>192293.33</v>
      </c>
      <c r="Z176" s="279">
        <f>EEFFun!Z646</f>
        <v>248102.05</v>
      </c>
      <c r="AA176" s="279">
        <f>EEFFun!AA646</f>
        <v>264951.17</v>
      </c>
      <c r="AB176" s="279">
        <f>EEFFun!AB646</f>
        <v>384975.51</v>
      </c>
      <c r="AC176" s="279">
        <f>EEFFun!AC646</f>
        <v>58945.13</v>
      </c>
      <c r="AD176" s="279">
        <f>EEFFun!AD646</f>
        <v>110897.04</v>
      </c>
      <c r="AE176" s="279">
        <f>EEFFun!AE646</f>
        <v>155818.60999999999</v>
      </c>
      <c r="AF176" s="279">
        <f>EEFFun!AF646</f>
        <v>215995.1</v>
      </c>
      <c r="AG176" s="279">
        <f>EEFFun!AG646</f>
        <v>275038.45</v>
      </c>
      <c r="AH176" s="279">
        <f>EEFFun!AH646</f>
        <v>328061.96000000002</v>
      </c>
      <c r="AI176" s="279">
        <f>EEFFun!AI646</f>
        <v>353249.62</v>
      </c>
      <c r="AJ176" s="279">
        <f>EEFFun!AJ646</f>
        <v>429448.93</v>
      </c>
      <c r="AK176" s="279">
        <f>EEFFun!AK646</f>
        <v>509824.1</v>
      </c>
      <c r="AL176" s="279">
        <f>EEFFun!AL646</f>
        <v>559572.31000000006</v>
      </c>
      <c r="AM176" s="279">
        <f>EEFFun!AM646</f>
        <v>644753.12</v>
      </c>
      <c r="AN176" s="279">
        <f>EEFFun!AN646</f>
        <v>890921.56</v>
      </c>
      <c r="AO176" s="279">
        <f>EEFFun!AO646</f>
        <v>179961.32</v>
      </c>
      <c r="AP176" s="279">
        <f>EEFFun!AP646</f>
        <v>395140.92</v>
      </c>
      <c r="AQ176" s="279">
        <f>EEFFun!AQ646</f>
        <v>591069.65</v>
      </c>
      <c r="AR176" s="279">
        <f>EEFFun!AR646</f>
        <v>697641.36</v>
      </c>
      <c r="AS176" s="279">
        <f>EEFFun!AS646</f>
        <v>807618.19</v>
      </c>
      <c r="AT176" s="279">
        <f>EEFFun!AT646</f>
        <v>903690.54</v>
      </c>
      <c r="AU176" s="279">
        <f>EEFFun!AU646</f>
        <v>1116955.04</v>
      </c>
      <c r="AV176" s="279">
        <f>EEFFun!AV646</f>
        <v>1138540.27</v>
      </c>
      <c r="AW176" s="279">
        <f>EEFFun!AW646</f>
        <v>1134429.26</v>
      </c>
      <c r="AX176" s="279">
        <f>EEFFun!AX646</f>
        <v>1118644.83</v>
      </c>
      <c r="AY176" s="257">
        <f>OVA!D7</f>
        <v>150000</v>
      </c>
      <c r="AZ176" s="257">
        <f>OVA!E7</f>
        <v>150000</v>
      </c>
      <c r="BA176" s="257">
        <f>OVA!F7</f>
        <v>150000</v>
      </c>
      <c r="BB176" s="257">
        <f>OVA!G7</f>
        <v>150000</v>
      </c>
      <c r="BC176" s="257">
        <f>OVA!H7</f>
        <v>150000</v>
      </c>
      <c r="BD176" s="257">
        <f>OVA!I7</f>
        <v>150000</v>
      </c>
      <c r="BE176" s="257">
        <f>OVA!J7</f>
        <v>150000</v>
      </c>
      <c r="BF176" s="257">
        <f>OVA!K7</f>
        <v>150000</v>
      </c>
      <c r="BG176" s="257">
        <f>OVA!L7</f>
        <v>150000</v>
      </c>
      <c r="BH176" s="257">
        <f>OVA!M7</f>
        <v>150000</v>
      </c>
      <c r="BI176" s="257">
        <f>OVA!N7</f>
        <v>150000</v>
      </c>
      <c r="BJ176" s="257">
        <f>OVA!O7</f>
        <v>150000</v>
      </c>
      <c r="BK176" s="295">
        <f>SUM($AY176:AY$176)</f>
        <v>150000</v>
      </c>
      <c r="BL176" s="295">
        <f>SUM($AY176:AZ$176)</f>
        <v>300000</v>
      </c>
      <c r="BM176" s="295">
        <f>SUM($AY176:BA$176)</f>
        <v>450000</v>
      </c>
      <c r="BN176" s="295">
        <f>SUM($AY176:BB$176)</f>
        <v>600000</v>
      </c>
      <c r="BO176" s="295">
        <f>SUM($AY176:BC$176)</f>
        <v>750000</v>
      </c>
      <c r="BP176" s="295">
        <f>SUM($AY176:BD$176)</f>
        <v>900000</v>
      </c>
      <c r="BQ176" s="295">
        <f>SUM($AY176:BE$176)</f>
        <v>1050000</v>
      </c>
      <c r="BR176" s="295">
        <f>SUM($AY176:BF$176)</f>
        <v>1200000</v>
      </c>
      <c r="BS176" s="295">
        <f>SUM($AY176:BG$176)</f>
        <v>1350000</v>
      </c>
      <c r="BT176" s="295">
        <f>SUM($AY176:BH$176)</f>
        <v>1500000</v>
      </c>
      <c r="BU176" s="295">
        <f>SUM($AY176:BI$176)</f>
        <v>1650000</v>
      </c>
      <c r="BV176" s="295">
        <f>SUM($AY176:BJ$176)</f>
        <v>1800000</v>
      </c>
      <c r="BW176" s="291"/>
    </row>
    <row r="177" spans="1:75" outlineLevel="1" x14ac:dyDescent="0.25">
      <c r="A177" s="222">
        <v>6</v>
      </c>
      <c r="B177" s="233">
        <f>EEFFun!B647</f>
        <v>530390</v>
      </c>
      <c r="C177" s="233" t="str">
        <f>EEFFun!C647</f>
        <v>Otras - premio OVA</v>
      </c>
      <c r="D177" s="279">
        <f>EEFFun!P647</f>
        <v>2489.69</v>
      </c>
      <c r="E177" s="295">
        <f t="shared" ref="E177:E178" si="1011">Q177</f>
        <v>0</v>
      </c>
      <c r="F177" s="295">
        <f>R177-Q177</f>
        <v>0</v>
      </c>
      <c r="G177" s="295">
        <f>S177-R177</f>
        <v>0</v>
      </c>
      <c r="H177" s="295">
        <f t="shared" ref="H177:H178" si="1012">T177-S177</f>
        <v>0</v>
      </c>
      <c r="I177" s="295">
        <f t="shared" ref="I177:I178" si="1013">U177-T177</f>
        <v>0</v>
      </c>
      <c r="J177" s="295">
        <f t="shared" ref="J177:J178" si="1014">V177-U177</f>
        <v>0</v>
      </c>
      <c r="K177" s="295">
        <f t="shared" ref="K177:K178" si="1015">W177-V177</f>
        <v>0</v>
      </c>
      <c r="L177" s="295">
        <f t="shared" ref="L177:L178" si="1016">X177-W177</f>
        <v>0</v>
      </c>
      <c r="M177" s="295">
        <f t="shared" ref="M177:M178" si="1017">Y177-X177</f>
        <v>0</v>
      </c>
      <c r="N177" s="295">
        <f t="shared" ref="N177:N178" si="1018">Z177-Y177</f>
        <v>0</v>
      </c>
      <c r="O177" s="295">
        <f t="shared" ref="O177:P178" si="1019">AA177-Z177</f>
        <v>0</v>
      </c>
      <c r="P177" s="295">
        <f t="shared" si="1019"/>
        <v>0</v>
      </c>
      <c r="Q177" s="279">
        <f>EEFFun!Q647</f>
        <v>0</v>
      </c>
      <c r="R177" s="279">
        <f>EEFFun!R647</f>
        <v>0</v>
      </c>
      <c r="S177" s="279">
        <f>EEFFun!S647</f>
        <v>0</v>
      </c>
      <c r="T177" s="279">
        <f>EEFFun!T647</f>
        <v>0</v>
      </c>
      <c r="U177" s="279">
        <f>EEFFun!U647</f>
        <v>0</v>
      </c>
      <c r="V177" s="279">
        <f>EEFFun!V647</f>
        <v>0</v>
      </c>
      <c r="W177" s="279">
        <f>EEFFun!W647</f>
        <v>0</v>
      </c>
      <c r="X177" s="279">
        <f>EEFFun!X647</f>
        <v>0</v>
      </c>
      <c r="Y177" s="279">
        <f>EEFFun!Y647</f>
        <v>0</v>
      </c>
      <c r="Z177" s="279">
        <f>EEFFun!Z647</f>
        <v>0</v>
      </c>
      <c r="AA177" s="279">
        <f>EEFFun!AA647</f>
        <v>0</v>
      </c>
      <c r="AB177" s="279">
        <f>EEFFun!AB647</f>
        <v>0</v>
      </c>
      <c r="AC177" s="279">
        <f>EEFFun!AC647</f>
        <v>0</v>
      </c>
      <c r="AD177" s="279">
        <f>EEFFun!AD647</f>
        <v>0</v>
      </c>
      <c r="AE177" s="279">
        <f>EEFFun!AE647</f>
        <v>0</v>
      </c>
      <c r="AF177" s="279">
        <f>EEFFun!AF647</f>
        <v>0</v>
      </c>
      <c r="AG177" s="279">
        <f>EEFFun!AG647</f>
        <v>0</v>
      </c>
      <c r="AH177" s="279">
        <f>EEFFun!AH647</f>
        <v>0</v>
      </c>
      <c r="AI177" s="279">
        <f>EEFFun!AI647</f>
        <v>0</v>
      </c>
      <c r="AJ177" s="279">
        <f>EEFFun!AJ647</f>
        <v>0</v>
      </c>
      <c r="AK177" s="279">
        <f>EEFFun!AK647</f>
        <v>0</v>
      </c>
      <c r="AL177" s="279">
        <f>EEFFun!AL647</f>
        <v>0</v>
      </c>
      <c r="AM177" s="279">
        <f>EEFFun!AM647</f>
        <v>0</v>
      </c>
      <c r="AN177" s="279">
        <f>EEFFun!AN647</f>
        <v>0</v>
      </c>
      <c r="AO177" s="279">
        <f>EEFFun!AO647</f>
        <v>0</v>
      </c>
      <c r="AP177" s="279">
        <f>EEFFun!AP647</f>
        <v>0</v>
      </c>
      <c r="AQ177" s="279">
        <f>EEFFun!AQ647</f>
        <v>0</v>
      </c>
      <c r="AR177" s="279">
        <f>EEFFun!AR647</f>
        <v>0</v>
      </c>
      <c r="AS177" s="279">
        <f>EEFFun!AS647</f>
        <v>0</v>
      </c>
      <c r="AT177" s="279">
        <f>EEFFun!AT647</f>
        <v>0</v>
      </c>
      <c r="AU177" s="279">
        <f>EEFFun!AU647</f>
        <v>0</v>
      </c>
      <c r="AV177" s="279">
        <f>EEFFun!AV647</f>
        <v>0</v>
      </c>
      <c r="AW177" s="279">
        <f>EEFFun!AW647</f>
        <v>0</v>
      </c>
      <c r="AX177" s="279">
        <f>EEFFun!AX647</f>
        <v>0</v>
      </c>
      <c r="BK177" s="291"/>
      <c r="BL177" s="291"/>
      <c r="BM177" s="291"/>
      <c r="BN177" s="291"/>
      <c r="BO177" s="291"/>
      <c r="BP177" s="291"/>
      <c r="BQ177" s="291"/>
      <c r="BR177" s="291"/>
      <c r="BS177" s="291"/>
      <c r="BT177" s="291"/>
      <c r="BU177" s="291"/>
      <c r="BV177" s="291"/>
      <c r="BW177" s="291"/>
    </row>
    <row r="178" spans="1:75" s="229" customFormat="1" outlineLevel="1" x14ac:dyDescent="0.25">
      <c r="A178" s="222">
        <v>4</v>
      </c>
      <c r="B178" s="223">
        <f>EEFFun!B648</f>
        <v>5304</v>
      </c>
      <c r="C178" s="223" t="str">
        <f>EEFFun!C648</f>
        <v>Rendimientos por fideicomiso mercantil</v>
      </c>
      <c r="D178" s="279">
        <f>EEFFun!P648</f>
        <v>8472.93</v>
      </c>
      <c r="E178" s="295">
        <f t="shared" si="1011"/>
        <v>0</v>
      </c>
      <c r="F178" s="295">
        <f t="shared" ref="F178" si="1020">R178-Q178</f>
        <v>0</v>
      </c>
      <c r="G178" s="295">
        <f t="shared" ref="G178" si="1021">S178-R178</f>
        <v>0</v>
      </c>
      <c r="H178" s="295">
        <f t="shared" si="1012"/>
        <v>0</v>
      </c>
      <c r="I178" s="295">
        <f t="shared" si="1013"/>
        <v>0</v>
      </c>
      <c r="J178" s="295">
        <f t="shared" si="1014"/>
        <v>0</v>
      </c>
      <c r="K178" s="295">
        <f t="shared" si="1015"/>
        <v>0</v>
      </c>
      <c r="L178" s="295">
        <f t="shared" si="1016"/>
        <v>0</v>
      </c>
      <c r="M178" s="295">
        <f t="shared" si="1017"/>
        <v>0</v>
      </c>
      <c r="N178" s="295">
        <f t="shared" si="1018"/>
        <v>0</v>
      </c>
      <c r="O178" s="295">
        <f t="shared" si="1019"/>
        <v>0</v>
      </c>
      <c r="P178" s="295">
        <f t="shared" si="1019"/>
        <v>0</v>
      </c>
      <c r="Q178" s="279">
        <f>EEFFun!Q648</f>
        <v>0</v>
      </c>
      <c r="R178" s="279">
        <f>EEFFun!R648</f>
        <v>0</v>
      </c>
      <c r="S178" s="279">
        <f>EEFFun!S648</f>
        <v>0</v>
      </c>
      <c r="T178" s="279">
        <f>EEFFun!T648</f>
        <v>0</v>
      </c>
      <c r="U178" s="279">
        <f>EEFFun!U648</f>
        <v>0</v>
      </c>
      <c r="V178" s="279">
        <f>EEFFun!V648</f>
        <v>0</v>
      </c>
      <c r="W178" s="279">
        <f>EEFFun!W648</f>
        <v>0</v>
      </c>
      <c r="X178" s="279">
        <f>EEFFun!X648</f>
        <v>0</v>
      </c>
      <c r="Y178" s="279">
        <f>EEFFun!Y648</f>
        <v>0</v>
      </c>
      <c r="Z178" s="279">
        <f>EEFFun!Z648</f>
        <v>0</v>
      </c>
      <c r="AA178" s="279">
        <f>EEFFun!AA648</f>
        <v>0</v>
      </c>
      <c r="AB178" s="279">
        <f>EEFFun!AB648</f>
        <v>0</v>
      </c>
      <c r="AC178" s="279">
        <f>EEFFun!AC648</f>
        <v>0</v>
      </c>
      <c r="AD178" s="279">
        <f>EEFFun!AD648</f>
        <v>0</v>
      </c>
      <c r="AE178" s="279">
        <f>EEFFun!AE648</f>
        <v>0</v>
      </c>
      <c r="AF178" s="279">
        <f>EEFFun!AF648</f>
        <v>0</v>
      </c>
      <c r="AG178" s="279">
        <f>EEFFun!AG648</f>
        <v>0</v>
      </c>
      <c r="AH178" s="279">
        <f>EEFFun!AH648</f>
        <v>0</v>
      </c>
      <c r="AI178" s="279">
        <f>EEFFun!AI648</f>
        <v>0</v>
      </c>
      <c r="AJ178" s="279">
        <f>EEFFun!AJ648</f>
        <v>0</v>
      </c>
      <c r="AK178" s="279">
        <f>EEFFun!AK648</f>
        <v>0</v>
      </c>
      <c r="AL178" s="279">
        <f>EEFFun!AL648</f>
        <v>0</v>
      </c>
      <c r="AM178" s="279">
        <f>EEFFun!AM648</f>
        <v>0</v>
      </c>
      <c r="AN178" s="279">
        <f>EEFFun!AN648</f>
        <v>0</v>
      </c>
      <c r="AO178" s="279">
        <f>EEFFun!AO648</f>
        <v>0</v>
      </c>
      <c r="AP178" s="279">
        <f>EEFFun!AP648</f>
        <v>0</v>
      </c>
      <c r="AQ178" s="279">
        <f>EEFFun!AQ648</f>
        <v>0</v>
      </c>
      <c r="AR178" s="279">
        <f>EEFFun!AR648</f>
        <v>0</v>
      </c>
      <c r="AS178" s="279">
        <f>EEFFun!AS648</f>
        <v>0</v>
      </c>
      <c r="AT178" s="279">
        <f>EEFFun!AT648</f>
        <v>0</v>
      </c>
      <c r="AU178" s="279">
        <f>EEFFun!AU648</f>
        <v>0</v>
      </c>
      <c r="AV178" s="279">
        <f>EEFFun!AV648</f>
        <v>0</v>
      </c>
      <c r="AW178" s="279">
        <f>EEFFun!AW648</f>
        <v>0</v>
      </c>
      <c r="AX178" s="279">
        <f>EEFFun!AX648</f>
        <v>0</v>
      </c>
      <c r="AY178" s="291"/>
      <c r="AZ178" s="291"/>
      <c r="BA178" s="291"/>
      <c r="BB178" s="291"/>
      <c r="BC178" s="291"/>
      <c r="BD178" s="291"/>
      <c r="BE178" s="291"/>
      <c r="BF178" s="291"/>
      <c r="BG178" s="291"/>
      <c r="BH178" s="291"/>
      <c r="BI178" s="291"/>
      <c r="BJ178" s="291"/>
      <c r="BK178" s="295">
        <f>SUM($AY$178:AY178)</f>
        <v>0</v>
      </c>
      <c r="BL178" s="295">
        <f>SUM($AY$178:AZ178)</f>
        <v>0</v>
      </c>
      <c r="BM178" s="295">
        <f>SUM($AY$178:BA178)</f>
        <v>0</v>
      </c>
      <c r="BN178" s="295">
        <f>SUM($AY$178:BB178)</f>
        <v>0</v>
      </c>
      <c r="BO178" s="295">
        <f>SUM($AY$178:BC178)</f>
        <v>0</v>
      </c>
      <c r="BP178" s="295">
        <f>SUM($AY$178:BD178)</f>
        <v>0</v>
      </c>
      <c r="BQ178" s="295">
        <f>SUM($AY$178:BE178)</f>
        <v>0</v>
      </c>
      <c r="BR178" s="295">
        <f>SUM($AY$178:BF178)</f>
        <v>0</v>
      </c>
      <c r="BS178" s="295">
        <f>SUM($AY$178:BG178)</f>
        <v>0</v>
      </c>
      <c r="BT178" s="295">
        <f>SUM($AY$178:BH178)</f>
        <v>0</v>
      </c>
      <c r="BU178" s="295">
        <f>SUM($AY$178:BI178)</f>
        <v>0</v>
      </c>
      <c r="BV178" s="295">
        <f>SUM($AY$178:BJ178)</f>
        <v>0</v>
      </c>
      <c r="BW178" s="284"/>
    </row>
    <row r="179" spans="1:75" x14ac:dyDescent="0.25">
      <c r="A179" s="222">
        <v>2</v>
      </c>
      <c r="B179" s="223">
        <f>EEFFun!B649</f>
        <v>54</v>
      </c>
      <c r="C179" s="223" t="str">
        <f>EEFFun!C649</f>
        <v>INGRESOS POR SERVICIOS</v>
      </c>
      <c r="D179" s="279">
        <f>EEFFun!P649</f>
        <v>79965.070000000007</v>
      </c>
      <c r="E179" s="297">
        <f t="shared" ref="E179:P179" si="1022">E180</f>
        <v>7828.6100000000006</v>
      </c>
      <c r="F179" s="297">
        <f t="shared" si="1022"/>
        <v>7339.0999999999995</v>
      </c>
      <c r="G179" s="297">
        <f t="shared" si="1022"/>
        <v>8846.32</v>
      </c>
      <c r="H179" s="297">
        <f t="shared" si="1022"/>
        <v>6593.8899999999994</v>
      </c>
      <c r="I179" s="297">
        <f t="shared" si="1022"/>
        <v>6641.550000000002</v>
      </c>
      <c r="J179" s="297">
        <f t="shared" si="1022"/>
        <v>7284.7899999999963</v>
      </c>
      <c r="K179" s="297">
        <f t="shared" si="1022"/>
        <v>7809.9700000000057</v>
      </c>
      <c r="L179" s="297">
        <f t="shared" si="1022"/>
        <v>8035.6900000000014</v>
      </c>
      <c r="M179" s="297">
        <f t="shared" si="1022"/>
        <v>7932.6699999999937</v>
      </c>
      <c r="N179" s="297">
        <f t="shared" si="1022"/>
        <v>8516.74</v>
      </c>
      <c r="O179" s="297">
        <f t="shared" si="1022"/>
        <v>8480.0999999999985</v>
      </c>
      <c r="P179" s="297">
        <f t="shared" si="1022"/>
        <v>9291.1899999999969</v>
      </c>
      <c r="Q179" s="279">
        <f>EEFFun!Q649</f>
        <v>7828.61</v>
      </c>
      <c r="R179" s="279">
        <f>EEFFun!R649</f>
        <v>15167.71</v>
      </c>
      <c r="S179" s="279">
        <f>EEFFun!S649</f>
        <v>24014.03</v>
      </c>
      <c r="T179" s="279">
        <f>EEFFun!T649</f>
        <v>30607.919999999998</v>
      </c>
      <c r="U179" s="279">
        <f>EEFFun!U649</f>
        <v>37249.47</v>
      </c>
      <c r="V179" s="279">
        <f>EEFFun!V649</f>
        <v>44534.26</v>
      </c>
      <c r="W179" s="279">
        <f>EEFFun!W649</f>
        <v>52344.23</v>
      </c>
      <c r="X179" s="279">
        <f>EEFFun!X649</f>
        <v>60379.92</v>
      </c>
      <c r="Y179" s="279">
        <f>EEFFun!Y649</f>
        <v>68312.59</v>
      </c>
      <c r="Z179" s="279">
        <f>EEFFun!Z649</f>
        <v>76829.33</v>
      </c>
      <c r="AA179" s="279">
        <f>EEFFun!AA649</f>
        <v>85309.43</v>
      </c>
      <c r="AB179" s="279">
        <f>EEFFun!AB649</f>
        <v>94600.62</v>
      </c>
      <c r="AC179" s="279">
        <f>EEFFun!AC649</f>
        <v>8775.6299999999992</v>
      </c>
      <c r="AD179" s="279">
        <f>EEFFun!AD649</f>
        <v>17867.86</v>
      </c>
      <c r="AE179" s="279">
        <f>EEFFun!AE649</f>
        <v>27648.06</v>
      </c>
      <c r="AF179" s="279">
        <f>EEFFun!AF649</f>
        <v>41071.54</v>
      </c>
      <c r="AG179" s="279">
        <f>EEFFun!AG649</f>
        <v>52302.61</v>
      </c>
      <c r="AH179" s="279">
        <f>EEFFun!AH649</f>
        <v>63056.6</v>
      </c>
      <c r="AI179" s="279">
        <f>EEFFun!AI649</f>
        <v>74469.33</v>
      </c>
      <c r="AJ179" s="279">
        <f>EEFFun!AJ649</f>
        <v>85964.25</v>
      </c>
      <c r="AK179" s="279">
        <f>EEFFun!AK649</f>
        <v>96396.78</v>
      </c>
      <c r="AL179" s="279">
        <f>EEFFun!AL649</f>
        <v>108632.4</v>
      </c>
      <c r="AM179" s="279">
        <f>EEFFun!AM649</f>
        <v>119011.68</v>
      </c>
      <c r="AN179" s="279">
        <f>EEFFun!AN649</f>
        <v>129521.79</v>
      </c>
      <c r="AO179" s="279">
        <f>EEFFun!AO649</f>
        <v>10575.97</v>
      </c>
      <c r="AP179" s="279">
        <f>EEFFun!AP649</f>
        <v>20155.63</v>
      </c>
      <c r="AQ179" s="279">
        <f>EEFFun!AQ649</f>
        <v>30546.03</v>
      </c>
      <c r="AR179" s="279">
        <f>EEFFun!AR649</f>
        <v>41170.21</v>
      </c>
      <c r="AS179" s="279">
        <f>EEFFun!AS649</f>
        <v>52336.01</v>
      </c>
      <c r="AT179" s="279">
        <f>EEFFun!AT649</f>
        <v>62134.28</v>
      </c>
      <c r="AU179" s="279">
        <f>EEFFun!AU649</f>
        <v>72213.56</v>
      </c>
      <c r="AV179" s="279">
        <f>EEFFun!AV649</f>
        <v>82293.899999999994</v>
      </c>
      <c r="AW179" s="279">
        <f>EEFFun!AW649</f>
        <v>91962.15</v>
      </c>
      <c r="AX179" s="279">
        <f>EEFFun!AX649</f>
        <v>103720.9</v>
      </c>
      <c r="AY179" s="297">
        <f t="shared" ref="AY179:BJ179" si="1023">AY180</f>
        <v>11940.682000000001</v>
      </c>
      <c r="AZ179" s="297">
        <f t="shared" si="1023"/>
        <v>11940.682000000001</v>
      </c>
      <c r="BA179" s="297">
        <f t="shared" si="1023"/>
        <v>11940.682000000001</v>
      </c>
      <c r="BB179" s="297">
        <f t="shared" si="1023"/>
        <v>11940.682000000001</v>
      </c>
      <c r="BC179" s="297">
        <f t="shared" si="1023"/>
        <v>11940.682000000001</v>
      </c>
      <c r="BD179" s="297">
        <f t="shared" si="1023"/>
        <v>11940.682000000001</v>
      </c>
      <c r="BE179" s="297">
        <f t="shared" si="1023"/>
        <v>11940.682000000001</v>
      </c>
      <c r="BF179" s="297">
        <f t="shared" si="1023"/>
        <v>11940.682000000001</v>
      </c>
      <c r="BG179" s="297">
        <f t="shared" si="1023"/>
        <v>11940.682000000001</v>
      </c>
      <c r="BH179" s="297">
        <f t="shared" si="1023"/>
        <v>11940.682000000001</v>
      </c>
      <c r="BI179" s="297">
        <f t="shared" si="1023"/>
        <v>11940.682000000001</v>
      </c>
      <c r="BJ179" s="297">
        <f t="shared" si="1023"/>
        <v>11940.682000000001</v>
      </c>
      <c r="BK179" s="297">
        <f t="shared" ref="BK179:BV179" si="1024">BK180</f>
        <v>11940.682000000001</v>
      </c>
      <c r="BL179" s="297">
        <f t="shared" si="1024"/>
        <v>23881.364000000001</v>
      </c>
      <c r="BM179" s="297">
        <f t="shared" si="1024"/>
        <v>35822.046000000002</v>
      </c>
      <c r="BN179" s="297">
        <f t="shared" si="1024"/>
        <v>47762.728000000003</v>
      </c>
      <c r="BO179" s="297">
        <f t="shared" si="1024"/>
        <v>59703.41</v>
      </c>
      <c r="BP179" s="297">
        <f t="shared" si="1024"/>
        <v>71644.092000000004</v>
      </c>
      <c r="BQ179" s="297">
        <f t="shared" si="1024"/>
        <v>83584.77399999999</v>
      </c>
      <c r="BR179" s="297">
        <f t="shared" si="1024"/>
        <v>95525.455999999991</v>
      </c>
      <c r="BS179" s="297">
        <f t="shared" si="1024"/>
        <v>107466.13799999999</v>
      </c>
      <c r="BT179" s="297">
        <f t="shared" si="1024"/>
        <v>119406.81999999999</v>
      </c>
      <c r="BU179" s="297">
        <f t="shared" si="1024"/>
        <v>131347.50200000001</v>
      </c>
      <c r="BV179" s="297">
        <f t="shared" si="1024"/>
        <v>143288.18400000001</v>
      </c>
      <c r="BW179" s="373"/>
    </row>
    <row r="180" spans="1:75" s="229" customFormat="1" x14ac:dyDescent="0.25">
      <c r="A180" s="222">
        <v>4</v>
      </c>
      <c r="B180" s="223">
        <f>EEFFun!B650</f>
        <v>5406</v>
      </c>
      <c r="C180" s="223" t="str">
        <f>EEFFun!C650</f>
        <v>SERVICIOS FINANCIEROS CON CARGO MAXIMO</v>
      </c>
      <c r="D180" s="279">
        <f>EEFFun!P650</f>
        <v>79965.070000000007</v>
      </c>
      <c r="E180" s="297">
        <f t="shared" ref="E180:H180" si="1025">SUM(E181:E187)</f>
        <v>7828.6100000000006</v>
      </c>
      <c r="F180" s="297">
        <f t="shared" si="1025"/>
        <v>7339.0999999999995</v>
      </c>
      <c r="G180" s="297">
        <f t="shared" si="1025"/>
        <v>8846.32</v>
      </c>
      <c r="H180" s="297">
        <f t="shared" si="1025"/>
        <v>6593.8899999999994</v>
      </c>
      <c r="I180" s="297">
        <f t="shared" ref="I180:O180" si="1026">SUM(I181:I187)</f>
        <v>6641.550000000002</v>
      </c>
      <c r="J180" s="297">
        <f t="shared" si="1026"/>
        <v>7284.7899999999963</v>
      </c>
      <c r="K180" s="297">
        <f t="shared" si="1026"/>
        <v>7809.9700000000057</v>
      </c>
      <c r="L180" s="297">
        <f t="shared" si="1026"/>
        <v>8035.6900000000014</v>
      </c>
      <c r="M180" s="297">
        <f t="shared" si="1026"/>
        <v>7932.6699999999937</v>
      </c>
      <c r="N180" s="297">
        <f t="shared" si="1026"/>
        <v>8516.74</v>
      </c>
      <c r="O180" s="297">
        <f t="shared" si="1026"/>
        <v>8480.0999999999985</v>
      </c>
      <c r="P180" s="297">
        <f t="shared" ref="P180" si="1027">SUM(P181:P187)</f>
        <v>9291.1899999999969</v>
      </c>
      <c r="Q180" s="279">
        <f>EEFFun!Q650</f>
        <v>7828.61</v>
      </c>
      <c r="R180" s="279">
        <f>EEFFun!R650</f>
        <v>15167.71</v>
      </c>
      <c r="S180" s="279">
        <f>EEFFun!S650</f>
        <v>24014.03</v>
      </c>
      <c r="T180" s="279">
        <f>EEFFun!T650</f>
        <v>30607.919999999998</v>
      </c>
      <c r="U180" s="279">
        <f>EEFFun!U650</f>
        <v>37249.47</v>
      </c>
      <c r="V180" s="279">
        <f>EEFFun!V650</f>
        <v>44534.26</v>
      </c>
      <c r="W180" s="279">
        <f>EEFFun!W650</f>
        <v>52344.23</v>
      </c>
      <c r="X180" s="279">
        <f>EEFFun!X650</f>
        <v>60379.92</v>
      </c>
      <c r="Y180" s="279">
        <f>EEFFun!Y650</f>
        <v>68312.59</v>
      </c>
      <c r="Z180" s="279">
        <f>EEFFun!Z650</f>
        <v>76829.33</v>
      </c>
      <c r="AA180" s="279">
        <f>EEFFun!AA650</f>
        <v>85309.43</v>
      </c>
      <c r="AB180" s="279">
        <f>EEFFun!AB650</f>
        <v>94600.62</v>
      </c>
      <c r="AC180" s="279">
        <f>EEFFun!AC650</f>
        <v>8775.6299999999992</v>
      </c>
      <c r="AD180" s="279">
        <f>EEFFun!AD650</f>
        <v>17867.86</v>
      </c>
      <c r="AE180" s="279">
        <f>EEFFun!AE650</f>
        <v>27648.06</v>
      </c>
      <c r="AF180" s="279">
        <f>EEFFun!AF650</f>
        <v>41071.54</v>
      </c>
      <c r="AG180" s="279">
        <f>EEFFun!AG650</f>
        <v>52302.61</v>
      </c>
      <c r="AH180" s="279">
        <f>EEFFun!AH650</f>
        <v>63056.6</v>
      </c>
      <c r="AI180" s="279">
        <f>EEFFun!AI650</f>
        <v>74469.33</v>
      </c>
      <c r="AJ180" s="279">
        <f>EEFFun!AJ650</f>
        <v>85964.25</v>
      </c>
      <c r="AK180" s="279">
        <f>EEFFun!AK650</f>
        <v>96396.78</v>
      </c>
      <c r="AL180" s="279">
        <f>EEFFun!AL650</f>
        <v>108632.4</v>
      </c>
      <c r="AM180" s="279">
        <f>EEFFun!AM650</f>
        <v>119011.68</v>
      </c>
      <c r="AN180" s="279">
        <f>EEFFun!AN650</f>
        <v>129521.79</v>
      </c>
      <c r="AO180" s="279">
        <f>EEFFun!AO650</f>
        <v>10575.97</v>
      </c>
      <c r="AP180" s="279">
        <f>EEFFun!AP650</f>
        <v>20155.63</v>
      </c>
      <c r="AQ180" s="279">
        <f>EEFFun!AQ650</f>
        <v>30546.03</v>
      </c>
      <c r="AR180" s="279">
        <f>EEFFun!AR650</f>
        <v>41170.21</v>
      </c>
      <c r="AS180" s="279">
        <f>EEFFun!AS650</f>
        <v>52336.01</v>
      </c>
      <c r="AT180" s="279">
        <f>EEFFun!AT650</f>
        <v>62134.28</v>
      </c>
      <c r="AU180" s="279">
        <f>EEFFun!AU650</f>
        <v>72213.56</v>
      </c>
      <c r="AV180" s="279">
        <f>EEFFun!AV650</f>
        <v>82293.899999999994</v>
      </c>
      <c r="AW180" s="279">
        <f>EEFFun!AW650</f>
        <v>91962.15</v>
      </c>
      <c r="AX180" s="279">
        <f>EEFFun!AX650</f>
        <v>103720.9</v>
      </c>
      <c r="AY180" s="297">
        <f t="shared" ref="AY180:BE180" si="1028">SUM(AY181:AY187)</f>
        <v>11940.682000000001</v>
      </c>
      <c r="AZ180" s="297">
        <f t="shared" si="1028"/>
        <v>11940.682000000001</v>
      </c>
      <c r="BA180" s="297">
        <f t="shared" si="1028"/>
        <v>11940.682000000001</v>
      </c>
      <c r="BB180" s="297">
        <f t="shared" si="1028"/>
        <v>11940.682000000001</v>
      </c>
      <c r="BC180" s="297">
        <f t="shared" si="1028"/>
        <v>11940.682000000001</v>
      </c>
      <c r="BD180" s="297">
        <f t="shared" si="1028"/>
        <v>11940.682000000001</v>
      </c>
      <c r="BE180" s="297">
        <f t="shared" si="1028"/>
        <v>11940.682000000001</v>
      </c>
      <c r="BF180" s="297">
        <f t="shared" ref="BF180:BJ180" si="1029">SUM(BF181:BF187)</f>
        <v>11940.682000000001</v>
      </c>
      <c r="BG180" s="297">
        <f t="shared" si="1029"/>
        <v>11940.682000000001</v>
      </c>
      <c r="BH180" s="297">
        <f t="shared" si="1029"/>
        <v>11940.682000000001</v>
      </c>
      <c r="BI180" s="297">
        <f t="shared" si="1029"/>
        <v>11940.682000000001</v>
      </c>
      <c r="BJ180" s="297">
        <f t="shared" si="1029"/>
        <v>11940.682000000001</v>
      </c>
      <c r="BK180" s="297">
        <f t="shared" ref="BK180:BQ180" si="1030">SUM(BK181:BK187)</f>
        <v>11940.682000000001</v>
      </c>
      <c r="BL180" s="297">
        <f t="shared" si="1030"/>
        <v>23881.364000000001</v>
      </c>
      <c r="BM180" s="297">
        <f t="shared" si="1030"/>
        <v>35822.046000000002</v>
      </c>
      <c r="BN180" s="297">
        <f t="shared" si="1030"/>
        <v>47762.728000000003</v>
      </c>
      <c r="BO180" s="297">
        <f t="shared" si="1030"/>
        <v>59703.41</v>
      </c>
      <c r="BP180" s="297">
        <f t="shared" si="1030"/>
        <v>71644.092000000004</v>
      </c>
      <c r="BQ180" s="297">
        <f t="shared" si="1030"/>
        <v>83584.77399999999</v>
      </c>
      <c r="BR180" s="297">
        <f t="shared" ref="BR180:BV180" si="1031">SUM(BR181:BR187)</f>
        <v>95525.455999999991</v>
      </c>
      <c r="BS180" s="297">
        <f t="shared" si="1031"/>
        <v>107466.13799999999</v>
      </c>
      <c r="BT180" s="297">
        <f t="shared" si="1031"/>
        <v>119406.81999999999</v>
      </c>
      <c r="BU180" s="297">
        <f t="shared" si="1031"/>
        <v>131347.50200000001</v>
      </c>
      <c r="BV180" s="297">
        <f t="shared" si="1031"/>
        <v>143288.18400000001</v>
      </c>
      <c r="BW180" s="284"/>
    </row>
    <row r="181" spans="1:75" s="229" customFormat="1" x14ac:dyDescent="0.25">
      <c r="A181" s="222">
        <v>6</v>
      </c>
      <c r="B181" s="233">
        <f>EEFFun!B651</f>
        <v>540601</v>
      </c>
      <c r="C181" s="233" t="str">
        <f>EEFFun!C651</f>
        <v>SERVICIOS CON CUENTAS</v>
      </c>
      <c r="D181" s="257">
        <f>EEFFun!P651</f>
        <v>29.6</v>
      </c>
      <c r="E181" s="295">
        <f t="shared" ref="E181:E187" si="1032">Q181</f>
        <v>0</v>
      </c>
      <c r="F181" s="295">
        <f t="shared" ref="F181:F187" si="1033">R181-Q181</f>
        <v>1.63</v>
      </c>
      <c r="G181" s="295">
        <f t="shared" ref="G181:G187" si="1034">S181-R181</f>
        <v>9.93</v>
      </c>
      <c r="H181" s="295">
        <f t="shared" ref="H181:H187" si="1035">T181-S181</f>
        <v>0</v>
      </c>
      <c r="I181" s="295">
        <f t="shared" ref="I181:I187" si="1036">U181-T181</f>
        <v>0</v>
      </c>
      <c r="J181" s="295">
        <f t="shared" ref="J181:J187" si="1037">V181-U181</f>
        <v>1.6600000000000001</v>
      </c>
      <c r="K181" s="295">
        <f t="shared" ref="K181:K187" si="1038">W181-V181</f>
        <v>0</v>
      </c>
      <c r="L181" s="295">
        <f t="shared" ref="L181:L187" si="1039">X181-W181</f>
        <v>1.629999999999999</v>
      </c>
      <c r="M181" s="295">
        <f t="shared" ref="M181:M187" si="1040">Y181-X181</f>
        <v>0</v>
      </c>
      <c r="N181" s="295">
        <f t="shared" ref="N181:N187" si="1041">Z181-Y181</f>
        <v>0</v>
      </c>
      <c r="O181" s="295">
        <f t="shared" ref="O181:P187" si="1042">AA181-Z181</f>
        <v>0</v>
      </c>
      <c r="P181" s="295">
        <f t="shared" si="1042"/>
        <v>21.549999999999997</v>
      </c>
      <c r="Q181" s="257">
        <f>EEFFun!Q651</f>
        <v>0</v>
      </c>
      <c r="R181" s="257">
        <f>EEFFun!R651</f>
        <v>1.63</v>
      </c>
      <c r="S181" s="257">
        <f>EEFFun!S651</f>
        <v>11.56</v>
      </c>
      <c r="T181" s="257">
        <f>EEFFun!T651</f>
        <v>11.56</v>
      </c>
      <c r="U181" s="257">
        <f>EEFFun!U651</f>
        <v>11.56</v>
      </c>
      <c r="V181" s="257">
        <f>EEFFun!V651</f>
        <v>13.22</v>
      </c>
      <c r="W181" s="257">
        <f>EEFFun!W651</f>
        <v>13.22</v>
      </c>
      <c r="X181" s="257">
        <f>EEFFun!X651</f>
        <v>14.85</v>
      </c>
      <c r="Y181" s="257">
        <f>EEFFun!Y651</f>
        <v>14.85</v>
      </c>
      <c r="Z181" s="257">
        <f>EEFFun!Z651</f>
        <v>14.85</v>
      </c>
      <c r="AA181" s="257">
        <f>EEFFun!AA651</f>
        <v>14.85</v>
      </c>
      <c r="AB181" s="257">
        <f>EEFFun!AB651</f>
        <v>36.4</v>
      </c>
      <c r="AC181" s="257">
        <f>EEFFun!AC651</f>
        <v>0</v>
      </c>
      <c r="AD181" s="257">
        <f>EEFFun!AD651</f>
        <v>0</v>
      </c>
      <c r="AE181" s="257">
        <f>EEFFun!AE651</f>
        <v>0</v>
      </c>
      <c r="AF181" s="257">
        <f>EEFFun!AF651</f>
        <v>0</v>
      </c>
      <c r="AG181" s="257">
        <f>EEFFun!AG651</f>
        <v>0</v>
      </c>
      <c r="AH181" s="257">
        <f>EEFFun!AH651</f>
        <v>0</v>
      </c>
      <c r="AI181" s="257">
        <f>EEFFun!AI651</f>
        <v>16.600000000000001</v>
      </c>
      <c r="AJ181" s="257">
        <f>EEFFun!AJ651</f>
        <v>16.600000000000001</v>
      </c>
      <c r="AK181" s="257">
        <f>EEFFun!AK651</f>
        <v>18.23</v>
      </c>
      <c r="AL181" s="257">
        <f>EEFFun!AL651</f>
        <v>19.86</v>
      </c>
      <c r="AM181" s="257">
        <f>EEFFun!AM651</f>
        <v>19.86</v>
      </c>
      <c r="AN181" s="257">
        <f>EEFFun!AN651</f>
        <v>21.49</v>
      </c>
      <c r="AO181" s="257">
        <f>EEFFun!AO651</f>
        <v>3.26</v>
      </c>
      <c r="AP181" s="257">
        <f>EEFFun!AP651</f>
        <v>6.52</v>
      </c>
      <c r="AQ181" s="257">
        <f>EEFFun!AQ651</f>
        <v>6.52</v>
      </c>
      <c r="AR181" s="257">
        <f>EEFFun!AR651</f>
        <v>26.41</v>
      </c>
      <c r="AS181" s="257">
        <f>EEFFun!AS651</f>
        <v>26.41</v>
      </c>
      <c r="AT181" s="257">
        <f>EEFFun!AT651</f>
        <v>28.86</v>
      </c>
      <c r="AU181" s="257">
        <f>EEFFun!AU651</f>
        <v>30.49</v>
      </c>
      <c r="AV181" s="257">
        <f>EEFFun!AV651</f>
        <v>37.01</v>
      </c>
      <c r="AW181" s="257">
        <f>EEFFun!AW651</f>
        <v>37.01</v>
      </c>
      <c r="AX181" s="257">
        <f>EEFFun!AX651</f>
        <v>43.53</v>
      </c>
      <c r="AY181" s="295">
        <f>+AX181/10</f>
        <v>4.3529999999999998</v>
      </c>
      <c r="AZ181" s="295">
        <f t="shared" ref="AZ181:AZ187" si="1043">AY181</f>
        <v>4.3529999999999998</v>
      </c>
      <c r="BA181" s="295">
        <f t="shared" ref="BA181:BA187" si="1044">AZ181</f>
        <v>4.3529999999999998</v>
      </c>
      <c r="BB181" s="295">
        <f t="shared" ref="BB181:BB187" si="1045">BA181</f>
        <v>4.3529999999999998</v>
      </c>
      <c r="BC181" s="295">
        <f t="shared" ref="BC181:BC187" si="1046">BB181</f>
        <v>4.3529999999999998</v>
      </c>
      <c r="BD181" s="295">
        <f t="shared" ref="BD181:BD187" si="1047">BC181</f>
        <v>4.3529999999999998</v>
      </c>
      <c r="BE181" s="295">
        <f t="shared" ref="BE181:BE187" si="1048">BD181</f>
        <v>4.3529999999999998</v>
      </c>
      <c r="BF181" s="295">
        <f t="shared" ref="BF181:BH187" si="1049">BE181</f>
        <v>4.3529999999999998</v>
      </c>
      <c r="BG181" s="295">
        <f t="shared" si="1049"/>
        <v>4.3529999999999998</v>
      </c>
      <c r="BH181" s="295">
        <f t="shared" si="1049"/>
        <v>4.3529999999999998</v>
      </c>
      <c r="BI181" s="295">
        <f t="shared" ref="BI181:BJ181" si="1050">BH181</f>
        <v>4.3529999999999998</v>
      </c>
      <c r="BJ181" s="295">
        <f t="shared" si="1050"/>
        <v>4.3529999999999998</v>
      </c>
      <c r="BK181" s="295">
        <f>SUM($AY$181:AY181)</f>
        <v>4.3529999999999998</v>
      </c>
      <c r="BL181" s="295">
        <f>SUM($AY$181:AZ181)</f>
        <v>8.7059999999999995</v>
      </c>
      <c r="BM181" s="295">
        <f>SUM($AY$181:BA181)</f>
        <v>13.058999999999999</v>
      </c>
      <c r="BN181" s="295">
        <f>SUM($AY$181:BB181)</f>
        <v>17.411999999999999</v>
      </c>
      <c r="BO181" s="295">
        <f>SUM($AY$181:BC181)</f>
        <v>21.765000000000001</v>
      </c>
      <c r="BP181" s="295">
        <f>SUM($AY$181:BD181)</f>
        <v>26.118000000000002</v>
      </c>
      <c r="BQ181" s="295">
        <f>SUM($AY$181:BE181)</f>
        <v>30.471000000000004</v>
      </c>
      <c r="BR181" s="295">
        <f>SUM($AY$181:BF181)</f>
        <v>34.824000000000005</v>
      </c>
      <c r="BS181" s="295">
        <f>SUM($AY$181:BG181)</f>
        <v>39.177000000000007</v>
      </c>
      <c r="BT181" s="295">
        <f>SUM($AY$181:BH181)</f>
        <v>43.530000000000008</v>
      </c>
      <c r="BU181" s="295">
        <f>SUM($AY$181:BI181)</f>
        <v>47.88300000000001</v>
      </c>
      <c r="BV181" s="295">
        <f>SUM($AY$181:BJ181)</f>
        <v>52.236000000000011</v>
      </c>
      <c r="BW181" s="291"/>
    </row>
    <row r="182" spans="1:75" s="229" customFormat="1" outlineLevel="1" x14ac:dyDescent="0.25">
      <c r="A182" s="222">
        <v>6</v>
      </c>
      <c r="B182" s="233">
        <f>EEFFun!B652</f>
        <v>540602</v>
      </c>
      <c r="C182" s="233" t="str">
        <f>EEFFun!C652</f>
        <v>SERVICIOS CON CHEQUES</v>
      </c>
      <c r="D182" s="257">
        <f>EEFFun!P652</f>
        <v>3526.02</v>
      </c>
      <c r="E182" s="295">
        <f t="shared" si="1032"/>
        <v>503.71</v>
      </c>
      <c r="F182" s="295">
        <f t="shared" si="1033"/>
        <v>305.40000000000003</v>
      </c>
      <c r="G182" s="295">
        <f t="shared" si="1034"/>
        <v>520.16</v>
      </c>
      <c r="H182" s="295">
        <f t="shared" si="1035"/>
        <v>266.45000000000005</v>
      </c>
      <c r="I182" s="295">
        <f t="shared" si="1036"/>
        <v>230</v>
      </c>
      <c r="J182" s="295">
        <f t="shared" si="1037"/>
        <v>150.89999999999986</v>
      </c>
      <c r="K182" s="295">
        <f t="shared" si="1038"/>
        <v>150.73000000000002</v>
      </c>
      <c r="L182" s="295">
        <f t="shared" si="1039"/>
        <v>112.91000000000031</v>
      </c>
      <c r="M182" s="295">
        <f t="shared" si="1040"/>
        <v>419.6899999999996</v>
      </c>
      <c r="N182" s="295">
        <f t="shared" si="1041"/>
        <v>189.08000000000038</v>
      </c>
      <c r="O182" s="295">
        <f t="shared" si="1042"/>
        <v>194.25</v>
      </c>
      <c r="P182" s="295">
        <f t="shared" si="1042"/>
        <v>233.60999999999967</v>
      </c>
      <c r="Q182" s="257">
        <f>EEFFun!Q652</f>
        <v>503.71</v>
      </c>
      <c r="R182" s="257">
        <f>EEFFun!R652</f>
        <v>809.11</v>
      </c>
      <c r="S182" s="257">
        <f>EEFFun!S652</f>
        <v>1329.27</v>
      </c>
      <c r="T182" s="257">
        <f>EEFFun!T652</f>
        <v>1595.72</v>
      </c>
      <c r="U182" s="257">
        <f>EEFFun!U652</f>
        <v>1825.72</v>
      </c>
      <c r="V182" s="257">
        <f>EEFFun!V652</f>
        <v>1976.62</v>
      </c>
      <c r="W182" s="257">
        <f>EEFFun!W652</f>
        <v>2127.35</v>
      </c>
      <c r="X182" s="257">
        <f>EEFFun!X652</f>
        <v>2240.2600000000002</v>
      </c>
      <c r="Y182" s="257">
        <f>EEFFun!Y652</f>
        <v>2659.95</v>
      </c>
      <c r="Z182" s="257">
        <f>EEFFun!Z652</f>
        <v>2849.03</v>
      </c>
      <c r="AA182" s="257">
        <f>EEFFun!AA652</f>
        <v>3043.28</v>
      </c>
      <c r="AB182" s="257">
        <f>EEFFun!AB652</f>
        <v>3276.89</v>
      </c>
      <c r="AC182" s="257">
        <f>EEFFun!AC652</f>
        <v>222.87</v>
      </c>
      <c r="AD182" s="257">
        <f>EEFFun!AD652</f>
        <v>478.78</v>
      </c>
      <c r="AE182" s="257">
        <f>EEFFun!AE652</f>
        <v>720.26</v>
      </c>
      <c r="AF182" s="257">
        <f>EEFFun!AF652</f>
        <v>952.23</v>
      </c>
      <c r="AG182" s="257">
        <f>EEFFun!AG652</f>
        <v>1308.04</v>
      </c>
      <c r="AH182" s="257">
        <f>EEFFun!AH652</f>
        <v>1662.38</v>
      </c>
      <c r="AI182" s="257">
        <f>EEFFun!AI652</f>
        <v>1996.11</v>
      </c>
      <c r="AJ182" s="257">
        <f>EEFFun!AJ652</f>
        <v>2283.8000000000002</v>
      </c>
      <c r="AK182" s="257">
        <f>EEFFun!AK652</f>
        <v>2699.94</v>
      </c>
      <c r="AL182" s="257">
        <f>EEFFun!AL652</f>
        <v>3177.25</v>
      </c>
      <c r="AM182" s="257">
        <f>EEFFun!AM652</f>
        <v>3371.2</v>
      </c>
      <c r="AN182" s="257">
        <f>EEFFun!AN652</f>
        <v>3758.72</v>
      </c>
      <c r="AO182" s="257">
        <f>EEFFun!AO652</f>
        <v>255.19</v>
      </c>
      <c r="AP182" s="257">
        <f>EEFFun!AP652</f>
        <v>461.63</v>
      </c>
      <c r="AQ182" s="257">
        <f>EEFFun!AQ652</f>
        <v>662.67</v>
      </c>
      <c r="AR182" s="257">
        <f>EEFFun!AR652</f>
        <v>877.41</v>
      </c>
      <c r="AS182" s="257">
        <f>EEFFun!AS652</f>
        <v>924.02</v>
      </c>
      <c r="AT182" s="257">
        <f>EEFFun!AT652</f>
        <v>1089.45</v>
      </c>
      <c r="AU182" s="257">
        <f>EEFFun!AU652</f>
        <v>1304.42</v>
      </c>
      <c r="AV182" s="257">
        <f>EEFFun!AV652</f>
        <v>1408.85</v>
      </c>
      <c r="AW182" s="257">
        <f>EEFFun!AW652</f>
        <v>1561.45</v>
      </c>
      <c r="AX182" s="257">
        <f>EEFFun!AX652</f>
        <v>1742.88</v>
      </c>
      <c r="AY182" s="295">
        <f>+AX182/1</f>
        <v>1742.88</v>
      </c>
      <c r="AZ182" s="295">
        <f t="shared" si="1043"/>
        <v>1742.88</v>
      </c>
      <c r="BA182" s="295">
        <f t="shared" si="1044"/>
        <v>1742.88</v>
      </c>
      <c r="BB182" s="295">
        <f t="shared" si="1045"/>
        <v>1742.88</v>
      </c>
      <c r="BC182" s="295">
        <f t="shared" si="1046"/>
        <v>1742.88</v>
      </c>
      <c r="BD182" s="295">
        <f t="shared" si="1047"/>
        <v>1742.88</v>
      </c>
      <c r="BE182" s="295">
        <f t="shared" si="1048"/>
        <v>1742.88</v>
      </c>
      <c r="BF182" s="295">
        <f t="shared" si="1049"/>
        <v>1742.88</v>
      </c>
      <c r="BG182" s="295">
        <f t="shared" si="1049"/>
        <v>1742.88</v>
      </c>
      <c r="BH182" s="295">
        <f t="shared" si="1049"/>
        <v>1742.88</v>
      </c>
      <c r="BI182" s="295">
        <f t="shared" ref="BI182:BJ182" si="1051">BH182</f>
        <v>1742.88</v>
      </c>
      <c r="BJ182" s="295">
        <f t="shared" si="1051"/>
        <v>1742.88</v>
      </c>
      <c r="BK182" s="295">
        <f>SUM($AY$182:AY182)</f>
        <v>1742.88</v>
      </c>
      <c r="BL182" s="295">
        <f>SUM($AY$182:AZ182)</f>
        <v>3485.76</v>
      </c>
      <c r="BM182" s="295">
        <f>SUM($AY$182:BA182)</f>
        <v>5228.6400000000003</v>
      </c>
      <c r="BN182" s="295">
        <f>SUM($AY$182:BB182)</f>
        <v>6971.52</v>
      </c>
      <c r="BO182" s="295">
        <f>SUM($AY$182:BC182)</f>
        <v>8714.4000000000015</v>
      </c>
      <c r="BP182" s="295">
        <f>SUM($AY$182:BD182)</f>
        <v>10457.280000000002</v>
      </c>
      <c r="BQ182" s="295">
        <f>SUM($AY$182:BE182)</f>
        <v>12200.160000000003</v>
      </c>
      <c r="BR182" s="295">
        <f>SUM($AY$182:BF182)</f>
        <v>13943.040000000005</v>
      </c>
      <c r="BS182" s="295">
        <f>SUM($AY$182:BG182)</f>
        <v>15685.920000000006</v>
      </c>
      <c r="BT182" s="295">
        <f>SUM($AY$182:BH182)</f>
        <v>17428.800000000007</v>
      </c>
      <c r="BU182" s="295">
        <f>SUM($AY$182:BI182)</f>
        <v>19171.680000000008</v>
      </c>
      <c r="BV182" s="295">
        <f>SUM($AY$182:BJ182)</f>
        <v>20914.560000000009</v>
      </c>
      <c r="BW182" s="284"/>
    </row>
    <row r="183" spans="1:75" outlineLevel="1" x14ac:dyDescent="0.25">
      <c r="A183" s="222">
        <v>6</v>
      </c>
      <c r="B183" s="233">
        <f>EEFFun!B653</f>
        <v>540603</v>
      </c>
      <c r="C183" s="233" t="str">
        <f>EEFFun!C653</f>
        <v>SERVICIOS CON TARJETAS</v>
      </c>
      <c r="D183" s="257">
        <f>EEFFun!P653</f>
        <v>2193.54</v>
      </c>
      <c r="E183" s="295">
        <f t="shared" si="1032"/>
        <v>113.64</v>
      </c>
      <c r="F183" s="295">
        <f t="shared" si="1033"/>
        <v>54.89</v>
      </c>
      <c r="G183" s="295">
        <f t="shared" si="1034"/>
        <v>154.05999999999997</v>
      </c>
      <c r="H183" s="295">
        <f t="shared" si="1035"/>
        <v>331.56</v>
      </c>
      <c r="I183" s="295">
        <f t="shared" si="1036"/>
        <v>71.180000000000064</v>
      </c>
      <c r="J183" s="295">
        <f t="shared" si="1037"/>
        <v>52.269999999999982</v>
      </c>
      <c r="K183" s="295">
        <f t="shared" si="1038"/>
        <v>77.389999999999986</v>
      </c>
      <c r="L183" s="295">
        <f t="shared" si="1039"/>
        <v>84.12</v>
      </c>
      <c r="M183" s="295">
        <f t="shared" si="1040"/>
        <v>93.080000000000041</v>
      </c>
      <c r="N183" s="295">
        <f t="shared" si="1041"/>
        <v>82.579999999999927</v>
      </c>
      <c r="O183" s="295">
        <f t="shared" si="1042"/>
        <v>178.68000000000006</v>
      </c>
      <c r="P183" s="295">
        <f t="shared" si="1042"/>
        <v>79.139999999999873</v>
      </c>
      <c r="Q183" s="257">
        <f>EEFFun!Q653</f>
        <v>113.64</v>
      </c>
      <c r="R183" s="257">
        <f>EEFFun!R653</f>
        <v>168.53</v>
      </c>
      <c r="S183" s="257">
        <f>EEFFun!S653</f>
        <v>322.58999999999997</v>
      </c>
      <c r="T183" s="257">
        <f>EEFFun!T653</f>
        <v>654.15</v>
      </c>
      <c r="U183" s="257">
        <f>EEFFun!U653</f>
        <v>725.33</v>
      </c>
      <c r="V183" s="257">
        <f>EEFFun!V653</f>
        <v>777.6</v>
      </c>
      <c r="W183" s="257">
        <f>EEFFun!W653</f>
        <v>854.99</v>
      </c>
      <c r="X183" s="257">
        <f>EEFFun!X653</f>
        <v>939.11</v>
      </c>
      <c r="Y183" s="257">
        <f>EEFFun!Y653</f>
        <v>1032.19</v>
      </c>
      <c r="Z183" s="257">
        <f>EEFFun!Z653</f>
        <v>1114.77</v>
      </c>
      <c r="AA183" s="257">
        <f>EEFFun!AA653</f>
        <v>1293.45</v>
      </c>
      <c r="AB183" s="257">
        <f>EEFFun!AB653</f>
        <v>1372.59</v>
      </c>
      <c r="AC183" s="257">
        <f>EEFFun!AC653</f>
        <v>72.89</v>
      </c>
      <c r="AD183" s="257">
        <f>EEFFun!AD653</f>
        <v>261.87</v>
      </c>
      <c r="AE183" s="257">
        <f>EEFFun!AE653</f>
        <v>447.27</v>
      </c>
      <c r="AF183" s="257">
        <f>EEFFun!AF653</f>
        <v>549.41</v>
      </c>
      <c r="AG183" s="257">
        <f>EEFFun!AG653</f>
        <v>616.26</v>
      </c>
      <c r="AH183" s="257">
        <f>EEFFun!AH653</f>
        <v>690.48</v>
      </c>
      <c r="AI183" s="257">
        <f>EEFFun!AI653</f>
        <v>754.17</v>
      </c>
      <c r="AJ183" s="257">
        <f>EEFFun!AJ653</f>
        <v>1042.4000000000001</v>
      </c>
      <c r="AK183" s="257">
        <f>EEFFun!AK653</f>
        <v>1106.99</v>
      </c>
      <c r="AL183" s="257">
        <f>EEFFun!AL653</f>
        <v>1987.91</v>
      </c>
      <c r="AM183" s="257">
        <f>EEFFun!AM653</f>
        <v>2139.39</v>
      </c>
      <c r="AN183" s="257">
        <f>EEFFun!AN653</f>
        <v>2331.34</v>
      </c>
      <c r="AO183" s="257">
        <f>EEFFun!AO653</f>
        <v>117.68</v>
      </c>
      <c r="AP183" s="257">
        <f>EEFFun!AP653</f>
        <v>508.73</v>
      </c>
      <c r="AQ183" s="257">
        <f>EEFFun!AQ653</f>
        <v>939.71</v>
      </c>
      <c r="AR183" s="257">
        <f>EEFFun!AR653</f>
        <v>1036.32</v>
      </c>
      <c r="AS183" s="257">
        <f>EEFFun!AS653</f>
        <v>1157.71</v>
      </c>
      <c r="AT183" s="257">
        <f>EEFFun!AT653</f>
        <v>1804.44</v>
      </c>
      <c r="AU183" s="257">
        <f>EEFFun!AU653</f>
        <v>1947.65</v>
      </c>
      <c r="AV183" s="257">
        <f>EEFFun!AV653</f>
        <v>2325.71</v>
      </c>
      <c r="AW183" s="257">
        <f>EEFFun!AW653</f>
        <v>2416.7199999999998</v>
      </c>
      <c r="AX183" s="257">
        <f>EEFFun!AX653</f>
        <v>2484.88</v>
      </c>
      <c r="AY183" s="295">
        <f>+AX183/10</f>
        <v>248.488</v>
      </c>
      <c r="AZ183" s="295">
        <f t="shared" si="1043"/>
        <v>248.488</v>
      </c>
      <c r="BA183" s="295">
        <f t="shared" si="1044"/>
        <v>248.488</v>
      </c>
      <c r="BB183" s="295">
        <f t="shared" si="1045"/>
        <v>248.488</v>
      </c>
      <c r="BC183" s="295">
        <f t="shared" si="1046"/>
        <v>248.488</v>
      </c>
      <c r="BD183" s="295">
        <f t="shared" si="1047"/>
        <v>248.488</v>
      </c>
      <c r="BE183" s="295">
        <f t="shared" si="1048"/>
        <v>248.488</v>
      </c>
      <c r="BF183" s="295">
        <f t="shared" si="1049"/>
        <v>248.488</v>
      </c>
      <c r="BG183" s="295">
        <f t="shared" si="1049"/>
        <v>248.488</v>
      </c>
      <c r="BH183" s="295">
        <f t="shared" si="1049"/>
        <v>248.488</v>
      </c>
      <c r="BI183" s="295">
        <f t="shared" ref="BI183:BJ183" si="1052">BH183</f>
        <v>248.488</v>
      </c>
      <c r="BJ183" s="295">
        <f t="shared" si="1052"/>
        <v>248.488</v>
      </c>
      <c r="BK183" s="295">
        <f>SUM($AY$183:AY183)</f>
        <v>248.488</v>
      </c>
      <c r="BL183" s="295">
        <f>SUM($AY$183:AZ183)</f>
        <v>496.976</v>
      </c>
      <c r="BM183" s="295">
        <f>SUM($AY$183:BA183)</f>
        <v>745.46399999999994</v>
      </c>
      <c r="BN183" s="295">
        <f>SUM($AY$183:BB183)</f>
        <v>993.952</v>
      </c>
      <c r="BO183" s="295">
        <f>SUM($AY$183:BC183)</f>
        <v>1242.44</v>
      </c>
      <c r="BP183" s="295">
        <f>SUM($AY$183:BD183)</f>
        <v>1490.9280000000001</v>
      </c>
      <c r="BQ183" s="295">
        <f>SUM($AY$183:BE183)</f>
        <v>1739.4160000000002</v>
      </c>
      <c r="BR183" s="295">
        <f>SUM($AY$183:BF183)</f>
        <v>1987.9040000000002</v>
      </c>
      <c r="BS183" s="295">
        <f>SUM($AY$183:BG183)</f>
        <v>2236.3920000000003</v>
      </c>
      <c r="BT183" s="295">
        <f>SUM($AY$183:BH183)</f>
        <v>2484.88</v>
      </c>
      <c r="BU183" s="295">
        <f>SUM($AY$183:BI183)</f>
        <v>2733.3679999999999</v>
      </c>
      <c r="BV183" s="295">
        <f>SUM($AY$183:BJ183)</f>
        <v>2981.8559999999998</v>
      </c>
      <c r="BW183" s="291"/>
    </row>
    <row r="184" spans="1:75" s="229" customFormat="1" x14ac:dyDescent="0.25">
      <c r="A184" s="222">
        <v>6</v>
      </c>
      <c r="B184" s="233">
        <f>EEFFun!B654</f>
        <v>540605</v>
      </c>
      <c r="C184" s="233" t="str">
        <f>EEFFun!C654</f>
        <v>SERVICIOS DE TRANSFERENCIAS</v>
      </c>
      <c r="D184" s="257">
        <f>EEFFun!P654</f>
        <v>3522.92</v>
      </c>
      <c r="E184" s="295">
        <f t="shared" si="1032"/>
        <v>238</v>
      </c>
      <c r="F184" s="295">
        <f t="shared" si="1033"/>
        <v>262.36</v>
      </c>
      <c r="G184" s="295">
        <f t="shared" si="1034"/>
        <v>265.79999999999995</v>
      </c>
      <c r="H184" s="295">
        <f t="shared" si="1035"/>
        <v>251.08000000000004</v>
      </c>
      <c r="I184" s="295">
        <f t="shared" si="1036"/>
        <v>259.07999999999993</v>
      </c>
      <c r="J184" s="295">
        <f t="shared" si="1037"/>
        <v>282.88000000000011</v>
      </c>
      <c r="K184" s="295">
        <f t="shared" si="1038"/>
        <v>237.44000000000005</v>
      </c>
      <c r="L184" s="295">
        <f t="shared" si="1039"/>
        <v>304.27999999999997</v>
      </c>
      <c r="M184" s="295">
        <f t="shared" si="1040"/>
        <v>236.40000000000009</v>
      </c>
      <c r="N184" s="295">
        <f t="shared" si="1041"/>
        <v>235.48000000000002</v>
      </c>
      <c r="O184" s="295">
        <f t="shared" si="1042"/>
        <v>228.23999999999978</v>
      </c>
      <c r="P184" s="295">
        <f t="shared" si="1042"/>
        <v>376.15999999999985</v>
      </c>
      <c r="Q184" s="257">
        <f>EEFFun!Q654</f>
        <v>238</v>
      </c>
      <c r="R184" s="257">
        <f>EEFFun!R654</f>
        <v>500.36</v>
      </c>
      <c r="S184" s="257">
        <f>EEFFun!S654</f>
        <v>766.16</v>
      </c>
      <c r="T184" s="257">
        <f>EEFFun!T654</f>
        <v>1017.24</v>
      </c>
      <c r="U184" s="257">
        <f>EEFFun!U654</f>
        <v>1276.32</v>
      </c>
      <c r="V184" s="257">
        <f>EEFFun!V654</f>
        <v>1559.2</v>
      </c>
      <c r="W184" s="257">
        <f>EEFFun!W654</f>
        <v>1796.64</v>
      </c>
      <c r="X184" s="257">
        <f>EEFFun!X654</f>
        <v>2100.92</v>
      </c>
      <c r="Y184" s="257">
        <f>EEFFun!Y654</f>
        <v>2337.3200000000002</v>
      </c>
      <c r="Z184" s="257">
        <f>EEFFun!Z654</f>
        <v>2572.8000000000002</v>
      </c>
      <c r="AA184" s="257">
        <f>EEFFun!AA654</f>
        <v>2801.04</v>
      </c>
      <c r="AB184" s="257">
        <f>EEFFun!AB654</f>
        <v>3177.2</v>
      </c>
      <c r="AC184" s="257">
        <f>EEFFun!AC654</f>
        <v>315.56</v>
      </c>
      <c r="AD184" s="257">
        <f>EEFFun!AD654</f>
        <v>591.21</v>
      </c>
      <c r="AE184" s="257">
        <f>EEFFun!AE654</f>
        <v>885.93</v>
      </c>
      <c r="AF184" s="257">
        <f>EEFFun!AF654</f>
        <v>1365.41</v>
      </c>
      <c r="AG184" s="257">
        <f>EEFFun!AG654</f>
        <v>1794.09</v>
      </c>
      <c r="AH184" s="257">
        <f>EEFFun!AH654</f>
        <v>2271.0500000000002</v>
      </c>
      <c r="AI184" s="257">
        <f>EEFFun!AI654</f>
        <v>2670.01</v>
      </c>
      <c r="AJ184" s="257">
        <f>EEFFun!AJ654</f>
        <v>3053.45</v>
      </c>
      <c r="AK184" s="257">
        <f>EEFFun!AK654</f>
        <v>3491.89</v>
      </c>
      <c r="AL184" s="257">
        <f>EEFFun!AL654</f>
        <v>4061.77</v>
      </c>
      <c r="AM184" s="257">
        <f>EEFFun!AM654</f>
        <v>4771.53</v>
      </c>
      <c r="AN184" s="257">
        <f>EEFFun!AN654</f>
        <v>5794.57</v>
      </c>
      <c r="AO184" s="257">
        <f>EEFFun!AO654</f>
        <v>605.12</v>
      </c>
      <c r="AP184" s="257">
        <f>EEFFun!AP654</f>
        <v>1343.84</v>
      </c>
      <c r="AQ184" s="257">
        <f>EEFFun!AQ654</f>
        <v>2245.12</v>
      </c>
      <c r="AR184" s="257">
        <f>EEFFun!AR654</f>
        <v>3185.76</v>
      </c>
      <c r="AS184" s="257">
        <f>EEFFun!AS654</f>
        <v>4259.12</v>
      </c>
      <c r="AT184" s="257">
        <f>EEFFun!AT654</f>
        <v>5411.44</v>
      </c>
      <c r="AU184" s="257">
        <f>EEFFun!AU654</f>
        <v>6311.04</v>
      </c>
      <c r="AV184" s="257">
        <f>EEFFun!AV654</f>
        <v>7430.32</v>
      </c>
      <c r="AW184" s="257">
        <f>EEFFun!AW654</f>
        <v>8202.7199999999993</v>
      </c>
      <c r="AX184" s="257">
        <f>EEFFun!AX654</f>
        <v>9015.4</v>
      </c>
      <c r="AY184" s="295">
        <f>+AX184/10</f>
        <v>901.54</v>
      </c>
      <c r="AZ184" s="295">
        <f t="shared" si="1043"/>
        <v>901.54</v>
      </c>
      <c r="BA184" s="295">
        <f t="shared" si="1044"/>
        <v>901.54</v>
      </c>
      <c r="BB184" s="295">
        <f t="shared" si="1045"/>
        <v>901.54</v>
      </c>
      <c r="BC184" s="295">
        <f t="shared" si="1046"/>
        <v>901.54</v>
      </c>
      <c r="BD184" s="295">
        <f t="shared" si="1047"/>
        <v>901.54</v>
      </c>
      <c r="BE184" s="295">
        <f t="shared" si="1048"/>
        <v>901.54</v>
      </c>
      <c r="BF184" s="295">
        <f t="shared" si="1049"/>
        <v>901.54</v>
      </c>
      <c r="BG184" s="295">
        <f t="shared" si="1049"/>
        <v>901.54</v>
      </c>
      <c r="BH184" s="295">
        <f t="shared" si="1049"/>
        <v>901.54</v>
      </c>
      <c r="BI184" s="295">
        <f t="shared" ref="BI184:BJ184" si="1053">BH184</f>
        <v>901.54</v>
      </c>
      <c r="BJ184" s="295">
        <f t="shared" si="1053"/>
        <v>901.54</v>
      </c>
      <c r="BK184" s="295">
        <f>SUM($AY$184:AY184)</f>
        <v>901.54</v>
      </c>
      <c r="BL184" s="295">
        <f>SUM($AY$184:AZ184)</f>
        <v>1803.08</v>
      </c>
      <c r="BM184" s="295">
        <f>SUM($AY$184:BA184)</f>
        <v>2704.62</v>
      </c>
      <c r="BN184" s="295">
        <f>SUM($AY$184:BB184)</f>
        <v>3606.16</v>
      </c>
      <c r="BO184" s="295">
        <f>SUM($AY$184:BC184)</f>
        <v>4507.7</v>
      </c>
      <c r="BP184" s="295">
        <f>SUM($AY$184:BD184)</f>
        <v>5409.24</v>
      </c>
      <c r="BQ184" s="295">
        <f>SUM($AY$184:BE184)</f>
        <v>6310.78</v>
      </c>
      <c r="BR184" s="295">
        <f>SUM($AY$184:BF184)</f>
        <v>7212.32</v>
      </c>
      <c r="BS184" s="295">
        <f>SUM($AY$184:BG184)</f>
        <v>8113.86</v>
      </c>
      <c r="BT184" s="295">
        <f>SUM($AY$184:BH184)</f>
        <v>9015.4</v>
      </c>
      <c r="BU184" s="295">
        <f>SUM($AY$184:BI184)</f>
        <v>9916.9399999999987</v>
      </c>
      <c r="BV184" s="295">
        <f>SUM($AY$184:BJ184)</f>
        <v>10818.48</v>
      </c>
      <c r="BW184" s="291"/>
    </row>
    <row r="185" spans="1:75" outlineLevel="1" x14ac:dyDescent="0.25">
      <c r="A185" s="222">
        <v>6</v>
      </c>
      <c r="B185" s="233">
        <f>EEFFun!B655</f>
        <v>540609</v>
      </c>
      <c r="C185" s="233" t="str">
        <f>EEFFun!C655</f>
        <v>SERVICIOS DE RECUPERACION DE CARTERA</v>
      </c>
      <c r="D185" s="257">
        <f>EEFFun!P655</f>
        <v>70273.350000000006</v>
      </c>
      <c r="E185" s="295">
        <f t="shared" si="1032"/>
        <v>6939.51</v>
      </c>
      <c r="F185" s="295">
        <f t="shared" si="1033"/>
        <v>6683.32</v>
      </c>
      <c r="G185" s="295">
        <f t="shared" si="1034"/>
        <v>7790.6200000000008</v>
      </c>
      <c r="H185" s="295">
        <f t="shared" si="1035"/>
        <v>5708.7999999999993</v>
      </c>
      <c r="I185" s="295">
        <f t="shared" si="1036"/>
        <v>6046.6500000000015</v>
      </c>
      <c r="J185" s="295">
        <f t="shared" si="1037"/>
        <v>6774.1599999999962</v>
      </c>
      <c r="K185" s="295">
        <f t="shared" si="1038"/>
        <v>7307.9900000000052</v>
      </c>
      <c r="L185" s="295">
        <f t="shared" si="1039"/>
        <v>7504.8600000000006</v>
      </c>
      <c r="M185" s="295">
        <f t="shared" si="1040"/>
        <v>7136.7199999999939</v>
      </c>
      <c r="N185" s="295">
        <f t="shared" si="1041"/>
        <v>7978.57</v>
      </c>
      <c r="O185" s="295">
        <f t="shared" si="1042"/>
        <v>7814.2799999999988</v>
      </c>
      <c r="P185" s="295">
        <f t="shared" si="1042"/>
        <v>8473.1999999999971</v>
      </c>
      <c r="Q185" s="257">
        <f>EEFFun!Q655</f>
        <v>6939.51</v>
      </c>
      <c r="R185" s="257">
        <f>EEFFun!R655</f>
        <v>13622.83</v>
      </c>
      <c r="S185" s="257">
        <f>EEFFun!S655</f>
        <v>21413.45</v>
      </c>
      <c r="T185" s="257">
        <f>EEFFun!T655</f>
        <v>27122.25</v>
      </c>
      <c r="U185" s="257">
        <f>EEFFun!U655</f>
        <v>33168.9</v>
      </c>
      <c r="V185" s="257">
        <f>EEFFun!V655</f>
        <v>39943.06</v>
      </c>
      <c r="W185" s="257">
        <f>EEFFun!W655</f>
        <v>47251.05</v>
      </c>
      <c r="X185" s="257">
        <f>EEFFun!X655</f>
        <v>54755.91</v>
      </c>
      <c r="Y185" s="257">
        <f>EEFFun!Y655</f>
        <v>61892.63</v>
      </c>
      <c r="Z185" s="257">
        <f>EEFFun!Z655</f>
        <v>69871.199999999997</v>
      </c>
      <c r="AA185" s="257">
        <f>EEFFun!AA655</f>
        <v>77685.48</v>
      </c>
      <c r="AB185" s="257">
        <f>EEFFun!AB655</f>
        <v>86158.68</v>
      </c>
      <c r="AC185" s="257">
        <f>EEFFun!AC655</f>
        <v>8085.56</v>
      </c>
      <c r="AD185" s="257">
        <f>EEFFun!AD655</f>
        <v>16403.72</v>
      </c>
      <c r="AE185" s="257">
        <f>EEFFun!AE655</f>
        <v>25435.79</v>
      </c>
      <c r="AF185" s="257">
        <f>EEFFun!AF655</f>
        <v>38006.54</v>
      </c>
      <c r="AG185" s="257">
        <f>EEFFun!AG655</f>
        <v>48347.13</v>
      </c>
      <c r="AH185" s="257">
        <f>EEFFun!AH655</f>
        <v>58178.54</v>
      </c>
      <c r="AI185" s="257">
        <f>EEFFun!AI655</f>
        <v>68733.289999999994</v>
      </c>
      <c r="AJ185" s="257">
        <f>EEFFun!AJ655</f>
        <v>79225.679999999993</v>
      </c>
      <c r="AK185" s="257">
        <f>EEFFun!AK655</f>
        <v>88710.41</v>
      </c>
      <c r="AL185" s="257">
        <f>EEFFun!AL655</f>
        <v>98984.79</v>
      </c>
      <c r="AM185" s="257">
        <f>EEFFun!AM655</f>
        <v>108283.24</v>
      </c>
      <c r="AN185" s="257">
        <f>EEFFun!AN655</f>
        <v>117174.39999999999</v>
      </c>
      <c r="AO185" s="257">
        <f>EEFFun!AO655</f>
        <v>9544.7999999999993</v>
      </c>
      <c r="AP185" s="257">
        <f>EEFFun!AP655</f>
        <v>17748.099999999999</v>
      </c>
      <c r="AQ185" s="257">
        <f>EEFFun!AQ655</f>
        <v>26584.95</v>
      </c>
      <c r="AR185" s="257">
        <f>EEFFun!AR655</f>
        <v>35904.86</v>
      </c>
      <c r="AS185" s="257">
        <f>EEFFun!AS655</f>
        <v>45790.16</v>
      </c>
      <c r="AT185" s="257">
        <f>EEFFun!AT655</f>
        <v>53594.5</v>
      </c>
      <c r="AU185" s="257">
        <f>EEFFun!AU655</f>
        <v>62376.12</v>
      </c>
      <c r="AV185" s="257">
        <f>EEFFun!AV655</f>
        <v>70822.11</v>
      </c>
      <c r="AW185" s="257">
        <f>EEFFun!AW655</f>
        <v>79441.070000000007</v>
      </c>
      <c r="AX185" s="257">
        <f>EEFFun!AX655</f>
        <v>90070.75</v>
      </c>
      <c r="AY185" s="295">
        <f>+AX185/10</f>
        <v>9007.0750000000007</v>
      </c>
      <c r="AZ185" s="295">
        <f t="shared" si="1043"/>
        <v>9007.0750000000007</v>
      </c>
      <c r="BA185" s="295">
        <f t="shared" si="1044"/>
        <v>9007.0750000000007</v>
      </c>
      <c r="BB185" s="295">
        <f t="shared" si="1045"/>
        <v>9007.0750000000007</v>
      </c>
      <c r="BC185" s="295">
        <f t="shared" si="1046"/>
        <v>9007.0750000000007</v>
      </c>
      <c r="BD185" s="295">
        <f t="shared" si="1047"/>
        <v>9007.0750000000007</v>
      </c>
      <c r="BE185" s="295">
        <f t="shared" si="1048"/>
        <v>9007.0750000000007</v>
      </c>
      <c r="BF185" s="295">
        <f t="shared" si="1049"/>
        <v>9007.0750000000007</v>
      </c>
      <c r="BG185" s="295">
        <f t="shared" si="1049"/>
        <v>9007.0750000000007</v>
      </c>
      <c r="BH185" s="295">
        <f t="shared" si="1049"/>
        <v>9007.0750000000007</v>
      </c>
      <c r="BI185" s="295">
        <f t="shared" ref="BI185:BJ185" si="1054">BH185</f>
        <v>9007.0750000000007</v>
      </c>
      <c r="BJ185" s="295">
        <f t="shared" si="1054"/>
        <v>9007.0750000000007</v>
      </c>
      <c r="BK185" s="295">
        <f>SUM($AY$185:AY185)</f>
        <v>9007.0750000000007</v>
      </c>
      <c r="BL185" s="295">
        <f>SUM($AY$185:AZ185)</f>
        <v>18014.150000000001</v>
      </c>
      <c r="BM185" s="295">
        <f>SUM($AY$185:BA185)</f>
        <v>27021.225000000002</v>
      </c>
      <c r="BN185" s="295">
        <f>SUM($AY$185:BB185)</f>
        <v>36028.300000000003</v>
      </c>
      <c r="BO185" s="295">
        <f>SUM($AY$185:BC185)</f>
        <v>45035.375</v>
      </c>
      <c r="BP185" s="295">
        <f>SUM($AY$185:BD185)</f>
        <v>54042.45</v>
      </c>
      <c r="BQ185" s="295">
        <f>SUM($AY$185:BE185)</f>
        <v>63049.524999999994</v>
      </c>
      <c r="BR185" s="295">
        <f>SUM($AY$185:BF185)</f>
        <v>72056.599999999991</v>
      </c>
      <c r="BS185" s="295">
        <f>SUM($AY$185:BG185)</f>
        <v>81063.674999999988</v>
      </c>
      <c r="BT185" s="295">
        <f>SUM($AY$185:BH185)</f>
        <v>90070.749999999985</v>
      </c>
      <c r="BU185" s="295">
        <f>SUM($AY$185:BI185)</f>
        <v>99077.824999999983</v>
      </c>
      <c r="BV185" s="295">
        <f>SUM($AY$185:BJ185)</f>
        <v>108084.89999999998</v>
      </c>
      <c r="BW185" s="291"/>
    </row>
    <row r="186" spans="1:75" outlineLevel="1" x14ac:dyDescent="0.25">
      <c r="A186" s="222">
        <v>6</v>
      </c>
      <c r="B186" s="233">
        <f>EEFFun!B656</f>
        <v>540617</v>
      </c>
      <c r="C186" s="233" t="str">
        <f>EEFFun!C656</f>
        <v>SERVICIO DE GESTION DE DOCUMENTOS</v>
      </c>
      <c r="D186" s="257">
        <f>EEFFun!P656</f>
        <v>6.1</v>
      </c>
      <c r="E186" s="295">
        <f t="shared" si="1032"/>
        <v>0</v>
      </c>
      <c r="F186" s="295">
        <f t="shared" si="1033"/>
        <v>0</v>
      </c>
      <c r="G186" s="295">
        <f t="shared" si="1034"/>
        <v>0</v>
      </c>
      <c r="H186" s="295">
        <f t="shared" si="1035"/>
        <v>0</v>
      </c>
      <c r="I186" s="295">
        <f t="shared" si="1036"/>
        <v>0.89</v>
      </c>
      <c r="J186" s="295">
        <f t="shared" si="1037"/>
        <v>2.67</v>
      </c>
      <c r="K186" s="295">
        <f t="shared" si="1038"/>
        <v>2.6700000000000004</v>
      </c>
      <c r="L186" s="295">
        <f t="shared" si="1039"/>
        <v>0.88999999999999968</v>
      </c>
      <c r="M186" s="295">
        <f t="shared" si="1040"/>
        <v>1.7800000000000002</v>
      </c>
      <c r="N186" s="295">
        <f t="shared" si="1041"/>
        <v>1.7799999999999994</v>
      </c>
      <c r="O186" s="295">
        <f t="shared" si="1042"/>
        <v>1.6500000000000004</v>
      </c>
      <c r="P186" s="295">
        <f t="shared" si="1042"/>
        <v>1.7799999999999994</v>
      </c>
      <c r="Q186" s="257">
        <f>EEFFun!Q656</f>
        <v>0</v>
      </c>
      <c r="R186" s="257">
        <f>EEFFun!R656</f>
        <v>0</v>
      </c>
      <c r="S186" s="257">
        <f>EEFFun!S656</f>
        <v>0</v>
      </c>
      <c r="T186" s="257">
        <f>EEFFun!T656</f>
        <v>0</v>
      </c>
      <c r="U186" s="257">
        <f>EEFFun!U656</f>
        <v>0.89</v>
      </c>
      <c r="V186" s="257">
        <f>EEFFun!V656</f>
        <v>3.56</v>
      </c>
      <c r="W186" s="257">
        <f>EEFFun!W656</f>
        <v>6.23</v>
      </c>
      <c r="X186" s="257">
        <f>EEFFun!X656</f>
        <v>7.12</v>
      </c>
      <c r="Y186" s="257">
        <f>EEFFun!Y656</f>
        <v>8.9</v>
      </c>
      <c r="Z186" s="257">
        <f>EEFFun!Z656</f>
        <v>10.68</v>
      </c>
      <c r="AA186" s="257">
        <f>EEFFun!AA656</f>
        <v>12.33</v>
      </c>
      <c r="AB186" s="257">
        <f>EEFFun!AB656</f>
        <v>14.11</v>
      </c>
      <c r="AC186" s="257">
        <f>EEFFun!AC656</f>
        <v>0</v>
      </c>
      <c r="AD186" s="257">
        <f>EEFFun!AD656</f>
        <v>1.78</v>
      </c>
      <c r="AE186" s="257">
        <f>EEFFun!AE656</f>
        <v>3.56</v>
      </c>
      <c r="AF186" s="257">
        <f>EEFFun!AF656</f>
        <v>4.45</v>
      </c>
      <c r="AG186" s="257">
        <f>EEFFun!AG656</f>
        <v>5.34</v>
      </c>
      <c r="AH186" s="257">
        <f>EEFFun!AH656</f>
        <v>8.9</v>
      </c>
      <c r="AI186" s="257">
        <f>EEFFun!AI656</f>
        <v>8.9</v>
      </c>
      <c r="AJ186" s="257">
        <f>EEFFun!AJ656</f>
        <v>11.57</v>
      </c>
      <c r="AK186" s="257">
        <f>EEFFun!AK656</f>
        <v>11.57</v>
      </c>
      <c r="AL186" s="257">
        <f>EEFFun!AL656</f>
        <v>11.57</v>
      </c>
      <c r="AM186" s="257">
        <f>EEFFun!AM656</f>
        <v>12.46</v>
      </c>
      <c r="AN186" s="257">
        <f>EEFFun!AN656</f>
        <v>16.02</v>
      </c>
      <c r="AO186" s="257">
        <f>EEFFun!AO656</f>
        <v>2.67</v>
      </c>
      <c r="AP186" s="257">
        <f>EEFFun!AP656</f>
        <v>3.56</v>
      </c>
      <c r="AQ186" s="257">
        <f>EEFFun!AQ656</f>
        <v>3.56</v>
      </c>
      <c r="AR186" s="257">
        <f>EEFFun!AR656</f>
        <v>4.45</v>
      </c>
      <c r="AS186" s="257">
        <f>EEFFun!AS656</f>
        <v>5.34</v>
      </c>
      <c r="AT186" s="257">
        <f>EEFFun!AT656</f>
        <v>5.34</v>
      </c>
      <c r="AU186" s="257">
        <f>EEFFun!AU656</f>
        <v>5.34</v>
      </c>
      <c r="AV186" s="257">
        <f>EEFFun!AV656</f>
        <v>8.9</v>
      </c>
      <c r="AW186" s="257">
        <f>EEFFun!AW656</f>
        <v>10.68</v>
      </c>
      <c r="AX186" s="257">
        <f>EEFFun!AX656</f>
        <v>12.46</v>
      </c>
      <c r="AY186" s="295">
        <f>+AX186/10</f>
        <v>1.246</v>
      </c>
      <c r="AZ186" s="295">
        <f t="shared" si="1043"/>
        <v>1.246</v>
      </c>
      <c r="BA186" s="295">
        <f t="shared" si="1044"/>
        <v>1.246</v>
      </c>
      <c r="BB186" s="295">
        <f t="shared" si="1045"/>
        <v>1.246</v>
      </c>
      <c r="BC186" s="295">
        <f t="shared" si="1046"/>
        <v>1.246</v>
      </c>
      <c r="BD186" s="295">
        <f t="shared" si="1047"/>
        <v>1.246</v>
      </c>
      <c r="BE186" s="295">
        <f t="shared" si="1048"/>
        <v>1.246</v>
      </c>
      <c r="BF186" s="295">
        <f t="shared" si="1049"/>
        <v>1.246</v>
      </c>
      <c r="BG186" s="295">
        <f t="shared" si="1049"/>
        <v>1.246</v>
      </c>
      <c r="BH186" s="295">
        <f t="shared" si="1049"/>
        <v>1.246</v>
      </c>
      <c r="BI186" s="295">
        <f t="shared" ref="BI186:BJ186" si="1055">BH186</f>
        <v>1.246</v>
      </c>
      <c r="BJ186" s="295">
        <f t="shared" si="1055"/>
        <v>1.246</v>
      </c>
      <c r="BK186" s="295">
        <f>SUM($AY$186:AY186)</f>
        <v>1.246</v>
      </c>
      <c r="BL186" s="295">
        <f>SUM($AY$186:AZ186)</f>
        <v>2.492</v>
      </c>
      <c r="BM186" s="295">
        <f>SUM($AY$186:BA186)</f>
        <v>3.738</v>
      </c>
      <c r="BN186" s="295">
        <f>SUM($AY$186:BB186)</f>
        <v>4.984</v>
      </c>
      <c r="BO186" s="295">
        <f>SUM($AY$186:BC186)</f>
        <v>6.23</v>
      </c>
      <c r="BP186" s="295">
        <f>SUM($AY$186:BD186)</f>
        <v>7.4760000000000009</v>
      </c>
      <c r="BQ186" s="295">
        <f>SUM($AY$186:BE186)</f>
        <v>8.7220000000000013</v>
      </c>
      <c r="BR186" s="295">
        <f>SUM($AY$186:BF186)</f>
        <v>9.9680000000000017</v>
      </c>
      <c r="BS186" s="295">
        <f>SUM($AY$186:BG186)</f>
        <v>11.214000000000002</v>
      </c>
      <c r="BT186" s="295">
        <f>SUM($AY$186:BH186)</f>
        <v>12.460000000000003</v>
      </c>
      <c r="BU186" s="295">
        <f>SUM($AY$186:BI186)</f>
        <v>13.706000000000003</v>
      </c>
      <c r="BV186" s="295">
        <f>SUM($AY$186:BJ186)</f>
        <v>14.952000000000004</v>
      </c>
      <c r="BW186" s="291"/>
    </row>
    <row r="187" spans="1:75" s="229" customFormat="1" outlineLevel="1" x14ac:dyDescent="0.25">
      <c r="A187" s="222">
        <v>6</v>
      </c>
      <c r="B187" s="233">
        <f>EEFFun!B657</f>
        <v>540618</v>
      </c>
      <c r="C187" s="233" t="str">
        <f>EEFFun!C657</f>
        <v>SERVICIOS DE CERTIFICACIONES</v>
      </c>
      <c r="D187" s="257">
        <f>EEFFun!P657</f>
        <v>413.54</v>
      </c>
      <c r="E187" s="295">
        <f t="shared" si="1032"/>
        <v>33.75</v>
      </c>
      <c r="F187" s="295">
        <f t="shared" si="1033"/>
        <v>31.5</v>
      </c>
      <c r="G187" s="295">
        <f t="shared" si="1034"/>
        <v>105.75</v>
      </c>
      <c r="H187" s="295">
        <f t="shared" si="1035"/>
        <v>36</v>
      </c>
      <c r="I187" s="295">
        <f t="shared" si="1036"/>
        <v>33.75</v>
      </c>
      <c r="J187" s="295">
        <f t="shared" si="1037"/>
        <v>20.25</v>
      </c>
      <c r="K187" s="295">
        <f t="shared" si="1038"/>
        <v>33.75</v>
      </c>
      <c r="L187" s="295">
        <f t="shared" si="1039"/>
        <v>27</v>
      </c>
      <c r="M187" s="295">
        <f t="shared" si="1040"/>
        <v>45</v>
      </c>
      <c r="N187" s="295">
        <f t="shared" si="1041"/>
        <v>29.25</v>
      </c>
      <c r="O187" s="295">
        <f t="shared" si="1042"/>
        <v>63</v>
      </c>
      <c r="P187" s="295">
        <f t="shared" si="1042"/>
        <v>105.75</v>
      </c>
      <c r="Q187" s="257">
        <f>EEFFun!Q657</f>
        <v>33.75</v>
      </c>
      <c r="R187" s="257">
        <f>EEFFun!R657</f>
        <v>65.25</v>
      </c>
      <c r="S187" s="257">
        <f>EEFFun!S657</f>
        <v>171</v>
      </c>
      <c r="T187" s="257">
        <f>EEFFun!T657</f>
        <v>207</v>
      </c>
      <c r="U187" s="257">
        <f>EEFFun!U657</f>
        <v>240.75</v>
      </c>
      <c r="V187" s="257">
        <f>EEFFun!V657</f>
        <v>261</v>
      </c>
      <c r="W187" s="257">
        <f>EEFFun!W657</f>
        <v>294.75</v>
      </c>
      <c r="X187" s="257">
        <f>EEFFun!X657</f>
        <v>321.75</v>
      </c>
      <c r="Y187" s="257">
        <f>EEFFun!Y657</f>
        <v>366.75</v>
      </c>
      <c r="Z187" s="257">
        <f>EEFFun!Z657</f>
        <v>396</v>
      </c>
      <c r="AA187" s="257">
        <f>EEFFun!AA657</f>
        <v>459</v>
      </c>
      <c r="AB187" s="257">
        <f>EEFFun!AB657</f>
        <v>564.75</v>
      </c>
      <c r="AC187" s="257">
        <f>EEFFun!AC657</f>
        <v>78.75</v>
      </c>
      <c r="AD187" s="257">
        <f>EEFFun!AD657</f>
        <v>130.5</v>
      </c>
      <c r="AE187" s="257">
        <f>EEFFun!AE657</f>
        <v>155.25</v>
      </c>
      <c r="AF187" s="257">
        <f>EEFFun!AF657</f>
        <v>193.5</v>
      </c>
      <c r="AG187" s="257">
        <f>EEFFun!AG657</f>
        <v>231.75</v>
      </c>
      <c r="AH187" s="257">
        <f>EEFFun!AH657</f>
        <v>245.25</v>
      </c>
      <c r="AI187" s="257">
        <f>EEFFun!AI657</f>
        <v>290.25</v>
      </c>
      <c r="AJ187" s="257">
        <f>EEFFun!AJ657</f>
        <v>330.75</v>
      </c>
      <c r="AK187" s="257">
        <f>EEFFun!AK657</f>
        <v>357.75</v>
      </c>
      <c r="AL187" s="257">
        <f>EEFFun!AL657</f>
        <v>389.25</v>
      </c>
      <c r="AM187" s="257">
        <f>EEFFun!AM657</f>
        <v>414</v>
      </c>
      <c r="AN187" s="257">
        <f>EEFFun!AN657</f>
        <v>425.25</v>
      </c>
      <c r="AO187" s="257">
        <f>EEFFun!AO657</f>
        <v>47.25</v>
      </c>
      <c r="AP187" s="257">
        <f>EEFFun!AP657</f>
        <v>83.25</v>
      </c>
      <c r="AQ187" s="257">
        <f>EEFFun!AQ657</f>
        <v>103.5</v>
      </c>
      <c r="AR187" s="257">
        <f>EEFFun!AR657</f>
        <v>135</v>
      </c>
      <c r="AS187" s="257">
        <f>EEFFun!AS657</f>
        <v>173.25</v>
      </c>
      <c r="AT187" s="257">
        <f>EEFFun!AT657</f>
        <v>200.25</v>
      </c>
      <c r="AU187" s="257">
        <f>EEFFun!AU657</f>
        <v>238.5</v>
      </c>
      <c r="AV187" s="257">
        <f>EEFFun!AV657</f>
        <v>261</v>
      </c>
      <c r="AW187" s="257">
        <f>EEFFun!AW657</f>
        <v>292.5</v>
      </c>
      <c r="AX187" s="257">
        <f>EEFFun!AX657</f>
        <v>351</v>
      </c>
      <c r="AY187" s="295">
        <f>+AX187/10</f>
        <v>35.1</v>
      </c>
      <c r="AZ187" s="295">
        <f t="shared" si="1043"/>
        <v>35.1</v>
      </c>
      <c r="BA187" s="295">
        <f t="shared" si="1044"/>
        <v>35.1</v>
      </c>
      <c r="BB187" s="295">
        <f t="shared" si="1045"/>
        <v>35.1</v>
      </c>
      <c r="BC187" s="295">
        <f t="shared" si="1046"/>
        <v>35.1</v>
      </c>
      <c r="BD187" s="295">
        <f t="shared" si="1047"/>
        <v>35.1</v>
      </c>
      <c r="BE187" s="295">
        <f t="shared" si="1048"/>
        <v>35.1</v>
      </c>
      <c r="BF187" s="295">
        <f t="shared" si="1049"/>
        <v>35.1</v>
      </c>
      <c r="BG187" s="295">
        <f t="shared" si="1049"/>
        <v>35.1</v>
      </c>
      <c r="BH187" s="295">
        <f t="shared" si="1049"/>
        <v>35.1</v>
      </c>
      <c r="BI187" s="295">
        <f t="shared" ref="BI187:BJ187" si="1056">BH187</f>
        <v>35.1</v>
      </c>
      <c r="BJ187" s="295">
        <f t="shared" si="1056"/>
        <v>35.1</v>
      </c>
      <c r="BK187" s="295">
        <f>SUM($AY$187:AY187)</f>
        <v>35.1</v>
      </c>
      <c r="BL187" s="295">
        <f>SUM($AY$187:AZ187)</f>
        <v>70.2</v>
      </c>
      <c r="BM187" s="295">
        <f>SUM($AY$187:BA187)</f>
        <v>105.30000000000001</v>
      </c>
      <c r="BN187" s="295">
        <f>SUM($AY$187:BB187)</f>
        <v>140.4</v>
      </c>
      <c r="BO187" s="295">
        <f>SUM($AY$187:BC187)</f>
        <v>175.5</v>
      </c>
      <c r="BP187" s="295">
        <f>SUM($AY$187:BD187)</f>
        <v>210.6</v>
      </c>
      <c r="BQ187" s="295">
        <f>SUM($AY$187:BE187)</f>
        <v>245.7</v>
      </c>
      <c r="BR187" s="295">
        <f>SUM($AY$187:BF187)</f>
        <v>280.8</v>
      </c>
      <c r="BS187" s="295">
        <f>SUM($AY$187:BG187)</f>
        <v>315.90000000000003</v>
      </c>
      <c r="BT187" s="295">
        <f>SUM($AY$187:BH187)</f>
        <v>351.00000000000006</v>
      </c>
      <c r="BU187" s="295">
        <f>SUM($AY$187:BI187)</f>
        <v>386.10000000000008</v>
      </c>
      <c r="BV187" s="295">
        <f>SUM($AY$187:BJ187)</f>
        <v>421.2000000000001</v>
      </c>
      <c r="BW187" s="284"/>
    </row>
    <row r="188" spans="1:75" s="229" customFormat="1" x14ac:dyDescent="0.25">
      <c r="A188" s="222">
        <v>2</v>
      </c>
      <c r="B188" s="223">
        <f>EEFFun!B658</f>
        <v>55</v>
      </c>
      <c r="C188" s="223" t="str">
        <f>EEFFun!C658</f>
        <v>OTROS INGRESOS OPERACIONALES</v>
      </c>
      <c r="D188" s="279">
        <f>EEFFun!P658</f>
        <v>220963.81</v>
      </c>
      <c r="E188" s="297">
        <f t="shared" ref="E188:P188" si="1057">E189</f>
        <v>5231.53</v>
      </c>
      <c r="F188" s="297">
        <f t="shared" si="1057"/>
        <v>54619.83</v>
      </c>
      <c r="G188" s="297">
        <f t="shared" si="1057"/>
        <v>15184.100000000006</v>
      </c>
      <c r="H188" s="297">
        <f t="shared" si="1057"/>
        <v>67358.839999999982</v>
      </c>
      <c r="I188" s="297">
        <f t="shared" si="1057"/>
        <v>9310.25</v>
      </c>
      <c r="J188" s="297">
        <f t="shared" si="1057"/>
        <v>9697.9900000000198</v>
      </c>
      <c r="K188" s="297">
        <f t="shared" si="1057"/>
        <v>-81.320000000006985</v>
      </c>
      <c r="L188" s="297">
        <f t="shared" si="1057"/>
        <v>27797.209999999992</v>
      </c>
      <c r="M188" s="297">
        <f t="shared" si="1057"/>
        <v>-6699.8899999999849</v>
      </c>
      <c r="N188" s="297">
        <f t="shared" si="1057"/>
        <v>20097</v>
      </c>
      <c r="O188" s="297">
        <f t="shared" si="1057"/>
        <v>41671.819999999978</v>
      </c>
      <c r="P188" s="297">
        <f t="shared" si="1057"/>
        <v>64542.910000000033</v>
      </c>
      <c r="Q188" s="279">
        <f>EEFFun!Q658</f>
        <v>5231.53</v>
      </c>
      <c r="R188" s="279">
        <f>EEFFun!R658</f>
        <v>59851.360000000001</v>
      </c>
      <c r="S188" s="279">
        <f>EEFFun!S658</f>
        <v>75035.460000000006</v>
      </c>
      <c r="T188" s="279">
        <f>EEFFun!T658</f>
        <v>142394.29999999999</v>
      </c>
      <c r="U188" s="279">
        <f>EEFFun!U658</f>
        <v>151704.54999999999</v>
      </c>
      <c r="V188" s="279">
        <f>EEFFun!V658</f>
        <v>161402.54</v>
      </c>
      <c r="W188" s="279">
        <f>EEFFun!W658</f>
        <v>161321.22</v>
      </c>
      <c r="X188" s="279">
        <f>EEFFun!X658</f>
        <v>189118.43</v>
      </c>
      <c r="Y188" s="279">
        <f>EEFFun!Y658</f>
        <v>182418.54</v>
      </c>
      <c r="Z188" s="279">
        <f>EEFFun!Z658</f>
        <v>202515.54</v>
      </c>
      <c r="AA188" s="279">
        <f>EEFFun!AA658</f>
        <v>244187.36</v>
      </c>
      <c r="AB188" s="279">
        <f>EEFFun!AB658</f>
        <v>308730.27</v>
      </c>
      <c r="AC188" s="279">
        <f>EEFFun!AC658</f>
        <v>76479.3</v>
      </c>
      <c r="AD188" s="279">
        <f>EEFFun!AD658</f>
        <v>113389.61</v>
      </c>
      <c r="AE188" s="279">
        <f>EEFFun!AE658</f>
        <v>154641.29999999999</v>
      </c>
      <c r="AF188" s="279">
        <f>EEFFun!AF658</f>
        <v>187243.21</v>
      </c>
      <c r="AG188" s="279">
        <f>EEFFun!AG658</f>
        <v>231250.32</v>
      </c>
      <c r="AH188" s="279">
        <f>EEFFun!AH658</f>
        <v>276867.78999999998</v>
      </c>
      <c r="AI188" s="279">
        <f>EEFFun!AI658</f>
        <v>319328.24</v>
      </c>
      <c r="AJ188" s="279">
        <f>EEFFun!AJ658</f>
        <v>363922.03</v>
      </c>
      <c r="AK188" s="279">
        <f>EEFFun!AK658</f>
        <v>401006.76</v>
      </c>
      <c r="AL188" s="279">
        <f>EEFFun!AL658</f>
        <v>443611.22</v>
      </c>
      <c r="AM188" s="279">
        <f>EEFFun!AM658</f>
        <v>505799.71</v>
      </c>
      <c r="AN188" s="279">
        <f>EEFFun!AN658</f>
        <v>639344.39</v>
      </c>
      <c r="AO188" s="279">
        <f>EEFFun!AO658</f>
        <v>51869.62</v>
      </c>
      <c r="AP188" s="279">
        <f>EEFFun!AP658</f>
        <v>148375.79</v>
      </c>
      <c r="AQ188" s="279">
        <f>EEFFun!AQ658</f>
        <v>221515.87</v>
      </c>
      <c r="AR188" s="279">
        <f>EEFFun!AR658</f>
        <v>304570.48</v>
      </c>
      <c r="AS188" s="279">
        <f>EEFFun!AS658</f>
        <v>490433.02</v>
      </c>
      <c r="AT188" s="279">
        <f>EEFFun!AT658</f>
        <v>580269.75</v>
      </c>
      <c r="AU188" s="279">
        <f>EEFFun!AU658</f>
        <v>690684.4</v>
      </c>
      <c r="AV188" s="279">
        <f>EEFFun!AV658</f>
        <v>872497.87</v>
      </c>
      <c r="AW188" s="279">
        <f>EEFFun!AW658</f>
        <v>1091741.28</v>
      </c>
      <c r="AX188" s="279">
        <f>EEFFun!AX658</f>
        <v>1343945.38</v>
      </c>
      <c r="AY188" s="297">
        <f t="shared" ref="AY188:BJ188" si="1058">AY189</f>
        <v>62369.412863658334</v>
      </c>
      <c r="AZ188" s="297">
        <f t="shared" si="1058"/>
        <v>68321.822130833316</v>
      </c>
      <c r="BA188" s="297">
        <f t="shared" si="1058"/>
        <v>74086.205241524993</v>
      </c>
      <c r="BB188" s="297">
        <f t="shared" si="1058"/>
        <v>79413.884287733337</v>
      </c>
      <c r="BC188" s="297">
        <f t="shared" si="1058"/>
        <v>84955.231249458317</v>
      </c>
      <c r="BD188" s="297">
        <f t="shared" si="1058"/>
        <v>90425.573102699986</v>
      </c>
      <c r="BE188" s="297">
        <f t="shared" si="1058"/>
        <v>95784.268031458298</v>
      </c>
      <c r="BF188" s="297">
        <f t="shared" si="1058"/>
        <v>101033.18882773333</v>
      </c>
      <c r="BG188" s="297">
        <f t="shared" si="1058"/>
        <v>106152.15103552504</v>
      </c>
      <c r="BH188" s="297">
        <f t="shared" si="1058"/>
        <v>111088.06729083332</v>
      </c>
      <c r="BI188" s="297">
        <f t="shared" si="1058"/>
        <v>115984.07929365833</v>
      </c>
      <c r="BJ188" s="297">
        <f t="shared" si="1058"/>
        <v>120779.62468800001</v>
      </c>
      <c r="BK188" s="297">
        <f t="shared" ref="BK188:BV188" si="1059">BK189</f>
        <v>62369.412863658334</v>
      </c>
      <c r="BL188" s="297">
        <f t="shared" si="1059"/>
        <v>130691.23499449165</v>
      </c>
      <c r="BM188" s="297">
        <f t="shared" si="1059"/>
        <v>204777.44023601664</v>
      </c>
      <c r="BN188" s="297">
        <f t="shared" si="1059"/>
        <v>284191.32452374999</v>
      </c>
      <c r="BO188" s="297">
        <f t="shared" si="1059"/>
        <v>369146.55577320833</v>
      </c>
      <c r="BP188" s="297">
        <f t="shared" si="1059"/>
        <v>459572.12887590833</v>
      </c>
      <c r="BQ188" s="297">
        <f t="shared" si="1059"/>
        <v>555356.39690736658</v>
      </c>
      <c r="BR188" s="297">
        <f t="shared" si="1059"/>
        <v>656389.58573509986</v>
      </c>
      <c r="BS188" s="297">
        <f t="shared" si="1059"/>
        <v>762541.73677062488</v>
      </c>
      <c r="BT188" s="297">
        <f t="shared" si="1059"/>
        <v>873629.80406145821</v>
      </c>
      <c r="BU188" s="297">
        <f t="shared" si="1059"/>
        <v>989613.88335511659</v>
      </c>
      <c r="BV188" s="297">
        <f t="shared" si="1059"/>
        <v>1110393.5080431167</v>
      </c>
      <c r="BW188" s="373"/>
    </row>
    <row r="189" spans="1:75" s="229" customFormat="1" outlineLevel="1" x14ac:dyDescent="0.25">
      <c r="A189" s="222">
        <v>4</v>
      </c>
      <c r="B189" s="223">
        <f>EEFFun!B659</f>
        <v>5590</v>
      </c>
      <c r="C189" s="223" t="str">
        <f>EEFFun!C659</f>
        <v>Otros</v>
      </c>
      <c r="D189" s="279">
        <f>EEFFun!P659</f>
        <v>220963.81</v>
      </c>
      <c r="E189" s="295">
        <f t="shared" ref="E189" si="1060">Q189</f>
        <v>5231.53</v>
      </c>
      <c r="F189" s="295">
        <f t="shared" ref="F189" si="1061">R189-Q189</f>
        <v>54619.83</v>
      </c>
      <c r="G189" s="295">
        <f t="shared" ref="G189" si="1062">S189-R189</f>
        <v>15184.100000000006</v>
      </c>
      <c r="H189" s="295">
        <f t="shared" ref="H189" si="1063">T189-S189</f>
        <v>67358.839999999982</v>
      </c>
      <c r="I189" s="295">
        <f t="shared" ref="I189" si="1064">U189-T189</f>
        <v>9310.25</v>
      </c>
      <c r="J189" s="295">
        <f t="shared" ref="J189" si="1065">V189-U189</f>
        <v>9697.9900000000198</v>
      </c>
      <c r="K189" s="295">
        <f t="shared" ref="K189" si="1066">W189-V189</f>
        <v>-81.320000000006985</v>
      </c>
      <c r="L189" s="295">
        <f t="shared" ref="L189" si="1067">X189-W189</f>
        <v>27797.209999999992</v>
      </c>
      <c r="M189" s="295">
        <f t="shared" ref="M189" si="1068">Y189-X189</f>
        <v>-6699.8899999999849</v>
      </c>
      <c r="N189" s="295">
        <f t="shared" ref="N189" si="1069">Z189-Y189</f>
        <v>20097</v>
      </c>
      <c r="O189" s="295">
        <f t="shared" ref="O189:P189" si="1070">AA189-Z189</f>
        <v>41671.819999999978</v>
      </c>
      <c r="P189" s="295">
        <f t="shared" si="1070"/>
        <v>64542.910000000033</v>
      </c>
      <c r="Q189" s="279">
        <f>EEFFun!Q659</f>
        <v>5231.53</v>
      </c>
      <c r="R189" s="279">
        <f>EEFFun!R659</f>
        <v>59851.360000000001</v>
      </c>
      <c r="S189" s="279">
        <f>EEFFun!S659</f>
        <v>75035.460000000006</v>
      </c>
      <c r="T189" s="279">
        <f>EEFFun!T659</f>
        <v>142394.29999999999</v>
      </c>
      <c r="U189" s="279">
        <f>EEFFun!U659</f>
        <v>151704.54999999999</v>
      </c>
      <c r="V189" s="279">
        <f>EEFFun!V659</f>
        <v>161402.54</v>
      </c>
      <c r="W189" s="279">
        <f>EEFFun!W659</f>
        <v>161321.22</v>
      </c>
      <c r="X189" s="279">
        <f>EEFFun!X659</f>
        <v>189118.43</v>
      </c>
      <c r="Y189" s="279">
        <f>EEFFun!Y659</f>
        <v>182418.54</v>
      </c>
      <c r="Z189" s="279">
        <f>EEFFun!Z659</f>
        <v>202515.54</v>
      </c>
      <c r="AA189" s="279">
        <f>EEFFun!AA659</f>
        <v>244187.36</v>
      </c>
      <c r="AB189" s="279">
        <f>EEFFun!AB659</f>
        <v>308730.27</v>
      </c>
      <c r="AC189" s="279">
        <f>EEFFun!AC659</f>
        <v>76479.3</v>
      </c>
      <c r="AD189" s="279">
        <f>EEFFun!AD659</f>
        <v>113389.61</v>
      </c>
      <c r="AE189" s="279">
        <f>EEFFun!AE659</f>
        <v>154641.29999999999</v>
      </c>
      <c r="AF189" s="279">
        <f>EEFFun!AF659</f>
        <v>187243.21</v>
      </c>
      <c r="AG189" s="279">
        <f>EEFFun!AG659</f>
        <v>231250.32</v>
      </c>
      <c r="AH189" s="279">
        <f>EEFFun!AH659</f>
        <v>276867.78999999998</v>
      </c>
      <c r="AI189" s="279">
        <f>EEFFun!AI659</f>
        <v>319328.24</v>
      </c>
      <c r="AJ189" s="279">
        <f>EEFFun!AJ659</f>
        <v>363922.03</v>
      </c>
      <c r="AK189" s="279">
        <f>EEFFun!AK659</f>
        <v>401006.76</v>
      </c>
      <c r="AL189" s="279">
        <f>EEFFun!AL659</f>
        <v>443611.22</v>
      </c>
      <c r="AM189" s="279">
        <f>EEFFun!AM659</f>
        <v>505799.71</v>
      </c>
      <c r="AN189" s="279">
        <f>EEFFun!AN659</f>
        <v>639344.39</v>
      </c>
      <c r="AO189" s="279">
        <f>EEFFun!AO659</f>
        <v>51869.62</v>
      </c>
      <c r="AP189" s="279">
        <f>EEFFun!AP659</f>
        <v>148375.79</v>
      </c>
      <c r="AQ189" s="279">
        <f>EEFFun!AQ659</f>
        <v>221515.87</v>
      </c>
      <c r="AR189" s="279">
        <f>EEFFun!AR659</f>
        <v>304570.48</v>
      </c>
      <c r="AS189" s="279">
        <f>EEFFun!AS659</f>
        <v>490433.02</v>
      </c>
      <c r="AT189" s="279">
        <f>EEFFun!AT659</f>
        <v>580269.75</v>
      </c>
      <c r="AU189" s="279">
        <f>EEFFun!AU659</f>
        <v>690684.4</v>
      </c>
      <c r="AV189" s="279">
        <f>EEFFun!AV659</f>
        <v>872497.87</v>
      </c>
      <c r="AW189" s="279">
        <f>EEFFun!AW659</f>
        <v>1091741.28</v>
      </c>
      <c r="AX189" s="279">
        <f>EEFFun!AX659</f>
        <v>1343945.38</v>
      </c>
      <c r="AY189" s="257">
        <f>((+BGhoriz!AM40*4.5%)*32%)/12</f>
        <v>62369.412863658334</v>
      </c>
      <c r="AZ189" s="257">
        <f>((+BGhoriz!AN40*4.5%)*32%)/12</f>
        <v>68321.822130833316</v>
      </c>
      <c r="BA189" s="257">
        <f>((+BGhoriz!AO40*4.5%)*32%)/12</f>
        <v>74086.205241524993</v>
      </c>
      <c r="BB189" s="257">
        <f>((+BGhoriz!AP40*4.5%)*32%)/12</f>
        <v>79413.884287733337</v>
      </c>
      <c r="BC189" s="257">
        <f>((+BGhoriz!AQ40*4.5%)*32%)/12</f>
        <v>84955.231249458317</v>
      </c>
      <c r="BD189" s="257">
        <f>((+BGhoriz!AR40*4.5%)*32%)/12</f>
        <v>90425.573102699986</v>
      </c>
      <c r="BE189" s="257">
        <f>((+BGhoriz!AS40*4.5%)*32%)/12</f>
        <v>95784.268031458298</v>
      </c>
      <c r="BF189" s="257">
        <f>((+BGhoriz!AT40*4.5%)*32%)/12</f>
        <v>101033.18882773333</v>
      </c>
      <c r="BG189" s="257">
        <f>((+BGhoriz!AU40*4.5%)*32%)/12</f>
        <v>106152.15103552504</v>
      </c>
      <c r="BH189" s="257">
        <f>((+BGhoriz!AV40*4.5%)*32%)/12</f>
        <v>111088.06729083332</v>
      </c>
      <c r="BI189" s="257">
        <f>((+BGhoriz!AW40*4.5%)*32%)/12</f>
        <v>115984.07929365833</v>
      </c>
      <c r="BJ189" s="257">
        <f>((+BGhoriz!AX40*4.5%)*32%)/12</f>
        <v>120779.62468800001</v>
      </c>
      <c r="BK189" s="295">
        <f>SUM($AY$189:AY189)</f>
        <v>62369.412863658334</v>
      </c>
      <c r="BL189" s="295">
        <f>SUM($AY$189:AZ189)</f>
        <v>130691.23499449165</v>
      </c>
      <c r="BM189" s="295">
        <f>SUM($AY$189:BA189)</f>
        <v>204777.44023601664</v>
      </c>
      <c r="BN189" s="295">
        <f>SUM($AY$189:BB189)</f>
        <v>284191.32452374999</v>
      </c>
      <c r="BO189" s="295">
        <f>SUM($AY$189:BC189)</f>
        <v>369146.55577320833</v>
      </c>
      <c r="BP189" s="295">
        <f>SUM($AY$189:BD189)</f>
        <v>459572.12887590833</v>
      </c>
      <c r="BQ189" s="295">
        <f>SUM($AY$189:BE189)</f>
        <v>555356.39690736658</v>
      </c>
      <c r="BR189" s="295">
        <f>SUM($AY$189:BF189)</f>
        <v>656389.58573509986</v>
      </c>
      <c r="BS189" s="295">
        <f>SUM($AY$189:BG189)</f>
        <v>762541.73677062488</v>
      </c>
      <c r="BT189" s="295">
        <f>SUM($AY$189:BH189)</f>
        <v>873629.80406145821</v>
      </c>
      <c r="BU189" s="295">
        <f>SUM($AY$189:BI189)</f>
        <v>989613.88335511659</v>
      </c>
      <c r="BV189" s="295">
        <f>SUM($AY$189:BJ189)</f>
        <v>1110393.5080431167</v>
      </c>
      <c r="BW189" s="284"/>
    </row>
    <row r="190" spans="1:75" s="229" customFormat="1" x14ac:dyDescent="0.25">
      <c r="A190" s="222">
        <v>2</v>
      </c>
      <c r="B190" s="223">
        <f>EEFFun!B660</f>
        <v>56</v>
      </c>
      <c r="C190" s="223" t="str">
        <f>EEFFun!C660</f>
        <v>OTROS INGRESOS</v>
      </c>
      <c r="D190" s="279">
        <f>EEFFun!P660</f>
        <v>900231.09</v>
      </c>
      <c r="E190" s="297">
        <f t="shared" ref="E190" si="1071">E191+E192+E193+E197</f>
        <v>18292.86</v>
      </c>
      <c r="F190" s="297">
        <f t="shared" ref="F190" si="1072">F191+F192+F193+F197</f>
        <v>43771.39</v>
      </c>
      <c r="G190" s="297">
        <f t="shared" ref="G190" si="1073">G191+G192+G193+G197</f>
        <v>40046.98000000001</v>
      </c>
      <c r="H190" s="297">
        <f t="shared" ref="H190:O190" si="1074">H191+H192+H193+H197</f>
        <v>339646.01999999996</v>
      </c>
      <c r="I190" s="297">
        <f t="shared" si="1074"/>
        <v>33178.200000000004</v>
      </c>
      <c r="J190" s="297">
        <f t="shared" si="1074"/>
        <v>28050.700000000008</v>
      </c>
      <c r="K190" s="297">
        <f t="shared" si="1074"/>
        <v>43627.53</v>
      </c>
      <c r="L190" s="297">
        <f t="shared" si="1074"/>
        <v>17371.810000000001</v>
      </c>
      <c r="M190" s="297">
        <f t="shared" si="1074"/>
        <v>46169.38</v>
      </c>
      <c r="N190" s="297">
        <f t="shared" si="1074"/>
        <v>14946.769999999997</v>
      </c>
      <c r="O190" s="297">
        <f t="shared" si="1074"/>
        <v>53026.23000000001</v>
      </c>
      <c r="P190" s="297">
        <f t="shared" ref="P190" si="1075">P191+P192+P193+P197</f>
        <v>204609.53</v>
      </c>
      <c r="Q190" s="279">
        <f>EEFFun!Q660</f>
        <v>18292.86</v>
      </c>
      <c r="R190" s="279">
        <f>EEFFun!R660</f>
        <v>62064.25</v>
      </c>
      <c r="S190" s="279">
        <f>EEFFun!S660</f>
        <v>102111.23</v>
      </c>
      <c r="T190" s="279">
        <f>EEFFun!T660</f>
        <v>441757.25</v>
      </c>
      <c r="U190" s="279">
        <f>EEFFun!U660</f>
        <v>474935.45</v>
      </c>
      <c r="V190" s="279">
        <f>EEFFun!V660</f>
        <v>502986.15</v>
      </c>
      <c r="W190" s="279">
        <f>EEFFun!W660</f>
        <v>546613.68000000005</v>
      </c>
      <c r="X190" s="279">
        <f>EEFFun!X660</f>
        <v>563985.49</v>
      </c>
      <c r="Y190" s="279">
        <f>EEFFun!Y660</f>
        <v>610154.87</v>
      </c>
      <c r="Z190" s="279">
        <f>EEFFun!Z660</f>
        <v>625101.64</v>
      </c>
      <c r="AA190" s="279">
        <f>EEFFun!AA660</f>
        <v>678127.87</v>
      </c>
      <c r="AB190" s="279">
        <f>EEFFun!AB660</f>
        <v>882737.4</v>
      </c>
      <c r="AC190" s="279">
        <f>EEFFun!AC660</f>
        <v>43479.88</v>
      </c>
      <c r="AD190" s="279">
        <f>EEFFun!AD660</f>
        <v>70260.460000000006</v>
      </c>
      <c r="AE190" s="279">
        <f>EEFFun!AE660</f>
        <v>79286.289999999994</v>
      </c>
      <c r="AF190" s="279">
        <f>EEFFun!AF660</f>
        <v>102651.29</v>
      </c>
      <c r="AG190" s="279">
        <f>EEFFun!AG660</f>
        <v>133975.43</v>
      </c>
      <c r="AH190" s="279">
        <f>EEFFun!AH660</f>
        <v>158078.03</v>
      </c>
      <c r="AI190" s="279">
        <f>EEFFun!AI660</f>
        <v>220821.9</v>
      </c>
      <c r="AJ190" s="279">
        <f>EEFFun!AJ660</f>
        <v>243241.29</v>
      </c>
      <c r="AK190" s="279">
        <f>EEFFun!AK660</f>
        <v>278205.40000000002</v>
      </c>
      <c r="AL190" s="279">
        <f>EEFFun!AL660</f>
        <v>295293.84999999998</v>
      </c>
      <c r="AM190" s="279">
        <f>EEFFun!AM660</f>
        <v>307236.11</v>
      </c>
      <c r="AN190" s="279">
        <f>EEFFun!AN660</f>
        <v>503860.22</v>
      </c>
      <c r="AO190" s="279">
        <f>EEFFun!AO660</f>
        <v>136751.88</v>
      </c>
      <c r="AP190" s="279">
        <f>EEFFun!AP660</f>
        <v>356274.53</v>
      </c>
      <c r="AQ190" s="279">
        <f>EEFFun!AQ660</f>
        <v>469551.53</v>
      </c>
      <c r="AR190" s="279">
        <f>EEFFun!AR660</f>
        <v>617371.28</v>
      </c>
      <c r="AS190" s="279">
        <f>EEFFun!AS660</f>
        <v>642549.6</v>
      </c>
      <c r="AT190" s="279">
        <f>EEFFun!AT660</f>
        <v>750950.54</v>
      </c>
      <c r="AU190" s="279">
        <f>EEFFun!AU660</f>
        <v>831043.26</v>
      </c>
      <c r="AV190" s="279">
        <f>EEFFun!AV660</f>
        <v>1001535.9</v>
      </c>
      <c r="AW190" s="279">
        <f>EEFFun!AW660</f>
        <v>1126652.26</v>
      </c>
      <c r="AX190" s="279">
        <f>EEFFun!AX660</f>
        <v>1287093.28</v>
      </c>
      <c r="AY190" s="297">
        <f t="shared" ref="AY190:BE190" si="1076">AY191+AY192+AY193+AY197</f>
        <v>103932.39316666665</v>
      </c>
      <c r="AZ190" s="297">
        <f t="shared" si="1076"/>
        <v>103932.39316666665</v>
      </c>
      <c r="BA190" s="297">
        <f t="shared" si="1076"/>
        <v>103932.39316666665</v>
      </c>
      <c r="BB190" s="297">
        <f t="shared" si="1076"/>
        <v>103932.39316666665</v>
      </c>
      <c r="BC190" s="297">
        <f t="shared" si="1076"/>
        <v>103932.39316666665</v>
      </c>
      <c r="BD190" s="297">
        <f t="shared" si="1076"/>
        <v>103932.39316666665</v>
      </c>
      <c r="BE190" s="297">
        <f t="shared" si="1076"/>
        <v>103932.39316666665</v>
      </c>
      <c r="BF190" s="297">
        <f t="shared" ref="BF190:BJ190" si="1077">BF191+BF192+BF193+BF197</f>
        <v>103932.39316666665</v>
      </c>
      <c r="BG190" s="297">
        <f t="shared" si="1077"/>
        <v>109489.16316666667</v>
      </c>
      <c r="BH190" s="297">
        <f t="shared" si="1077"/>
        <v>109489.16316666667</v>
      </c>
      <c r="BI190" s="297">
        <f t="shared" si="1077"/>
        <v>119489.16316666667</v>
      </c>
      <c r="BJ190" s="297">
        <f t="shared" si="1077"/>
        <v>69489.163166666665</v>
      </c>
      <c r="BK190" s="297">
        <f t="shared" ref="BK190:BQ190" si="1078">BK191+BK192+BK193+BK197</f>
        <v>103932.39316666665</v>
      </c>
      <c r="BL190" s="297">
        <f t="shared" si="1078"/>
        <v>207864.78633333329</v>
      </c>
      <c r="BM190" s="297">
        <f t="shared" si="1078"/>
        <v>311797.17949999997</v>
      </c>
      <c r="BN190" s="297">
        <f t="shared" si="1078"/>
        <v>415729.57266666659</v>
      </c>
      <c r="BO190" s="297">
        <f t="shared" si="1078"/>
        <v>519661.96583333326</v>
      </c>
      <c r="BP190" s="297">
        <f t="shared" si="1078"/>
        <v>623594.35899999994</v>
      </c>
      <c r="BQ190" s="297">
        <f t="shared" si="1078"/>
        <v>727526.75216666644</v>
      </c>
      <c r="BR190" s="297">
        <f t="shared" ref="BR190" si="1079">BR191+BR192+BR193+BR197</f>
        <v>831459.14533333317</v>
      </c>
      <c r="BS190" s="297">
        <f t="shared" ref="BS190" si="1080">BS191+BS192+BS193+BS197</f>
        <v>940948.30849999969</v>
      </c>
      <c r="BT190" s="297">
        <f t="shared" ref="BT190" si="1081">BT191+BT192+BT193+BT197</f>
        <v>1050437.4716666667</v>
      </c>
      <c r="BU190" s="297">
        <f t="shared" ref="BU190" si="1082">BU191+BU192+BU193+BU197</f>
        <v>1169926.6348333331</v>
      </c>
      <c r="BV190" s="297">
        <f t="shared" ref="BV190" si="1083">BV191+BV192+BV193+BV197</f>
        <v>1239415.7979999997</v>
      </c>
      <c r="BW190" s="373"/>
    </row>
    <row r="191" spans="1:75" s="229" customFormat="1" outlineLevel="1" x14ac:dyDescent="0.25">
      <c r="A191" s="239">
        <v>4</v>
      </c>
      <c r="B191" s="223">
        <f>EEFFun!B661</f>
        <v>5601</v>
      </c>
      <c r="C191" s="223" t="str">
        <f>EEFFun!C661</f>
        <v>Utilidad en venta de bienes</v>
      </c>
      <c r="D191" s="279">
        <f>EEFFun!P661</f>
        <v>8341.85</v>
      </c>
      <c r="E191" s="297">
        <f t="shared" ref="E191:E192" si="1084">Q191</f>
        <v>0</v>
      </c>
      <c r="F191" s="297">
        <f t="shared" ref="F191:F192" si="1085">R191-Q191</f>
        <v>0</v>
      </c>
      <c r="G191" s="297">
        <f t="shared" ref="G191:G192" si="1086">S191-R191</f>
        <v>0</v>
      </c>
      <c r="H191" s="297">
        <f t="shared" ref="H191:H192" si="1087">T191-S191</f>
        <v>128940.44</v>
      </c>
      <c r="I191" s="297">
        <f t="shared" ref="I191:I192" si="1088">U191-T191</f>
        <v>0</v>
      </c>
      <c r="J191" s="297">
        <f t="shared" ref="J191:J192" si="1089">V191-U191</f>
        <v>0</v>
      </c>
      <c r="K191" s="297">
        <f t="shared" ref="K191:K192" si="1090">W191-V191</f>
        <v>0</v>
      </c>
      <c r="L191" s="297">
        <f t="shared" ref="L191:L192" si="1091">X191-W191</f>
        <v>0</v>
      </c>
      <c r="M191" s="297">
        <f t="shared" ref="M191:M192" si="1092">Y191-X191</f>
        <v>0</v>
      </c>
      <c r="N191" s="297">
        <f t="shared" ref="N191:N192" si="1093">Z191-Y191</f>
        <v>0</v>
      </c>
      <c r="O191" s="297">
        <f t="shared" ref="O191:P192" si="1094">AA191-Z191</f>
        <v>0</v>
      </c>
      <c r="P191" s="297">
        <f t="shared" si="1094"/>
        <v>0</v>
      </c>
      <c r="Q191" s="279">
        <f>EEFFun!Q661</f>
        <v>0</v>
      </c>
      <c r="R191" s="279">
        <f>EEFFun!R661</f>
        <v>0</v>
      </c>
      <c r="S191" s="279">
        <f>EEFFun!S661</f>
        <v>0</v>
      </c>
      <c r="T191" s="279">
        <f>EEFFun!T661</f>
        <v>128940.44</v>
      </c>
      <c r="U191" s="279">
        <f>EEFFun!U661</f>
        <v>128940.44</v>
      </c>
      <c r="V191" s="279">
        <f>EEFFun!V661</f>
        <v>128940.44</v>
      </c>
      <c r="W191" s="279">
        <f>EEFFun!W661</f>
        <v>128940.44</v>
      </c>
      <c r="X191" s="279">
        <f>EEFFun!X661</f>
        <v>128940.44</v>
      </c>
      <c r="Y191" s="279">
        <f>EEFFun!Y661</f>
        <v>128940.44</v>
      </c>
      <c r="Z191" s="279">
        <f>EEFFun!Z661</f>
        <v>128940.44</v>
      </c>
      <c r="AA191" s="279">
        <f>EEFFun!AA661</f>
        <v>128940.44</v>
      </c>
      <c r="AB191" s="279">
        <f>EEFFun!AB661</f>
        <v>128940.44</v>
      </c>
      <c r="AC191" s="279">
        <f>EEFFun!AC661</f>
        <v>0</v>
      </c>
      <c r="AD191" s="279">
        <f>EEFFun!AD661</f>
        <v>0</v>
      </c>
      <c r="AE191" s="279">
        <f>EEFFun!AE661</f>
        <v>0</v>
      </c>
      <c r="AF191" s="279">
        <f>EEFFun!AF661</f>
        <v>0</v>
      </c>
      <c r="AG191" s="279">
        <f>EEFFun!AG661</f>
        <v>0</v>
      </c>
      <c r="AH191" s="279">
        <f>EEFFun!AH661</f>
        <v>0</v>
      </c>
      <c r="AI191" s="279">
        <f>EEFFun!AI661</f>
        <v>0</v>
      </c>
      <c r="AJ191" s="279">
        <f>EEFFun!AJ661</f>
        <v>0</v>
      </c>
      <c r="AK191" s="279">
        <f>EEFFun!AK661</f>
        <v>20768.939999999999</v>
      </c>
      <c r="AL191" s="279">
        <f>EEFFun!AL661</f>
        <v>20768.939999999999</v>
      </c>
      <c r="AM191" s="279">
        <f>EEFFun!AM661</f>
        <v>20768.939999999999</v>
      </c>
      <c r="AN191" s="279">
        <f>EEFFun!AN661</f>
        <v>32465</v>
      </c>
      <c r="AO191" s="279">
        <f>EEFFun!AO661</f>
        <v>5372.52</v>
      </c>
      <c r="AP191" s="279">
        <f>EEFFun!AP661</f>
        <v>5372.52</v>
      </c>
      <c r="AQ191" s="279">
        <f>EEFFun!AQ661</f>
        <v>5372.52</v>
      </c>
      <c r="AR191" s="279">
        <f>EEFFun!AR661</f>
        <v>5372.52</v>
      </c>
      <c r="AS191" s="279">
        <f>EEFFun!AS661</f>
        <v>5372.52</v>
      </c>
      <c r="AT191" s="279">
        <f>EEFFun!AT661</f>
        <v>5372.52</v>
      </c>
      <c r="AU191" s="279">
        <f>EEFFun!AU661</f>
        <v>5372.52</v>
      </c>
      <c r="AV191" s="279">
        <f>EEFFun!AV661</f>
        <v>5372.52</v>
      </c>
      <c r="AW191" s="279">
        <f>EEFFun!AW661</f>
        <v>5372.52</v>
      </c>
      <c r="AX191" s="279">
        <f>EEFFun!AX661</f>
        <v>5372.52</v>
      </c>
      <c r="AY191" s="295">
        <f>+AX191/10</f>
        <v>537.25200000000007</v>
      </c>
      <c r="AZ191" s="297">
        <f t="shared" ref="AZ191:BE192" si="1095">AY191</f>
        <v>537.25200000000007</v>
      </c>
      <c r="BA191" s="297">
        <f t="shared" si="1095"/>
        <v>537.25200000000007</v>
      </c>
      <c r="BB191" s="297">
        <f t="shared" si="1095"/>
        <v>537.25200000000007</v>
      </c>
      <c r="BC191" s="297">
        <f t="shared" si="1095"/>
        <v>537.25200000000007</v>
      </c>
      <c r="BD191" s="297">
        <f t="shared" si="1095"/>
        <v>537.25200000000007</v>
      </c>
      <c r="BE191" s="297">
        <f t="shared" si="1095"/>
        <v>537.25200000000007</v>
      </c>
      <c r="BF191" s="297">
        <f t="shared" ref="BF191:BH192" si="1096">BE191</f>
        <v>537.25200000000007</v>
      </c>
      <c r="BG191" s="297">
        <f t="shared" si="1096"/>
        <v>537.25200000000007</v>
      </c>
      <c r="BH191" s="297">
        <f t="shared" si="1096"/>
        <v>537.25200000000007</v>
      </c>
      <c r="BI191" s="297">
        <f t="shared" ref="BI191" si="1097">BH191</f>
        <v>537.25200000000007</v>
      </c>
      <c r="BJ191" s="297">
        <f t="shared" ref="BJ191" si="1098">BI191</f>
        <v>537.25200000000007</v>
      </c>
      <c r="BK191" s="297">
        <f>SUM($AY$191:AY191)</f>
        <v>537.25200000000007</v>
      </c>
      <c r="BL191" s="297">
        <f>SUM($AY$191:AZ191)</f>
        <v>1074.5040000000001</v>
      </c>
      <c r="BM191" s="297">
        <f>SUM($AY$191:BA191)</f>
        <v>1611.7560000000003</v>
      </c>
      <c r="BN191" s="297">
        <f>SUM($AY$191:BB191)</f>
        <v>2149.0080000000003</v>
      </c>
      <c r="BO191" s="297">
        <f>SUM($AY$191:BC191)</f>
        <v>2686.26</v>
      </c>
      <c r="BP191" s="297">
        <f>SUM($AY$191:BD191)</f>
        <v>3223.5120000000002</v>
      </c>
      <c r="BQ191" s="297">
        <f>SUM($AY$191:BE191)</f>
        <v>3760.7640000000001</v>
      </c>
      <c r="BR191" s="297">
        <f>SUM($AY$191:BF191)</f>
        <v>4298.0160000000005</v>
      </c>
      <c r="BS191" s="297">
        <f>SUM($AY$191:BG191)</f>
        <v>4835.2680000000009</v>
      </c>
      <c r="BT191" s="297">
        <f>SUM($AY$191:BH191)</f>
        <v>5372.5200000000013</v>
      </c>
      <c r="BU191" s="297">
        <f>SUM($AY$191:BI191)</f>
        <v>5909.7720000000018</v>
      </c>
      <c r="BV191" s="297">
        <f>SUM($AY$191:BJ191)</f>
        <v>6447.0240000000022</v>
      </c>
      <c r="BW191" s="284"/>
    </row>
    <row r="192" spans="1:75" s="229" customFormat="1" outlineLevel="1" x14ac:dyDescent="0.25">
      <c r="A192" s="239">
        <v>4</v>
      </c>
      <c r="B192" s="223">
        <f>EEFFun!B662</f>
        <v>5603</v>
      </c>
      <c r="C192" s="223" t="str">
        <f>EEFFun!C662</f>
        <v>Arrendamientos</v>
      </c>
      <c r="D192" s="279">
        <f>EEFFun!P662</f>
        <v>57710</v>
      </c>
      <c r="E192" s="297">
        <f t="shared" si="1084"/>
        <v>550</v>
      </c>
      <c r="F192" s="297">
        <f t="shared" si="1085"/>
        <v>5752</v>
      </c>
      <c r="G192" s="297">
        <f t="shared" si="1086"/>
        <v>5752</v>
      </c>
      <c r="H192" s="297">
        <f t="shared" si="1087"/>
        <v>5752</v>
      </c>
      <c r="I192" s="297">
        <f t="shared" si="1088"/>
        <v>5752</v>
      </c>
      <c r="J192" s="297">
        <f t="shared" si="1089"/>
        <v>5376.619999999999</v>
      </c>
      <c r="K192" s="297">
        <f t="shared" si="1090"/>
        <v>5856.0400000000045</v>
      </c>
      <c r="L192" s="297">
        <f t="shared" si="1091"/>
        <v>5306.0399999999936</v>
      </c>
      <c r="M192" s="297">
        <f t="shared" si="1092"/>
        <v>6406.0400000000009</v>
      </c>
      <c r="N192" s="297">
        <f t="shared" si="1093"/>
        <v>5856.0400000000009</v>
      </c>
      <c r="O192" s="297">
        <f t="shared" si="1094"/>
        <v>5856.0400000000009</v>
      </c>
      <c r="P192" s="297">
        <f t="shared" si="1094"/>
        <v>5856.0400000000009</v>
      </c>
      <c r="Q192" s="279">
        <f>EEFFun!Q662</f>
        <v>550</v>
      </c>
      <c r="R192" s="279">
        <f>EEFFun!R662</f>
        <v>6302</v>
      </c>
      <c r="S192" s="279">
        <f>EEFFun!S662</f>
        <v>12054</v>
      </c>
      <c r="T192" s="279">
        <f>EEFFun!T662</f>
        <v>17806</v>
      </c>
      <c r="U192" s="279">
        <f>EEFFun!U662</f>
        <v>23558</v>
      </c>
      <c r="V192" s="279">
        <f>EEFFun!V662</f>
        <v>28934.62</v>
      </c>
      <c r="W192" s="279">
        <f>EEFFun!W662</f>
        <v>34790.660000000003</v>
      </c>
      <c r="X192" s="279">
        <f>EEFFun!X662</f>
        <v>40096.699999999997</v>
      </c>
      <c r="Y192" s="279">
        <f>EEFFun!Y662</f>
        <v>46502.74</v>
      </c>
      <c r="Z192" s="279">
        <f>EEFFun!Z662</f>
        <v>52358.78</v>
      </c>
      <c r="AA192" s="279">
        <f>EEFFun!AA662</f>
        <v>58214.82</v>
      </c>
      <c r="AB192" s="279">
        <f>EEFFun!AB662</f>
        <v>64070.86</v>
      </c>
      <c r="AC192" s="279">
        <f>EEFFun!AC662</f>
        <v>5856.04</v>
      </c>
      <c r="AD192" s="279">
        <f>EEFFun!AD662</f>
        <v>11162.08</v>
      </c>
      <c r="AE192" s="279">
        <f>EEFFun!AE662</f>
        <v>16468.12</v>
      </c>
      <c r="AF192" s="279">
        <f>EEFFun!AF662</f>
        <v>21774.16</v>
      </c>
      <c r="AG192" s="279">
        <f>EEFFun!AG662</f>
        <v>27080.2</v>
      </c>
      <c r="AH192" s="279">
        <f>EEFFun!AH662</f>
        <v>32386.240000000002</v>
      </c>
      <c r="AI192" s="279">
        <f>EEFFun!AI662</f>
        <v>37798.400000000001</v>
      </c>
      <c r="AJ192" s="279">
        <f>EEFFun!AJ662</f>
        <v>43210.559999999998</v>
      </c>
      <c r="AK192" s="279">
        <f>EEFFun!AK662</f>
        <v>48622.720000000001</v>
      </c>
      <c r="AL192" s="279">
        <f>EEFFun!AL662</f>
        <v>54034.879999999997</v>
      </c>
      <c r="AM192" s="279">
        <f>EEFFun!AM662</f>
        <v>59447.040000000001</v>
      </c>
      <c r="AN192" s="279">
        <f>EEFFun!AN662</f>
        <v>64859.199999999997</v>
      </c>
      <c r="AO192" s="279">
        <f>EEFFun!AO662</f>
        <v>5412.16</v>
      </c>
      <c r="AP192" s="279">
        <f>EEFFun!AP662</f>
        <v>10824.32</v>
      </c>
      <c r="AQ192" s="279">
        <f>EEFFun!AQ662</f>
        <v>16236.48</v>
      </c>
      <c r="AR192" s="279">
        <f>EEFFun!AR662</f>
        <v>21648.639999999999</v>
      </c>
      <c r="AS192" s="279">
        <f>EEFFun!AS662</f>
        <v>27060.799999999999</v>
      </c>
      <c r="AT192" s="279">
        <f>EEFFun!AT662</f>
        <v>32472.959999999999</v>
      </c>
      <c r="AU192" s="279">
        <f>EEFFun!AU662</f>
        <v>32472.959999999999</v>
      </c>
      <c r="AV192" s="279">
        <f>EEFFun!AV662</f>
        <v>52472.959999999999</v>
      </c>
      <c r="AW192" s="279">
        <f>EEFFun!AW662</f>
        <v>49034.16</v>
      </c>
      <c r="AX192" s="279">
        <f>EEFFun!AX662</f>
        <v>54554.559999999998</v>
      </c>
      <c r="AY192" s="295">
        <f>+AN192/12</f>
        <v>5404.9333333333334</v>
      </c>
      <c r="AZ192" s="297">
        <f t="shared" si="1095"/>
        <v>5404.9333333333334</v>
      </c>
      <c r="BA192" s="297">
        <f t="shared" si="1095"/>
        <v>5404.9333333333334</v>
      </c>
      <c r="BB192" s="297">
        <f t="shared" si="1095"/>
        <v>5404.9333333333334</v>
      </c>
      <c r="BC192" s="297">
        <f t="shared" si="1095"/>
        <v>5404.9333333333334</v>
      </c>
      <c r="BD192" s="297">
        <f t="shared" si="1095"/>
        <v>5404.9333333333334</v>
      </c>
      <c r="BE192" s="297">
        <f t="shared" si="1095"/>
        <v>5404.9333333333334</v>
      </c>
      <c r="BF192" s="297">
        <f t="shared" si="1096"/>
        <v>5404.9333333333334</v>
      </c>
      <c r="BG192" s="297">
        <f t="shared" si="1096"/>
        <v>5404.9333333333334</v>
      </c>
      <c r="BH192" s="297">
        <f t="shared" si="1096"/>
        <v>5404.9333333333334</v>
      </c>
      <c r="BI192" s="297">
        <f t="shared" ref="BI192:BJ192" si="1099">BH192</f>
        <v>5404.9333333333334</v>
      </c>
      <c r="BJ192" s="297">
        <f t="shared" si="1099"/>
        <v>5404.9333333333334</v>
      </c>
      <c r="BK192" s="297">
        <f>SUM($AY$192:AY192)</f>
        <v>5404.9333333333334</v>
      </c>
      <c r="BL192" s="297">
        <f>SUM($AY$192:AZ192)</f>
        <v>10809.866666666667</v>
      </c>
      <c r="BM192" s="297">
        <f>SUM($AY$192:BA192)</f>
        <v>16214.8</v>
      </c>
      <c r="BN192" s="297">
        <f>SUM($AY$192:BB192)</f>
        <v>21619.733333333334</v>
      </c>
      <c r="BO192" s="297">
        <f>SUM($AY$192:BC192)</f>
        <v>27024.666666666668</v>
      </c>
      <c r="BP192" s="297">
        <f>SUM($AY$192:BD192)</f>
        <v>32429.600000000002</v>
      </c>
      <c r="BQ192" s="297">
        <f>SUM($AY$192:BE192)</f>
        <v>37834.533333333333</v>
      </c>
      <c r="BR192" s="297">
        <f>SUM($AY$192:BF192)</f>
        <v>43239.466666666667</v>
      </c>
      <c r="BS192" s="297">
        <f>SUM($AY$192:BG192)</f>
        <v>48644.4</v>
      </c>
      <c r="BT192" s="297">
        <f>SUM($AY$192:BH192)</f>
        <v>54049.333333333336</v>
      </c>
      <c r="BU192" s="297">
        <f>SUM($AY$192:BI192)</f>
        <v>59454.26666666667</v>
      </c>
      <c r="BV192" s="297">
        <f>SUM($AY$192:BJ192)</f>
        <v>64859.200000000004</v>
      </c>
      <c r="BW192" s="284"/>
    </row>
    <row r="193" spans="1:75" s="380" customFormat="1" x14ac:dyDescent="0.25">
      <c r="A193" s="239">
        <v>4</v>
      </c>
      <c r="B193" s="223">
        <f>EEFFun!B663</f>
        <v>5604</v>
      </c>
      <c r="C193" s="223" t="str">
        <f>EEFFun!C663</f>
        <v>Recuperaciones de activos financieros</v>
      </c>
      <c r="D193" s="279">
        <f>EEFFun!P663</f>
        <v>626269.28</v>
      </c>
      <c r="E193" s="297">
        <f t="shared" ref="E193" si="1100">SUM(E194:E196)</f>
        <v>17458.03</v>
      </c>
      <c r="F193" s="297">
        <f t="shared" ref="F193" si="1101">SUM(F194:F196)</f>
        <v>37861.19</v>
      </c>
      <c r="G193" s="297">
        <f t="shared" ref="G193" si="1102">SUM(G194:G196)</f>
        <v>34115.790000000008</v>
      </c>
      <c r="H193" s="297">
        <f t="shared" ref="H193:O193" si="1103">SUM(H194:H196)</f>
        <v>204396.11</v>
      </c>
      <c r="I193" s="297">
        <f t="shared" si="1103"/>
        <v>27426.200000000004</v>
      </c>
      <c r="J193" s="297">
        <f t="shared" si="1103"/>
        <v>22707.380000000008</v>
      </c>
      <c r="K193" s="297">
        <f t="shared" si="1103"/>
        <v>37771.489999999991</v>
      </c>
      <c r="L193" s="297">
        <f t="shared" si="1103"/>
        <v>12065.760000000009</v>
      </c>
      <c r="M193" s="297">
        <f t="shared" si="1103"/>
        <v>36512.659999999996</v>
      </c>
      <c r="N193" s="297">
        <f t="shared" si="1103"/>
        <v>9087.6599999999962</v>
      </c>
      <c r="O193" s="297">
        <f t="shared" si="1103"/>
        <v>18473.810000000012</v>
      </c>
      <c r="P193" s="297">
        <f t="shared" ref="P193" si="1104">SUM(P194:P196)</f>
        <v>14310.319999999992</v>
      </c>
      <c r="Q193" s="279">
        <f>EEFFun!Q663</f>
        <v>17458.03</v>
      </c>
      <c r="R193" s="279">
        <f>EEFFun!R663</f>
        <v>55319.22</v>
      </c>
      <c r="S193" s="279">
        <f>EEFFun!S663</f>
        <v>89435.01</v>
      </c>
      <c r="T193" s="279">
        <f>EEFFun!T663</f>
        <v>293831.12</v>
      </c>
      <c r="U193" s="279">
        <f>EEFFun!U663</f>
        <v>321257.32</v>
      </c>
      <c r="V193" s="279">
        <f>EEFFun!V663</f>
        <v>343964.7</v>
      </c>
      <c r="W193" s="279">
        <f>EEFFun!W663</f>
        <v>381736.19</v>
      </c>
      <c r="X193" s="279">
        <f>EEFFun!X663</f>
        <v>393801.95</v>
      </c>
      <c r="Y193" s="279">
        <f>EEFFun!Y663</f>
        <v>430314.61</v>
      </c>
      <c r="Z193" s="279">
        <f>EEFFun!Z663</f>
        <v>439402.27</v>
      </c>
      <c r="AA193" s="279">
        <f>EEFFun!AA663</f>
        <v>457876.08</v>
      </c>
      <c r="AB193" s="279">
        <f>EEFFun!AB663</f>
        <v>472186.4</v>
      </c>
      <c r="AC193" s="279">
        <f>EEFFun!AC663</f>
        <v>36746.1</v>
      </c>
      <c r="AD193" s="279">
        <f>EEFFun!AD663</f>
        <v>57281.26</v>
      </c>
      <c r="AE193" s="279">
        <f>EEFFun!AE663</f>
        <v>60997.71</v>
      </c>
      <c r="AF193" s="279">
        <f>EEFFun!AF663</f>
        <v>79041.2</v>
      </c>
      <c r="AG193" s="279">
        <f>EEFFun!AG663</f>
        <v>105058.5</v>
      </c>
      <c r="AH193" s="279">
        <f>EEFFun!AH663</f>
        <v>123668.46</v>
      </c>
      <c r="AI193" s="279">
        <f>EEFFun!AI663</f>
        <v>180439.41</v>
      </c>
      <c r="AJ193" s="279">
        <f>EEFFun!AJ663</f>
        <v>196842.13</v>
      </c>
      <c r="AK193" s="279">
        <f>EEFFun!AK663</f>
        <v>205574.43</v>
      </c>
      <c r="AL193" s="279">
        <f>EEFFun!AL663</f>
        <v>216814.49</v>
      </c>
      <c r="AM193" s="279">
        <f>EEFFun!AM663</f>
        <v>223276.24</v>
      </c>
      <c r="AN193" s="279">
        <f>EEFFun!AN663</f>
        <v>348980.89</v>
      </c>
      <c r="AO193" s="279">
        <f>EEFFun!AO663</f>
        <v>125767.24</v>
      </c>
      <c r="AP193" s="279">
        <f>EEFFun!AP663</f>
        <v>339757.98</v>
      </c>
      <c r="AQ193" s="279">
        <f>EEFFun!AQ663</f>
        <v>428106.61</v>
      </c>
      <c r="AR193" s="279">
        <f>EEFFun!AR663</f>
        <v>514235.83</v>
      </c>
      <c r="AS193" s="279">
        <f>EEFFun!AS663</f>
        <v>603731.55000000005</v>
      </c>
      <c r="AT193" s="279">
        <f>EEFFun!AT663</f>
        <v>671782.35</v>
      </c>
      <c r="AU193" s="279">
        <f>EEFFun!AU663</f>
        <v>751487.78</v>
      </c>
      <c r="AV193" s="279">
        <f>EEFFun!AV663</f>
        <v>771574.11</v>
      </c>
      <c r="AW193" s="279">
        <f>EEFFun!AW663</f>
        <v>812490.42</v>
      </c>
      <c r="AX193" s="279">
        <f>EEFFun!AX663</f>
        <v>931939.47</v>
      </c>
      <c r="AY193" s="297">
        <f t="shared" ref="AY193:BE193" si="1105">SUM(AY194:AY196)</f>
        <v>93193.946999999986</v>
      </c>
      <c r="AZ193" s="297">
        <f t="shared" si="1105"/>
        <v>93193.946999999986</v>
      </c>
      <c r="BA193" s="297">
        <f t="shared" si="1105"/>
        <v>93193.946999999986</v>
      </c>
      <c r="BB193" s="297">
        <f t="shared" si="1105"/>
        <v>93193.946999999986</v>
      </c>
      <c r="BC193" s="297">
        <f t="shared" si="1105"/>
        <v>93193.946999999986</v>
      </c>
      <c r="BD193" s="297">
        <f t="shared" si="1105"/>
        <v>93193.946999999986</v>
      </c>
      <c r="BE193" s="297">
        <f t="shared" si="1105"/>
        <v>93193.946999999986</v>
      </c>
      <c r="BF193" s="297">
        <f t="shared" ref="BF193:BJ193" si="1106">SUM(BF194:BF196)</f>
        <v>93193.946999999986</v>
      </c>
      <c r="BG193" s="297">
        <f t="shared" si="1106"/>
        <v>98750.717000000004</v>
      </c>
      <c r="BH193" s="297">
        <f t="shared" si="1106"/>
        <v>98750.717000000004</v>
      </c>
      <c r="BI193" s="297">
        <f t="shared" si="1106"/>
        <v>108750.717</v>
      </c>
      <c r="BJ193" s="297">
        <f t="shared" si="1106"/>
        <v>58750.716999999997</v>
      </c>
      <c r="BK193" s="297">
        <f t="shared" ref="BK193:BQ193" si="1107">SUM(BK194:BK196)</f>
        <v>93193.946999999986</v>
      </c>
      <c r="BL193" s="297">
        <f t="shared" si="1107"/>
        <v>186387.89399999997</v>
      </c>
      <c r="BM193" s="297">
        <f t="shared" si="1107"/>
        <v>279581.84100000001</v>
      </c>
      <c r="BN193" s="297">
        <f t="shared" si="1107"/>
        <v>372775.78799999994</v>
      </c>
      <c r="BO193" s="297">
        <f t="shared" si="1107"/>
        <v>465969.73499999999</v>
      </c>
      <c r="BP193" s="297">
        <f t="shared" si="1107"/>
        <v>559163.68200000003</v>
      </c>
      <c r="BQ193" s="297">
        <f t="shared" si="1107"/>
        <v>652357.62899999984</v>
      </c>
      <c r="BR193" s="297">
        <f t="shared" ref="BR193" si="1108">SUM(BR194:BR196)</f>
        <v>745551.57599999988</v>
      </c>
      <c r="BS193" s="297">
        <f t="shared" ref="BS193" si="1109">SUM(BS194:BS196)</f>
        <v>844302.29299999971</v>
      </c>
      <c r="BT193" s="297">
        <f t="shared" ref="BT193" si="1110">SUM(BT194:BT196)</f>
        <v>943053.00999999989</v>
      </c>
      <c r="BU193" s="297">
        <f t="shared" ref="BU193" si="1111">SUM(BU194:BU196)</f>
        <v>1051803.7269999997</v>
      </c>
      <c r="BV193" s="297">
        <f t="shared" ref="BV193" si="1112">SUM(BV194:BV196)</f>
        <v>1110554.4439999999</v>
      </c>
      <c r="BW193" s="284"/>
    </row>
    <row r="194" spans="1:75" outlineLevel="1" x14ac:dyDescent="0.25">
      <c r="A194" s="222">
        <v>6</v>
      </c>
      <c r="B194" s="233">
        <f>EEFFun!B664</f>
        <v>560405</v>
      </c>
      <c r="C194" s="233" t="str">
        <f>EEFFun!C664</f>
        <v>De activos castigados</v>
      </c>
      <c r="D194" s="257">
        <f>EEFFun!P664</f>
        <v>422442.98</v>
      </c>
      <c r="E194" s="295">
        <f t="shared" ref="E194:E196" si="1113">Q194</f>
        <v>12797.64</v>
      </c>
      <c r="F194" s="295">
        <f t="shared" ref="F194:F196" si="1114">R194-Q194</f>
        <v>30921.96</v>
      </c>
      <c r="G194" s="295">
        <f t="shared" ref="G194:G196" si="1115">S194-R194</f>
        <v>33081.250000000007</v>
      </c>
      <c r="H194" s="295">
        <f t="shared" ref="H194:H196" si="1116">T194-S194</f>
        <v>12312.159999999989</v>
      </c>
      <c r="I194" s="295">
        <f t="shared" ref="I194:I196" si="1117">U194-T194</f>
        <v>21163.490000000005</v>
      </c>
      <c r="J194" s="295">
        <f t="shared" ref="J194:J196" si="1118">V194-U194</f>
        <v>19802.990000000005</v>
      </c>
      <c r="K194" s="295">
        <f t="shared" ref="K194:K196" si="1119">W194-V194</f>
        <v>30199.719999999987</v>
      </c>
      <c r="L194" s="295">
        <f t="shared" ref="L194:L196" si="1120">X194-W194</f>
        <v>11245.640000000014</v>
      </c>
      <c r="M194" s="295">
        <f t="shared" ref="M194:M196" si="1121">Y194-X194</f>
        <v>31612.649999999994</v>
      </c>
      <c r="N194" s="295">
        <f t="shared" ref="N194:N196" si="1122">Z194-Y194</f>
        <v>6568.7799999999988</v>
      </c>
      <c r="O194" s="295">
        <f t="shared" ref="O194:P196" si="1123">AA194-Z194</f>
        <v>12503.100000000006</v>
      </c>
      <c r="P194" s="295">
        <f t="shared" si="1123"/>
        <v>12535.679999999993</v>
      </c>
      <c r="Q194" s="257">
        <f>EEFFun!Q664</f>
        <v>12797.64</v>
      </c>
      <c r="R194" s="257">
        <f>EEFFun!R664</f>
        <v>43719.6</v>
      </c>
      <c r="S194" s="257">
        <f>EEFFun!S664</f>
        <v>76800.850000000006</v>
      </c>
      <c r="T194" s="257">
        <f>EEFFun!T664</f>
        <v>89113.01</v>
      </c>
      <c r="U194" s="257">
        <f>EEFFun!U664</f>
        <v>110276.5</v>
      </c>
      <c r="V194" s="257">
        <f>EEFFun!V664</f>
        <v>130079.49</v>
      </c>
      <c r="W194" s="257">
        <f>EEFFun!W664</f>
        <v>160279.21</v>
      </c>
      <c r="X194" s="257">
        <f>EEFFun!X664</f>
        <v>171524.85</v>
      </c>
      <c r="Y194" s="257">
        <f>EEFFun!Y664</f>
        <v>203137.5</v>
      </c>
      <c r="Z194" s="257">
        <f>EEFFun!Z664</f>
        <v>209706.28</v>
      </c>
      <c r="AA194" s="257">
        <f>EEFFun!AA664</f>
        <v>222209.38</v>
      </c>
      <c r="AB194" s="257">
        <f>EEFFun!AB664</f>
        <v>234745.06</v>
      </c>
      <c r="AC194" s="257">
        <f>EEFFun!AC664</f>
        <v>34557.599999999999</v>
      </c>
      <c r="AD194" s="257">
        <f>EEFFun!AD664</f>
        <v>53121.62</v>
      </c>
      <c r="AE194" s="257">
        <f>EEFFun!AE664</f>
        <v>56043.47</v>
      </c>
      <c r="AF194" s="257">
        <f>EEFFun!AF664</f>
        <v>71493.31</v>
      </c>
      <c r="AG194" s="257">
        <f>EEFFun!AG664</f>
        <v>94574.67</v>
      </c>
      <c r="AH194" s="257">
        <f>EEFFun!AH664</f>
        <v>110322.24000000001</v>
      </c>
      <c r="AI194" s="257">
        <f>EEFFun!AI664</f>
        <v>166704.57999999999</v>
      </c>
      <c r="AJ194" s="257">
        <f>EEFFun!AJ664</f>
        <v>181266.78</v>
      </c>
      <c r="AK194" s="257">
        <f>EEFFun!AK664</f>
        <v>187562.78</v>
      </c>
      <c r="AL194" s="257">
        <f>EEFFun!AL664</f>
        <v>198646.46</v>
      </c>
      <c r="AM194" s="257">
        <f>EEFFun!AM664</f>
        <v>201034.97</v>
      </c>
      <c r="AN194" s="257">
        <f>EEFFun!AN664</f>
        <v>215576.72</v>
      </c>
      <c r="AO194" s="257">
        <f>EEFFun!AO664</f>
        <v>18561.990000000002</v>
      </c>
      <c r="AP194" s="257">
        <f>EEFFun!AP664</f>
        <v>182991.09</v>
      </c>
      <c r="AQ194" s="257">
        <f>EEFFun!AQ664</f>
        <v>214164.59</v>
      </c>
      <c r="AR194" s="257">
        <f>EEFFun!AR664</f>
        <v>221884.44</v>
      </c>
      <c r="AS194" s="257">
        <f>EEFFun!AS664</f>
        <v>258757.59</v>
      </c>
      <c r="AT194" s="257">
        <f>EEFFun!AT664</f>
        <v>268646.46999999997</v>
      </c>
      <c r="AU194" s="257">
        <f>EEFFun!AU664</f>
        <v>299534.44</v>
      </c>
      <c r="AV194" s="257">
        <f>EEFFun!AV664</f>
        <v>300518.24</v>
      </c>
      <c r="AW194" s="257">
        <f>EEFFun!AW664</f>
        <v>309062.65000000002</v>
      </c>
      <c r="AX194" s="257">
        <f>EEFFun!AX664</f>
        <v>344432.3</v>
      </c>
      <c r="AY194" s="295">
        <f>+AX194/10</f>
        <v>34443.229999999996</v>
      </c>
      <c r="AZ194" s="295">
        <f t="shared" ref="AZ194:BE194" si="1124">AY194</f>
        <v>34443.229999999996</v>
      </c>
      <c r="BA194" s="295">
        <f t="shared" si="1124"/>
        <v>34443.229999999996</v>
      </c>
      <c r="BB194" s="295">
        <f t="shared" si="1124"/>
        <v>34443.229999999996</v>
      </c>
      <c r="BC194" s="295">
        <f t="shared" si="1124"/>
        <v>34443.229999999996</v>
      </c>
      <c r="BD194" s="295">
        <f t="shared" si="1124"/>
        <v>34443.229999999996</v>
      </c>
      <c r="BE194" s="295">
        <f t="shared" si="1124"/>
        <v>34443.229999999996</v>
      </c>
      <c r="BF194" s="295">
        <f>BE194</f>
        <v>34443.229999999996</v>
      </c>
      <c r="BG194" s="378">
        <v>40000</v>
      </c>
      <c r="BH194" s="295">
        <f>BG194</f>
        <v>40000</v>
      </c>
      <c r="BI194" s="378">
        <v>50000</v>
      </c>
      <c r="BJ194" s="295">
        <f t="shared" ref="BJ194" si="1125">BI194</f>
        <v>50000</v>
      </c>
      <c r="BK194" s="295">
        <f>SUM($AY$194:AY194)</f>
        <v>34443.229999999996</v>
      </c>
      <c r="BL194" s="295">
        <f>SUM($AY$194:AZ194)</f>
        <v>68886.459999999992</v>
      </c>
      <c r="BM194" s="295">
        <f>SUM($AY$194:BA194)</f>
        <v>103329.68999999999</v>
      </c>
      <c r="BN194" s="295">
        <f>SUM($AY$194:BB194)</f>
        <v>137772.91999999998</v>
      </c>
      <c r="BO194" s="295">
        <f>SUM($AY$194:BC194)</f>
        <v>172216.14999999997</v>
      </c>
      <c r="BP194" s="295">
        <f>SUM($AY$194:BD194)</f>
        <v>206659.37999999995</v>
      </c>
      <c r="BQ194" s="295">
        <f>SUM($AY$194:BE194)</f>
        <v>241102.60999999993</v>
      </c>
      <c r="BR194" s="295">
        <f>SUM($AY$194:BF194)</f>
        <v>275545.83999999991</v>
      </c>
      <c r="BS194" s="295">
        <f>SUM($AY$194:BG194)</f>
        <v>315545.83999999991</v>
      </c>
      <c r="BT194" s="295">
        <f>SUM($AY$194:BH194)</f>
        <v>355545.83999999991</v>
      </c>
      <c r="BU194" s="295">
        <f>SUM($AY$194:BI194)</f>
        <v>405545.83999999991</v>
      </c>
      <c r="BV194" s="295">
        <f>SUM($AY$194:BJ194)</f>
        <v>455545.83999999991</v>
      </c>
      <c r="BW194" s="291"/>
    </row>
    <row r="195" spans="1:75" s="380" customFormat="1" x14ac:dyDescent="0.25">
      <c r="A195" s="222">
        <v>6</v>
      </c>
      <c r="B195" s="233">
        <f>EEFFun!B665</f>
        <v>560410</v>
      </c>
      <c r="C195" s="233" t="str">
        <f>EEFFun!C665</f>
        <v>Reversión de provisiones</v>
      </c>
      <c r="D195" s="257">
        <f>EEFFun!P665</f>
        <v>44859.11</v>
      </c>
      <c r="E195" s="295">
        <f t="shared" si="1113"/>
        <v>0</v>
      </c>
      <c r="F195" s="295">
        <f t="shared" si="1114"/>
        <v>5114.6499999999996</v>
      </c>
      <c r="G195" s="295">
        <f t="shared" si="1115"/>
        <v>0</v>
      </c>
      <c r="H195" s="295">
        <f t="shared" si="1116"/>
        <v>183471</v>
      </c>
      <c r="I195" s="295">
        <f t="shared" si="1117"/>
        <v>0</v>
      </c>
      <c r="J195" s="295">
        <f t="shared" si="1118"/>
        <v>0</v>
      </c>
      <c r="K195" s="295">
        <f t="shared" si="1119"/>
        <v>0</v>
      </c>
      <c r="L195" s="295">
        <f t="shared" si="1120"/>
        <v>80</v>
      </c>
      <c r="M195" s="295">
        <f t="shared" si="1121"/>
        <v>0</v>
      </c>
      <c r="N195" s="295">
        <f t="shared" si="1122"/>
        <v>0</v>
      </c>
      <c r="O195" s="295">
        <f t="shared" si="1123"/>
        <v>0</v>
      </c>
      <c r="P195" s="295">
        <f t="shared" si="1123"/>
        <v>0</v>
      </c>
      <c r="Q195" s="257">
        <f>EEFFun!Q665</f>
        <v>0</v>
      </c>
      <c r="R195" s="257">
        <f>EEFFun!R665</f>
        <v>5114.6499999999996</v>
      </c>
      <c r="S195" s="257">
        <f>EEFFun!S665</f>
        <v>5114.6499999999996</v>
      </c>
      <c r="T195" s="257">
        <f>EEFFun!T665</f>
        <v>188585.65</v>
      </c>
      <c r="U195" s="257">
        <f>EEFFun!U665</f>
        <v>188585.65</v>
      </c>
      <c r="V195" s="257">
        <f>EEFFun!V665</f>
        <v>188585.65</v>
      </c>
      <c r="W195" s="257">
        <f>EEFFun!W665</f>
        <v>188585.65</v>
      </c>
      <c r="X195" s="257">
        <f>EEFFun!X665</f>
        <v>188665.65</v>
      </c>
      <c r="Y195" s="257">
        <f>EEFFun!Y665</f>
        <v>188665.65</v>
      </c>
      <c r="Z195" s="257">
        <f>EEFFun!Z665</f>
        <v>188665.65</v>
      </c>
      <c r="AA195" s="257">
        <f>EEFFun!AA665</f>
        <v>188665.65</v>
      </c>
      <c r="AB195" s="257">
        <f>EEFFun!AB665</f>
        <v>188665.65</v>
      </c>
      <c r="AC195" s="257">
        <f>EEFFun!AC665</f>
        <v>1131.5899999999999</v>
      </c>
      <c r="AD195" s="257">
        <f>EEFFun!AD665</f>
        <v>1683.82</v>
      </c>
      <c r="AE195" s="257">
        <f>EEFFun!AE665</f>
        <v>1683.82</v>
      </c>
      <c r="AF195" s="257">
        <f>EEFFun!AF665</f>
        <v>1683.82</v>
      </c>
      <c r="AG195" s="257">
        <f>EEFFun!AG665</f>
        <v>1683.82</v>
      </c>
      <c r="AH195" s="257">
        <f>EEFFun!AH665</f>
        <v>1683.82</v>
      </c>
      <c r="AI195" s="257">
        <f>EEFFun!AI665</f>
        <v>1683.82</v>
      </c>
      <c r="AJ195" s="257">
        <f>EEFFun!AJ665</f>
        <v>1683.82</v>
      </c>
      <c r="AK195" s="257">
        <f>EEFFun!AK665</f>
        <v>1683.82</v>
      </c>
      <c r="AL195" s="257">
        <f>EEFFun!AL665</f>
        <v>1683.82</v>
      </c>
      <c r="AM195" s="257">
        <f>EEFFun!AM665</f>
        <v>5544.82</v>
      </c>
      <c r="AN195" s="257">
        <f>EEFFun!AN665</f>
        <v>116455.81</v>
      </c>
      <c r="AO195" s="257">
        <f>EEFFun!AO665</f>
        <v>106544.44</v>
      </c>
      <c r="AP195" s="257">
        <f>EEFFun!AP665</f>
        <v>155278.91</v>
      </c>
      <c r="AQ195" s="257">
        <f>EEFFun!AQ665</f>
        <v>211481.15</v>
      </c>
      <c r="AR195" s="257">
        <f>EEFFun!AR665</f>
        <v>285926.21999999997</v>
      </c>
      <c r="AS195" s="257">
        <f>EEFFun!AS665</f>
        <v>337275.08</v>
      </c>
      <c r="AT195" s="257">
        <f>EEFFun!AT665</f>
        <v>393296.17</v>
      </c>
      <c r="AU195" s="257">
        <f>EEFFun!AU665</f>
        <v>440125.09</v>
      </c>
      <c r="AV195" s="257">
        <f>EEFFun!AV665</f>
        <v>457958.35</v>
      </c>
      <c r="AW195" s="257">
        <f>EEFFun!AW665</f>
        <v>490160.51</v>
      </c>
      <c r="AX195" s="257">
        <f>EEFFun!AX665</f>
        <v>567298.5</v>
      </c>
      <c r="AY195" s="295">
        <f>+AX195/10</f>
        <v>56729.85</v>
      </c>
      <c r="AZ195" s="295">
        <f>+AY195</f>
        <v>56729.85</v>
      </c>
      <c r="BA195" s="295">
        <f t="shared" ref="BA195:BI195" si="1126">+AZ195</f>
        <v>56729.85</v>
      </c>
      <c r="BB195" s="295">
        <f t="shared" si="1126"/>
        <v>56729.85</v>
      </c>
      <c r="BC195" s="295">
        <f t="shared" si="1126"/>
        <v>56729.85</v>
      </c>
      <c r="BD195" s="295">
        <f t="shared" si="1126"/>
        <v>56729.85</v>
      </c>
      <c r="BE195" s="295">
        <f t="shared" si="1126"/>
        <v>56729.85</v>
      </c>
      <c r="BF195" s="295">
        <f t="shared" si="1126"/>
        <v>56729.85</v>
      </c>
      <c r="BG195" s="295">
        <f t="shared" si="1126"/>
        <v>56729.85</v>
      </c>
      <c r="BH195" s="295">
        <f t="shared" si="1126"/>
        <v>56729.85</v>
      </c>
      <c r="BI195" s="295">
        <f t="shared" si="1126"/>
        <v>56729.85</v>
      </c>
      <c r="BJ195" s="295">
        <f>+BI195-50000</f>
        <v>6729.8499999999985</v>
      </c>
      <c r="BK195" s="295">
        <f>SUM($AY$195:AY195)</f>
        <v>56729.85</v>
      </c>
      <c r="BL195" s="295">
        <f>SUM($AY$195:AZ195)</f>
        <v>113459.7</v>
      </c>
      <c r="BM195" s="295">
        <f>SUM($AY$195:BA195)</f>
        <v>170189.55</v>
      </c>
      <c r="BN195" s="295">
        <f>SUM($AY$195:BB195)</f>
        <v>226919.4</v>
      </c>
      <c r="BO195" s="295">
        <f>SUM($AY$195:BC195)</f>
        <v>283649.25</v>
      </c>
      <c r="BP195" s="295">
        <f>SUM($AY$195:BD195)</f>
        <v>340379.1</v>
      </c>
      <c r="BQ195" s="295">
        <f>SUM($AY$195:BE195)</f>
        <v>397108.94999999995</v>
      </c>
      <c r="BR195" s="295">
        <f>SUM($AY$195:BF195)</f>
        <v>453838.79999999993</v>
      </c>
      <c r="BS195" s="295">
        <f>SUM($AY$195:BG195)</f>
        <v>510568.64999999991</v>
      </c>
      <c r="BT195" s="295">
        <f>SUM($AY$195:BH195)</f>
        <v>567298.49999999988</v>
      </c>
      <c r="BU195" s="295">
        <f>SUM($AY$195:BI195)</f>
        <v>624028.34999999986</v>
      </c>
      <c r="BV195" s="295">
        <f>SUM($AY$195:BJ195)</f>
        <v>630758.19999999984</v>
      </c>
      <c r="BW195" s="291"/>
    </row>
    <row r="196" spans="1:75" s="380" customFormat="1" x14ac:dyDescent="0.25">
      <c r="A196" s="222">
        <v>6</v>
      </c>
      <c r="B196" s="233">
        <f>EEFFun!B666</f>
        <v>560420</v>
      </c>
      <c r="C196" s="233" t="str">
        <f>EEFFun!C666</f>
        <v>Intereses y comisiones de ejercicios anteriores</v>
      </c>
      <c r="D196" s="257">
        <f>EEFFun!P666</f>
        <v>158967.19</v>
      </c>
      <c r="E196" s="295">
        <f t="shared" si="1113"/>
        <v>4660.3900000000003</v>
      </c>
      <c r="F196" s="295">
        <f t="shared" si="1114"/>
        <v>1824.58</v>
      </c>
      <c r="G196" s="295">
        <f t="shared" si="1115"/>
        <v>1034.54</v>
      </c>
      <c r="H196" s="295">
        <f t="shared" si="1116"/>
        <v>8612.9499999999989</v>
      </c>
      <c r="I196" s="295">
        <f t="shared" si="1117"/>
        <v>6262.7099999999991</v>
      </c>
      <c r="J196" s="295">
        <f t="shared" si="1118"/>
        <v>2904.3900000000031</v>
      </c>
      <c r="K196" s="295">
        <f t="shared" si="1119"/>
        <v>7571.77</v>
      </c>
      <c r="L196" s="295">
        <f t="shared" si="1120"/>
        <v>740.11999999999534</v>
      </c>
      <c r="M196" s="295">
        <f t="shared" si="1121"/>
        <v>4900.010000000002</v>
      </c>
      <c r="N196" s="295">
        <f t="shared" si="1122"/>
        <v>2518.8799999999974</v>
      </c>
      <c r="O196" s="295">
        <f t="shared" si="1123"/>
        <v>5970.7100000000064</v>
      </c>
      <c r="P196" s="295">
        <f t="shared" si="1123"/>
        <v>1774.6399999999994</v>
      </c>
      <c r="Q196" s="257">
        <f>EEFFun!Q666</f>
        <v>4660.3900000000003</v>
      </c>
      <c r="R196" s="257">
        <f>EEFFun!R666</f>
        <v>6484.97</v>
      </c>
      <c r="S196" s="257">
        <f>EEFFun!S666</f>
        <v>7519.51</v>
      </c>
      <c r="T196" s="257">
        <f>EEFFun!T666</f>
        <v>16132.46</v>
      </c>
      <c r="U196" s="257">
        <f>EEFFun!U666</f>
        <v>22395.17</v>
      </c>
      <c r="V196" s="257">
        <f>EEFFun!V666</f>
        <v>25299.56</v>
      </c>
      <c r="W196" s="257">
        <f>EEFFun!W666</f>
        <v>32871.33</v>
      </c>
      <c r="X196" s="257">
        <f>EEFFun!X666</f>
        <v>33611.449999999997</v>
      </c>
      <c r="Y196" s="257">
        <f>EEFFun!Y666</f>
        <v>38511.46</v>
      </c>
      <c r="Z196" s="257">
        <f>EEFFun!Z666</f>
        <v>41030.339999999997</v>
      </c>
      <c r="AA196" s="257">
        <f>EEFFun!AA666</f>
        <v>47001.05</v>
      </c>
      <c r="AB196" s="257">
        <f>EEFFun!AB666</f>
        <v>48775.69</v>
      </c>
      <c r="AC196" s="257">
        <f>EEFFun!AC666</f>
        <v>1056.9100000000001</v>
      </c>
      <c r="AD196" s="257">
        <f>EEFFun!AD666</f>
        <v>2475.8200000000002</v>
      </c>
      <c r="AE196" s="257">
        <f>EEFFun!AE666</f>
        <v>3270.42</v>
      </c>
      <c r="AF196" s="257">
        <f>EEFFun!AF666</f>
        <v>5864.07</v>
      </c>
      <c r="AG196" s="257">
        <f>EEFFun!AG666</f>
        <v>8800.01</v>
      </c>
      <c r="AH196" s="257">
        <f>EEFFun!AH666</f>
        <v>11662.4</v>
      </c>
      <c r="AI196" s="257">
        <f>EEFFun!AI666</f>
        <v>12051.01</v>
      </c>
      <c r="AJ196" s="257">
        <f>EEFFun!AJ666</f>
        <v>13891.53</v>
      </c>
      <c r="AK196" s="257">
        <f>EEFFun!AK666</f>
        <v>16327.83</v>
      </c>
      <c r="AL196" s="257">
        <f>EEFFun!AL666</f>
        <v>16484.21</v>
      </c>
      <c r="AM196" s="257">
        <f>EEFFun!AM666</f>
        <v>16696.45</v>
      </c>
      <c r="AN196" s="257">
        <f>EEFFun!AN666</f>
        <v>16948.36</v>
      </c>
      <c r="AO196" s="257">
        <f>EEFFun!AO666</f>
        <v>660.81</v>
      </c>
      <c r="AP196" s="257">
        <f>EEFFun!AP666</f>
        <v>1487.98</v>
      </c>
      <c r="AQ196" s="257">
        <f>EEFFun!AQ666</f>
        <v>2460.87</v>
      </c>
      <c r="AR196" s="257">
        <f>EEFFun!AR666</f>
        <v>6425.17</v>
      </c>
      <c r="AS196" s="257">
        <f>EEFFun!AS666</f>
        <v>7698.88</v>
      </c>
      <c r="AT196" s="257">
        <f>EEFFun!AT666</f>
        <v>9839.7099999999991</v>
      </c>
      <c r="AU196" s="257">
        <f>EEFFun!AU666</f>
        <v>11828.25</v>
      </c>
      <c r="AV196" s="257">
        <f>EEFFun!AV666</f>
        <v>13097.52</v>
      </c>
      <c r="AW196" s="257">
        <f>EEFFun!AW666</f>
        <v>13267.26</v>
      </c>
      <c r="AX196" s="257">
        <f>EEFFun!AX666</f>
        <v>20208.669999999998</v>
      </c>
      <c r="AY196" s="295">
        <f>+AX196/10</f>
        <v>2020.8669999999997</v>
      </c>
      <c r="AZ196" s="295">
        <f t="shared" ref="AZ196:BE196" si="1127">AY196</f>
        <v>2020.8669999999997</v>
      </c>
      <c r="BA196" s="295">
        <f t="shared" si="1127"/>
        <v>2020.8669999999997</v>
      </c>
      <c r="BB196" s="295">
        <f t="shared" si="1127"/>
        <v>2020.8669999999997</v>
      </c>
      <c r="BC196" s="295">
        <f t="shared" si="1127"/>
        <v>2020.8669999999997</v>
      </c>
      <c r="BD196" s="295">
        <f t="shared" si="1127"/>
        <v>2020.8669999999997</v>
      </c>
      <c r="BE196" s="295">
        <f t="shared" si="1127"/>
        <v>2020.8669999999997</v>
      </c>
      <c r="BF196" s="295">
        <f>BE196</f>
        <v>2020.8669999999997</v>
      </c>
      <c r="BG196" s="295">
        <f>BF196</f>
        <v>2020.8669999999997</v>
      </c>
      <c r="BH196" s="295">
        <f>BG196</f>
        <v>2020.8669999999997</v>
      </c>
      <c r="BI196" s="295">
        <f t="shared" ref="BI196:BJ198" si="1128">BH196</f>
        <v>2020.8669999999997</v>
      </c>
      <c r="BJ196" s="295">
        <f t="shared" si="1128"/>
        <v>2020.8669999999997</v>
      </c>
      <c r="BK196" s="295">
        <f>SUM($AY$196:AY196)</f>
        <v>2020.8669999999997</v>
      </c>
      <c r="BL196" s="295">
        <f>SUM($AY$196:AZ196)</f>
        <v>4041.7339999999995</v>
      </c>
      <c r="BM196" s="295">
        <f>SUM($AY$196:BA196)</f>
        <v>6062.6009999999987</v>
      </c>
      <c r="BN196" s="295">
        <f>SUM($AY$196:BB196)</f>
        <v>8083.4679999999989</v>
      </c>
      <c r="BO196" s="295">
        <f>SUM($AY$196:BC196)</f>
        <v>10104.334999999999</v>
      </c>
      <c r="BP196" s="295">
        <f>SUM($AY$196:BD196)</f>
        <v>12125.201999999999</v>
      </c>
      <c r="BQ196" s="295">
        <f>SUM($AY$196:BE196)</f>
        <v>14146.069</v>
      </c>
      <c r="BR196" s="295">
        <f>SUM($AY$196:BF196)</f>
        <v>16166.936</v>
      </c>
      <c r="BS196" s="295">
        <f>SUM($AY$196:BG196)</f>
        <v>18187.803</v>
      </c>
      <c r="BT196" s="295">
        <f>SUM($AY$196:BH196)</f>
        <v>20208.669999999998</v>
      </c>
      <c r="BU196" s="295">
        <f>SUM($AY$196:BI196)</f>
        <v>22229.536999999997</v>
      </c>
      <c r="BV196" s="295">
        <f>SUM($AY$196:BJ196)</f>
        <v>24250.403999999995</v>
      </c>
      <c r="BW196" s="291"/>
    </row>
    <row r="197" spans="1:75" s="229" customFormat="1" x14ac:dyDescent="0.25">
      <c r="A197" s="222">
        <v>4</v>
      </c>
      <c r="B197" s="223">
        <f>EEFFun!B672</f>
        <v>5690</v>
      </c>
      <c r="C197" s="223" t="str">
        <f>EEFFun!C672</f>
        <v>Otros</v>
      </c>
      <c r="D197" s="279">
        <f>EEFFun!P672</f>
        <v>207909.96</v>
      </c>
      <c r="E197" s="297">
        <f t="shared" ref="E197:P197" si="1129">E198</f>
        <v>284.83</v>
      </c>
      <c r="F197" s="297">
        <f t="shared" si="1129"/>
        <v>158.19999999999999</v>
      </c>
      <c r="G197" s="297">
        <f t="shared" si="1129"/>
        <v>179.19000000000005</v>
      </c>
      <c r="H197" s="297">
        <f t="shared" si="1129"/>
        <v>557.47</v>
      </c>
      <c r="I197" s="297">
        <f t="shared" si="1129"/>
        <v>0</v>
      </c>
      <c r="J197" s="297">
        <f t="shared" si="1129"/>
        <v>-33.299999999999955</v>
      </c>
      <c r="K197" s="297">
        <f t="shared" si="1129"/>
        <v>0</v>
      </c>
      <c r="L197" s="297">
        <f t="shared" si="1129"/>
        <v>9.9999999999909051E-3</v>
      </c>
      <c r="M197" s="297">
        <f t="shared" si="1129"/>
        <v>3250.68</v>
      </c>
      <c r="N197" s="297">
        <f t="shared" si="1129"/>
        <v>3.069999999999709</v>
      </c>
      <c r="O197" s="297">
        <f t="shared" si="1129"/>
        <v>28696.379999999997</v>
      </c>
      <c r="P197" s="297">
        <f t="shared" si="1129"/>
        <v>184443.17</v>
      </c>
      <c r="Q197" s="279">
        <f>EEFFun!Q672</f>
        <v>284.83</v>
      </c>
      <c r="R197" s="279">
        <f>EEFFun!R672</f>
        <v>443.03</v>
      </c>
      <c r="S197" s="279">
        <f>EEFFun!S672</f>
        <v>622.22</v>
      </c>
      <c r="T197" s="279">
        <f>EEFFun!T672</f>
        <v>1179.69</v>
      </c>
      <c r="U197" s="279">
        <f>EEFFun!U672</f>
        <v>1179.69</v>
      </c>
      <c r="V197" s="279">
        <f>EEFFun!V672</f>
        <v>1146.3900000000001</v>
      </c>
      <c r="W197" s="279">
        <f>EEFFun!W672</f>
        <v>1146.3900000000001</v>
      </c>
      <c r="X197" s="279">
        <f>EEFFun!X672</f>
        <v>1146.4000000000001</v>
      </c>
      <c r="Y197" s="279">
        <f>EEFFun!Y672</f>
        <v>4397.08</v>
      </c>
      <c r="Z197" s="279">
        <f>EEFFun!Z672</f>
        <v>4400.1499999999996</v>
      </c>
      <c r="AA197" s="279">
        <f>EEFFun!AA672</f>
        <v>33096.53</v>
      </c>
      <c r="AB197" s="279">
        <f>EEFFun!AB672</f>
        <v>217539.7</v>
      </c>
      <c r="AC197" s="279">
        <f>EEFFun!AC672</f>
        <v>877.74</v>
      </c>
      <c r="AD197" s="279">
        <f>EEFFun!AD672</f>
        <v>1817.12</v>
      </c>
      <c r="AE197" s="279">
        <f>EEFFun!AE672</f>
        <v>1820.46</v>
      </c>
      <c r="AF197" s="279">
        <f>EEFFun!AF672</f>
        <v>1835.93</v>
      </c>
      <c r="AG197" s="279">
        <f>EEFFun!AG672</f>
        <v>1836.73</v>
      </c>
      <c r="AH197" s="279">
        <f>EEFFun!AH672</f>
        <v>2023.33</v>
      </c>
      <c r="AI197" s="279">
        <f>EEFFun!AI672</f>
        <v>2584.09</v>
      </c>
      <c r="AJ197" s="279">
        <f>EEFFun!AJ672</f>
        <v>3188.6</v>
      </c>
      <c r="AK197" s="279">
        <f>EEFFun!AK672</f>
        <v>3239.31</v>
      </c>
      <c r="AL197" s="279">
        <f>EEFFun!AL672</f>
        <v>3675.54</v>
      </c>
      <c r="AM197" s="279">
        <f>EEFFun!AM672</f>
        <v>3743.89</v>
      </c>
      <c r="AN197" s="279">
        <f>EEFFun!AN672</f>
        <v>57555.13</v>
      </c>
      <c r="AO197" s="279">
        <f>EEFFun!AO672</f>
        <v>199.96</v>
      </c>
      <c r="AP197" s="279">
        <f>EEFFun!AP672</f>
        <v>319.70999999999998</v>
      </c>
      <c r="AQ197" s="279">
        <f>EEFFun!AQ672</f>
        <v>19835.919999999998</v>
      </c>
      <c r="AR197" s="279">
        <f>EEFFun!AR672</f>
        <v>76114.289999999994</v>
      </c>
      <c r="AS197" s="279">
        <f>EEFFun!AS672</f>
        <v>6384.73</v>
      </c>
      <c r="AT197" s="279">
        <f>EEFFun!AT672</f>
        <v>41322.71</v>
      </c>
      <c r="AU197" s="279">
        <f>EEFFun!AU672</f>
        <v>41710</v>
      </c>
      <c r="AV197" s="279">
        <f>EEFFun!AV672</f>
        <v>172116.31</v>
      </c>
      <c r="AW197" s="279">
        <f>EEFFun!AW672</f>
        <v>259755.16</v>
      </c>
      <c r="AX197" s="279">
        <f>EEFFun!AX672</f>
        <v>295226.73</v>
      </c>
      <c r="AY197" s="297">
        <f t="shared" ref="AY197:BJ197" si="1130">AY198</f>
        <v>4796.2608333333328</v>
      </c>
      <c r="AZ197" s="297">
        <f t="shared" si="1130"/>
        <v>4796.2608333333328</v>
      </c>
      <c r="BA197" s="297">
        <f t="shared" si="1130"/>
        <v>4796.2608333333328</v>
      </c>
      <c r="BB197" s="297">
        <f t="shared" si="1130"/>
        <v>4796.2608333333328</v>
      </c>
      <c r="BC197" s="297">
        <f t="shared" si="1130"/>
        <v>4796.2608333333328</v>
      </c>
      <c r="BD197" s="297">
        <f t="shared" si="1130"/>
        <v>4796.2608333333328</v>
      </c>
      <c r="BE197" s="297">
        <f t="shared" si="1130"/>
        <v>4796.2608333333328</v>
      </c>
      <c r="BF197" s="297">
        <f t="shared" si="1130"/>
        <v>4796.2608333333328</v>
      </c>
      <c r="BG197" s="297">
        <f t="shared" si="1130"/>
        <v>4796.2608333333328</v>
      </c>
      <c r="BH197" s="297">
        <f t="shared" si="1130"/>
        <v>4796.2608333333328</v>
      </c>
      <c r="BI197" s="297">
        <f t="shared" si="1130"/>
        <v>4796.2608333333328</v>
      </c>
      <c r="BJ197" s="297">
        <f t="shared" si="1130"/>
        <v>4796.2608333333328</v>
      </c>
      <c r="BK197" s="297">
        <f t="shared" ref="BK197:BV197" si="1131">BK198</f>
        <v>4796.2608333333328</v>
      </c>
      <c r="BL197" s="297">
        <f t="shared" si="1131"/>
        <v>9592.5216666666656</v>
      </c>
      <c r="BM197" s="297">
        <f t="shared" si="1131"/>
        <v>14388.782499999998</v>
      </c>
      <c r="BN197" s="297">
        <f t="shared" si="1131"/>
        <v>19185.043333333331</v>
      </c>
      <c r="BO197" s="297">
        <f t="shared" si="1131"/>
        <v>23981.304166666665</v>
      </c>
      <c r="BP197" s="297">
        <f t="shared" si="1131"/>
        <v>28777.564999999999</v>
      </c>
      <c r="BQ197" s="297">
        <f t="shared" si="1131"/>
        <v>33573.825833333329</v>
      </c>
      <c r="BR197" s="297">
        <f t="shared" si="1131"/>
        <v>38370.086666666662</v>
      </c>
      <c r="BS197" s="297">
        <f t="shared" si="1131"/>
        <v>43166.347499999996</v>
      </c>
      <c r="BT197" s="297">
        <f t="shared" si="1131"/>
        <v>47962.60833333333</v>
      </c>
      <c r="BU197" s="297">
        <f t="shared" si="1131"/>
        <v>52758.869166666664</v>
      </c>
      <c r="BV197" s="297">
        <f t="shared" si="1131"/>
        <v>57555.13</v>
      </c>
      <c r="BW197" s="284"/>
    </row>
    <row r="198" spans="1:75" x14ac:dyDescent="0.25">
      <c r="A198" s="222">
        <v>6</v>
      </c>
      <c r="B198" s="233">
        <f>EEFFun!B673</f>
        <v>569090</v>
      </c>
      <c r="C198" s="233" t="str">
        <f>EEFFun!C673</f>
        <v>OTROS</v>
      </c>
      <c r="D198" s="257">
        <f>EEFFun!P673</f>
        <v>207909.96</v>
      </c>
      <c r="E198" s="295">
        <f t="shared" ref="E198" si="1132">Q198</f>
        <v>284.83</v>
      </c>
      <c r="F198" s="295">
        <f t="shared" ref="F198" si="1133">R198-Q198</f>
        <v>158.19999999999999</v>
      </c>
      <c r="G198" s="295">
        <f t="shared" ref="G198" si="1134">S198-R198</f>
        <v>179.19000000000005</v>
      </c>
      <c r="H198" s="295">
        <f t="shared" ref="H198" si="1135">T198-S198</f>
        <v>557.47</v>
      </c>
      <c r="I198" s="295">
        <f t="shared" ref="I198" si="1136">U198-T198</f>
        <v>0</v>
      </c>
      <c r="J198" s="295">
        <f t="shared" ref="J198" si="1137">V198-U198</f>
        <v>-33.299999999999955</v>
      </c>
      <c r="K198" s="295">
        <f t="shared" ref="K198" si="1138">W198-V198</f>
        <v>0</v>
      </c>
      <c r="L198" s="295">
        <f t="shared" ref="L198" si="1139">X198-W198</f>
        <v>9.9999999999909051E-3</v>
      </c>
      <c r="M198" s="295">
        <f t="shared" ref="M198" si="1140">Y198-X198</f>
        <v>3250.68</v>
      </c>
      <c r="N198" s="295">
        <f t="shared" ref="N198" si="1141">Z198-Y198</f>
        <v>3.069999999999709</v>
      </c>
      <c r="O198" s="295">
        <f t="shared" ref="O198:P198" si="1142">AA198-Z198</f>
        <v>28696.379999999997</v>
      </c>
      <c r="P198" s="295">
        <f t="shared" si="1142"/>
        <v>184443.17</v>
      </c>
      <c r="Q198" s="257">
        <f>EEFFun!Q673</f>
        <v>284.83</v>
      </c>
      <c r="R198" s="257">
        <f>EEFFun!R673</f>
        <v>443.03</v>
      </c>
      <c r="S198" s="257">
        <f>EEFFun!S673</f>
        <v>622.22</v>
      </c>
      <c r="T198" s="257">
        <f>EEFFun!T673</f>
        <v>1179.69</v>
      </c>
      <c r="U198" s="257">
        <f>EEFFun!U673</f>
        <v>1179.69</v>
      </c>
      <c r="V198" s="257">
        <f>EEFFun!V673</f>
        <v>1146.3900000000001</v>
      </c>
      <c r="W198" s="257">
        <f>EEFFun!W673</f>
        <v>1146.3900000000001</v>
      </c>
      <c r="X198" s="257">
        <f>EEFFun!X673</f>
        <v>1146.4000000000001</v>
      </c>
      <c r="Y198" s="257">
        <f>EEFFun!Y673</f>
        <v>4397.08</v>
      </c>
      <c r="Z198" s="257">
        <f>EEFFun!Z673</f>
        <v>4400.1499999999996</v>
      </c>
      <c r="AA198" s="257">
        <f>EEFFun!AA673</f>
        <v>33096.53</v>
      </c>
      <c r="AB198" s="257">
        <f>EEFFun!AB673</f>
        <v>217539.7</v>
      </c>
      <c r="AC198" s="257">
        <f>EEFFun!AC673</f>
        <v>877.74</v>
      </c>
      <c r="AD198" s="257">
        <f>EEFFun!AD673</f>
        <v>1817.12</v>
      </c>
      <c r="AE198" s="257">
        <f>EEFFun!AE673</f>
        <v>1820.46</v>
      </c>
      <c r="AF198" s="257">
        <f>EEFFun!AF673</f>
        <v>1835.93</v>
      </c>
      <c r="AG198" s="257">
        <f>EEFFun!AG673</f>
        <v>1836.73</v>
      </c>
      <c r="AH198" s="257">
        <f>EEFFun!AH673</f>
        <v>2023.33</v>
      </c>
      <c r="AI198" s="257">
        <f>EEFFun!AI673</f>
        <v>2584.09</v>
      </c>
      <c r="AJ198" s="257">
        <f>EEFFun!AJ673</f>
        <v>3188.6</v>
      </c>
      <c r="AK198" s="257">
        <f>EEFFun!AK673</f>
        <v>3239.31</v>
      </c>
      <c r="AL198" s="257">
        <f>EEFFun!AL673</f>
        <v>3675.54</v>
      </c>
      <c r="AM198" s="257">
        <f>EEFFun!AM673</f>
        <v>3743.89</v>
      </c>
      <c r="AN198" s="257">
        <f>EEFFun!AN673</f>
        <v>57555.13</v>
      </c>
      <c r="AO198" s="257">
        <f>EEFFun!AO673</f>
        <v>199.96</v>
      </c>
      <c r="AP198" s="257">
        <f>EEFFun!AP673</f>
        <v>319.70999999999998</v>
      </c>
      <c r="AQ198" s="257">
        <f>EEFFun!AQ673</f>
        <v>19835.919999999998</v>
      </c>
      <c r="AR198" s="257">
        <f>EEFFun!AR673</f>
        <v>76114.289999999994</v>
      </c>
      <c r="AS198" s="257">
        <f>EEFFun!AS673</f>
        <v>6384.73</v>
      </c>
      <c r="AT198" s="257">
        <f>EEFFun!AT673</f>
        <v>41322.71</v>
      </c>
      <c r="AU198" s="257">
        <f>EEFFun!AU673</f>
        <v>41710</v>
      </c>
      <c r="AV198" s="257">
        <f>EEFFun!AV673</f>
        <v>172116.31</v>
      </c>
      <c r="AW198" s="257">
        <f>EEFFun!AW673</f>
        <v>259755.16</v>
      </c>
      <c r="AX198" s="257">
        <f>EEFFun!AX673</f>
        <v>295226.73</v>
      </c>
      <c r="AY198" s="295">
        <f>+AN198/12</f>
        <v>4796.2608333333328</v>
      </c>
      <c r="AZ198" s="295">
        <f t="shared" ref="AZ198:BE198" si="1143">AY198</f>
        <v>4796.2608333333328</v>
      </c>
      <c r="BA198" s="295">
        <f t="shared" si="1143"/>
        <v>4796.2608333333328</v>
      </c>
      <c r="BB198" s="295">
        <f t="shared" si="1143"/>
        <v>4796.2608333333328</v>
      </c>
      <c r="BC198" s="295">
        <f t="shared" si="1143"/>
        <v>4796.2608333333328</v>
      </c>
      <c r="BD198" s="295">
        <f t="shared" si="1143"/>
        <v>4796.2608333333328</v>
      </c>
      <c r="BE198" s="295">
        <f t="shared" si="1143"/>
        <v>4796.2608333333328</v>
      </c>
      <c r="BF198" s="295">
        <f>BE198</f>
        <v>4796.2608333333328</v>
      </c>
      <c r="BG198" s="295">
        <f>BF198</f>
        <v>4796.2608333333328</v>
      </c>
      <c r="BH198" s="295">
        <f>BG198</f>
        <v>4796.2608333333328</v>
      </c>
      <c r="BI198" s="295">
        <f t="shared" si="1128"/>
        <v>4796.2608333333328</v>
      </c>
      <c r="BJ198" s="295">
        <f t="shared" si="1128"/>
        <v>4796.2608333333328</v>
      </c>
      <c r="BK198" s="295">
        <f>SUM($AY$198:AY198)</f>
        <v>4796.2608333333328</v>
      </c>
      <c r="BL198" s="295">
        <f>SUM($AY$198:AZ198)</f>
        <v>9592.5216666666656</v>
      </c>
      <c r="BM198" s="295">
        <f>SUM($AY$198:BA198)</f>
        <v>14388.782499999998</v>
      </c>
      <c r="BN198" s="295">
        <f>SUM($AY$198:BB198)</f>
        <v>19185.043333333331</v>
      </c>
      <c r="BO198" s="295">
        <f>SUM($AY$198:BC198)</f>
        <v>23981.304166666665</v>
      </c>
      <c r="BP198" s="295">
        <f>SUM($AY$198:BD198)</f>
        <v>28777.564999999999</v>
      </c>
      <c r="BQ198" s="295">
        <f>SUM($AY$198:BE198)</f>
        <v>33573.825833333329</v>
      </c>
      <c r="BR198" s="295">
        <f>SUM($AY$198:BF198)</f>
        <v>38370.086666666662</v>
      </c>
      <c r="BS198" s="295">
        <f>SUM($AY$198:BG198)</f>
        <v>43166.347499999996</v>
      </c>
      <c r="BT198" s="295">
        <f>SUM($AY$198:BH198)</f>
        <v>47962.60833333333</v>
      </c>
      <c r="BU198" s="295">
        <f>SUM($AY$198:BI198)</f>
        <v>52758.869166666664</v>
      </c>
      <c r="BV198" s="295">
        <f>SUM($AY$198:BJ198)</f>
        <v>57555.13</v>
      </c>
      <c r="BW198" s="291"/>
    </row>
    <row r="199" spans="1:75" s="229" customFormat="1" x14ac:dyDescent="0.25">
      <c r="A199" s="222">
        <v>2</v>
      </c>
      <c r="B199" s="223">
        <f>EEFFun!B674</f>
        <v>59</v>
      </c>
      <c r="C199" s="223" t="str">
        <f>EEFFun!C674</f>
        <v>Pérdidas y gananacias</v>
      </c>
      <c r="D199" s="373"/>
      <c r="E199" s="373"/>
      <c r="F199" s="373"/>
      <c r="G199" s="373"/>
      <c r="H199" s="373"/>
      <c r="I199" s="373"/>
      <c r="J199" s="373"/>
      <c r="K199" s="373"/>
      <c r="L199" s="373"/>
      <c r="M199" s="373"/>
      <c r="N199" s="373"/>
      <c r="O199" s="373"/>
      <c r="P199" s="373"/>
      <c r="Q199" s="373"/>
      <c r="R199" s="373"/>
      <c r="S199" s="373"/>
      <c r="T199" s="373"/>
      <c r="U199" s="373"/>
      <c r="V199" s="373"/>
      <c r="W199" s="373"/>
      <c r="X199" s="373"/>
      <c r="Y199" s="373"/>
      <c r="Z199" s="373"/>
      <c r="AA199" s="373"/>
      <c r="AB199" s="373"/>
      <c r="AC199" s="373"/>
      <c r="AD199" s="373"/>
      <c r="AE199" s="373"/>
      <c r="AF199" s="373"/>
      <c r="AG199" s="373"/>
      <c r="AH199" s="373"/>
      <c r="AI199" s="373"/>
      <c r="AJ199" s="373"/>
      <c r="AK199" s="373"/>
      <c r="AL199" s="373"/>
      <c r="AM199" s="373"/>
      <c r="AN199" s="373"/>
      <c r="AO199" s="373"/>
      <c r="AP199" s="373"/>
      <c r="AQ199" s="373"/>
      <c r="AR199" s="373"/>
      <c r="AS199" s="373"/>
      <c r="AT199" s="373"/>
      <c r="AU199" s="373"/>
      <c r="AV199" s="373"/>
      <c r="AW199" s="373"/>
      <c r="AX199" s="373"/>
      <c r="AY199" s="297">
        <f>+AY148-AY6+AY145</f>
        <v>55014.052958789762</v>
      </c>
      <c r="AZ199" s="297">
        <f t="shared" ref="AZ199:BJ199" si="1144">+AZ148-AZ6+AZ145</f>
        <v>66413.371602796062</v>
      </c>
      <c r="BA199" s="297">
        <f t="shared" si="1144"/>
        <v>163934.67941040243</v>
      </c>
      <c r="BB199" s="297">
        <f t="shared" si="1144"/>
        <v>189718.11232096754</v>
      </c>
      <c r="BC199" s="297">
        <f t="shared" si="1144"/>
        <v>210112.52997527414</v>
      </c>
      <c r="BD199" s="297">
        <f t="shared" si="1144"/>
        <v>223956.14749424343</v>
      </c>
      <c r="BE199" s="297">
        <f t="shared" si="1144"/>
        <v>243194.00614920011</v>
      </c>
      <c r="BF199" s="297">
        <f t="shared" si="1144"/>
        <v>304355.1141370713</v>
      </c>
      <c r="BG199" s="297">
        <f t="shared" si="1144"/>
        <v>267862.56544214906</v>
      </c>
      <c r="BH199" s="297">
        <f t="shared" si="1144"/>
        <v>328747.53844137868</v>
      </c>
      <c r="BI199" s="297">
        <f t="shared" si="1144"/>
        <v>342192.77031476598</v>
      </c>
      <c r="BJ199" s="297">
        <f t="shared" si="1144"/>
        <v>310799.90455272584</v>
      </c>
      <c r="BK199" s="373"/>
      <c r="BL199" s="373"/>
      <c r="BM199" s="373"/>
      <c r="BN199" s="373"/>
      <c r="BO199" s="373"/>
      <c r="BP199" s="373"/>
      <c r="BQ199" s="373"/>
      <c r="BR199" s="373"/>
      <c r="BS199" s="373"/>
      <c r="BT199" s="373"/>
      <c r="BU199" s="373"/>
      <c r="BV199" s="373"/>
      <c r="BW199" s="373"/>
    </row>
    <row r="200" spans="1:75" x14ac:dyDescent="0.25">
      <c r="C200" s="268" t="s">
        <v>855</v>
      </c>
      <c r="D200" s="226">
        <f t="shared" ref="D200:H200" si="1145">D148-D7</f>
        <v>-1126730.8200000003</v>
      </c>
      <c r="E200" s="226">
        <f t="shared" si="1145"/>
        <v>-76637.839999999967</v>
      </c>
      <c r="F200" s="226">
        <f t="shared" si="1145"/>
        <v>4559.4400000000605</v>
      </c>
      <c r="G200" s="226">
        <f t="shared" si="1145"/>
        <v>-43748.690000000061</v>
      </c>
      <c r="H200" s="226">
        <f t="shared" si="1145"/>
        <v>295403.44000000006</v>
      </c>
      <c r="I200" s="226">
        <f t="shared" ref="I200:O200" si="1146">I148-I7</f>
        <v>-132838.30000000005</v>
      </c>
      <c r="J200" s="226">
        <f t="shared" si="1146"/>
        <v>-93823.81</v>
      </c>
      <c r="K200" s="226">
        <f t="shared" si="1146"/>
        <v>-61678.289999999921</v>
      </c>
      <c r="L200" s="226">
        <f t="shared" si="1146"/>
        <v>-4952.2900000000955</v>
      </c>
      <c r="M200" s="226">
        <f t="shared" si="1146"/>
        <v>-72610.510000000126</v>
      </c>
      <c r="N200" s="226">
        <f t="shared" si="1146"/>
        <v>-321810.69999999972</v>
      </c>
      <c r="O200" s="226">
        <f t="shared" si="1146"/>
        <v>282927.2699999999</v>
      </c>
      <c r="P200" s="226">
        <f t="shared" ref="P200" si="1147">P148-P7</f>
        <v>287664.36999999994</v>
      </c>
      <c r="Q200" s="226">
        <f>Q148-Q7</f>
        <v>-76637.840000000026</v>
      </c>
      <c r="R200" s="226">
        <f>R148-R7</f>
        <v>-72078.400000000023</v>
      </c>
      <c r="S200" s="226">
        <f>S148-S7</f>
        <v>-115827.08999999985</v>
      </c>
      <c r="T200" s="226">
        <f>T148-T7</f>
        <v>179576.34999999986</v>
      </c>
      <c r="U200" s="226">
        <f t="shared" ref="U200:AA200" si="1148">U148-U7</f>
        <v>46738.050000000279</v>
      </c>
      <c r="V200" s="226">
        <f t="shared" si="1148"/>
        <v>-47085.760000000242</v>
      </c>
      <c r="W200" s="226">
        <f t="shared" si="1148"/>
        <v>-108764.04999999935</v>
      </c>
      <c r="X200" s="226">
        <f t="shared" si="1148"/>
        <v>-113716.33999999939</v>
      </c>
      <c r="Y200" s="226">
        <f t="shared" si="1148"/>
        <v>-186326.84999999963</v>
      </c>
      <c r="Z200" s="226">
        <f t="shared" si="1148"/>
        <v>-508137.55000000075</v>
      </c>
      <c r="AA200" s="226">
        <f t="shared" si="1148"/>
        <v>-225210.27999999933</v>
      </c>
      <c r="AB200" s="226">
        <f t="shared" ref="AB200" si="1149">AB148-AB7</f>
        <v>62454.090000000782</v>
      </c>
      <c r="AC200" s="226">
        <f t="shared" ref="AC200:AH200" si="1150">AC148-AC7</f>
        <v>5739.5999999999767</v>
      </c>
      <c r="AD200" s="226">
        <f t="shared" si="1150"/>
        <v>-153348.75000000012</v>
      </c>
      <c r="AE200" s="226">
        <f t="shared" si="1150"/>
        <v>-136154.87000000011</v>
      </c>
      <c r="AF200" s="226">
        <f t="shared" si="1150"/>
        <v>-157343.82999999984</v>
      </c>
      <c r="AG200" s="226">
        <f t="shared" si="1150"/>
        <v>-241941.87999999966</v>
      </c>
      <c r="AH200" s="226">
        <f t="shared" si="1150"/>
        <v>-471220.68999999994</v>
      </c>
      <c r="AI200" s="226">
        <f t="shared" ref="AI200:BV200" si="1151">AI148-AI7</f>
        <v>-375633.39000000013</v>
      </c>
      <c r="AJ200" s="226">
        <f t="shared" ref="AJ200:BQ200" si="1152">AJ148-AJ7</f>
        <v>-721939.41000000015</v>
      </c>
      <c r="AK200" s="226">
        <f t="shared" si="1152"/>
        <v>-1057328.4600000004</v>
      </c>
      <c r="AL200" s="226">
        <f t="shared" si="1152"/>
        <v>-1498058.75</v>
      </c>
      <c r="AM200" s="226">
        <f t="shared" si="1152"/>
        <v>-1487335.2999999989</v>
      </c>
      <c r="AN200" s="226">
        <f t="shared" si="1152"/>
        <v>-1035781.3500000015</v>
      </c>
      <c r="AO200" s="226">
        <f t="shared" ref="AO200:AX200" si="1153">AO148-AO7</f>
        <v>105601.37</v>
      </c>
      <c r="AP200" s="226">
        <f t="shared" si="1153"/>
        <v>238874.11999999988</v>
      </c>
      <c r="AQ200" s="226">
        <f t="shared" si="1153"/>
        <v>300779.97999999952</v>
      </c>
      <c r="AR200" s="226">
        <f t="shared" si="1153"/>
        <v>307585.77</v>
      </c>
      <c r="AS200" s="226">
        <f t="shared" si="1153"/>
        <v>321653.62000000011</v>
      </c>
      <c r="AT200" s="226">
        <f t="shared" si="1153"/>
        <v>207280.31999999937</v>
      </c>
      <c r="AU200" s="226">
        <f t="shared" si="1153"/>
        <v>238529.98000000045</v>
      </c>
      <c r="AV200" s="226">
        <f t="shared" si="1153"/>
        <v>244182.82000000123</v>
      </c>
      <c r="AW200" s="226">
        <f t="shared" si="1153"/>
        <v>246678.62999999989</v>
      </c>
      <c r="AX200" s="226">
        <f t="shared" si="1153"/>
        <v>247911.58999999985</v>
      </c>
      <c r="AY200" s="226">
        <f t="shared" ref="AY200:BE200" si="1154">AY148-AY7</f>
        <v>55014.052958789747</v>
      </c>
      <c r="AZ200" s="226">
        <f t="shared" si="1154"/>
        <v>66413.371602796018</v>
      </c>
      <c r="BA200" s="226">
        <f t="shared" si="1154"/>
        <v>163934.67941040243</v>
      </c>
      <c r="BB200" s="226">
        <f t="shared" si="1154"/>
        <v>189718.1123209676</v>
      </c>
      <c r="BC200" s="226">
        <f t="shared" si="1154"/>
        <v>210112.52997527423</v>
      </c>
      <c r="BD200" s="226">
        <f t="shared" si="1154"/>
        <v>223956.14749424346</v>
      </c>
      <c r="BE200" s="226">
        <f t="shared" si="1154"/>
        <v>243194.00614920002</v>
      </c>
      <c r="BF200" s="226">
        <f t="shared" ref="BF200:BJ200" si="1155">BF148-BF7</f>
        <v>304355.11413707142</v>
      </c>
      <c r="BG200" s="226">
        <f t="shared" si="1155"/>
        <v>267862.56544214906</v>
      </c>
      <c r="BH200" s="226">
        <f t="shared" si="1155"/>
        <v>328747.53844137862</v>
      </c>
      <c r="BI200" s="226">
        <f t="shared" si="1155"/>
        <v>342192.77031476609</v>
      </c>
      <c r="BJ200" s="226">
        <f t="shared" si="1155"/>
        <v>310799.90455272584</v>
      </c>
      <c r="BK200" s="226">
        <f t="shared" si="1152"/>
        <v>55476.822358789737</v>
      </c>
      <c r="BL200" s="226">
        <f t="shared" si="1152"/>
        <v>122352.96336158575</v>
      </c>
      <c r="BM200" s="226">
        <f t="shared" si="1152"/>
        <v>286750.41217198828</v>
      </c>
      <c r="BN200" s="226">
        <f t="shared" si="1152"/>
        <v>473604.55739295529</v>
      </c>
      <c r="BO200" s="226">
        <f t="shared" si="1152"/>
        <v>679548.77026822977</v>
      </c>
      <c r="BP200" s="226">
        <f t="shared" si="1152"/>
        <v>900640.95066247415</v>
      </c>
      <c r="BQ200" s="226">
        <f t="shared" si="1152"/>
        <v>1140970.9897116739</v>
      </c>
      <c r="BR200" s="226">
        <f t="shared" si="1151"/>
        <v>1435357.306748745</v>
      </c>
      <c r="BS200" s="226">
        <f t="shared" si="1151"/>
        <v>1700355.9050908908</v>
      </c>
      <c r="BT200" s="226">
        <f t="shared" si="1151"/>
        <v>2026239.4764322713</v>
      </c>
      <c r="BU200" s="226">
        <f t="shared" si="1151"/>
        <v>2365568.2796470374</v>
      </c>
      <c r="BV200" s="226">
        <f t="shared" si="1151"/>
        <v>2673504.2170997635</v>
      </c>
      <c r="BW200" s="381"/>
    </row>
    <row r="201" spans="1:75" x14ac:dyDescent="0.25">
      <c r="C201" s="268" t="s">
        <v>856</v>
      </c>
      <c r="D201" s="226">
        <f t="shared" ref="D201:H201" si="1156">D148-D7-D146</f>
        <v>-1126730.8200000003</v>
      </c>
      <c r="E201" s="226">
        <f t="shared" si="1156"/>
        <v>-76637.839999999967</v>
      </c>
      <c r="F201" s="226">
        <f t="shared" si="1156"/>
        <v>4559.4400000000605</v>
      </c>
      <c r="G201" s="226">
        <f t="shared" si="1156"/>
        <v>-43748.690000000061</v>
      </c>
      <c r="H201" s="226">
        <f t="shared" si="1156"/>
        <v>268466.99000000005</v>
      </c>
      <c r="I201" s="226">
        <f t="shared" ref="I201:O201" si="1157">I148-I7-I146</f>
        <v>-112912.56000000004</v>
      </c>
      <c r="J201" s="226">
        <f t="shared" si="1157"/>
        <v>-86813.1</v>
      </c>
      <c r="K201" s="226">
        <f t="shared" si="1157"/>
        <v>-61678.289999999921</v>
      </c>
      <c r="L201" s="226">
        <f t="shared" si="1157"/>
        <v>-4952.2900000000955</v>
      </c>
      <c r="M201" s="226">
        <f t="shared" si="1157"/>
        <v>-72610.510000000126</v>
      </c>
      <c r="N201" s="226">
        <f t="shared" si="1157"/>
        <v>-321810.69999999972</v>
      </c>
      <c r="O201" s="226">
        <f t="shared" si="1157"/>
        <v>282927.2699999999</v>
      </c>
      <c r="P201" s="226">
        <f t="shared" ref="P201" si="1158">P148-P7-P146</f>
        <v>278296.25999999995</v>
      </c>
      <c r="Q201" s="226">
        <f>Q148-Q7-Q146</f>
        <v>-76637.840000000026</v>
      </c>
      <c r="R201" s="226">
        <f>R148-R7-R146</f>
        <v>-72078.400000000023</v>
      </c>
      <c r="S201" s="226">
        <f>S148-S7-S146</f>
        <v>-115827.08999999985</v>
      </c>
      <c r="T201" s="226">
        <f>T148-T7-T146</f>
        <v>152639.89999999985</v>
      </c>
      <c r="U201" s="226">
        <f t="shared" ref="U201:AA201" si="1159">U148-U7-U146</f>
        <v>39727.34000000028</v>
      </c>
      <c r="V201" s="226">
        <f t="shared" si="1159"/>
        <v>-47085.760000000242</v>
      </c>
      <c r="W201" s="226">
        <f t="shared" si="1159"/>
        <v>-108764.04999999935</v>
      </c>
      <c r="X201" s="226">
        <f t="shared" si="1159"/>
        <v>-113716.33999999939</v>
      </c>
      <c r="Y201" s="226">
        <f t="shared" si="1159"/>
        <v>-186326.84999999963</v>
      </c>
      <c r="Z201" s="226">
        <f t="shared" si="1159"/>
        <v>-508137.55000000075</v>
      </c>
      <c r="AA201" s="226">
        <f t="shared" si="1159"/>
        <v>-225210.27999999933</v>
      </c>
      <c r="AB201" s="226">
        <f t="shared" ref="AB201" si="1160">AB148-AB7-AB146</f>
        <v>53085.980000000782</v>
      </c>
      <c r="AC201" s="226">
        <f t="shared" ref="AC201:AH201" si="1161">AC148-AC7-AC146</f>
        <v>4878.6599999999762</v>
      </c>
      <c r="AD201" s="226">
        <f t="shared" si="1161"/>
        <v>-153348.75000000012</v>
      </c>
      <c r="AE201" s="226">
        <f t="shared" si="1161"/>
        <v>-136154.87000000011</v>
      </c>
      <c r="AF201" s="226">
        <f t="shared" si="1161"/>
        <v>-157343.82999999984</v>
      </c>
      <c r="AG201" s="226">
        <f t="shared" si="1161"/>
        <v>-241941.87999999966</v>
      </c>
      <c r="AH201" s="226">
        <f t="shared" si="1161"/>
        <v>-471220.68999999994</v>
      </c>
      <c r="AI201" s="226">
        <f t="shared" ref="AI201:BV201" si="1162">AI148-AI7-AI146</f>
        <v>-375633.39000000013</v>
      </c>
      <c r="AJ201" s="226">
        <f t="shared" ref="AJ201:BQ201" si="1163">AJ148-AJ7-AJ146</f>
        <v>-721939.41000000015</v>
      </c>
      <c r="AK201" s="226">
        <f t="shared" si="1163"/>
        <v>-1057328.4600000004</v>
      </c>
      <c r="AL201" s="226">
        <f t="shared" si="1163"/>
        <v>-1498058.75</v>
      </c>
      <c r="AM201" s="226">
        <f t="shared" si="1163"/>
        <v>-1487335.2999999989</v>
      </c>
      <c r="AN201" s="226">
        <f t="shared" si="1163"/>
        <v>-1035781.3500000015</v>
      </c>
      <c r="AO201" s="226">
        <f t="shared" ref="AO201:AX201" si="1164">AO148-AO7-AO146</f>
        <v>105601.37</v>
      </c>
      <c r="AP201" s="226">
        <f t="shared" si="1164"/>
        <v>238874.11999999988</v>
      </c>
      <c r="AQ201" s="226">
        <f t="shared" si="1164"/>
        <v>300779.97999999952</v>
      </c>
      <c r="AR201" s="226">
        <f t="shared" si="1164"/>
        <v>307585.77</v>
      </c>
      <c r="AS201" s="226">
        <f t="shared" si="1164"/>
        <v>321653.62000000011</v>
      </c>
      <c r="AT201" s="226">
        <f t="shared" si="1164"/>
        <v>207280.31999999937</v>
      </c>
      <c r="AU201" s="226">
        <f t="shared" si="1164"/>
        <v>238529.98000000045</v>
      </c>
      <c r="AV201" s="226">
        <f t="shared" si="1164"/>
        <v>244182.82000000123</v>
      </c>
      <c r="AW201" s="226">
        <f t="shared" si="1164"/>
        <v>246678.62999999989</v>
      </c>
      <c r="AX201" s="226">
        <f t="shared" si="1164"/>
        <v>247911.58999999985</v>
      </c>
      <c r="AY201" s="226">
        <f t="shared" ref="AY201:BE201" si="1165">AY148-AY7-AY146</f>
        <v>46761.945014971287</v>
      </c>
      <c r="AZ201" s="226">
        <f t="shared" si="1165"/>
        <v>56451.365862376617</v>
      </c>
      <c r="BA201" s="226">
        <f t="shared" si="1165"/>
        <v>139344.47749884205</v>
      </c>
      <c r="BB201" s="226">
        <f t="shared" si="1165"/>
        <v>161260.39547282245</v>
      </c>
      <c r="BC201" s="226">
        <f t="shared" si="1165"/>
        <v>178595.65047898309</v>
      </c>
      <c r="BD201" s="226">
        <f t="shared" si="1165"/>
        <v>190362.72537010693</v>
      </c>
      <c r="BE201" s="226">
        <f t="shared" si="1165"/>
        <v>206714.90522682003</v>
      </c>
      <c r="BF201" s="226">
        <f t="shared" ref="BF201:BJ201" si="1166">BF148-BF7-BF146</f>
        <v>258701.8470165107</v>
      </c>
      <c r="BG201" s="226">
        <f t="shared" si="1166"/>
        <v>227683.1806258267</v>
      </c>
      <c r="BH201" s="226">
        <f t="shared" si="1166"/>
        <v>279435.40767517185</v>
      </c>
      <c r="BI201" s="226">
        <f t="shared" si="1166"/>
        <v>290863.85476755118</v>
      </c>
      <c r="BJ201" s="226">
        <f t="shared" si="1166"/>
        <v>264179.91886981699</v>
      </c>
      <c r="BK201" s="226">
        <f t="shared" si="1163"/>
        <v>47155.299004971275</v>
      </c>
      <c r="BL201" s="226">
        <f t="shared" si="1163"/>
        <v>104000.01885734788</v>
      </c>
      <c r="BM201" s="226">
        <f t="shared" si="1163"/>
        <v>243737.85034619004</v>
      </c>
      <c r="BN201" s="226">
        <f t="shared" si="1163"/>
        <v>402563.87378401199</v>
      </c>
      <c r="BO201" s="226">
        <f t="shared" si="1163"/>
        <v>577616.45472799533</v>
      </c>
      <c r="BP201" s="226">
        <f t="shared" si="1163"/>
        <v>765544.808063103</v>
      </c>
      <c r="BQ201" s="226">
        <f t="shared" si="1163"/>
        <v>969825.34125492279</v>
      </c>
      <c r="BR201" s="226">
        <f t="shared" si="1162"/>
        <v>1220053.7107364333</v>
      </c>
      <c r="BS201" s="226">
        <f t="shared" si="1162"/>
        <v>1445302.5193272573</v>
      </c>
      <c r="BT201" s="226">
        <f t="shared" si="1162"/>
        <v>1722303.5549674307</v>
      </c>
      <c r="BU201" s="226">
        <f t="shared" si="1162"/>
        <v>2010733.0376999818</v>
      </c>
      <c r="BV201" s="226">
        <f t="shared" si="1162"/>
        <v>2272478.5845347987</v>
      </c>
      <c r="BW201" s="381"/>
    </row>
    <row r="202" spans="1:75" x14ac:dyDescent="0.25">
      <c r="C202" s="268" t="s">
        <v>857</v>
      </c>
      <c r="D202" s="226">
        <f t="shared" ref="D202:H202" si="1167">D148-D7-D146-D147</f>
        <v>-1126730.8200000003</v>
      </c>
      <c r="E202" s="226">
        <f t="shared" si="1167"/>
        <v>-76637.839999999967</v>
      </c>
      <c r="F202" s="226">
        <f t="shared" si="1167"/>
        <v>4559.4400000000605</v>
      </c>
      <c r="G202" s="226">
        <f t="shared" si="1167"/>
        <v>-43748.690000000061</v>
      </c>
      <c r="H202" s="226">
        <f t="shared" si="1167"/>
        <v>230307.02000000005</v>
      </c>
      <c r="I202" s="226">
        <f t="shared" ref="I202:O202" si="1168">I148-I7-I146-I147</f>
        <v>-84684.430000000037</v>
      </c>
      <c r="J202" s="226">
        <f t="shared" si="1168"/>
        <v>-76881.260000000009</v>
      </c>
      <c r="K202" s="226">
        <f t="shared" si="1168"/>
        <v>-61678.289999999921</v>
      </c>
      <c r="L202" s="226">
        <f t="shared" si="1168"/>
        <v>-4952.2900000000955</v>
      </c>
      <c r="M202" s="226">
        <f t="shared" si="1168"/>
        <v>-72610.510000000126</v>
      </c>
      <c r="N202" s="226">
        <f t="shared" si="1168"/>
        <v>-321810.69999999972</v>
      </c>
      <c r="O202" s="226">
        <f t="shared" si="1168"/>
        <v>282927.2699999999</v>
      </c>
      <c r="P202" s="226">
        <f t="shared" ref="P202" si="1169">P148-P7-P146-P147</f>
        <v>241006.41999999995</v>
      </c>
      <c r="Q202" s="226">
        <f>Q148-Q7-Q146-Q147</f>
        <v>-76637.840000000026</v>
      </c>
      <c r="R202" s="226">
        <f>R148-R7-R146-R147</f>
        <v>-72078.400000000023</v>
      </c>
      <c r="S202" s="226">
        <f>S148-S7-S146-S147</f>
        <v>-115827.08999999985</v>
      </c>
      <c r="T202" s="226">
        <f>T148-T7-T146-T147</f>
        <v>114479.92999999985</v>
      </c>
      <c r="U202" s="226">
        <f t="shared" ref="U202:AA202" si="1170">U148-U7-U146-U147</f>
        <v>29795.50000000028</v>
      </c>
      <c r="V202" s="226">
        <f t="shared" si="1170"/>
        <v>-47085.760000000242</v>
      </c>
      <c r="W202" s="226">
        <f t="shared" si="1170"/>
        <v>-108764.04999999935</v>
      </c>
      <c r="X202" s="226">
        <f t="shared" si="1170"/>
        <v>-113716.33999999939</v>
      </c>
      <c r="Y202" s="226">
        <f t="shared" si="1170"/>
        <v>-186326.84999999963</v>
      </c>
      <c r="Z202" s="226">
        <f t="shared" si="1170"/>
        <v>-508137.55000000075</v>
      </c>
      <c r="AA202" s="226">
        <f t="shared" si="1170"/>
        <v>-225210.27999999933</v>
      </c>
      <c r="AB202" s="226">
        <f t="shared" ref="AB202" si="1171">AB148-AB7-AB146-AB147</f>
        <v>15796.140000000785</v>
      </c>
      <c r="AC202" s="226">
        <f t="shared" ref="AC202:AH202" si="1172">AC148-AC7-AC146-AC147</f>
        <v>3658.9899999999761</v>
      </c>
      <c r="AD202" s="226">
        <f t="shared" si="1172"/>
        <v>-153348.75000000012</v>
      </c>
      <c r="AE202" s="226">
        <f t="shared" si="1172"/>
        <v>-136154.87000000011</v>
      </c>
      <c r="AF202" s="226">
        <f t="shared" si="1172"/>
        <v>-157343.82999999984</v>
      </c>
      <c r="AG202" s="226">
        <f t="shared" si="1172"/>
        <v>-241941.87999999966</v>
      </c>
      <c r="AH202" s="226">
        <f t="shared" si="1172"/>
        <v>-471220.68999999994</v>
      </c>
      <c r="AI202" s="226">
        <f t="shared" ref="AI202:BV202" si="1173">AI148-AI7-AI146-AI147</f>
        <v>-375633.39000000013</v>
      </c>
      <c r="AJ202" s="226">
        <f t="shared" ref="AJ202:BQ202" si="1174">AJ148-AJ7-AJ146-AJ147</f>
        <v>-721939.41000000015</v>
      </c>
      <c r="AK202" s="226">
        <f t="shared" si="1174"/>
        <v>-1057328.4600000004</v>
      </c>
      <c r="AL202" s="226">
        <f t="shared" si="1174"/>
        <v>-1498058.75</v>
      </c>
      <c r="AM202" s="226">
        <f t="shared" si="1174"/>
        <v>-1487335.2999999989</v>
      </c>
      <c r="AN202" s="226">
        <f t="shared" si="1174"/>
        <v>-1035781.3500000015</v>
      </c>
      <c r="AO202" s="226">
        <f t="shared" ref="AO202:AX202" si="1175">AO148-AO7-AO146-AO147</f>
        <v>105601.37</v>
      </c>
      <c r="AP202" s="226">
        <f t="shared" si="1175"/>
        <v>238874.11999999988</v>
      </c>
      <c r="AQ202" s="226">
        <f t="shared" si="1175"/>
        <v>300779.97999999952</v>
      </c>
      <c r="AR202" s="226">
        <f t="shared" si="1175"/>
        <v>307585.77</v>
      </c>
      <c r="AS202" s="226">
        <f t="shared" si="1175"/>
        <v>321653.62000000011</v>
      </c>
      <c r="AT202" s="226">
        <f t="shared" si="1175"/>
        <v>207280.31999999937</v>
      </c>
      <c r="AU202" s="226">
        <f t="shared" si="1175"/>
        <v>238529.98000000045</v>
      </c>
      <c r="AV202" s="226">
        <f t="shared" si="1175"/>
        <v>244182.82000000123</v>
      </c>
      <c r="AW202" s="226">
        <f t="shared" si="1175"/>
        <v>246678.62999999989</v>
      </c>
      <c r="AX202" s="226">
        <f t="shared" si="1175"/>
        <v>247911.58999999985</v>
      </c>
      <c r="AY202" s="226">
        <f t="shared" ref="AY202:BE202" si="1176">AY148-AY7-AY146-AY147</f>
        <v>35071.458761228467</v>
      </c>
      <c r="AZ202" s="226">
        <f t="shared" si="1176"/>
        <v>42338.524396782464</v>
      </c>
      <c r="BA202" s="226">
        <f t="shared" si="1176"/>
        <v>104508.35812413154</v>
      </c>
      <c r="BB202" s="226">
        <f t="shared" si="1176"/>
        <v>120945.29660461683</v>
      </c>
      <c r="BC202" s="226">
        <f t="shared" si="1176"/>
        <v>133946.73785923733</v>
      </c>
      <c r="BD202" s="226">
        <f t="shared" si="1176"/>
        <v>142772.04402758018</v>
      </c>
      <c r="BE202" s="226">
        <f t="shared" si="1176"/>
        <v>155036.17892011502</v>
      </c>
      <c r="BF202" s="226">
        <f t="shared" ref="BF202:BI202" si="1177">BF148-BF7-BF146-BF147</f>
        <v>194026.38526238303</v>
      </c>
      <c r="BG202" s="226">
        <f t="shared" si="1177"/>
        <v>170762.38546937003</v>
      </c>
      <c r="BH202" s="226">
        <f t="shared" si="1177"/>
        <v>209576.55575637889</v>
      </c>
      <c r="BI202" s="226">
        <f t="shared" si="1177"/>
        <v>218147.89107566338</v>
      </c>
      <c r="BJ202" s="226">
        <f>BJ148-BJ7-BJ146-BJ147</f>
        <v>198134.93915236276</v>
      </c>
      <c r="BK202" s="226">
        <f t="shared" si="1174"/>
        <v>35366.474253728455</v>
      </c>
      <c r="BL202" s="226">
        <f t="shared" si="1174"/>
        <v>78000.014143010907</v>
      </c>
      <c r="BM202" s="226">
        <f t="shared" si="1174"/>
        <v>182803.38775964253</v>
      </c>
      <c r="BN202" s="226">
        <f t="shared" si="1174"/>
        <v>301922.905338009</v>
      </c>
      <c r="BO202" s="226">
        <f t="shared" si="1174"/>
        <v>433212.34104599652</v>
      </c>
      <c r="BP202" s="226">
        <f t="shared" si="1174"/>
        <v>574158.60604732728</v>
      </c>
      <c r="BQ202" s="226">
        <f t="shared" si="1174"/>
        <v>727369.00594119215</v>
      </c>
      <c r="BR202" s="226">
        <f t="shared" si="1173"/>
        <v>915040.28305232502</v>
      </c>
      <c r="BS202" s="226">
        <f t="shared" si="1173"/>
        <v>1083976.8894954431</v>
      </c>
      <c r="BT202" s="226">
        <f t="shared" si="1173"/>
        <v>1291727.666225573</v>
      </c>
      <c r="BU202" s="226">
        <f t="shared" si="1173"/>
        <v>1508049.7782749864</v>
      </c>
      <c r="BV202" s="226">
        <f t="shared" si="1173"/>
        <v>1704358.9384010991</v>
      </c>
      <c r="BW202" s="381"/>
    </row>
    <row r="203" spans="1:75" x14ac:dyDescent="0.25">
      <c r="B203" s="382"/>
      <c r="C203" s="383"/>
      <c r="AI203" s="383"/>
      <c r="AJ203" s="383"/>
      <c r="AK203" s="383"/>
      <c r="AL203" s="383"/>
      <c r="AM203" s="383"/>
      <c r="AN203" s="383"/>
      <c r="AO203" s="383"/>
      <c r="AP203" s="383"/>
      <c r="AQ203" s="383"/>
      <c r="AR203" s="383"/>
      <c r="AS203" s="383"/>
      <c r="AT203" s="383"/>
      <c r="AU203" s="383"/>
      <c r="AV203" s="383"/>
      <c r="AW203" s="383"/>
      <c r="AX203" s="383"/>
      <c r="BK203" s="383"/>
      <c r="BL203" s="383"/>
      <c r="BM203" s="383"/>
      <c r="BN203" s="383"/>
      <c r="BO203" s="383"/>
      <c r="BP203" s="383"/>
      <c r="BQ203" s="383"/>
      <c r="BR203" s="383"/>
      <c r="BS203" s="383"/>
      <c r="BT203" s="383"/>
      <c r="BU203" s="383"/>
      <c r="BV203" s="383"/>
      <c r="BW203" s="383"/>
    </row>
    <row r="204" spans="1:75" x14ac:dyDescent="0.25">
      <c r="A204" s="200"/>
      <c r="B204" s="382"/>
      <c r="C204" s="384" t="s">
        <v>858</v>
      </c>
      <c r="AI204" s="385"/>
      <c r="AJ204" s="385"/>
      <c r="AK204" s="385"/>
      <c r="AL204" s="385"/>
      <c r="AM204" s="385"/>
      <c r="AN204" s="385"/>
      <c r="AO204" s="385"/>
      <c r="AP204" s="385"/>
      <c r="AQ204" s="385"/>
      <c r="AR204" s="385"/>
      <c r="AS204" s="385"/>
      <c r="AT204" s="385"/>
      <c r="AU204" s="385"/>
      <c r="AV204" s="385"/>
      <c r="AW204" s="385"/>
      <c r="AX204" s="385"/>
      <c r="BK204" s="385"/>
      <c r="BL204" s="385"/>
      <c r="BM204" s="385"/>
      <c r="BN204" s="385"/>
      <c r="BO204" s="385"/>
      <c r="BP204" s="385"/>
      <c r="BQ204" s="385"/>
      <c r="BR204" s="385"/>
      <c r="BS204" s="385"/>
      <c r="BT204" s="385"/>
      <c r="BU204" s="385"/>
      <c r="BV204" s="385"/>
      <c r="BW204" s="385"/>
    </row>
    <row r="205" spans="1:75" x14ac:dyDescent="0.25">
      <c r="A205" s="200"/>
      <c r="B205" s="382"/>
      <c r="C205" s="386" t="s">
        <v>859</v>
      </c>
      <c r="D205" s="387">
        <f t="shared" ref="D205" si="1178">D8/D149</f>
        <v>0.64034758890059884</v>
      </c>
      <c r="E205" s="387">
        <f>E8/E149</f>
        <v>0.69169099742503026</v>
      </c>
      <c r="F205" s="387">
        <f>F8/F149</f>
        <v>0.67591873781184597</v>
      </c>
      <c r="G205" s="387">
        <f>G8/G149</f>
        <v>0.61228411864845844</v>
      </c>
      <c r="H205" s="387">
        <f>H8/H149</f>
        <v>0.62205743305926309</v>
      </c>
      <c r="I205" s="387">
        <f t="shared" ref="I205:O205" si="1179">I8/I149</f>
        <v>0.55538365913692733</v>
      </c>
      <c r="J205" s="387">
        <f t="shared" si="1179"/>
        <v>0.62180382789884447</v>
      </c>
      <c r="K205" s="387">
        <f t="shared" si="1179"/>
        <v>0.62568492338658865</v>
      </c>
      <c r="L205" s="387">
        <f t="shared" si="1179"/>
        <v>0.60915404966692688</v>
      </c>
      <c r="M205" s="387">
        <f t="shared" si="1179"/>
        <v>0.6408795135113754</v>
      </c>
      <c r="N205" s="387">
        <f t="shared" si="1179"/>
        <v>0.83785418095071873</v>
      </c>
      <c r="O205" s="387">
        <f t="shared" si="1179"/>
        <v>0.53504743989935044</v>
      </c>
      <c r="P205" s="387">
        <f>P8/P149</f>
        <v>0.72254185774384305</v>
      </c>
      <c r="Q205" s="387">
        <f>Q8/Q149</f>
        <v>0.69169099742503037</v>
      </c>
      <c r="R205" s="387">
        <f>R8/R149</f>
        <v>0.68411613827986717</v>
      </c>
      <c r="S205" s="387">
        <f>S8/S149</f>
        <v>0.65759476209141143</v>
      </c>
      <c r="T205" s="387">
        <f>T8/T149</f>
        <v>0.64842304196597023</v>
      </c>
      <c r="U205" s="387">
        <f t="shared" ref="U205:AA205" si="1180">U8/U149</f>
        <v>0.62628914066793517</v>
      </c>
      <c r="V205" s="387">
        <f t="shared" si="1180"/>
        <v>0.62553773456392081</v>
      </c>
      <c r="W205" s="387">
        <f t="shared" si="1180"/>
        <v>0.62555903657360767</v>
      </c>
      <c r="X205" s="387">
        <f t="shared" si="1180"/>
        <v>0.62344822099451536</v>
      </c>
      <c r="Y205" s="387">
        <f t="shared" si="1180"/>
        <v>0.62528574532715431</v>
      </c>
      <c r="Z205" s="387">
        <f t="shared" si="1180"/>
        <v>0.64199780556980712</v>
      </c>
      <c r="AA205" s="387">
        <f t="shared" si="1180"/>
        <v>0.63068699572218745</v>
      </c>
      <c r="AB205" s="387">
        <f t="shared" ref="AB205" si="1181">AB8/AB149</f>
        <v>0.63756453253529966</v>
      </c>
      <c r="AC205" s="387">
        <f t="shared" ref="AC205:AH205" si="1182">AC8/AC149</f>
        <v>0.75146147449915257</v>
      </c>
      <c r="AD205" s="387">
        <f t="shared" si="1182"/>
        <v>0.75228269049167962</v>
      </c>
      <c r="AE205" s="387">
        <f t="shared" si="1182"/>
        <v>0.7612006984190367</v>
      </c>
      <c r="AF205" s="387">
        <f t="shared" si="1182"/>
        <v>0.74296245953666984</v>
      </c>
      <c r="AG205" s="387">
        <f t="shared" si="1182"/>
        <v>0.76089317775331422</v>
      </c>
      <c r="AH205" s="387">
        <f t="shared" si="1182"/>
        <v>0.76179279097682662</v>
      </c>
      <c r="AI205" s="387">
        <f t="shared" ref="AI205:BV205" si="1183">AI8/AI149</f>
        <v>0.74743482393326888</v>
      </c>
      <c r="AJ205" s="387">
        <f t="shared" ref="AJ205:BQ205" si="1184">AJ8/AJ149</f>
        <v>0.76001376972944878</v>
      </c>
      <c r="AK205" s="387">
        <f t="shared" si="1184"/>
        <v>0.75740663104905426</v>
      </c>
      <c r="AL205" s="387">
        <f t="shared" si="1184"/>
        <v>0.76877922955197775</v>
      </c>
      <c r="AM205" s="387">
        <f t="shared" si="1184"/>
        <v>0.75981644571344997</v>
      </c>
      <c r="AN205" s="387">
        <f t="shared" si="1184"/>
        <v>0.75787824595857789</v>
      </c>
      <c r="AO205" s="388"/>
      <c r="AP205" s="388"/>
      <c r="AQ205" s="388"/>
      <c r="AR205" s="388"/>
      <c r="AS205" s="388"/>
      <c r="AT205" s="388"/>
      <c r="AU205" s="388"/>
      <c r="AV205" s="388"/>
      <c r="AW205" s="388"/>
      <c r="AX205" s="388"/>
      <c r="AY205" s="387">
        <f t="shared" ref="AY205:BJ205" si="1185">AY8/AY149</f>
        <v>0.61923551112087105</v>
      </c>
      <c r="AZ205" s="387">
        <f t="shared" si="1185"/>
        <v>0.60408597986896828</v>
      </c>
      <c r="BA205" s="387">
        <f t="shared" si="1185"/>
        <v>0.63303739499692979</v>
      </c>
      <c r="BB205" s="387">
        <f t="shared" si="1185"/>
        <v>0.64624364804910106</v>
      </c>
      <c r="BC205" s="387">
        <f t="shared" si="1185"/>
        <v>0.65719544227293392</v>
      </c>
      <c r="BD205" s="387">
        <f t="shared" si="1185"/>
        <v>0.66036864708680754</v>
      </c>
      <c r="BE205" s="387">
        <f t="shared" si="1185"/>
        <v>0.67371420525971548</v>
      </c>
      <c r="BF205" s="387">
        <f t="shared" si="1185"/>
        <v>0.66956147792516829</v>
      </c>
      <c r="BG205" s="387">
        <f t="shared" si="1185"/>
        <v>0.6709411031094471</v>
      </c>
      <c r="BH205" s="387">
        <f t="shared" si="1185"/>
        <v>0.67332539077150766</v>
      </c>
      <c r="BI205" s="387">
        <f t="shared" si="1185"/>
        <v>0.68554208980569931</v>
      </c>
      <c r="BJ205" s="387">
        <f t="shared" si="1185"/>
        <v>0.69153185491908076</v>
      </c>
      <c r="BK205" s="387">
        <f t="shared" si="1184"/>
        <v>0.61923551112087105</v>
      </c>
      <c r="BL205" s="387">
        <f t="shared" si="1184"/>
        <v>0.61175576656855957</v>
      </c>
      <c r="BM205" s="387">
        <f t="shared" si="1184"/>
        <v>0.61948308859748558</v>
      </c>
      <c r="BN205" s="387">
        <f t="shared" si="1184"/>
        <v>0.62676273529809812</v>
      </c>
      <c r="BO205" s="387">
        <f t="shared" si="1184"/>
        <v>0.63375216476974616</v>
      </c>
      <c r="BP205" s="387">
        <f t="shared" si="1184"/>
        <v>0.63885808081723139</v>
      </c>
      <c r="BQ205" s="387">
        <f t="shared" si="1184"/>
        <v>0.64484777854277764</v>
      </c>
      <c r="BR205" s="387">
        <f t="shared" si="1183"/>
        <v>0.64868703807979899</v>
      </c>
      <c r="BS205" s="387">
        <f t="shared" si="1183"/>
        <v>0.6517390354113809</v>
      </c>
      <c r="BT205" s="387">
        <f t="shared" si="1183"/>
        <v>0.65454129521012783</v>
      </c>
      <c r="BU205" s="387">
        <f t="shared" si="1183"/>
        <v>0.65810785387023885</v>
      </c>
      <c r="BV205" s="387">
        <f t="shared" si="1183"/>
        <v>0.66179065090603106</v>
      </c>
      <c r="BW205" s="388"/>
    </row>
    <row r="206" spans="1:75" x14ac:dyDescent="0.25">
      <c r="A206" s="200"/>
      <c r="B206" s="389"/>
      <c r="C206" s="390" t="s">
        <v>860</v>
      </c>
      <c r="D206" s="293">
        <f t="shared" ref="D206" si="1186">D149-D8</f>
        <v>1280899.2999999998</v>
      </c>
      <c r="E206" s="293">
        <f>E149-E8</f>
        <v>93318.750000000029</v>
      </c>
      <c r="F206" s="293">
        <f>F149-F8</f>
        <v>90643.16000000012</v>
      </c>
      <c r="G206" s="293">
        <f>G149-G8</f>
        <v>132162.99999999994</v>
      </c>
      <c r="H206" s="293">
        <f>H149-H8</f>
        <v>121382.79000000007</v>
      </c>
      <c r="I206" s="293">
        <f t="shared" ref="I206:O206" si="1187">I149-I8</f>
        <v>172714.52999999997</v>
      </c>
      <c r="J206" s="293">
        <f t="shared" si="1187"/>
        <v>124274.12</v>
      </c>
      <c r="K206" s="293">
        <f t="shared" si="1187"/>
        <v>124239.37</v>
      </c>
      <c r="L206" s="293">
        <f t="shared" si="1187"/>
        <v>132364.98000000001</v>
      </c>
      <c r="M206" s="293">
        <f t="shared" si="1187"/>
        <v>111382.06999999989</v>
      </c>
      <c r="N206" s="293">
        <f t="shared" si="1187"/>
        <v>40707.05000000025</v>
      </c>
      <c r="O206" s="293">
        <f t="shared" si="1187"/>
        <v>175589.05999999988</v>
      </c>
      <c r="P206" s="293">
        <f>P149-P8</f>
        <v>80187.139999999839</v>
      </c>
      <c r="Q206" s="293">
        <f>Q149-Q8</f>
        <v>93318.749999999971</v>
      </c>
      <c r="R206" s="293">
        <f>R149-R8</f>
        <v>183961.90999999997</v>
      </c>
      <c r="S206" s="293">
        <f>S149-S8</f>
        <v>316124.91000000003</v>
      </c>
      <c r="T206" s="293">
        <f>T149-T8</f>
        <v>437507.69999999995</v>
      </c>
      <c r="U206" s="293">
        <f t="shared" ref="U206:AA206" si="1188">U149-U8</f>
        <v>610222.2300000001</v>
      </c>
      <c r="V206" s="293">
        <f t="shared" si="1188"/>
        <v>734496.35000000009</v>
      </c>
      <c r="W206" s="293">
        <f t="shared" si="1188"/>
        <v>858735.72</v>
      </c>
      <c r="X206" s="293">
        <f t="shared" si="1188"/>
        <v>991100.70000000019</v>
      </c>
      <c r="Y206" s="293">
        <f t="shared" si="1188"/>
        <v>1102482.7700000003</v>
      </c>
      <c r="Z206" s="293">
        <f t="shared" si="1188"/>
        <v>1143189.82</v>
      </c>
      <c r="AA206" s="293">
        <f t="shared" si="1188"/>
        <v>1318778.8800000004</v>
      </c>
      <c r="AB206" s="293">
        <f t="shared" ref="AB206" si="1189">AB149-AB8</f>
        <v>1398966.02</v>
      </c>
      <c r="AC206" s="293">
        <f t="shared" ref="AC206:AH206" si="1190">AC149-AC8</f>
        <v>70083.050000000017</v>
      </c>
      <c r="AD206" s="293">
        <f t="shared" si="1190"/>
        <v>135247.78999999998</v>
      </c>
      <c r="AE206" s="293">
        <f t="shared" si="1190"/>
        <v>196247.74</v>
      </c>
      <c r="AF206" s="293">
        <f t="shared" si="1190"/>
        <v>289719.90999999992</v>
      </c>
      <c r="AG206" s="293">
        <f t="shared" si="1190"/>
        <v>333792.55000000005</v>
      </c>
      <c r="AH206" s="293">
        <f t="shared" si="1190"/>
        <v>404310.78</v>
      </c>
      <c r="AI206" s="293">
        <f t="shared" ref="AI206:BV206" si="1191">AI149-AI8</f>
        <v>512528.12000000011</v>
      </c>
      <c r="AJ206" s="293">
        <f t="shared" ref="AJ206:BQ206" si="1192">AJ149-AJ8</f>
        <v>560062.53</v>
      </c>
      <c r="AK206" s="293">
        <f t="shared" si="1192"/>
        <v>643926.2799999998</v>
      </c>
      <c r="AL206" s="293">
        <f t="shared" si="1192"/>
        <v>680700.69</v>
      </c>
      <c r="AM206" s="293">
        <f t="shared" si="1192"/>
        <v>796515.12000000011</v>
      </c>
      <c r="AN206" s="293">
        <f t="shared" si="1192"/>
        <v>891339.88999999966</v>
      </c>
      <c r="AO206" s="391"/>
      <c r="AP206" s="391"/>
      <c r="AQ206" s="391"/>
      <c r="AR206" s="391"/>
      <c r="AS206" s="391"/>
      <c r="AT206" s="391"/>
      <c r="AU206" s="391"/>
      <c r="AV206" s="391"/>
      <c r="AW206" s="391"/>
      <c r="AX206" s="391"/>
      <c r="AY206" s="293">
        <f t="shared" ref="AY206:BJ206" si="1193">AY149-AY8</f>
        <v>269360.04004456551</v>
      </c>
      <c r="AZ206" s="293">
        <f t="shared" si="1193"/>
        <v>273137.34969278501</v>
      </c>
      <c r="BA206" s="293">
        <f t="shared" si="1193"/>
        <v>292325.13691568398</v>
      </c>
      <c r="BB206" s="293">
        <f t="shared" si="1193"/>
        <v>290018.32789585507</v>
      </c>
      <c r="BC206" s="293">
        <f t="shared" si="1193"/>
        <v>308017.98080996028</v>
      </c>
      <c r="BD206" s="293">
        <f t="shared" si="1193"/>
        <v>315397.27813572134</v>
      </c>
      <c r="BE206" s="293">
        <f t="shared" si="1193"/>
        <v>327745.84851512592</v>
      </c>
      <c r="BF206" s="293">
        <f t="shared" si="1193"/>
        <v>355252.00417048717</v>
      </c>
      <c r="BG206" s="293">
        <f t="shared" si="1193"/>
        <v>361947.80234263523</v>
      </c>
      <c r="BH206" s="293">
        <f t="shared" si="1193"/>
        <v>390868.79282486753</v>
      </c>
      <c r="BI206" s="293">
        <f t="shared" si="1193"/>
        <v>376795.37991061527</v>
      </c>
      <c r="BJ206" s="293">
        <f t="shared" si="1193"/>
        <v>397828.65374045516</v>
      </c>
      <c r="BK206" s="293">
        <f t="shared" si="1192"/>
        <v>269360.04004456551</v>
      </c>
      <c r="BL206" s="293">
        <f t="shared" si="1192"/>
        <v>542497.38973735063</v>
      </c>
      <c r="BM206" s="293">
        <f t="shared" si="1192"/>
        <v>834822.52665303438</v>
      </c>
      <c r="BN206" s="293">
        <f t="shared" si="1192"/>
        <v>1124840.8545488894</v>
      </c>
      <c r="BO206" s="293">
        <f t="shared" si="1192"/>
        <v>1432858.8353588502</v>
      </c>
      <c r="BP206" s="293">
        <f t="shared" si="1192"/>
        <v>1748256.1134945713</v>
      </c>
      <c r="BQ206" s="293">
        <f t="shared" si="1192"/>
        <v>2076001.9620096977</v>
      </c>
      <c r="BR206" s="293">
        <f t="shared" si="1191"/>
        <v>2431253.9661801849</v>
      </c>
      <c r="BS206" s="293">
        <f t="shared" si="1191"/>
        <v>2793201.7685228176</v>
      </c>
      <c r="BT206" s="293">
        <f t="shared" si="1191"/>
        <v>3184070.5613476867</v>
      </c>
      <c r="BU206" s="293">
        <f t="shared" si="1191"/>
        <v>3560865.9412582992</v>
      </c>
      <c r="BV206" s="293">
        <f t="shared" si="1191"/>
        <v>3958694.5949987583</v>
      </c>
      <c r="BW206" s="391"/>
    </row>
    <row r="207" spans="1:75" x14ac:dyDescent="0.25">
      <c r="A207" s="200"/>
      <c r="B207" s="389"/>
      <c r="C207" s="390" t="s">
        <v>861</v>
      </c>
      <c r="D207" s="293">
        <f t="shared" ref="D207" si="1194">D206+D174+D179-D16-D18</f>
        <v>1302394.2100000002</v>
      </c>
      <c r="E207" s="293">
        <f>E206+E174+E179-E16-E18</f>
        <v>95617.900000000023</v>
      </c>
      <c r="F207" s="293">
        <f>F206+F174+F179-F16-F18</f>
        <v>94090.380000000121</v>
      </c>
      <c r="G207" s="293">
        <f>G206+G174+G179-G16-G18</f>
        <v>136460.58999999997</v>
      </c>
      <c r="H207" s="293">
        <f>H206+H174+H179-H16-H18</f>
        <v>123496.06000000006</v>
      </c>
      <c r="I207" s="293">
        <f t="shared" ref="I207:O207" si="1195">I206+I174+I179-I16-I18</f>
        <v>177317.04999999996</v>
      </c>
      <c r="J207" s="293">
        <f t="shared" si="1195"/>
        <v>171331.65</v>
      </c>
      <c r="K207" s="293">
        <f t="shared" si="1195"/>
        <v>173832.27000000002</v>
      </c>
      <c r="L207" s="293">
        <f t="shared" si="1195"/>
        <v>180578.22000000003</v>
      </c>
      <c r="M207" s="293">
        <f t="shared" si="1195"/>
        <v>170376.44999999987</v>
      </c>
      <c r="N207" s="293">
        <f t="shared" si="1195"/>
        <v>100955.66000000027</v>
      </c>
      <c r="O207" s="293">
        <f t="shared" si="1195"/>
        <v>196104.35999999987</v>
      </c>
      <c r="P207" s="293">
        <f>P206+P174+P179-P16-P18</f>
        <v>202493.47999999986</v>
      </c>
      <c r="Q207" s="293">
        <f>Q206+Q174+Q179-Q16-Q18</f>
        <v>95617.899999999965</v>
      </c>
      <c r="R207" s="293">
        <f>R206+R174+R179-R16-R18</f>
        <v>189708.27999999997</v>
      </c>
      <c r="S207" s="293">
        <f>S206+S174+S179-S16-S18</f>
        <v>326168.87000000005</v>
      </c>
      <c r="T207" s="293">
        <f>T206+T174+T179-T16-T18</f>
        <v>449664.92999999993</v>
      </c>
      <c r="U207" s="293">
        <f t="shared" ref="U207:AA207" si="1196">U206+U174+U179-U16-U18</f>
        <v>626981.9800000001</v>
      </c>
      <c r="V207" s="293">
        <f t="shared" si="1196"/>
        <v>798313.63000000024</v>
      </c>
      <c r="W207" s="293">
        <f t="shared" si="1196"/>
        <v>972145.89999999991</v>
      </c>
      <c r="X207" s="293">
        <f t="shared" si="1196"/>
        <v>1152724.1200000001</v>
      </c>
      <c r="Y207" s="293">
        <f t="shared" si="1196"/>
        <v>1323100.5700000005</v>
      </c>
      <c r="Z207" s="293">
        <f t="shared" si="1196"/>
        <v>1424056.2300000002</v>
      </c>
      <c r="AA207" s="293">
        <f t="shared" si="1196"/>
        <v>1620160.5900000003</v>
      </c>
      <c r="AB207" s="293">
        <f t="shared" ref="AB207" si="1197">AB206+AB174+AB179-AB16-AB18</f>
        <v>1822654.0699999998</v>
      </c>
      <c r="AC207" s="293">
        <f t="shared" ref="AC207:AH207" si="1198">AC206+AC174+AC179-AC16-AC18</f>
        <v>136133.29</v>
      </c>
      <c r="AD207" s="293">
        <f t="shared" si="1198"/>
        <v>260653.05999999997</v>
      </c>
      <c r="AE207" s="293">
        <f t="shared" si="1198"/>
        <v>374793.05</v>
      </c>
      <c r="AF207" s="293">
        <f t="shared" si="1198"/>
        <v>540248.7699999999</v>
      </c>
      <c r="AG207" s="293">
        <f t="shared" si="1198"/>
        <v>653164.04999999993</v>
      </c>
      <c r="AH207" s="293">
        <f t="shared" si="1198"/>
        <v>785868.34</v>
      </c>
      <c r="AI207" s="293">
        <f t="shared" ref="AI207:BV207" si="1199">AI206+AI174+AI179-AI16-AI18</f>
        <v>929147.49</v>
      </c>
      <c r="AJ207" s="293">
        <f t="shared" ref="AJ207:BQ207" si="1200">AJ206+AJ174+AJ179-AJ16-AJ18</f>
        <v>1060579.05</v>
      </c>
      <c r="AK207" s="293">
        <f t="shared" si="1200"/>
        <v>1230950.1099999999</v>
      </c>
      <c r="AL207" s="293">
        <f t="shared" si="1200"/>
        <v>1328168.6300000001</v>
      </c>
      <c r="AM207" s="293">
        <f t="shared" si="1200"/>
        <v>1538325.5700000003</v>
      </c>
      <c r="AN207" s="293">
        <f t="shared" si="1200"/>
        <v>1846668.1699999997</v>
      </c>
      <c r="AO207" s="391"/>
      <c r="AP207" s="391"/>
      <c r="AQ207" s="391"/>
      <c r="AR207" s="391"/>
      <c r="AS207" s="391"/>
      <c r="AT207" s="391"/>
      <c r="AU207" s="391"/>
      <c r="AV207" s="391"/>
      <c r="AW207" s="391"/>
      <c r="AX207" s="391"/>
      <c r="AY207" s="293">
        <f t="shared" ref="AY207:BJ207" si="1201">AY206+AY174+AY179-AY16-AY18</f>
        <v>427275.95304456545</v>
      </c>
      <c r="AZ207" s="293">
        <f t="shared" si="1201"/>
        <v>431053.26269278495</v>
      </c>
      <c r="BA207" s="293">
        <f t="shared" si="1201"/>
        <v>450241.04991568398</v>
      </c>
      <c r="BB207" s="293">
        <f t="shared" si="1201"/>
        <v>447934.24089585507</v>
      </c>
      <c r="BC207" s="293">
        <f t="shared" si="1201"/>
        <v>465933.89380996028</v>
      </c>
      <c r="BD207" s="293">
        <f t="shared" si="1201"/>
        <v>473313.19113572134</v>
      </c>
      <c r="BE207" s="293">
        <f t="shared" si="1201"/>
        <v>485661.76151512592</v>
      </c>
      <c r="BF207" s="293">
        <f t="shared" si="1201"/>
        <v>513167.91717048717</v>
      </c>
      <c r="BG207" s="293">
        <f t="shared" si="1201"/>
        <v>519863.71534263523</v>
      </c>
      <c r="BH207" s="293">
        <f t="shared" si="1201"/>
        <v>548784.70582486759</v>
      </c>
      <c r="BI207" s="293">
        <f t="shared" si="1201"/>
        <v>534711.29291061533</v>
      </c>
      <c r="BJ207" s="293">
        <f t="shared" si="1201"/>
        <v>555744.56674045522</v>
      </c>
      <c r="BK207" s="293">
        <f t="shared" si="1200"/>
        <v>427275.95304456545</v>
      </c>
      <c r="BL207" s="293">
        <f t="shared" si="1200"/>
        <v>858329.21573735063</v>
      </c>
      <c r="BM207" s="293">
        <f t="shared" si="1200"/>
        <v>1308570.2656530344</v>
      </c>
      <c r="BN207" s="293">
        <f t="shared" si="1200"/>
        <v>1756504.5065488892</v>
      </c>
      <c r="BO207" s="293">
        <f t="shared" si="1200"/>
        <v>2222438.4003588501</v>
      </c>
      <c r="BP207" s="293">
        <f t="shared" si="1200"/>
        <v>2695751.5914945714</v>
      </c>
      <c r="BQ207" s="293">
        <f t="shared" si="1200"/>
        <v>3181413.353009698</v>
      </c>
      <c r="BR207" s="293">
        <f t="shared" si="1199"/>
        <v>3694581.2701801844</v>
      </c>
      <c r="BS207" s="293">
        <f t="shared" si="1199"/>
        <v>4214444.9855228178</v>
      </c>
      <c r="BT207" s="293">
        <f t="shared" si="1199"/>
        <v>4763229.6913476866</v>
      </c>
      <c r="BU207" s="293">
        <f t="shared" si="1199"/>
        <v>5297940.9842582997</v>
      </c>
      <c r="BV207" s="293">
        <f t="shared" si="1199"/>
        <v>5853685.5509987585</v>
      </c>
      <c r="BW207" s="391"/>
    </row>
    <row r="208" spans="1:75" x14ac:dyDescent="0.25">
      <c r="A208" s="200"/>
      <c r="B208" s="382"/>
      <c r="C208" s="390" t="s">
        <v>862</v>
      </c>
      <c r="D208" s="293">
        <f t="shared" ref="D208" si="1202">D207-D20</f>
        <v>755689.87000000023</v>
      </c>
      <c r="E208" s="293">
        <f>E207-E20</f>
        <v>94978.570000000022</v>
      </c>
      <c r="F208" s="293">
        <f>F207-F20</f>
        <v>94729.710000000123</v>
      </c>
      <c r="G208" s="293">
        <f>G207-G20</f>
        <v>86980.619999999966</v>
      </c>
      <c r="H208" s="293">
        <f>H207-H20</f>
        <v>83853.71000000005</v>
      </c>
      <c r="I208" s="293">
        <f t="shared" ref="I208:O208" si="1203">I207-I20</f>
        <v>37875.529999999941</v>
      </c>
      <c r="J208" s="293">
        <f t="shared" si="1203"/>
        <v>62798.239999999976</v>
      </c>
      <c r="K208" s="293">
        <f t="shared" si="1203"/>
        <v>95824.100000000035</v>
      </c>
      <c r="L208" s="293">
        <f t="shared" si="1203"/>
        <v>170087.83000000002</v>
      </c>
      <c r="M208" s="293">
        <f t="shared" si="1203"/>
        <v>87463.199999999866</v>
      </c>
      <c r="N208" s="293">
        <f t="shared" si="1203"/>
        <v>-145322.05999999974</v>
      </c>
      <c r="O208" s="293">
        <f t="shared" si="1203"/>
        <v>409149.09999999986</v>
      </c>
      <c r="P208" s="293">
        <f>P207-P20</f>
        <v>190925.05999999988</v>
      </c>
      <c r="Q208" s="293">
        <f>Q207-Q20</f>
        <v>94978.569999999963</v>
      </c>
      <c r="R208" s="293">
        <f>R207-R20</f>
        <v>189708.27999999997</v>
      </c>
      <c r="S208" s="293">
        <f>S207-S20</f>
        <v>276688.90000000002</v>
      </c>
      <c r="T208" s="293">
        <f>T207-T20</f>
        <v>360542.60999999993</v>
      </c>
      <c r="U208" s="293">
        <f t="shared" ref="U208:AA208" si="1204">U207-U20</f>
        <v>398418.14000000013</v>
      </c>
      <c r="V208" s="293">
        <f t="shared" si="1204"/>
        <v>461216.38000000024</v>
      </c>
      <c r="W208" s="293">
        <f t="shared" si="1204"/>
        <v>557040.48</v>
      </c>
      <c r="X208" s="293">
        <f t="shared" si="1204"/>
        <v>727128.31</v>
      </c>
      <c r="Y208" s="293">
        <f t="shared" si="1204"/>
        <v>814591.51000000047</v>
      </c>
      <c r="Z208" s="293">
        <f t="shared" si="1204"/>
        <v>669269.45000000019</v>
      </c>
      <c r="AA208" s="293">
        <f t="shared" si="1204"/>
        <v>1078418.5500000003</v>
      </c>
      <c r="AB208" s="293">
        <f t="shared" ref="AB208" si="1205">AB207-AB20</f>
        <v>1269343.6099999999</v>
      </c>
      <c r="AC208" s="293">
        <f t="shared" ref="AC208:AH208" si="1206">AC207-AC20</f>
        <v>92853.050000000017</v>
      </c>
      <c r="AD208" s="293">
        <f t="shared" si="1206"/>
        <v>89822.689999999973</v>
      </c>
      <c r="AE208" s="293">
        <f t="shared" si="1206"/>
        <v>257890.94999999998</v>
      </c>
      <c r="AF208" s="293">
        <f t="shared" si="1206"/>
        <v>397251.08999999991</v>
      </c>
      <c r="AG208" s="293">
        <f t="shared" si="1206"/>
        <v>463074.66999999993</v>
      </c>
      <c r="AH208" s="293">
        <f t="shared" si="1206"/>
        <v>412727.29999999993</v>
      </c>
      <c r="AI208" s="293">
        <f t="shared" ref="AI208:BV208" si="1207">AI207-AI20</f>
        <v>658639.36999999988</v>
      </c>
      <c r="AJ208" s="293">
        <f t="shared" ref="AJ208:BQ208" si="1208">AJ207-AJ20</f>
        <v>508251.79000000004</v>
      </c>
      <c r="AK208" s="293">
        <f t="shared" si="1208"/>
        <v>365978.6</v>
      </c>
      <c r="AL208" s="293">
        <f t="shared" si="1208"/>
        <v>176712.43999999994</v>
      </c>
      <c r="AM208" s="293">
        <f t="shared" si="1208"/>
        <v>407737.36000000034</v>
      </c>
      <c r="AN208" s="293">
        <f t="shared" si="1208"/>
        <v>949685.55999999971</v>
      </c>
      <c r="AO208" s="391"/>
      <c r="AP208" s="391"/>
      <c r="AQ208" s="391"/>
      <c r="AR208" s="391"/>
      <c r="AS208" s="391"/>
      <c r="AT208" s="391"/>
      <c r="AU208" s="391"/>
      <c r="AV208" s="391"/>
      <c r="AW208" s="391"/>
      <c r="AX208" s="391"/>
      <c r="AY208" s="293">
        <f t="shared" ref="AY208:BJ208" si="1209">AY207-AY20</f>
        <v>306514.75711179804</v>
      </c>
      <c r="AZ208" s="293">
        <f t="shared" si="1209"/>
        <v>311961.66648862942</v>
      </c>
      <c r="BA208" s="293">
        <f t="shared" si="1209"/>
        <v>333718.59518554411</v>
      </c>
      <c r="BB208" s="293">
        <f t="shared" si="1209"/>
        <v>337641.11624990101</v>
      </c>
      <c r="BC208" s="293">
        <f t="shared" si="1209"/>
        <v>352494.18694248254</v>
      </c>
      <c r="BD208" s="293">
        <f t="shared" si="1209"/>
        <v>360867.4626082101</v>
      </c>
      <c r="BE208" s="293">
        <f t="shared" si="1209"/>
        <v>374746.62633440818</v>
      </c>
      <c r="BF208" s="293">
        <f t="shared" si="1209"/>
        <v>430658.81352600513</v>
      </c>
      <c r="BG208" s="293">
        <f t="shared" si="1209"/>
        <v>453490.52862329059</v>
      </c>
      <c r="BH208" s="293">
        <f t="shared" si="1209"/>
        <v>509439.58536721207</v>
      </c>
      <c r="BI208" s="293">
        <f t="shared" si="1209"/>
        <v>507988.8052377745</v>
      </c>
      <c r="BJ208" s="293">
        <f t="shared" si="1209"/>
        <v>521800.39408139244</v>
      </c>
      <c r="BK208" s="293">
        <f t="shared" si="1208"/>
        <v>305962.89711179805</v>
      </c>
      <c r="BL208" s="293">
        <f t="shared" si="1208"/>
        <v>617372.70360042772</v>
      </c>
      <c r="BM208" s="293">
        <f t="shared" si="1208"/>
        <v>950539.43878597161</v>
      </c>
      <c r="BN208" s="293">
        <f t="shared" si="1208"/>
        <v>1287628.6950358723</v>
      </c>
      <c r="BO208" s="293">
        <f t="shared" si="1208"/>
        <v>1639571.0219783555</v>
      </c>
      <c r="BP208" s="293">
        <f t="shared" si="1208"/>
        <v>1999886.6245865657</v>
      </c>
      <c r="BQ208" s="293">
        <f t="shared" si="1208"/>
        <v>2374081.3909209743</v>
      </c>
      <c r="BR208" s="293">
        <f t="shared" si="1207"/>
        <v>2804188.344446979</v>
      </c>
      <c r="BS208" s="293">
        <f t="shared" si="1207"/>
        <v>3257127.0130702676</v>
      </c>
      <c r="BT208" s="293">
        <f t="shared" si="1207"/>
        <v>3766014.7384374808</v>
      </c>
      <c r="BU208" s="293">
        <f t="shared" si="1207"/>
        <v>4273451.6836752528</v>
      </c>
      <c r="BV208" s="293">
        <f t="shared" si="1207"/>
        <v>4794700.2177566495</v>
      </c>
      <c r="BW208" s="391"/>
    </row>
    <row r="209" spans="1:75" x14ac:dyDescent="0.25">
      <c r="A209" s="200"/>
      <c r="B209" s="382"/>
      <c r="C209" s="390" t="s">
        <v>863</v>
      </c>
      <c r="D209" s="293">
        <f t="shared" ref="D209" si="1210">D208-D30</f>
        <v>-2139618.09</v>
      </c>
      <c r="E209" s="293">
        <f>E208-E30</f>
        <v>-100162.23</v>
      </c>
      <c r="F209" s="293">
        <f>F208-F30</f>
        <v>-92949.639999999883</v>
      </c>
      <c r="G209" s="293">
        <f>G208-G30</f>
        <v>-98979.770000000048</v>
      </c>
      <c r="H209" s="293">
        <f>H208-H30</f>
        <v>-111601.41999999995</v>
      </c>
      <c r="I209" s="293">
        <f t="shared" ref="I209:O209" si="1211">I208-I30</f>
        <v>-175326.75000000006</v>
      </c>
      <c r="J209" s="293">
        <f t="shared" si="1211"/>
        <v>-131572.5</v>
      </c>
      <c r="K209" s="293">
        <f t="shared" si="1211"/>
        <v>-105224.49999999994</v>
      </c>
      <c r="L209" s="293">
        <f t="shared" si="1211"/>
        <v>-50121.310000000027</v>
      </c>
      <c r="M209" s="293">
        <f t="shared" si="1211"/>
        <v>-112080.00000000012</v>
      </c>
      <c r="N209" s="293">
        <f t="shared" si="1211"/>
        <v>-356854.46999999974</v>
      </c>
      <c r="O209" s="293">
        <f t="shared" si="1211"/>
        <v>188229.21999999991</v>
      </c>
      <c r="P209" s="293">
        <f>P208-P30</f>
        <v>18511.929999999877</v>
      </c>
      <c r="Q209" s="293">
        <f>Q208-Q30</f>
        <v>-100162.23000000003</v>
      </c>
      <c r="R209" s="293">
        <f>R208-R30</f>
        <v>-193111.87000000005</v>
      </c>
      <c r="S209" s="293">
        <f>S208-S30</f>
        <v>-292091.64</v>
      </c>
      <c r="T209" s="293">
        <f>T208-T30</f>
        <v>-403693.06000000011</v>
      </c>
      <c r="U209" s="293">
        <f t="shared" ref="U209:AA209" si="1212">U208-U30</f>
        <v>-579019.80999999982</v>
      </c>
      <c r="V209" s="293">
        <f t="shared" si="1212"/>
        <v>-710592.30999999971</v>
      </c>
      <c r="W209" s="293">
        <f t="shared" si="1212"/>
        <v>-815816.81</v>
      </c>
      <c r="X209" s="293">
        <f t="shared" si="1212"/>
        <v>-865938.11999999988</v>
      </c>
      <c r="Y209" s="293">
        <f t="shared" si="1212"/>
        <v>-978018.11999999941</v>
      </c>
      <c r="Z209" s="293">
        <f t="shared" si="1212"/>
        <v>-1334872.5899999999</v>
      </c>
      <c r="AA209" s="293">
        <f t="shared" si="1212"/>
        <v>-1146643.3699999996</v>
      </c>
      <c r="AB209" s="293">
        <f t="shared" ref="AB209" si="1213">AB208-AB30</f>
        <v>-1128131.44</v>
      </c>
      <c r="AC209" s="293">
        <f t="shared" ref="AC209:AH209" si="1214">AC208-AC30</f>
        <v>-112193.84999999998</v>
      </c>
      <c r="AD209" s="293">
        <f t="shared" si="1214"/>
        <v>-334031.82000000007</v>
      </c>
      <c r="AE209" s="293">
        <f t="shared" si="1214"/>
        <v>-365193.83000000007</v>
      </c>
      <c r="AF209" s="293">
        <f t="shared" si="1214"/>
        <v>-441045.35000000003</v>
      </c>
      <c r="AG209" s="293">
        <f t="shared" si="1214"/>
        <v>-599767.70000000019</v>
      </c>
      <c r="AH209" s="293">
        <f t="shared" si="1214"/>
        <v>-893653.15</v>
      </c>
      <c r="AI209" s="293">
        <f t="shared" ref="AI209:BV209" si="1215">AI208-AI30</f>
        <v>-894237.66000000015</v>
      </c>
      <c r="AJ209" s="293">
        <f t="shared" ref="AJ209:BQ209" si="1216">AJ208-AJ30</f>
        <v>-1301873.1599999999</v>
      </c>
      <c r="AK209" s="293">
        <f t="shared" si="1216"/>
        <v>-1701720.02</v>
      </c>
      <c r="AL209" s="293">
        <f t="shared" si="1216"/>
        <v>-2196551.09</v>
      </c>
      <c r="AM209" s="293">
        <f t="shared" si="1216"/>
        <v>-2258598.9799999995</v>
      </c>
      <c r="AN209" s="293">
        <f t="shared" si="1216"/>
        <v>-2135854.4100000006</v>
      </c>
      <c r="AO209" s="391"/>
      <c r="AP209" s="391"/>
      <c r="AQ209" s="391"/>
      <c r="AR209" s="391"/>
      <c r="AS209" s="391"/>
      <c r="AT209" s="391"/>
      <c r="AU209" s="391"/>
      <c r="AV209" s="391"/>
      <c r="AW209" s="391"/>
      <c r="AX209" s="391"/>
      <c r="AY209" s="293">
        <f t="shared" ref="AY209:BJ209" si="1217">AY208-AY30</f>
        <v>-17215.333071535337</v>
      </c>
      <c r="AZ209" s="293">
        <f t="shared" si="1217"/>
        <v>-11768.423694703961</v>
      </c>
      <c r="BA209" s="293">
        <f t="shared" si="1217"/>
        <v>9988.5050022107316</v>
      </c>
      <c r="BB209" s="293">
        <f t="shared" si="1217"/>
        <v>30444.25886656763</v>
      </c>
      <c r="BC209" s="293">
        <f t="shared" si="1217"/>
        <v>45297.329559149162</v>
      </c>
      <c r="BD209" s="293">
        <f t="shared" si="1217"/>
        <v>53670.605224876723</v>
      </c>
      <c r="BE209" s="293">
        <f t="shared" si="1217"/>
        <v>67549.768951074802</v>
      </c>
      <c r="BF209" s="293">
        <f t="shared" si="1217"/>
        <v>123461.95614267176</v>
      </c>
      <c r="BG209" s="293">
        <f t="shared" si="1217"/>
        <v>146293.67123995721</v>
      </c>
      <c r="BH209" s="293">
        <f t="shared" si="1217"/>
        <v>202242.72798387869</v>
      </c>
      <c r="BI209" s="293">
        <f t="shared" si="1217"/>
        <v>200791.94785444112</v>
      </c>
      <c r="BJ209" s="293">
        <f t="shared" si="1217"/>
        <v>214603.53669805906</v>
      </c>
      <c r="BK209" s="293">
        <f t="shared" si="1216"/>
        <v>-16752.563671535288</v>
      </c>
      <c r="BL209" s="293">
        <f t="shared" si="1216"/>
        <v>-28058.217966238968</v>
      </c>
      <c r="BM209" s="293">
        <f t="shared" si="1216"/>
        <v>-17606.943564028479</v>
      </c>
      <c r="BN209" s="293">
        <f t="shared" si="1216"/>
        <v>9973.3482025389094</v>
      </c>
      <c r="BO209" s="293">
        <f t="shared" si="1216"/>
        <v>52406.71066168882</v>
      </c>
      <c r="BP209" s="293">
        <f t="shared" si="1216"/>
        <v>103213.34878656524</v>
      </c>
      <c r="BQ209" s="293">
        <f t="shared" si="1216"/>
        <v>167899.15063764062</v>
      </c>
      <c r="BR209" s="293">
        <f t="shared" si="1215"/>
        <v>288497.13968031202</v>
      </c>
      <c r="BS209" s="293">
        <f t="shared" si="1215"/>
        <v>431926.84382026689</v>
      </c>
      <c r="BT209" s="293">
        <f t="shared" si="1215"/>
        <v>631305.60470414674</v>
      </c>
      <c r="BU209" s="293">
        <f t="shared" si="1215"/>
        <v>829233.58545858553</v>
      </c>
      <c r="BV209" s="293">
        <f t="shared" si="1215"/>
        <v>1040973.1550566489</v>
      </c>
      <c r="BW209" s="391"/>
    </row>
    <row r="210" spans="1:75" x14ac:dyDescent="0.25">
      <c r="A210" s="200"/>
      <c r="B210" s="392"/>
      <c r="C210" s="391" t="s">
        <v>864</v>
      </c>
      <c r="D210" s="293">
        <f t="shared" ref="D210" si="1218">D209+D188-D136</f>
        <v>-2008166.7799999998</v>
      </c>
      <c r="E210" s="293">
        <f>E209+E188-E136</f>
        <v>-94930.7</v>
      </c>
      <c r="F210" s="293">
        <f>F209+F188-F136</f>
        <v>-39211.949999999881</v>
      </c>
      <c r="G210" s="293">
        <f>G209+G188-G136</f>
        <v>-83795.670000000042</v>
      </c>
      <c r="H210" s="293">
        <f>H209+H188-H136</f>
        <v>-44242.579999999973</v>
      </c>
      <c r="I210" s="293">
        <f t="shared" ref="I210:O210" si="1219">I209+I188-I136</f>
        <v>-166016.50000000006</v>
      </c>
      <c r="J210" s="293">
        <f t="shared" si="1219"/>
        <v>-121874.50999999998</v>
      </c>
      <c r="K210" s="293">
        <f t="shared" si="1219"/>
        <v>-105305.81999999995</v>
      </c>
      <c r="L210" s="293">
        <f t="shared" si="1219"/>
        <v>-22324.100000000035</v>
      </c>
      <c r="M210" s="293">
        <f t="shared" si="1219"/>
        <v>-118779.8900000001</v>
      </c>
      <c r="N210" s="293">
        <f t="shared" si="1219"/>
        <v>-336757.46999999974</v>
      </c>
      <c r="O210" s="293">
        <f t="shared" si="1219"/>
        <v>229901.03999999989</v>
      </c>
      <c r="P210" s="293">
        <f>P209+P188-P136</f>
        <v>83054.839999999909</v>
      </c>
      <c r="Q210" s="293">
        <f>Q209+Q188-Q136</f>
        <v>-94930.700000000026</v>
      </c>
      <c r="R210" s="293">
        <f>R209+R188-R136</f>
        <v>-134142.65000000008</v>
      </c>
      <c r="S210" s="293">
        <f>S209+S188-S136</f>
        <v>-217938.32</v>
      </c>
      <c r="T210" s="293">
        <f>T209+T188-T136</f>
        <v>-262180.90000000014</v>
      </c>
      <c r="U210" s="293">
        <f t="shared" ref="U210:AA210" si="1220">U209+U188-U136</f>
        <v>-428197.39999999985</v>
      </c>
      <c r="V210" s="293">
        <f t="shared" si="1220"/>
        <v>-550071.90999999968</v>
      </c>
      <c r="W210" s="293">
        <f t="shared" si="1220"/>
        <v>-655377.7300000001</v>
      </c>
      <c r="X210" s="293">
        <f t="shared" si="1220"/>
        <v>-677701.83</v>
      </c>
      <c r="Y210" s="293">
        <f t="shared" si="1220"/>
        <v>-796481.71999999939</v>
      </c>
      <c r="Z210" s="293">
        <f t="shared" si="1220"/>
        <v>-1133239.1899999997</v>
      </c>
      <c r="AA210" s="293">
        <f t="shared" si="1220"/>
        <v>-903338.14999999967</v>
      </c>
      <c r="AB210" s="293">
        <f t="shared" ref="AB210" si="1221">AB209+AB188-AB136</f>
        <v>-820283.30999999994</v>
      </c>
      <c r="AC210" s="293">
        <f t="shared" ref="AC210:AH210" si="1222">AC209+AC188-AC136</f>
        <v>-35714.549999999974</v>
      </c>
      <c r="AD210" s="293">
        <f t="shared" si="1222"/>
        <v>-220642.21000000008</v>
      </c>
      <c r="AE210" s="293">
        <f t="shared" si="1222"/>
        <v>-210552.53000000009</v>
      </c>
      <c r="AF210" s="293">
        <f t="shared" si="1222"/>
        <v>-253802.14000000004</v>
      </c>
      <c r="AG210" s="293">
        <f t="shared" si="1222"/>
        <v>-368517.38000000018</v>
      </c>
      <c r="AH210" s="293">
        <f t="shared" si="1222"/>
        <v>-616785.3600000001</v>
      </c>
      <c r="AI210" s="293">
        <f t="shared" ref="AI210:BV210" si="1223">AI209+AI188-AI136</f>
        <v>-574909.42000000016</v>
      </c>
      <c r="AJ210" s="293">
        <f t="shared" ref="AJ210:BQ210" si="1224">AJ209+AJ188-AJ136</f>
        <v>-937951.12999999989</v>
      </c>
      <c r="AK210" s="293">
        <f t="shared" si="1224"/>
        <v>-1300713.26</v>
      </c>
      <c r="AL210" s="293">
        <f t="shared" si="1224"/>
        <v>-1752939.8699999999</v>
      </c>
      <c r="AM210" s="293">
        <f t="shared" si="1224"/>
        <v>-1752799.2699999996</v>
      </c>
      <c r="AN210" s="293">
        <f t="shared" si="1224"/>
        <v>-1496510.0200000005</v>
      </c>
      <c r="AO210" s="391"/>
      <c r="AP210" s="391"/>
      <c r="AQ210" s="391"/>
      <c r="AR210" s="391"/>
      <c r="AS210" s="391"/>
      <c r="AT210" s="391"/>
      <c r="AU210" s="391"/>
      <c r="AV210" s="391"/>
      <c r="AW210" s="391"/>
      <c r="AX210" s="391"/>
      <c r="AY210" s="293">
        <f t="shared" ref="AY210:BJ210" si="1225">AY209+AY188-AY136</f>
        <v>45154.079792122997</v>
      </c>
      <c r="AZ210" s="293">
        <f t="shared" si="1225"/>
        <v>56553.398436129355</v>
      </c>
      <c r="BA210" s="293">
        <f t="shared" si="1225"/>
        <v>84074.710243735724</v>
      </c>
      <c r="BB210" s="293">
        <f t="shared" si="1225"/>
        <v>109858.14315430097</v>
      </c>
      <c r="BC210" s="293">
        <f t="shared" si="1225"/>
        <v>130252.56080860748</v>
      </c>
      <c r="BD210" s="293">
        <f t="shared" si="1225"/>
        <v>144096.17832757672</v>
      </c>
      <c r="BE210" s="293">
        <f t="shared" si="1225"/>
        <v>163334.03698253311</v>
      </c>
      <c r="BF210" s="293">
        <f t="shared" si="1225"/>
        <v>224495.14497040509</v>
      </c>
      <c r="BG210" s="293">
        <f t="shared" si="1225"/>
        <v>252445.82227548223</v>
      </c>
      <c r="BH210" s="293">
        <f t="shared" si="1225"/>
        <v>313330.79527471203</v>
      </c>
      <c r="BI210" s="293">
        <f t="shared" si="1225"/>
        <v>316776.02714809944</v>
      </c>
      <c r="BJ210" s="293">
        <f t="shared" si="1225"/>
        <v>335383.16138605907</v>
      </c>
      <c r="BK210" s="293">
        <f t="shared" si="1224"/>
        <v>45616.849192123045</v>
      </c>
      <c r="BL210" s="293">
        <f t="shared" si="1224"/>
        <v>102633.01702825268</v>
      </c>
      <c r="BM210" s="293">
        <f t="shared" si="1224"/>
        <v>187170.49667198816</v>
      </c>
      <c r="BN210" s="293">
        <f t="shared" si="1224"/>
        <v>294164.6727262889</v>
      </c>
      <c r="BO210" s="293">
        <f t="shared" si="1224"/>
        <v>421553.26643489714</v>
      </c>
      <c r="BP210" s="293">
        <f t="shared" si="1224"/>
        <v>562785.47766247357</v>
      </c>
      <c r="BQ210" s="293">
        <f t="shared" si="1224"/>
        <v>723255.5475450072</v>
      </c>
      <c r="BR210" s="293">
        <f t="shared" si="1223"/>
        <v>944886.72541541187</v>
      </c>
      <c r="BS210" s="293">
        <f t="shared" si="1223"/>
        <v>1194468.5805908917</v>
      </c>
      <c r="BT210" s="293">
        <f t="shared" si="1223"/>
        <v>1504935.408765605</v>
      </c>
      <c r="BU210" s="293">
        <f t="shared" si="1223"/>
        <v>1818847.468813702</v>
      </c>
      <c r="BV210" s="293">
        <f t="shared" si="1223"/>
        <v>2151366.6630997658</v>
      </c>
      <c r="BW210" s="391"/>
    </row>
    <row r="211" spans="1:75" x14ac:dyDescent="0.25">
      <c r="A211" s="200"/>
      <c r="B211" s="392"/>
      <c r="C211" s="391" t="s">
        <v>865</v>
      </c>
      <c r="D211" s="293">
        <f t="shared" ref="D211" si="1226">D210+D190-D139</f>
        <v>-1126730.8199999998</v>
      </c>
      <c r="E211" s="293">
        <f>E210+E190-E139</f>
        <v>-76637.84</v>
      </c>
      <c r="F211" s="293">
        <f>F210+F190-F139</f>
        <v>4559.4400000001187</v>
      </c>
      <c r="G211" s="293">
        <f>G210+G190-G139</f>
        <v>-43748.690000000031</v>
      </c>
      <c r="H211" s="293">
        <f>H210+H190-H139</f>
        <v>295403.44</v>
      </c>
      <c r="I211" s="293">
        <f t="shared" ref="I211:O211" si="1227">I210+I190-I139</f>
        <v>-132838.30000000005</v>
      </c>
      <c r="J211" s="293">
        <f t="shared" si="1227"/>
        <v>-93823.809999999969</v>
      </c>
      <c r="K211" s="293">
        <f t="shared" si="1227"/>
        <v>-61678.28999999995</v>
      </c>
      <c r="L211" s="293">
        <f t="shared" si="1227"/>
        <v>-4952.2900000000336</v>
      </c>
      <c r="M211" s="293">
        <f t="shared" si="1227"/>
        <v>-72610.510000000097</v>
      </c>
      <c r="N211" s="293">
        <f t="shared" si="1227"/>
        <v>-321810.69999999972</v>
      </c>
      <c r="O211" s="293">
        <f t="shared" si="1227"/>
        <v>282927.2699999999</v>
      </c>
      <c r="P211" s="293">
        <f>P210+P190-P139</f>
        <v>287664.36999999988</v>
      </c>
      <c r="Q211" s="293">
        <f>Q210+Q190-Q139</f>
        <v>-76637.840000000026</v>
      </c>
      <c r="R211" s="293">
        <f>R210+R190-R139</f>
        <v>-72078.400000000081</v>
      </c>
      <c r="S211" s="293">
        <f>S210+S190-S139</f>
        <v>-115827.09000000001</v>
      </c>
      <c r="T211" s="293">
        <f>T210+T190-T139</f>
        <v>179576.34999999986</v>
      </c>
      <c r="U211" s="293">
        <f t="shared" ref="U211:AA211" si="1228">U210+U190-U139</f>
        <v>46738.050000000163</v>
      </c>
      <c r="V211" s="293">
        <f t="shared" si="1228"/>
        <v>-47085.75999999966</v>
      </c>
      <c r="W211" s="293" t="e">
        <f t="shared" si="1228"/>
        <v>#REF!</v>
      </c>
      <c r="X211" s="293" t="e">
        <f t="shared" si="1228"/>
        <v>#REF!</v>
      </c>
      <c r="Y211" s="293">
        <f t="shared" si="1228"/>
        <v>-186326.84999999939</v>
      </c>
      <c r="Z211" s="293">
        <f t="shared" si="1228"/>
        <v>-508137.5499999997</v>
      </c>
      <c r="AA211" s="293">
        <f t="shared" si="1228"/>
        <v>-225210.27999999968</v>
      </c>
      <c r="AB211" s="293">
        <f t="shared" ref="AB211" si="1229">AB210+AB190-AB139</f>
        <v>62454.090000000084</v>
      </c>
      <c r="AC211" s="293">
        <f t="shared" ref="AC211:AH211" si="1230">AC210+AC190-AC139</f>
        <v>5739.600000000024</v>
      </c>
      <c r="AD211" s="293">
        <f t="shared" si="1230"/>
        <v>-154554.11000000004</v>
      </c>
      <c r="AE211" s="293">
        <f t="shared" si="1230"/>
        <v>-137360.2300000001</v>
      </c>
      <c r="AF211" s="293">
        <f t="shared" si="1230"/>
        <v>-158549.19000000003</v>
      </c>
      <c r="AG211" s="293">
        <f t="shared" si="1230"/>
        <v>-243147.24000000019</v>
      </c>
      <c r="AH211" s="293">
        <f t="shared" si="1230"/>
        <v>-472426.05000000005</v>
      </c>
      <c r="AI211" s="293">
        <f t="shared" ref="AI211:BV211" si="1231">AI210+AI190-AI139</f>
        <v>-376838.75000000012</v>
      </c>
      <c r="AJ211" s="293">
        <f t="shared" ref="AJ211:BQ211" si="1232">AJ210+AJ190-AJ139</f>
        <v>-723144.7699999999</v>
      </c>
      <c r="AK211" s="293">
        <f t="shared" si="1232"/>
        <v>-1058533.82</v>
      </c>
      <c r="AL211" s="293">
        <f t="shared" si="1232"/>
        <v>-1499264.11</v>
      </c>
      <c r="AM211" s="293">
        <f t="shared" si="1232"/>
        <v>-1488540.6599999997</v>
      </c>
      <c r="AN211" s="293">
        <f t="shared" si="1232"/>
        <v>-1036986.7100000005</v>
      </c>
      <c r="AO211" s="391"/>
      <c r="AP211" s="391"/>
      <c r="AQ211" s="391"/>
      <c r="AR211" s="391"/>
      <c r="AS211" s="391"/>
      <c r="AT211" s="391"/>
      <c r="AU211" s="391"/>
      <c r="AV211" s="391"/>
      <c r="AW211" s="391"/>
      <c r="AX211" s="391"/>
      <c r="AY211" s="293">
        <f t="shared" ref="AY211:BJ211" si="1233">AY210+AY190-AY139</f>
        <v>55014.052958789645</v>
      </c>
      <c r="AZ211" s="293">
        <f t="shared" si="1233"/>
        <v>66413.371602796004</v>
      </c>
      <c r="BA211" s="293">
        <f t="shared" si="1233"/>
        <v>163934.67941040237</v>
      </c>
      <c r="BB211" s="293">
        <f t="shared" si="1233"/>
        <v>189718.1123209676</v>
      </c>
      <c r="BC211" s="293">
        <f t="shared" si="1233"/>
        <v>210112.52997527411</v>
      </c>
      <c r="BD211" s="293">
        <f t="shared" si="1233"/>
        <v>223956.14749424337</v>
      </c>
      <c r="BE211" s="293">
        <f t="shared" si="1233"/>
        <v>243194.00614919979</v>
      </c>
      <c r="BF211" s="293">
        <f t="shared" si="1233"/>
        <v>304355.11413707177</v>
      </c>
      <c r="BG211" s="293">
        <f t="shared" si="1233"/>
        <v>267862.56544214889</v>
      </c>
      <c r="BH211" s="293">
        <f t="shared" si="1233"/>
        <v>328747.53844137868</v>
      </c>
      <c r="BI211" s="293">
        <f t="shared" si="1233"/>
        <v>342192.77031476615</v>
      </c>
      <c r="BJ211" s="293">
        <f t="shared" si="1233"/>
        <v>310799.90455272578</v>
      </c>
      <c r="BK211" s="293">
        <f t="shared" si="1232"/>
        <v>55476.822358789694</v>
      </c>
      <c r="BL211" s="293">
        <f t="shared" si="1232"/>
        <v>122352.96336158595</v>
      </c>
      <c r="BM211" s="293">
        <f t="shared" si="1232"/>
        <v>286750.41217198817</v>
      </c>
      <c r="BN211" s="293">
        <f t="shared" si="1232"/>
        <v>473604.55739295552</v>
      </c>
      <c r="BO211" s="293">
        <f t="shared" si="1232"/>
        <v>679548.77026823047</v>
      </c>
      <c r="BP211" s="293">
        <f t="shared" si="1232"/>
        <v>900640.95066247368</v>
      </c>
      <c r="BQ211" s="293">
        <f t="shared" si="1232"/>
        <v>1140970.9897116735</v>
      </c>
      <c r="BR211" s="293">
        <f t="shared" si="1231"/>
        <v>1435357.306748745</v>
      </c>
      <c r="BS211" s="293">
        <f t="shared" si="1231"/>
        <v>1700355.9050908915</v>
      </c>
      <c r="BT211" s="293">
        <f t="shared" si="1231"/>
        <v>2026239.4764322713</v>
      </c>
      <c r="BU211" s="293">
        <f t="shared" si="1231"/>
        <v>2365568.2796470351</v>
      </c>
      <c r="BV211" s="293">
        <f t="shared" si="1231"/>
        <v>2673504.2170997653</v>
      </c>
      <c r="BW211" s="391"/>
    </row>
    <row r="212" spans="1:75" x14ac:dyDescent="0.25">
      <c r="A212" s="200"/>
      <c r="B212" s="382"/>
      <c r="C212" s="390" t="s">
        <v>866</v>
      </c>
      <c r="D212" s="387">
        <f t="shared" ref="D212" si="1234">D31/D207</f>
        <v>1.0767576508191017</v>
      </c>
      <c r="E212" s="387">
        <f>E31/E207</f>
        <v>1.0499457737515672</v>
      </c>
      <c r="F212" s="387">
        <f>F31/F207</f>
        <v>0.99216434241204987</v>
      </c>
      <c r="G212" s="387">
        <f>G31/G207</f>
        <v>0.62415815437995714</v>
      </c>
      <c r="H212" s="387">
        <f>H31/H207</f>
        <v>0.73161726778975744</v>
      </c>
      <c r="I212" s="387">
        <f t="shared" ref="I212:O212" si="1235">I31/I207</f>
        <v>0.50303510012150565</v>
      </c>
      <c r="J212" s="387">
        <f t="shared" si="1235"/>
        <v>0.51044112398380548</v>
      </c>
      <c r="K212" s="387">
        <f t="shared" si="1235"/>
        <v>0.49367680695880001</v>
      </c>
      <c r="L212" s="387">
        <f t="shared" si="1235"/>
        <v>0.53088462163377159</v>
      </c>
      <c r="M212" s="387">
        <f t="shared" si="1235"/>
        <v>0.5279010684868719</v>
      </c>
      <c r="N212" s="387">
        <f t="shared" si="1235"/>
        <v>0.99556557799730805</v>
      </c>
      <c r="O212" s="387">
        <f t="shared" si="1235"/>
        <v>0.51236091844158915</v>
      </c>
      <c r="P212" s="387">
        <f>P31/P207</f>
        <v>0.52923299061283413</v>
      </c>
      <c r="Q212" s="387">
        <f>Q31/Q207</f>
        <v>1.0499457737515678</v>
      </c>
      <c r="R212" s="387">
        <f>R31/R207</f>
        <v>1.0212876844384444</v>
      </c>
      <c r="S212" s="387">
        <f>S31/S207</f>
        <v>0.85513899594403331</v>
      </c>
      <c r="T212" s="387">
        <f>T31/T207</f>
        <v>0.82121496555223927</v>
      </c>
      <c r="U212" s="387">
        <f t="shared" ref="U212:AA212" si="1236">U31/U207</f>
        <v>0.73123037762584497</v>
      </c>
      <c r="V212" s="387">
        <f t="shared" si="1236"/>
        <v>0.68384525765894766</v>
      </c>
      <c r="W212" s="387">
        <f t="shared" si="1236"/>
        <v>0.64984067720699124</v>
      </c>
      <c r="X212" s="387">
        <f t="shared" si="1236"/>
        <v>0.63120579970166668</v>
      </c>
      <c r="Y212" s="387">
        <f t="shared" si="1236"/>
        <v>0.61790318781285059</v>
      </c>
      <c r="Z212" s="387">
        <f t="shared" si="1236"/>
        <v>0.64467681869556503</v>
      </c>
      <c r="AA212" s="387">
        <f t="shared" si="1236"/>
        <v>0.62866129215005762</v>
      </c>
      <c r="AB212" s="387">
        <f t="shared" ref="AB212" si="1237">AB31/AB207</f>
        <v>0.6176149926244644</v>
      </c>
      <c r="AC212" s="387">
        <f t="shared" ref="AC212:AH212" si="1238">AC31/AC207</f>
        <v>0.67205493968448127</v>
      </c>
      <c r="AD212" s="387">
        <f t="shared" si="1238"/>
        <v>0.76601682711877628</v>
      </c>
      <c r="AE212" s="387">
        <f t="shared" si="1238"/>
        <v>0.76369772598504693</v>
      </c>
      <c r="AF212" s="387">
        <f t="shared" si="1238"/>
        <v>0.70643537050533234</v>
      </c>
      <c r="AG212" s="387">
        <f t="shared" si="1238"/>
        <v>0.71735653546762113</v>
      </c>
      <c r="AH212" s="387">
        <f t="shared" si="1238"/>
        <v>0.71598530104928271</v>
      </c>
      <c r="AI212" s="387">
        <f t="shared" ref="AI212:BV212" si="1239">AI31/AI207</f>
        <v>0.71260482014540016</v>
      </c>
      <c r="AJ212" s="387">
        <f t="shared" ref="AJ212:BQ212" si="1240">AJ31/AJ207</f>
        <v>0.71881917712781529</v>
      </c>
      <c r="AK212" s="387">
        <f t="shared" si="1240"/>
        <v>0.7095610885480973</v>
      </c>
      <c r="AL212" s="387">
        <f t="shared" si="1240"/>
        <v>0.76451281641849944</v>
      </c>
      <c r="AM212" s="387">
        <f t="shared" si="1240"/>
        <v>0.75252206202358041</v>
      </c>
      <c r="AN212" s="387">
        <f t="shared" si="1240"/>
        <v>0.73938771035404816</v>
      </c>
      <c r="AO212" s="388"/>
      <c r="AP212" s="388"/>
      <c r="AQ212" s="388"/>
      <c r="AR212" s="388"/>
      <c r="AS212" s="388"/>
      <c r="AT212" s="388"/>
      <c r="AU212" s="388"/>
      <c r="AV212" s="388"/>
      <c r="AW212" s="388"/>
      <c r="AX212" s="388"/>
      <c r="AY212" s="387">
        <f t="shared" ref="AY212:BJ212" si="1241">AY31/AY207</f>
        <v>0.34825057235196216</v>
      </c>
      <c r="AZ212" s="387">
        <f t="shared" si="1241"/>
        <v>0.34519886074044248</v>
      </c>
      <c r="BA212" s="387">
        <f t="shared" si="1241"/>
        <v>0.33048762485754118</v>
      </c>
      <c r="BB212" s="387">
        <f t="shared" si="1241"/>
        <v>0.29527964224273689</v>
      </c>
      <c r="BC212" s="387">
        <f t="shared" si="1241"/>
        <v>0.28387259256556058</v>
      </c>
      <c r="BD212" s="387">
        <f t="shared" si="1241"/>
        <v>0.27944681212587019</v>
      </c>
      <c r="BE212" s="387">
        <f t="shared" si="1241"/>
        <v>0.27234152012991164</v>
      </c>
      <c r="BF212" s="387">
        <f t="shared" si="1241"/>
        <v>0.25774382609359031</v>
      </c>
      <c r="BG212" s="387">
        <f t="shared" si="1241"/>
        <v>0.25442410865860365</v>
      </c>
      <c r="BH212" s="387">
        <f t="shared" si="1241"/>
        <v>0.24101594121722794</v>
      </c>
      <c r="BI212" s="387">
        <f t="shared" si="1241"/>
        <v>0.24735939590883141</v>
      </c>
      <c r="BJ212" s="387">
        <f t="shared" si="1241"/>
        <v>0.23799758075146607</v>
      </c>
      <c r="BK212" s="387">
        <f t="shared" si="1240"/>
        <v>0.346395810822901</v>
      </c>
      <c r="BL212" s="387">
        <f t="shared" si="1240"/>
        <v>0.34487140245565201</v>
      </c>
      <c r="BM212" s="387">
        <f t="shared" si="1240"/>
        <v>0.33931674305499715</v>
      </c>
      <c r="BN212" s="387">
        <f t="shared" si="1240"/>
        <v>0.32952941614550285</v>
      </c>
      <c r="BO212" s="387">
        <f t="shared" si="1240"/>
        <v>0.32109776733734169</v>
      </c>
      <c r="BP212" s="387">
        <f t="shared" si="1240"/>
        <v>0.31472488599352783</v>
      </c>
      <c r="BQ212" s="387">
        <f t="shared" si="1240"/>
        <v>0.30905138914748337</v>
      </c>
      <c r="BR212" s="387">
        <f t="shared" si="1239"/>
        <v>0.30261083417593204</v>
      </c>
      <c r="BS212" s="387">
        <f t="shared" si="1239"/>
        <v>0.29726818793544724</v>
      </c>
      <c r="BT212" s="387">
        <f t="shared" si="1239"/>
        <v>0.29131925559260463</v>
      </c>
      <c r="BU212" s="387">
        <f t="shared" si="1239"/>
        <v>0.28736081362996452</v>
      </c>
      <c r="BV212" s="387">
        <f t="shared" si="1239"/>
        <v>0.28310723581953329</v>
      </c>
      <c r="BW212" s="388"/>
    </row>
    <row r="213" spans="1:75" x14ac:dyDescent="0.25">
      <c r="A213" s="200"/>
      <c r="B213" s="382"/>
      <c r="C213" s="390" t="s">
        <v>867</v>
      </c>
      <c r="D213" s="387">
        <f t="shared" ref="D213" si="1242">D30/D207</f>
        <v>2.2230657490407606</v>
      </c>
      <c r="E213" s="387">
        <f>E30/E207</f>
        <v>2.0408396335832513</v>
      </c>
      <c r="F213" s="387">
        <f>F30/F207</f>
        <v>1.994670974864803</v>
      </c>
      <c r="G213" s="387">
        <f>G30/G207</f>
        <v>1.3627406271656899</v>
      </c>
      <c r="H213" s="387">
        <f>H30/H207</f>
        <v>1.582683123655928</v>
      </c>
      <c r="I213" s="387">
        <f t="shared" ref="I213:O213" si="1243">I30/I207</f>
        <v>1.202378902649238</v>
      </c>
      <c r="J213" s="387">
        <f t="shared" si="1243"/>
        <v>1.1344707180488833</v>
      </c>
      <c r="K213" s="387">
        <f t="shared" si="1243"/>
        <v>1.1565666144726749</v>
      </c>
      <c r="L213" s="387">
        <f t="shared" si="1243"/>
        <v>1.2194667773333905</v>
      </c>
      <c r="M213" s="387">
        <f t="shared" si="1243"/>
        <v>1.1711900324252569</v>
      </c>
      <c r="N213" s="387">
        <f t="shared" si="1243"/>
        <v>2.0953001545430876</v>
      </c>
      <c r="O213" s="387">
        <f t="shared" si="1243"/>
        <v>1.1265424185367428</v>
      </c>
      <c r="P213" s="387">
        <f>P30/P207</f>
        <v>0.85145027879416224</v>
      </c>
      <c r="Q213" s="387">
        <f>Q30/Q207</f>
        <v>2.0408396335832522</v>
      </c>
      <c r="R213" s="387">
        <f>R30/R207</f>
        <v>2.0179411778969274</v>
      </c>
      <c r="S213" s="387">
        <f>S30/S207</f>
        <v>1.7438222721867969</v>
      </c>
      <c r="T213" s="387">
        <f>T30/T207</f>
        <v>1.6995669864670127</v>
      </c>
      <c r="U213" s="387">
        <f t="shared" ref="U213:AA213" si="1244">U30/U207</f>
        <v>1.5589570054310011</v>
      </c>
      <c r="V213" s="387">
        <f t="shared" si="1244"/>
        <v>1.467855045892176</v>
      </c>
      <c r="W213" s="387">
        <f t="shared" si="1244"/>
        <v>1.4121926451574811</v>
      </c>
      <c r="X213" s="387">
        <f t="shared" si="1244"/>
        <v>1.3820014714362008</v>
      </c>
      <c r="Y213" s="387">
        <f t="shared" si="1244"/>
        <v>1.3548551566265286</v>
      </c>
      <c r="Z213" s="387">
        <f t="shared" si="1244"/>
        <v>1.4073475455389846</v>
      </c>
      <c r="AA213" s="387">
        <f t="shared" si="1244"/>
        <v>1.3733588717893697</v>
      </c>
      <c r="AB213" s="387">
        <f t="shared" ref="AB213" si="1245">AB30/AB207</f>
        <v>1.3153757970101261</v>
      </c>
      <c r="AC213" s="387">
        <f t="shared" ref="AC213:AH213" si="1246">AC30/AC207</f>
        <v>1.5062215862115724</v>
      </c>
      <c r="AD213" s="387">
        <f t="shared" si="1246"/>
        <v>1.6261252025968929</v>
      </c>
      <c r="AE213" s="387">
        <f t="shared" si="1246"/>
        <v>1.6624768789069062</v>
      </c>
      <c r="AF213" s="387">
        <f t="shared" si="1246"/>
        <v>1.5516859760735784</v>
      </c>
      <c r="AG213" s="387">
        <f t="shared" si="1246"/>
        <v>1.6272211705466646</v>
      </c>
      <c r="AH213" s="387">
        <f t="shared" si="1246"/>
        <v>1.6623400937617616</v>
      </c>
      <c r="AI213" s="387">
        <f t="shared" ref="AI213:BV213" si="1247">AI30/AI207</f>
        <v>1.6712922832089876</v>
      </c>
      <c r="AJ213" s="387">
        <f t="shared" ref="AJ213:BQ213" si="1248">AJ30/AJ207</f>
        <v>1.7067327041770246</v>
      </c>
      <c r="AK213" s="387">
        <f t="shared" si="1248"/>
        <v>1.6797582641265618</v>
      </c>
      <c r="AL213" s="387">
        <f t="shared" si="1248"/>
        <v>1.7868691342303422</v>
      </c>
      <c r="AM213" s="387">
        <f t="shared" si="1248"/>
        <v>1.7332718066956394</v>
      </c>
      <c r="AN213" s="387">
        <f t="shared" si="1248"/>
        <v>1.6708686596358027</v>
      </c>
      <c r="AO213" s="388"/>
      <c r="AP213" s="388"/>
      <c r="AQ213" s="388"/>
      <c r="AR213" s="388"/>
      <c r="AS213" s="388"/>
      <c r="AT213" s="388"/>
      <c r="AU213" s="388"/>
      <c r="AV213" s="388"/>
      <c r="AW213" s="388"/>
      <c r="AX213" s="388"/>
      <c r="AY213" s="387">
        <f t="shared" ref="AY213:BJ213" si="1249">AY30/AY207</f>
        <v>0.75766044842118208</v>
      </c>
      <c r="AZ213" s="387">
        <f t="shared" si="1249"/>
        <v>0.75102108765166309</v>
      </c>
      <c r="BA213" s="387">
        <f t="shared" si="1249"/>
        <v>0.71901504814800399</v>
      </c>
      <c r="BB213" s="387">
        <f t="shared" si="1249"/>
        <v>0.68580793638135107</v>
      </c>
      <c r="BC213" s="387">
        <f t="shared" si="1249"/>
        <v>0.65931425351217154</v>
      </c>
      <c r="BD213" s="387">
        <f t="shared" si="1249"/>
        <v>0.64903506417433754</v>
      </c>
      <c r="BE213" s="387">
        <f t="shared" si="1249"/>
        <v>0.632532518979808</v>
      </c>
      <c r="BF213" s="387">
        <f t="shared" si="1249"/>
        <v>0.59862833802463711</v>
      </c>
      <c r="BG213" s="387">
        <f t="shared" si="1249"/>
        <v>0.59091805855475799</v>
      </c>
      <c r="BH213" s="387">
        <f t="shared" si="1249"/>
        <v>0.55977663758247742</v>
      </c>
      <c r="BI213" s="387">
        <f t="shared" si="1249"/>
        <v>0.57450976154095501</v>
      </c>
      <c r="BJ213" s="387">
        <f t="shared" si="1249"/>
        <v>0.55276628107243553</v>
      </c>
      <c r="BK213" s="387">
        <f t="shared" si="1248"/>
        <v>0.75528580179580962</v>
      </c>
      <c r="BL213" s="387">
        <f t="shared" si="1248"/>
        <v>0.75196196253462844</v>
      </c>
      <c r="BM213" s="387">
        <f t="shared" si="1248"/>
        <v>0.7398505130076849</v>
      </c>
      <c r="BN213" s="387">
        <f t="shared" si="1248"/>
        <v>0.72738518009476683</v>
      </c>
      <c r="BO213" s="387">
        <f t="shared" si="1248"/>
        <v>0.7141544670306238</v>
      </c>
      <c r="BP213" s="387">
        <f t="shared" si="1248"/>
        <v>0.7035786538285792</v>
      </c>
      <c r="BQ213" s="387">
        <f t="shared" si="1248"/>
        <v>0.69345979144653713</v>
      </c>
      <c r="BR213" s="387">
        <f t="shared" si="1247"/>
        <v>0.68091375471190463</v>
      </c>
      <c r="BS213" s="387">
        <f t="shared" si="1247"/>
        <v>0.67036114576295125</v>
      </c>
      <c r="BT213" s="387">
        <f t="shared" si="1247"/>
        <v>0.65810580989354173</v>
      </c>
      <c r="BU213" s="387">
        <f t="shared" si="1247"/>
        <v>0.65010503296477362</v>
      </c>
      <c r="BV213" s="387">
        <f t="shared" si="1247"/>
        <v>0.64125874715964848</v>
      </c>
      <c r="BW213" s="388"/>
    </row>
    <row r="214" spans="1:75" x14ac:dyDescent="0.25">
      <c r="A214" s="200"/>
      <c r="B214" s="382"/>
      <c r="C214" s="390" t="s">
        <v>868</v>
      </c>
      <c r="D214" s="387">
        <f t="shared" ref="D214" si="1250">D30/D208</f>
        <v>3.8313441465081426</v>
      </c>
      <c r="E214" s="387">
        <f t="shared" ref="E214:T214" si="1251">E30/E208</f>
        <v>2.0545771535621138</v>
      </c>
      <c r="F214" s="387">
        <f t="shared" si="1251"/>
        <v>1.9812089575699088</v>
      </c>
      <c r="G214" s="387">
        <f t="shared" si="1251"/>
        <v>2.137951994363803</v>
      </c>
      <c r="H214" s="387">
        <f t="shared" si="1251"/>
        <v>2.330906169804531</v>
      </c>
      <c r="I214" s="387">
        <f t="shared" si="1251"/>
        <v>5.6290243331248524</v>
      </c>
      <c r="J214" s="387">
        <f t="shared" si="1251"/>
        <v>3.0951622211068339</v>
      </c>
      <c r="K214" s="387">
        <f t="shared" si="1251"/>
        <v>2.0981005822126155</v>
      </c>
      <c r="L214" s="387">
        <f t="shared" si="1251"/>
        <v>1.2946789902605027</v>
      </c>
      <c r="M214" s="387">
        <f t="shared" si="1251"/>
        <v>2.2814532283291751</v>
      </c>
      <c r="N214" s="387">
        <f t="shared" si="1251"/>
        <v>-1.4556111439653441</v>
      </c>
      <c r="O214" s="387">
        <f t="shared" si="1251"/>
        <v>0.5399495685069331</v>
      </c>
      <c r="P214" s="387">
        <f t="shared" si="1251"/>
        <v>0.90304085802041967</v>
      </c>
      <c r="Q214" s="387">
        <f t="shared" si="1251"/>
        <v>2.0545771535621147</v>
      </c>
      <c r="R214" s="387">
        <f t="shared" si="1251"/>
        <v>2.0179411778969274</v>
      </c>
      <c r="S214" s="387">
        <f t="shared" si="1251"/>
        <v>2.0556680806494225</v>
      </c>
      <c r="T214" s="387">
        <f t="shared" si="1251"/>
        <v>2.119681970461134</v>
      </c>
      <c r="U214" s="387">
        <f t="shared" ref="U214:AA214" si="1252">U30/U208</f>
        <v>2.4532968052107256</v>
      </c>
      <c r="V214" s="387">
        <f t="shared" si="1252"/>
        <v>2.540691833191179</v>
      </c>
      <c r="W214" s="387">
        <f t="shared" si="1252"/>
        <v>2.4645556997940261</v>
      </c>
      <c r="X214" s="387">
        <f t="shared" si="1252"/>
        <v>2.1909013967562339</v>
      </c>
      <c r="Y214" s="387">
        <f t="shared" si="1252"/>
        <v>2.2006240035573152</v>
      </c>
      <c r="Z214" s="387">
        <f t="shared" si="1252"/>
        <v>2.9945219223737158</v>
      </c>
      <c r="AA214" s="387">
        <f t="shared" si="1252"/>
        <v>2.0632637671152811</v>
      </c>
      <c r="AB214" s="387">
        <f t="shared" ref="AB214" si="1253">AB30/AB208</f>
        <v>1.8887518171695055</v>
      </c>
      <c r="AC214" s="387">
        <f t="shared" ref="AC214:AH214" si="1254">AC30/AC208</f>
        <v>2.2082947194518647</v>
      </c>
      <c r="AD214" s="387">
        <f t="shared" si="1254"/>
        <v>4.7187910983293877</v>
      </c>
      <c r="AE214" s="387">
        <f t="shared" si="1254"/>
        <v>2.4160785013975872</v>
      </c>
      <c r="AF214" s="387">
        <f t="shared" si="1254"/>
        <v>2.1102432720826521</v>
      </c>
      <c r="AG214" s="387">
        <f t="shared" si="1254"/>
        <v>2.2951857202640782</v>
      </c>
      <c r="AH214" s="387">
        <f t="shared" si="1254"/>
        <v>3.1652387666141788</v>
      </c>
      <c r="AI214" s="387">
        <f t="shared" ref="AI214:BV214" si="1255">AI30/AI208</f>
        <v>2.3577045356398911</v>
      </c>
      <c r="AJ214" s="387">
        <f t="shared" ref="AJ214:BQ214" si="1256">AJ30/AJ208</f>
        <v>3.5614728479362556</v>
      </c>
      <c r="AK214" s="387">
        <f t="shared" si="1256"/>
        <v>5.6497801237558702</v>
      </c>
      <c r="AL214" s="387">
        <f t="shared" si="1256"/>
        <v>13.430087491293769</v>
      </c>
      <c r="AM214" s="387">
        <f t="shared" si="1256"/>
        <v>6.5393476329959013</v>
      </c>
      <c r="AN214" s="387">
        <f t="shared" si="1256"/>
        <v>3.2490121993641781</v>
      </c>
      <c r="AO214" s="388"/>
      <c r="AP214" s="388"/>
      <c r="AQ214" s="388"/>
      <c r="AR214" s="388"/>
      <c r="AS214" s="388"/>
      <c r="AT214" s="388"/>
      <c r="AU214" s="388"/>
      <c r="AV214" s="388"/>
      <c r="AW214" s="388"/>
      <c r="AX214" s="388"/>
      <c r="AY214" s="387">
        <f t="shared" ref="AY214:BJ214" si="1257">AY30/AY208</f>
        <v>1.0561647772973495</v>
      </c>
      <c r="AZ214" s="387">
        <f t="shared" si="1257"/>
        <v>1.0377239416213111</v>
      </c>
      <c r="BA214" s="387">
        <f t="shared" si="1257"/>
        <v>0.97006907871988002</v>
      </c>
      <c r="BB214" s="387">
        <f t="shared" si="1257"/>
        <v>0.90983248958330454</v>
      </c>
      <c r="BC214" s="387">
        <f t="shared" si="1257"/>
        <v>0.87149481824918584</v>
      </c>
      <c r="BD214" s="387">
        <f t="shared" si="1257"/>
        <v>0.85127335992841691</v>
      </c>
      <c r="BE214" s="387">
        <f t="shared" si="1257"/>
        <v>0.81974549147562914</v>
      </c>
      <c r="BF214" s="387">
        <f t="shared" si="1257"/>
        <v>0.71331840365269439</v>
      </c>
      <c r="BG214" s="387">
        <f t="shared" si="1257"/>
        <v>0.67740523339246694</v>
      </c>
      <c r="BH214" s="387">
        <f t="shared" si="1257"/>
        <v>0.60300939739871418</v>
      </c>
      <c r="BI214" s="387">
        <f t="shared" si="1257"/>
        <v>0.60473154962449149</v>
      </c>
      <c r="BJ214" s="387">
        <f t="shared" si="1257"/>
        <v>0.58872484740863495</v>
      </c>
      <c r="BK214" s="387">
        <f t="shared" si="1256"/>
        <v>1.0547535790439779</v>
      </c>
      <c r="BL214" s="387">
        <f t="shared" si="1256"/>
        <v>1.0454477786312992</v>
      </c>
      <c r="BM214" s="387">
        <f t="shared" si="1256"/>
        <v>1.0185231068229175</v>
      </c>
      <c r="BN214" s="387">
        <f t="shared" si="1256"/>
        <v>0.9922544843548543</v>
      </c>
      <c r="BO214" s="387">
        <f t="shared" si="1256"/>
        <v>0.96803632782039939</v>
      </c>
      <c r="BP214" s="387">
        <f t="shared" si="1256"/>
        <v>0.94839039997684749</v>
      </c>
      <c r="BQ214" s="387">
        <f t="shared" si="1256"/>
        <v>0.92927826683629089</v>
      </c>
      <c r="BR214" s="387">
        <f t="shared" si="1255"/>
        <v>0.89711920019508984</v>
      </c>
      <c r="BS214" s="387">
        <f t="shared" si="1255"/>
        <v>0.86739023621522227</v>
      </c>
      <c r="BT214" s="387">
        <f t="shared" si="1255"/>
        <v>0.83236772860690522</v>
      </c>
      <c r="BU214" s="387">
        <f t="shared" si="1255"/>
        <v>0.80595695310507687</v>
      </c>
      <c r="BV214" s="387">
        <f t="shared" si="1255"/>
        <v>0.78289087789023426</v>
      </c>
      <c r="BW214" s="388"/>
    </row>
    <row r="215" spans="1:75" x14ac:dyDescent="0.25">
      <c r="A215" s="200"/>
      <c r="B215" s="382"/>
      <c r="C215" s="393"/>
      <c r="D215" s="394"/>
      <c r="E215" s="394"/>
      <c r="F215" s="394"/>
      <c r="G215" s="394"/>
      <c r="H215" s="394"/>
      <c r="I215" s="394"/>
      <c r="J215" s="394"/>
      <c r="K215" s="394"/>
      <c r="L215" s="394"/>
      <c r="M215" s="394"/>
      <c r="N215" s="394"/>
      <c r="O215" s="394"/>
      <c r="P215" s="394"/>
      <c r="Q215" s="394"/>
      <c r="R215" s="394"/>
      <c r="S215" s="394"/>
      <c r="T215" s="394"/>
      <c r="U215" s="394"/>
      <c r="V215" s="394"/>
      <c r="W215" s="394"/>
      <c r="X215" s="394"/>
      <c r="Y215" s="394"/>
      <c r="Z215" s="394"/>
      <c r="AA215" s="394"/>
      <c r="AB215" s="394"/>
      <c r="AC215" s="394"/>
      <c r="AD215" s="394"/>
      <c r="AE215" s="394"/>
      <c r="AF215" s="394"/>
      <c r="AG215" s="394"/>
      <c r="AH215" s="394"/>
      <c r="AI215" s="394"/>
      <c r="AJ215" s="394"/>
      <c r="AK215" s="394"/>
      <c r="AL215" s="394"/>
      <c r="AM215" s="394"/>
      <c r="AN215" s="394"/>
      <c r="AO215" s="394"/>
      <c r="AP215" s="394"/>
      <c r="AQ215" s="394"/>
      <c r="AR215" s="394"/>
      <c r="AS215" s="394"/>
      <c r="AT215" s="394"/>
      <c r="AU215" s="394"/>
      <c r="AV215" s="394"/>
      <c r="AW215" s="394"/>
      <c r="AX215" s="394"/>
      <c r="AY215" s="394"/>
      <c r="AZ215" s="394"/>
      <c r="BA215" s="394"/>
      <c r="BB215" s="394"/>
      <c r="BC215" s="394"/>
      <c r="BD215" s="394"/>
      <c r="BE215" s="394"/>
      <c r="BF215" s="394"/>
      <c r="BG215" s="394"/>
      <c r="BH215" s="394"/>
      <c r="BI215" s="394"/>
      <c r="BJ215" s="394"/>
      <c r="BK215" s="394"/>
      <c r="BL215" s="394"/>
      <c r="BM215" s="394"/>
      <c r="BN215" s="394"/>
      <c r="BO215" s="394"/>
      <c r="BP215" s="394"/>
      <c r="BQ215" s="394"/>
      <c r="BR215" s="394"/>
      <c r="BS215" s="394"/>
      <c r="BT215" s="394"/>
      <c r="BU215" s="394"/>
      <c r="BV215" s="394"/>
      <c r="BW215" s="394"/>
    </row>
    <row r="217" spans="1:75" x14ac:dyDescent="0.25">
      <c r="AY217" s="395">
        <f>+AY8+AY16+AY18+AY20+AY30+AY136+AY139</f>
        <v>980647.45105564408</v>
      </c>
      <c r="AZ217" s="395">
        <f t="shared" ref="AZ217:BJ217" si="1258">+AZ8+AZ16+AZ18+AZ20+AZ30+AZ136+AZ139</f>
        <v>957672.0973960734</v>
      </c>
      <c r="BA217" s="395">
        <f t="shared" si="1258"/>
        <v>972632.02892150986</v>
      </c>
      <c r="BB217" s="395">
        <f t="shared" si="1258"/>
        <v>975393.92248956149</v>
      </c>
      <c r="BC217" s="395">
        <f t="shared" si="1258"/>
        <v>1039239.3633273408</v>
      </c>
      <c r="BD217" s="395">
        <f t="shared" si="1258"/>
        <v>1060988.4441793377</v>
      </c>
      <c r="BE217" s="395">
        <f t="shared" si="1258"/>
        <v>1122938.1067090738</v>
      </c>
      <c r="BF217" s="395">
        <f t="shared" si="1258"/>
        <v>1137643.7327070851</v>
      </c>
      <c r="BG217" s="395">
        <f t="shared" si="1258"/>
        <v>1209667.8161793903</v>
      </c>
      <c r="BH217" s="395">
        <f t="shared" si="1258"/>
        <v>1250278.4030545049</v>
      </c>
      <c r="BI217" s="395">
        <f t="shared" si="1258"/>
        <v>1253459.0349411056</v>
      </c>
      <c r="BJ217" s="395">
        <f t="shared" si="1258"/>
        <v>1331100.7703244053</v>
      </c>
    </row>
    <row r="218" spans="1:75" x14ac:dyDescent="0.25">
      <c r="AY218" s="395">
        <f>+AY149+AY172+AY174+AY179+AY188+AY190</f>
        <v>1035661.5040144338</v>
      </c>
      <c r="AZ218" s="395">
        <f t="shared" ref="AZ218:BJ218" si="1259">+AZ149+AZ172+AZ174+AZ179+AZ188+AZ190</f>
        <v>1024085.4689988694</v>
      </c>
      <c r="BA218" s="395">
        <f t="shared" si="1259"/>
        <v>1136566.7083319123</v>
      </c>
      <c r="BB218" s="395">
        <f t="shared" si="1259"/>
        <v>1165112.0348105291</v>
      </c>
      <c r="BC218" s="395">
        <f t="shared" si="1259"/>
        <v>1249351.893302615</v>
      </c>
      <c r="BD218" s="395">
        <f t="shared" si="1259"/>
        <v>1284944.5916735812</v>
      </c>
      <c r="BE218" s="395">
        <f t="shared" si="1259"/>
        <v>1366132.1128582738</v>
      </c>
      <c r="BF218" s="395">
        <f t="shared" si="1259"/>
        <v>1441998.8468441565</v>
      </c>
      <c r="BG218" s="395">
        <f t="shared" si="1259"/>
        <v>1477530.3816215394</v>
      </c>
      <c r="BH218" s="395">
        <f t="shared" si="1259"/>
        <v>1579025.9414958835</v>
      </c>
      <c r="BI218" s="395">
        <f t="shared" si="1259"/>
        <v>1595651.8052558717</v>
      </c>
      <c r="BJ218" s="395">
        <f t="shared" si="1259"/>
        <v>1641900.6748771311</v>
      </c>
    </row>
    <row r="219" spans="1:75" x14ac:dyDescent="0.25">
      <c r="AY219" s="395">
        <f>+AY218-AY217</f>
        <v>55014.052958789747</v>
      </c>
      <c r="AZ219" s="395">
        <f t="shared" ref="AZ219:BJ219" si="1260">+AZ218-AZ217</f>
        <v>66413.371602796018</v>
      </c>
      <c r="BA219" s="395">
        <f t="shared" si="1260"/>
        <v>163934.67941040243</v>
      </c>
      <c r="BB219" s="395">
        <f t="shared" si="1260"/>
        <v>189718.1123209676</v>
      </c>
      <c r="BC219" s="395">
        <f t="shared" si="1260"/>
        <v>210112.52997527423</v>
      </c>
      <c r="BD219" s="395">
        <f t="shared" si="1260"/>
        <v>223956.14749424346</v>
      </c>
      <c r="BE219" s="395">
        <f t="shared" si="1260"/>
        <v>243194.00614920002</v>
      </c>
      <c r="BF219" s="395">
        <f t="shared" si="1260"/>
        <v>304355.11413707142</v>
      </c>
      <c r="BG219" s="395">
        <f t="shared" si="1260"/>
        <v>267862.56544214906</v>
      </c>
      <c r="BH219" s="395">
        <f t="shared" si="1260"/>
        <v>328747.53844137862</v>
      </c>
      <c r="BI219" s="395">
        <f t="shared" si="1260"/>
        <v>342192.77031476609</v>
      </c>
      <c r="BJ219" s="395">
        <f t="shared" si="1260"/>
        <v>310799.90455272584</v>
      </c>
    </row>
    <row r="220" spans="1:75" x14ac:dyDescent="0.25">
      <c r="AY220" s="395">
        <f>+AY219-AY199</f>
        <v>0</v>
      </c>
      <c r="AZ220" s="395">
        <f t="shared" ref="AZ220:BJ220" si="1261">+AZ219-AZ199</f>
        <v>0</v>
      </c>
      <c r="BA220" s="395">
        <f t="shared" si="1261"/>
        <v>0</v>
      </c>
      <c r="BB220" s="395">
        <f t="shared" si="1261"/>
        <v>0</v>
      </c>
      <c r="BC220" s="395">
        <f t="shared" si="1261"/>
        <v>0</v>
      </c>
      <c r="BD220" s="395">
        <f t="shared" si="1261"/>
        <v>0</v>
      </c>
      <c r="BE220" s="395">
        <f t="shared" si="1261"/>
        <v>0</v>
      </c>
      <c r="BF220" s="395">
        <f t="shared" si="1261"/>
        <v>0</v>
      </c>
      <c r="BG220" s="395">
        <f t="shared" si="1261"/>
        <v>0</v>
      </c>
      <c r="BH220" s="395">
        <f t="shared" si="1261"/>
        <v>0</v>
      </c>
      <c r="BI220" s="395">
        <f t="shared" si="1261"/>
        <v>0</v>
      </c>
      <c r="BJ220" s="395">
        <f t="shared" si="1261"/>
        <v>0</v>
      </c>
    </row>
  </sheetData>
  <sheetProtection formatColumns="0" formatRows="0"/>
  <autoFilter ref="A4:BY202" xr:uid="{00000000-0009-0000-0000-000004000000}"/>
  <printOptions horizontalCentered="1"/>
  <pageMargins left="0" right="0" top="0.55118110236220474" bottom="0.35433070866141736" header="0.31496062992125984" footer="0.11811023622047245"/>
  <pageSetup paperSize="9" scale="62" fitToWidth="2" fitToHeight="2" orientation="landscape" useFirstPageNumber="1" horizontalDpi="4294967295" verticalDpi="4294967295"/>
  <headerFooter>
    <oddHeader>&amp;C&amp;"-,Negrita Cursiva"ASOCIACIÓN MUTUALISTA AMBATO
REFORMA PRESUPUESTARIA, PERÍODO JULIO - DICIEMBRE DE 2016</oddHeader>
    <oddFooter>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zoomScaleNormal="100"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zoomScaleNormal="100"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53"/>
  <sheetViews>
    <sheetView zoomScaleNormal="100" workbookViewId="0">
      <pane xSplit="3" ySplit="5" topLeftCell="D6" activePane="bottomRight" state="frozen"/>
      <selection pane="topRight"/>
      <selection pane="bottomLeft"/>
      <selection pane="bottomRight" activeCell="D12" sqref="D12"/>
    </sheetView>
  </sheetViews>
  <sheetFormatPr baseColWidth="10" defaultColWidth="11.42578125" defaultRowHeight="15" x14ac:dyDescent="0.25"/>
  <cols>
    <col min="1" max="1" width="3.85546875" style="2" customWidth="1"/>
    <col min="2" max="2" width="46.7109375" style="396" customWidth="1"/>
    <col min="3" max="10" width="14.5703125" style="396" customWidth="1"/>
    <col min="11" max="15" width="10.7109375" customWidth="1"/>
    <col min="16" max="16" width="12.28515625" customWidth="1"/>
    <col min="17" max="18" width="14.140625" customWidth="1"/>
  </cols>
  <sheetData>
    <row r="1" spans="1:18" ht="33" customHeight="1" x14ac:dyDescent="0.25">
      <c r="A1" s="99">
        <f>BRmarg!A1</f>
        <v>0</v>
      </c>
    </row>
    <row r="2" spans="1:18" ht="23.25" customHeight="1" x14ac:dyDescent="0.25">
      <c r="B2" s="397" t="s">
        <v>869</v>
      </c>
      <c r="C2" s="397"/>
      <c r="D2" s="397"/>
      <c r="E2" s="397"/>
      <c r="F2" s="397"/>
      <c r="G2" s="397"/>
      <c r="H2" s="397"/>
      <c r="I2" s="397"/>
      <c r="J2" s="397"/>
      <c r="L2" s="398"/>
      <c r="M2" s="398"/>
    </row>
    <row r="3" spans="1:18" ht="26.25" customHeight="1" x14ac:dyDescent="0.25">
      <c r="A3" s="399"/>
      <c r="B3" s="400" t="s">
        <v>870</v>
      </c>
      <c r="C3" s="400"/>
      <c r="D3" s="400"/>
      <c r="E3" s="400"/>
      <c r="F3" s="400"/>
      <c r="G3" s="400"/>
      <c r="H3" s="400"/>
      <c r="I3" s="400"/>
      <c r="J3" s="400"/>
    </row>
    <row r="5" spans="1:18" x14ac:dyDescent="0.25">
      <c r="A5" s="401" t="s">
        <v>871</v>
      </c>
      <c r="B5" s="402" t="s">
        <v>872</v>
      </c>
      <c r="C5" s="402"/>
      <c r="D5" s="403">
        <f>BGhoriz!AM4</f>
        <v>45688</v>
      </c>
      <c r="E5" s="403">
        <f>BGhoriz!AN4</f>
        <v>45716</v>
      </c>
      <c r="F5" s="403">
        <f>BGhoriz!AO4</f>
        <v>45747</v>
      </c>
      <c r="G5" s="403">
        <f>BGhoriz!AP4</f>
        <v>45777</v>
      </c>
      <c r="H5" s="403">
        <f>BGhoriz!AQ4</f>
        <v>45808</v>
      </c>
      <c r="I5" s="403">
        <f>BGhoriz!AR4</f>
        <v>45838</v>
      </c>
      <c r="J5" s="403">
        <f>BGhoriz!AS4</f>
        <v>45869</v>
      </c>
      <c r="K5" s="403">
        <f>BGhoriz!AT4</f>
        <v>45900</v>
      </c>
      <c r="L5" s="403">
        <f>BGhoriz!AU4</f>
        <v>45930</v>
      </c>
      <c r="M5" s="403">
        <f>BGhoriz!AV4</f>
        <v>45961</v>
      </c>
      <c r="N5" s="403">
        <f>BGhoriz!AW4</f>
        <v>45991</v>
      </c>
      <c r="O5" s="403">
        <f>BGhoriz!AX4</f>
        <v>46022</v>
      </c>
    </row>
    <row r="6" spans="1:18" x14ac:dyDescent="0.25">
      <c r="A6" s="404"/>
      <c r="B6" s="405"/>
      <c r="C6" s="405"/>
      <c r="D6" s="406"/>
      <c r="E6" s="406"/>
      <c r="F6" s="406"/>
      <c r="G6" s="406"/>
      <c r="H6" s="406"/>
      <c r="I6" s="406"/>
      <c r="J6" s="406"/>
      <c r="K6" s="406"/>
      <c r="L6" s="406"/>
      <c r="M6" s="406"/>
      <c r="N6" s="406"/>
      <c r="O6" s="406"/>
    </row>
    <row r="7" spans="1:18" x14ac:dyDescent="0.25">
      <c r="A7" s="407">
        <v>11</v>
      </c>
      <c r="B7" s="408" t="s">
        <v>873</v>
      </c>
      <c r="C7" s="408"/>
      <c r="D7" s="409">
        <f>BGhoriz!AL6</f>
        <v>4340169.01</v>
      </c>
      <c r="E7" s="409">
        <f>BGhoriz!AM6</f>
        <v>4832852.8783030566</v>
      </c>
      <c r="F7" s="409">
        <f>BGhoriz!AN6</f>
        <v>5768827.0510733137</v>
      </c>
      <c r="G7" s="409">
        <f>BGhoriz!AO6</f>
        <v>5905297.5510705039</v>
      </c>
      <c r="H7" s="409">
        <f>BGhoriz!AP6</f>
        <v>5932709.8439351255</v>
      </c>
      <c r="I7" s="409">
        <f>BGhoriz!AQ6</f>
        <v>6786992.602239673</v>
      </c>
      <c r="J7" s="409">
        <f>BGhoriz!AR6</f>
        <v>6451153.7762577487</v>
      </c>
      <c r="K7" s="409">
        <f>BGhoriz!AS6</f>
        <v>6515681.237046483</v>
      </c>
      <c r="L7" s="409">
        <f>BGhoriz!AT6</f>
        <v>6227035.6951325573</v>
      </c>
      <c r="M7" s="409">
        <f>BGhoriz!AU6</f>
        <v>6240232.3597981725</v>
      </c>
      <c r="N7" s="409">
        <f>BGhoriz!AV6</f>
        <v>6575121.4397907564</v>
      </c>
      <c r="O7" s="409">
        <f>BGhoriz!AW6</f>
        <v>7445984.2136263074</v>
      </c>
    </row>
    <row r="8" spans="1:18" x14ac:dyDescent="0.25">
      <c r="A8" s="407">
        <v>13</v>
      </c>
      <c r="B8" s="408" t="s">
        <v>874</v>
      </c>
      <c r="C8" s="408"/>
      <c r="D8" s="409">
        <f>BGhoriz!AL20</f>
        <v>6909362.6600000001</v>
      </c>
      <c r="E8" s="409">
        <f>BGhoriz!AM20</f>
        <v>6212324.5199999986</v>
      </c>
      <c r="F8" s="409">
        <f>BGhoriz!AN20</f>
        <v>5602025.54</v>
      </c>
      <c r="G8" s="409">
        <f>BGhoriz!AO20</f>
        <v>6026932.9099999992</v>
      </c>
      <c r="H8" s="409">
        <f>BGhoriz!AP20</f>
        <v>6838671.7600000007</v>
      </c>
      <c r="I8" s="409">
        <f>BGhoriz!AQ20</f>
        <v>6223039.0300000003</v>
      </c>
      <c r="J8" s="409">
        <f>BGhoriz!AR20</f>
        <v>7237293.5899999999</v>
      </c>
      <c r="K8" s="409">
        <f>BGhoriz!AS20</f>
        <v>8925517.4600000009</v>
      </c>
      <c r="L8" s="409">
        <f>BGhoriz!AT20</f>
        <v>9941448.2000000011</v>
      </c>
      <c r="M8" s="409">
        <f>BGhoriz!AU20</f>
        <v>10282584.76</v>
      </c>
      <c r="N8" s="409">
        <f>BGhoriz!AV20</f>
        <v>11247615.579999998</v>
      </c>
      <c r="O8" s="409">
        <f>BGhoriz!AW20</f>
        <v>12086781.42</v>
      </c>
    </row>
    <row r="9" spans="1:18" x14ac:dyDescent="0.25">
      <c r="A9" s="410"/>
      <c r="B9" s="411" t="s">
        <v>875</v>
      </c>
      <c r="C9" s="411"/>
      <c r="D9" s="412">
        <f t="shared" ref="D9:K9" si="0">SUM(D7:D8)</f>
        <v>11249531.67</v>
      </c>
      <c r="E9" s="412">
        <f t="shared" si="0"/>
        <v>11045177.398303054</v>
      </c>
      <c r="F9" s="412">
        <f t="shared" si="0"/>
        <v>11370852.591073314</v>
      </c>
      <c r="G9" s="412">
        <f t="shared" si="0"/>
        <v>11932230.461070504</v>
      </c>
      <c r="H9" s="412">
        <f t="shared" si="0"/>
        <v>12771381.603935126</v>
      </c>
      <c r="I9" s="412">
        <f t="shared" si="0"/>
        <v>13010031.632239673</v>
      </c>
      <c r="J9" s="412">
        <f t="shared" si="0"/>
        <v>13688447.366257749</v>
      </c>
      <c r="K9" s="412">
        <f t="shared" si="0"/>
        <v>15441198.697046485</v>
      </c>
      <c r="L9" s="412">
        <f>SUM(L7:L8)</f>
        <v>16168483.895132558</v>
      </c>
      <c r="M9" s="412">
        <f t="shared" ref="M9" si="1">SUM(M7:M8)</f>
        <v>16522817.119798172</v>
      </c>
      <c r="N9" s="412">
        <f t="shared" ref="N9:O9" si="2">SUM(N7:N8)</f>
        <v>17822737.019790754</v>
      </c>
      <c r="O9" s="412">
        <f t="shared" si="2"/>
        <v>19532765.633626308</v>
      </c>
    </row>
    <row r="10" spans="1:18" x14ac:dyDescent="0.25">
      <c r="A10" s="404"/>
      <c r="B10" s="405"/>
      <c r="C10" s="405"/>
      <c r="D10" s="413"/>
      <c r="E10" s="413"/>
      <c r="F10" s="413"/>
      <c r="G10" s="413"/>
      <c r="H10" s="413"/>
      <c r="I10" s="413"/>
      <c r="J10" s="413"/>
      <c r="K10" s="413"/>
      <c r="L10" s="413"/>
      <c r="M10" s="413"/>
      <c r="N10" s="413"/>
      <c r="O10" s="413"/>
    </row>
    <row r="11" spans="1:18" x14ac:dyDescent="0.25">
      <c r="A11" s="404"/>
      <c r="B11" s="414" t="s">
        <v>79</v>
      </c>
      <c r="C11" s="415"/>
      <c r="D11" s="413"/>
      <c r="E11" s="413"/>
      <c r="F11" s="413"/>
      <c r="G11" s="413"/>
      <c r="H11" s="413"/>
      <c r="I11" s="413"/>
      <c r="J11" s="413"/>
      <c r="K11" s="413"/>
      <c r="L11" s="413"/>
      <c r="M11" s="413"/>
      <c r="N11" s="413"/>
      <c r="O11" s="413"/>
    </row>
    <row r="12" spans="1:18" x14ac:dyDescent="0.25">
      <c r="A12" s="416">
        <f>BGhoriz!B39</f>
        <v>14</v>
      </c>
      <c r="B12" s="417" t="str">
        <f>BGhoriz!C39</f>
        <v>CARTERA DE CREDITOS</v>
      </c>
      <c r="C12" s="418"/>
      <c r="D12" s="419">
        <f>BGhoriz!AL39-BGhoriz!AM39</f>
        <v>-4976856.5630008876</v>
      </c>
      <c r="E12" s="419">
        <f>BGhoriz!AM39-BGhoriz!AN39</f>
        <v>-4879392.821698755</v>
      </c>
      <c r="F12" s="419">
        <f>BGhoriz!AN39-BGhoriz!AO39</f>
        <v>-4725443.2739362717</v>
      </c>
      <c r="G12" s="419">
        <f>BGhoriz!AO39-BGhoriz!AP39</f>
        <v>-4367719.3218056783</v>
      </c>
      <c r="H12" s="419">
        <f>BGhoriz!AP39-BGhoriz!AQ39</f>
        <v>-4542692.4195147678</v>
      </c>
      <c r="I12" s="419">
        <f>BGhoriz!AQ39-BGhoriz!AR39</f>
        <v>-4494506.7129774839</v>
      </c>
      <c r="J12" s="419">
        <f>BGhoriz!AR39-BGhoriz!AS39</f>
        <v>-4383060.6615825593</v>
      </c>
      <c r="K12" s="419">
        <f>BGhoriz!AS39-BGhoriz!AT39</f>
        <v>-4330011.5024274141</v>
      </c>
      <c r="L12" s="419">
        <f>BGhoriz!AT39-BGhoriz!AU39</f>
        <v>-4237865.7508875877</v>
      </c>
      <c r="M12" s="419">
        <f>BGhoriz!AU39-BGhoriz!AV39</f>
        <v>-4112417.2549204528</v>
      </c>
      <c r="N12" s="419">
        <f>BGhoriz!AV39-BGhoriz!AW39</f>
        <v>-4091752.2902707905</v>
      </c>
      <c r="O12" s="419">
        <f>BGhoriz!AW39-BGhoriz!AX39</f>
        <v>-3500869.0930005312</v>
      </c>
      <c r="P12" s="420"/>
      <c r="Q12" s="420"/>
      <c r="R12" s="420"/>
    </row>
    <row r="13" spans="1:18" x14ac:dyDescent="0.25">
      <c r="A13" s="416">
        <f>BGhoriz!B102</f>
        <v>16</v>
      </c>
      <c r="B13" s="417" t="str">
        <f>BGhoriz!C102</f>
        <v>CUENTAS POR COBRAR</v>
      </c>
      <c r="C13" s="418"/>
      <c r="D13" s="419">
        <f>BGhoriz!AL102-BGhoriz!AM102</f>
        <v>-63092.932434184477</v>
      </c>
      <c r="E13" s="419">
        <f>BGhoriz!AM102-BGhoriz!AN102</f>
        <v>86865.990546906367</v>
      </c>
      <c r="F13" s="419">
        <f>BGhoriz!AN102-BGhoriz!AO102</f>
        <v>34180.487130458001</v>
      </c>
      <c r="G13" s="419">
        <f>BGhoriz!AO102-BGhoriz!AP102</f>
        <v>73693.902061386965</v>
      </c>
      <c r="H13" s="419">
        <f>BGhoriz!AP102-BGhoriz!AQ102</f>
        <v>13645.237993908115</v>
      </c>
      <c r="I13" s="419">
        <f>BGhoriz!AQ102-BGhoriz!AR102</f>
        <v>-23272.358048137277</v>
      </c>
      <c r="J13" s="419">
        <f>BGhoriz!AR102-BGhoriz!AS102</f>
        <v>-25834.321813148446</v>
      </c>
      <c r="K13" s="419">
        <f>BGhoriz!AS102-BGhoriz!AT102</f>
        <v>84115.87677080743</v>
      </c>
      <c r="L13" s="419">
        <f>BGhoriz!AT102-BGhoriz!AU102</f>
        <v>20794.806577430107</v>
      </c>
      <c r="M13" s="419">
        <f>BGhoriz!AU102-BGhoriz!AV102</f>
        <v>52084.447138248943</v>
      </c>
      <c r="N13" s="419">
        <f>BGhoriz!AV102-BGhoriz!AW102</f>
        <v>-76374.000994108152</v>
      </c>
      <c r="O13" s="419">
        <f>BGhoriz!AW102-BGhoriz!AX102</f>
        <v>69397.513982232194</v>
      </c>
      <c r="P13" s="420"/>
      <c r="Q13" s="420"/>
      <c r="R13" s="420"/>
    </row>
    <row r="14" spans="1:18" x14ac:dyDescent="0.25">
      <c r="A14" s="416">
        <f>BGhoriz!B112</f>
        <v>17</v>
      </c>
      <c r="B14" s="417" t="str">
        <f>BGhoriz!C112</f>
        <v>BIENES REALIZABLES, ADJUDICADOS POR PAGO, DE ARREN</v>
      </c>
      <c r="C14" s="418"/>
      <c r="D14" s="419">
        <f>BGhoriz!AL112-BGhoriz!AM112</f>
        <v>156.28335000004154</v>
      </c>
      <c r="E14" s="419">
        <f>BGhoriz!AM112-BGhoriz!AN112</f>
        <v>156.43963334994623</v>
      </c>
      <c r="F14" s="419">
        <f>BGhoriz!AN112-BGhoriz!AO112</f>
        <v>156.59607298328774</v>
      </c>
      <c r="G14" s="419">
        <f>BGhoriz!AO112-BGhoriz!AP112</f>
        <v>156.75266905641183</v>
      </c>
      <c r="H14" s="419">
        <f>BGhoriz!AP112-BGhoriz!AQ112</f>
        <v>156.90942172531504</v>
      </c>
      <c r="I14" s="419">
        <f>BGhoriz!AQ112-BGhoriz!AR112</f>
        <v>157.06633114709985</v>
      </c>
      <c r="J14" s="419">
        <f>BGhoriz!AR112-BGhoriz!AS112</f>
        <v>157.22339747828664</v>
      </c>
      <c r="K14" s="419">
        <f>BGhoriz!AS112-BGhoriz!AT112</f>
        <v>157.38062087568687</v>
      </c>
      <c r="L14" s="419">
        <f>BGhoriz!AT112-BGhoriz!AU112</f>
        <v>157.53800149651943</v>
      </c>
      <c r="M14" s="419">
        <f>BGhoriz!AU112-BGhoriz!AV112</f>
        <v>157.69553949811962</v>
      </c>
      <c r="N14" s="419">
        <f>BGhoriz!AV112-BGhoriz!AW112</f>
        <v>157.85323503758991</v>
      </c>
      <c r="O14" s="419">
        <f>BGhoriz!AW112-BGhoriz!AX112</f>
        <v>158.01108827261487</v>
      </c>
      <c r="P14" s="420"/>
      <c r="Q14" s="420"/>
      <c r="R14" s="420"/>
    </row>
    <row r="15" spans="1:18" x14ac:dyDescent="0.25">
      <c r="A15" s="416">
        <f>BGhoriz!B122</f>
        <v>18</v>
      </c>
      <c r="B15" s="417" t="str">
        <f>BGhoriz!C122</f>
        <v>PROPIEDADES Y EQUIPO</v>
      </c>
      <c r="C15" s="418"/>
      <c r="D15" s="419">
        <f>BGhoriz!AL122-BGhoriz!AM122</f>
        <v>-139383.61000000034</v>
      </c>
      <c r="E15" s="419">
        <f>BGhoriz!AM122-BGhoriz!AN122</f>
        <v>24673.30999999959</v>
      </c>
      <c r="F15" s="419">
        <f>BGhoriz!AN122-BGhoriz!AO122</f>
        <v>26231.689999999478</v>
      </c>
      <c r="G15" s="419">
        <f>BGhoriz!AO122-BGhoriz!AP122</f>
        <v>25349.790000000969</v>
      </c>
      <c r="H15" s="419">
        <f>BGhoriz!AP122-BGhoriz!AQ122</f>
        <v>24277.559999998659</v>
      </c>
      <c r="I15" s="419">
        <f>BGhoriz!AQ122-BGhoriz!AR122</f>
        <v>25923.890000000596</v>
      </c>
      <c r="J15" s="419">
        <f>BGhoriz!AR122-BGhoriz!AS122</f>
        <v>25522.280000000261</v>
      </c>
      <c r="K15" s="419">
        <f>BGhoriz!AS122-BGhoriz!AT122</f>
        <v>19720.299999999814</v>
      </c>
      <c r="L15" s="419">
        <f>BGhoriz!AT122-BGhoriz!AU122</f>
        <v>17106.499999998137</v>
      </c>
      <c r="M15" s="419">
        <f>BGhoriz!AU122-BGhoriz!AV122</f>
        <v>22455.330000001006</v>
      </c>
      <c r="N15" s="419">
        <f>BGhoriz!AV122-BGhoriz!AW122</f>
        <v>16533.430000000633</v>
      </c>
      <c r="O15" s="419">
        <f>BGhoriz!AW122-BGhoriz!AX122</f>
        <v>21394.10000000149</v>
      </c>
      <c r="P15" s="420"/>
      <c r="Q15" s="420"/>
      <c r="R15" s="420"/>
    </row>
    <row r="16" spans="1:18" x14ac:dyDescent="0.25">
      <c r="A16" s="416">
        <f>BGhoriz!B134</f>
        <v>19</v>
      </c>
      <c r="B16" s="417" t="str">
        <f>BGhoriz!C134</f>
        <v>OTROS ACTIVOS</v>
      </c>
      <c r="C16" s="418"/>
      <c r="D16" s="419">
        <f>BGhoriz!AL134-BGhoriz!AM134</f>
        <v>230356.02801810903</v>
      </c>
      <c r="E16" s="419">
        <f>BGhoriz!AM134-BGhoriz!AN134</f>
        <v>-6507.9152467483655</v>
      </c>
      <c r="F16" s="419">
        <f>BGhoriz!AN134-BGhoriz!AO134</f>
        <v>6349.6958008985966</v>
      </c>
      <c r="G16" s="419">
        <f>BGhoriz!AO134-BGhoriz!AP134</f>
        <v>156898.84569860809</v>
      </c>
      <c r="H16" s="419">
        <f>BGhoriz!AP134-BGhoriz!AQ134</f>
        <v>-127625.03201522585</v>
      </c>
      <c r="I16" s="419">
        <f>BGhoriz!AQ134-BGhoriz!AR134</f>
        <v>45100.976811380126</v>
      </c>
      <c r="J16" s="419">
        <f>BGhoriz!AR134-BGhoriz!AS134</f>
        <v>9337.2272426160052</v>
      </c>
      <c r="K16" s="419">
        <f>BGhoriz!AS134-BGhoriz!AT134</f>
        <v>-125092.8925711466</v>
      </c>
      <c r="L16" s="419">
        <f>BGhoriz!AT134-BGhoriz!AU134</f>
        <v>-217878.87946798466</v>
      </c>
      <c r="M16" s="419">
        <f>BGhoriz!AU134-BGhoriz!AV134</f>
        <v>256038.73830831889</v>
      </c>
      <c r="N16" s="419">
        <f>BGhoriz!AV134-BGhoriz!AW134</f>
        <v>215313.63062796276</v>
      </c>
      <c r="O16" s="419">
        <f>BGhoriz!AW134-BGhoriz!AX134</f>
        <v>-1669868.0766313826</v>
      </c>
      <c r="P16" s="420"/>
      <c r="Q16" s="420"/>
      <c r="R16" s="420"/>
    </row>
    <row r="17" spans="1:15" x14ac:dyDescent="0.25">
      <c r="A17" s="404"/>
      <c r="B17" s="414" t="s">
        <v>291</v>
      </c>
      <c r="C17" s="415"/>
      <c r="D17" s="413"/>
      <c r="E17" s="413"/>
      <c r="F17" s="413"/>
      <c r="G17" s="413"/>
      <c r="H17" s="413"/>
      <c r="I17" s="413"/>
      <c r="J17" s="413"/>
      <c r="K17" s="413"/>
      <c r="L17" s="413"/>
      <c r="M17" s="413"/>
      <c r="N17" s="413"/>
      <c r="O17" s="413"/>
    </row>
    <row r="18" spans="1:15" x14ac:dyDescent="0.25">
      <c r="A18" s="416">
        <f>BGhoriz!B153</f>
        <v>21</v>
      </c>
      <c r="B18" s="417" t="str">
        <f>BGhoriz!C153</f>
        <v>OBLIGACIONES CON EL PUBLICO</v>
      </c>
      <c r="C18" s="418"/>
      <c r="D18" s="419">
        <f>BGhoriz!AM153-BGhoriz!AL153</f>
        <v>6396499.9999999851</v>
      </c>
      <c r="E18" s="419">
        <f>BGhoriz!AN153-BGhoriz!AM153</f>
        <v>6396500.0000000149</v>
      </c>
      <c r="F18" s="419">
        <f>BGhoriz!AO153-BGhoriz!AN153</f>
        <v>6396500</v>
      </c>
      <c r="G18" s="419">
        <f>BGhoriz!AP153-BGhoriz!AO153</f>
        <v>6396500.0000000149</v>
      </c>
      <c r="H18" s="419">
        <f>BGhoriz!AQ153-BGhoriz!AP153</f>
        <v>6396499.9999999851</v>
      </c>
      <c r="I18" s="419">
        <f>BGhoriz!AR153-BGhoriz!AQ153</f>
        <v>6396500.0000000149</v>
      </c>
      <c r="J18" s="419">
        <f>BGhoriz!AS153-BGhoriz!AR153</f>
        <v>6396499.9999999851</v>
      </c>
      <c r="K18" s="419">
        <f>BGhoriz!AT153-BGhoriz!AS153</f>
        <v>6396500.0000000149</v>
      </c>
      <c r="L18" s="419">
        <f>BGhoriz!AU153-BGhoriz!AT153</f>
        <v>6196500</v>
      </c>
      <c r="M18" s="419">
        <f>BGhoriz!AV153-BGhoriz!AU153</f>
        <v>6396499.9999999851</v>
      </c>
      <c r="N18" s="419">
        <f>BGhoriz!AW153-BGhoriz!AV153</f>
        <v>6396500.0000000298</v>
      </c>
      <c r="O18" s="419">
        <f>BGhoriz!AX153-BGhoriz!AW153</f>
        <v>6396499.9999999851</v>
      </c>
    </row>
    <row r="19" spans="1:15" x14ac:dyDescent="0.25">
      <c r="A19" s="416">
        <f>BGhoriz!B167</f>
        <v>23</v>
      </c>
      <c r="B19" s="417" t="str">
        <f>BGhoriz!C167</f>
        <v>OBLIGACIONES INMEDIATAS</v>
      </c>
      <c r="C19" s="418"/>
      <c r="D19" s="419">
        <f>BGhoriz!AM167-BGhoriz!AL167</f>
        <v>35976.05857142857</v>
      </c>
      <c r="E19" s="419">
        <f>BGhoriz!AN167-BGhoriz!AM167</f>
        <v>0</v>
      </c>
      <c r="F19" s="419">
        <f>BGhoriz!AO167-BGhoriz!AN167</f>
        <v>0</v>
      </c>
      <c r="G19" s="419">
        <f>BGhoriz!AP167-BGhoriz!AO167</f>
        <v>0</v>
      </c>
      <c r="H19" s="419">
        <f>BGhoriz!AQ167-BGhoriz!AP167</f>
        <v>0</v>
      </c>
      <c r="I19" s="419">
        <f>BGhoriz!AR167-BGhoriz!AQ167</f>
        <v>0</v>
      </c>
      <c r="J19" s="419">
        <f>BGhoriz!AS167-BGhoriz!AR167</f>
        <v>0</v>
      </c>
      <c r="K19" s="419">
        <f>BGhoriz!AT167-BGhoriz!AS167</f>
        <v>0</v>
      </c>
      <c r="L19" s="419">
        <f>BGhoriz!AU167-BGhoriz!AT167</f>
        <v>0</v>
      </c>
      <c r="M19" s="419">
        <f>BGhoriz!AV167-BGhoriz!AU167</f>
        <v>0</v>
      </c>
      <c r="N19" s="419">
        <f>BGhoriz!AW167-BGhoriz!AV167</f>
        <v>0</v>
      </c>
      <c r="O19" s="419">
        <f>BGhoriz!AX167-BGhoriz!AW167</f>
        <v>0</v>
      </c>
    </row>
    <row r="20" spans="1:15" x14ac:dyDescent="0.25">
      <c r="A20" s="416">
        <f>BGhoriz!B169</f>
        <v>25</v>
      </c>
      <c r="B20" s="417" t="str">
        <f>BGhoriz!C169</f>
        <v>CUENTAS POR PAGAR</v>
      </c>
      <c r="C20" s="418"/>
      <c r="D20" s="419">
        <f>BGhoriz!AM169-BGhoriz!AL169</f>
        <v>33448.953220045194</v>
      </c>
      <c r="E20" s="419">
        <f>BGhoriz!AN169-BGhoriz!AM169</f>
        <v>121033.84450849984</v>
      </c>
      <c r="F20" s="419">
        <f>BGhoriz!AO169-BGhoriz!AN169</f>
        <v>171423.66021515708</v>
      </c>
      <c r="G20" s="419">
        <f>BGhoriz!AP169-BGhoriz!AO169</f>
        <v>184680.21406215988</v>
      </c>
      <c r="H20" s="419">
        <f>BGhoriz!AQ169-BGhoriz!AP169</f>
        <v>188981.45540349744</v>
      </c>
      <c r="I20" s="419">
        <f>BGhoriz!AR169-BGhoriz!AQ169</f>
        <v>196990.65454331413</v>
      </c>
      <c r="J20" s="419">
        <f>BGhoriz!AS169-BGhoriz!AR169</f>
        <v>203970.64688889962</v>
      </c>
      <c r="K20" s="419">
        <f>BGhoriz!AT169-BGhoriz!AS169</f>
        <v>221761.55830699019</v>
      </c>
      <c r="L20" s="419">
        <f>BGhoriz!AU169-BGhoriz!AT169</f>
        <v>204899.32221739274</v>
      </c>
      <c r="M20" s="419">
        <f>BGhoriz!AV169-BGhoriz!AU169</f>
        <v>235049.64925940335</v>
      </c>
      <c r="N20" s="419">
        <f>BGhoriz!AW169-BGhoriz!AV169</f>
        <v>269311.51051632222</v>
      </c>
      <c r="O20" s="419">
        <f>BGhoriz!AX169-BGhoriz!AW169</f>
        <v>204114.41004528943</v>
      </c>
    </row>
    <row r="21" spans="1:15" x14ac:dyDescent="0.25">
      <c r="A21" s="416">
        <f>BGhoriz!B189</f>
        <v>26</v>
      </c>
      <c r="B21" s="417" t="str">
        <f>BGhoriz!C189</f>
        <v>OBLIGACIONES FINANCIERAS</v>
      </c>
      <c r="C21" s="418"/>
      <c r="D21" s="419">
        <f>BGhoriz!AM189-BGhoriz!AL189</f>
        <v>0</v>
      </c>
      <c r="E21" s="419">
        <f>BGhoriz!AN189-BGhoriz!AM189</f>
        <v>0</v>
      </c>
      <c r="F21" s="419">
        <f>BGhoriz!AO189-BGhoriz!AN189</f>
        <v>0</v>
      </c>
      <c r="G21" s="419">
        <f>BGhoriz!AP189-BGhoriz!AO189</f>
        <v>0</v>
      </c>
      <c r="H21" s="419">
        <f>BGhoriz!AQ189-BGhoriz!AP189</f>
        <v>0</v>
      </c>
      <c r="I21" s="419">
        <f>BGhoriz!AR189-BGhoriz!AQ189</f>
        <v>0</v>
      </c>
      <c r="J21" s="419">
        <f>BGhoriz!AS189-BGhoriz!AR189</f>
        <v>0</v>
      </c>
      <c r="K21" s="419">
        <f>BGhoriz!AT189-BGhoriz!AS189</f>
        <v>0</v>
      </c>
      <c r="L21" s="419">
        <f>BGhoriz!AU189-BGhoriz!AT189</f>
        <v>0</v>
      </c>
      <c r="M21" s="419">
        <f>BGhoriz!AV189-BGhoriz!AU189</f>
        <v>0</v>
      </c>
      <c r="N21" s="419">
        <f>BGhoriz!AW189-BGhoriz!AV189</f>
        <v>0</v>
      </c>
      <c r="O21" s="419">
        <f>BGhoriz!AX189-BGhoriz!AW189</f>
        <v>0</v>
      </c>
    </row>
    <row r="22" spans="1:15" x14ac:dyDescent="0.25">
      <c r="A22" s="421">
        <f>BGhoriz!B192</f>
        <v>28</v>
      </c>
      <c r="B22" s="422" t="str">
        <f>BGhoriz!C192</f>
        <v>OBLIGACIONES CONVERTIBLES EN ACCIONES Y APORTES PA</v>
      </c>
      <c r="C22" s="423"/>
      <c r="D22" s="419">
        <f>BGhoriz!AM192-BGhoriz!AL192</f>
        <v>0</v>
      </c>
      <c r="E22" s="419">
        <f>BGhoriz!AN192-BGhoriz!AM192</f>
        <v>0</v>
      </c>
      <c r="F22" s="419">
        <f>BGhoriz!AO192-BGhoriz!AN192</f>
        <v>0</v>
      </c>
      <c r="G22" s="419">
        <f>BGhoriz!AP192-BGhoriz!AO192</f>
        <v>0</v>
      </c>
      <c r="H22" s="419">
        <f>BGhoriz!AQ192-BGhoriz!AP192</f>
        <v>0</v>
      </c>
      <c r="I22" s="419">
        <f>BGhoriz!AR192-BGhoriz!AQ192</f>
        <v>0</v>
      </c>
      <c r="J22" s="419">
        <f>BGhoriz!AS192-BGhoriz!AR192</f>
        <v>0</v>
      </c>
      <c r="K22" s="419">
        <f>BGhoriz!AT192-BGhoriz!AS192</f>
        <v>0</v>
      </c>
      <c r="L22" s="419">
        <f>BGhoriz!AU192-BGhoriz!AT192</f>
        <v>0</v>
      </c>
      <c r="M22" s="419">
        <f>BGhoriz!AV192-BGhoriz!AU192</f>
        <v>0</v>
      </c>
      <c r="N22" s="419">
        <f>BGhoriz!AW192-BGhoriz!AV192</f>
        <v>0</v>
      </c>
      <c r="O22" s="419">
        <f>BGhoriz!AX192-BGhoriz!AW192</f>
        <v>0</v>
      </c>
    </row>
    <row r="23" spans="1:15" x14ac:dyDescent="0.25">
      <c r="A23" s="416">
        <f>BGhoriz!B196</f>
        <v>29</v>
      </c>
      <c r="B23" s="417" t="str">
        <f>BGhoriz!C196</f>
        <v>OTROS PASIVOS</v>
      </c>
      <c r="C23" s="418"/>
      <c r="D23" s="419">
        <f>BGhoriz!AM196-BGhoriz!AL196</f>
        <v>-177161.15050000011</v>
      </c>
      <c r="E23" s="419">
        <f>BGhoriz!AN196-BGhoriz!AM196</f>
        <v>194447.25595900009</v>
      </c>
      <c r="F23" s="419">
        <f>BGhoriz!AO196-BGhoriz!AN196</f>
        <v>49811.636717590038</v>
      </c>
      <c r="G23" s="419">
        <f>BGhoriz!AP196-BGhoriz!AO196</f>
        <v>5565.5364837658126</v>
      </c>
      <c r="H23" s="419">
        <f>BGhoriz!AQ196-BGhoriz!AP196</f>
        <v>-43202.494916396448</v>
      </c>
      <c r="I23" s="419">
        <f>BGhoriz!AR196-BGhoriz!AQ196</f>
        <v>104929.35186143965</v>
      </c>
      <c r="J23" s="419">
        <f>BGhoriz!AS196-BGhoriz!AR196</f>
        <v>28274.784380053985</v>
      </c>
      <c r="K23" s="419">
        <f>BGhoriz!AT196-BGhoriz!AS196</f>
        <v>15235.308020854485</v>
      </c>
      <c r="L23" s="419">
        <f>BGhoriz!AU196-BGhoriz!AT196</f>
        <v>-52319.597015936859</v>
      </c>
      <c r="M23" s="419">
        <f>BGhoriz!AV196-BGhoriz!AU196</f>
        <v>25631.052288903622</v>
      </c>
      <c r="N23" s="419">
        <f>BGhoriz!AW196-BGhoriz!AV196</f>
        <v>-37762.313426207285</v>
      </c>
      <c r="O23" s="419">
        <f>BGhoriz!AX196-BGhoriz!AW196</f>
        <v>5471.3122965306975</v>
      </c>
    </row>
    <row r="24" spans="1:15" x14ac:dyDescent="0.25">
      <c r="A24" s="404"/>
      <c r="B24" s="414" t="s">
        <v>412</v>
      </c>
      <c r="C24" s="415"/>
    </row>
    <row r="25" spans="1:15" x14ac:dyDescent="0.25">
      <c r="A25" s="416">
        <f>BGhoriz!B213</f>
        <v>31</v>
      </c>
      <c r="B25" s="417" t="str">
        <f>BGhoriz!C213</f>
        <v>CAPITAL SOCIAL</v>
      </c>
      <c r="C25" s="418"/>
      <c r="D25" s="419">
        <f>BGhoriz!AM213-BGhoriz!AL213</f>
        <v>0</v>
      </c>
      <c r="E25" s="419">
        <f>BGhoriz!AN213-BGhoriz!AM213</f>
        <v>0</v>
      </c>
      <c r="F25" s="419">
        <f>BGhoriz!AO213-BGhoriz!AN213</f>
        <v>0</v>
      </c>
      <c r="G25" s="419">
        <f>BGhoriz!AP213-BGhoriz!AO213</f>
        <v>0</v>
      </c>
      <c r="H25" s="419">
        <f>BGhoriz!AQ213-BGhoriz!AP213</f>
        <v>0</v>
      </c>
      <c r="I25" s="419">
        <f>BGhoriz!AR213-BGhoriz!AQ213</f>
        <v>0</v>
      </c>
      <c r="J25" s="419">
        <f>BGhoriz!AS213-BGhoriz!AR213</f>
        <v>0</v>
      </c>
      <c r="K25" s="419">
        <f>BGhoriz!AT213-BGhoriz!AS213</f>
        <v>0</v>
      </c>
      <c r="L25" s="419">
        <f>BGhoriz!AU213-BGhoriz!AT213</f>
        <v>0</v>
      </c>
      <c r="M25" s="419">
        <f>BGhoriz!AV213-BGhoriz!AU213</f>
        <v>0</v>
      </c>
      <c r="N25" s="419">
        <f>BGhoriz!AW213-BGhoriz!AV213</f>
        <v>0</v>
      </c>
      <c r="O25" s="419">
        <f>BGhoriz!AX213-BGhoriz!AW213</f>
        <v>0</v>
      </c>
    </row>
    <row r="26" spans="1:15" x14ac:dyDescent="0.25">
      <c r="A26" s="416">
        <f>BGhoriz!B220</f>
        <v>35</v>
      </c>
      <c r="B26" s="417" t="str">
        <f>BGhoriz!C220</f>
        <v>SUPERAVIT POR VALUACIONES</v>
      </c>
      <c r="C26" s="418"/>
      <c r="D26" s="419">
        <f>BGhoriz!AM220-BGhoriz!AL220</f>
        <v>0</v>
      </c>
      <c r="E26" s="419">
        <f>BGhoriz!AN220-BGhoriz!AM220</f>
        <v>0</v>
      </c>
      <c r="F26" s="419">
        <f>BGhoriz!AO220-BGhoriz!AN220</f>
        <v>0</v>
      </c>
      <c r="G26" s="419">
        <f>BGhoriz!AP220-BGhoriz!AO220</f>
        <v>0</v>
      </c>
      <c r="H26" s="419">
        <f>BGhoriz!AQ220-BGhoriz!AP220</f>
        <v>0</v>
      </c>
      <c r="I26" s="419">
        <f>BGhoriz!AR220-BGhoriz!AQ220</f>
        <v>0</v>
      </c>
      <c r="J26" s="419">
        <f>BGhoriz!AS220-BGhoriz!AR220</f>
        <v>0</v>
      </c>
      <c r="K26" s="419">
        <f>BGhoriz!AT220-BGhoriz!AS220</f>
        <v>0</v>
      </c>
      <c r="L26" s="419">
        <f>BGhoriz!AU220-BGhoriz!AT220</f>
        <v>0</v>
      </c>
      <c r="M26" s="419">
        <f>BGhoriz!AV220-BGhoriz!AU220</f>
        <v>0</v>
      </c>
      <c r="N26" s="419">
        <f>BGhoriz!AW220-BGhoriz!AV220</f>
        <v>0</v>
      </c>
      <c r="O26" s="419">
        <f>BGhoriz!AX220-BGhoriz!AW220</f>
        <v>0</v>
      </c>
    </row>
    <row r="27" spans="1:15" x14ac:dyDescent="0.25">
      <c r="A27" s="416">
        <f>BGhoriz!B223</f>
        <v>36</v>
      </c>
      <c r="B27" s="417" t="str">
        <f>BGhoriz!C223</f>
        <v>RESULTADOS</v>
      </c>
      <c r="C27" s="418"/>
      <c r="D27" s="419">
        <f>BGhoriz!AM223-BGhoriz!AL223-BGhoriz!AL228</f>
        <v>-212545.1157462718</v>
      </c>
      <c r="E27" s="419">
        <f>BGhoriz!AN223-BGhoriz!AM223</f>
        <v>42633.539889282547</v>
      </c>
      <c r="F27" s="419">
        <f>BGhoriz!AO223-BGhoriz!AN223</f>
        <v>104803.37361663207</v>
      </c>
      <c r="G27" s="419">
        <f>BGhoriz!AP223-BGhoriz!AO223</f>
        <v>119119.51757836621</v>
      </c>
      <c r="H27" s="419">
        <f>BGhoriz!AQ223-BGhoriz!AP223</f>
        <v>131289.43570798729</v>
      </c>
      <c r="I27" s="419">
        <f>BGhoriz!AR223-BGhoriz!AQ223</f>
        <v>140946.26500133146</v>
      </c>
      <c r="J27" s="419">
        <f>BGhoriz!AS223-BGhoriz!AR223</f>
        <v>153210.39989386499</v>
      </c>
      <c r="K27" s="419">
        <f>BGhoriz!AT223-BGhoriz!AS223</f>
        <v>187671.27711113263</v>
      </c>
      <c r="L27" s="419">
        <f>BGhoriz!AU223-BGhoriz!AT223</f>
        <v>168936.60644311737</v>
      </c>
      <c r="M27" s="419">
        <f>BGhoriz!AV223-BGhoriz!AU223</f>
        <v>207750.77673013043</v>
      </c>
      <c r="N27" s="419">
        <f>BGhoriz!AW223-BGhoriz!AV223</f>
        <v>216322.11204941338</v>
      </c>
      <c r="O27" s="419">
        <f>BGhoriz!AX223-BGhoriz!AW223-BRhoriz!BV202</f>
        <v>196309.16012611287</v>
      </c>
    </row>
    <row r="28" spans="1:15" x14ac:dyDescent="0.25">
      <c r="A28" s="404"/>
      <c r="B28" s="414" t="s">
        <v>876</v>
      </c>
      <c r="C28" s="415"/>
      <c r="D28" s="413"/>
      <c r="E28" s="413"/>
      <c r="F28" s="413"/>
      <c r="G28" s="413"/>
      <c r="H28" s="413"/>
      <c r="I28" s="413"/>
      <c r="J28" s="413"/>
      <c r="K28" s="413"/>
      <c r="L28" s="413"/>
      <c r="M28" s="413"/>
      <c r="N28" s="413"/>
      <c r="O28" s="413"/>
    </row>
    <row r="29" spans="1:15" x14ac:dyDescent="0.25">
      <c r="A29" s="416">
        <f>BRhoriz!B8</f>
        <v>41</v>
      </c>
      <c r="B29" s="417" t="str">
        <f>BRhoriz!C8</f>
        <v>INTERESES CAUSADOS</v>
      </c>
      <c r="C29" s="418"/>
      <c r="D29" s="419">
        <f>-BRhoriz!AY8</f>
        <v>-438058.97593954328</v>
      </c>
      <c r="E29" s="419">
        <f>-BRhoriz!AZ8</f>
        <v>-416753.22200858447</v>
      </c>
      <c r="F29" s="419">
        <f>-BRhoriz!BA8</f>
        <v>-504282.29100803658</v>
      </c>
      <c r="G29" s="419">
        <f>-BRhoriz!BB8</f>
        <v>-529806.74746027403</v>
      </c>
      <c r="H29" s="419">
        <f>-BRhoriz!BC8</f>
        <v>-590505.60607652972</v>
      </c>
      <c r="I29" s="419">
        <f>-BRhoriz!BD8</f>
        <v>-613248.66526849312</v>
      </c>
      <c r="J29" s="419">
        <f>-BRhoriz!BE8</f>
        <v>-676728.92114502285</v>
      </c>
      <c r="K29" s="419">
        <f>-BRhoriz!BF8</f>
        <v>-719840.57867926941</v>
      </c>
      <c r="L29" s="419">
        <f>-BRhoriz!BG8</f>
        <v>-738000.58307671233</v>
      </c>
      <c r="M29" s="419">
        <f>-BRhoriz!BH8</f>
        <v>-805639.23621351609</v>
      </c>
      <c r="N29" s="419">
        <f>-BRhoriz!BI8</f>
        <v>-821442.50088493153</v>
      </c>
      <c r="O29" s="419">
        <f>-BRhoriz!BJ8</f>
        <v>-891862.55128200934</v>
      </c>
    </row>
    <row r="30" spans="1:15" x14ac:dyDescent="0.25">
      <c r="A30" s="416">
        <f>BRhoriz!B16</f>
        <v>42</v>
      </c>
      <c r="B30" s="417" t="str">
        <f>BRhoriz!C16</f>
        <v>COMISIONES CAUSADAS</v>
      </c>
      <c r="C30" s="418"/>
      <c r="D30" s="419">
        <f>-BRhoriz!AY16</f>
        <v>-3957.4440000000004</v>
      </c>
      <c r="E30" s="419">
        <f>-BRhoriz!AZ16</f>
        <v>-3957.4440000000004</v>
      </c>
      <c r="F30" s="419">
        <f>-BRhoriz!BA16</f>
        <v>-3957.4440000000004</v>
      </c>
      <c r="G30" s="419">
        <f>-BRhoriz!BB16</f>
        <v>-3957.4440000000004</v>
      </c>
      <c r="H30" s="419">
        <f>-BRhoriz!BC16</f>
        <v>-3957.4440000000004</v>
      </c>
      <c r="I30" s="419">
        <f>-BRhoriz!BD16</f>
        <v>-3957.4440000000004</v>
      </c>
      <c r="J30" s="419">
        <f>-BRhoriz!BE16</f>
        <v>-3957.4440000000004</v>
      </c>
      <c r="K30" s="419">
        <f>-BRhoriz!BF16</f>
        <v>-3957.4440000000004</v>
      </c>
      <c r="L30" s="419">
        <f>-BRhoriz!BG16</f>
        <v>-3957.4440000000004</v>
      </c>
      <c r="M30" s="419">
        <f>-BRhoriz!BH16</f>
        <v>-3957.4440000000004</v>
      </c>
      <c r="N30" s="419">
        <f>-BRhoriz!BI16</f>
        <v>-3957.4440000000004</v>
      </c>
      <c r="O30" s="419">
        <f>-BRhoriz!BJ16</f>
        <v>-3957.4440000000004</v>
      </c>
    </row>
    <row r="31" spans="1:15" x14ac:dyDescent="0.25">
      <c r="A31" s="416">
        <f>BRhoriz!B18</f>
        <v>43</v>
      </c>
      <c r="B31" s="417" t="str">
        <f>BRhoriz!C18</f>
        <v>PERDIDAS FINANCIERAS</v>
      </c>
      <c r="C31" s="418"/>
      <c r="D31" s="419">
        <f>-BRhoriz!AY18</f>
        <v>-67.325000000000003</v>
      </c>
      <c r="E31" s="419">
        <f>-BRhoriz!AZ18</f>
        <v>-67.325000000000003</v>
      </c>
      <c r="F31" s="419">
        <f>-BRhoriz!BA18</f>
        <v>-67.325000000000003</v>
      </c>
      <c r="G31" s="419">
        <f>-BRhoriz!BB18</f>
        <v>-67.325000000000003</v>
      </c>
      <c r="H31" s="419">
        <f>-BRhoriz!BC18</f>
        <v>-67.325000000000003</v>
      </c>
      <c r="I31" s="419">
        <f>-BRhoriz!BD18</f>
        <v>-67.325000000000003</v>
      </c>
      <c r="J31" s="419">
        <f>-BRhoriz!BE18</f>
        <v>-67.325000000000003</v>
      </c>
      <c r="K31" s="419">
        <f>-BRhoriz!BF18</f>
        <v>-67.325000000000003</v>
      </c>
      <c r="L31" s="419">
        <f>-BRhoriz!BG18</f>
        <v>-67.325000000000003</v>
      </c>
      <c r="M31" s="419">
        <f>-BRhoriz!BH18</f>
        <v>-67.325000000000003</v>
      </c>
      <c r="N31" s="419">
        <f>-BRhoriz!BI18</f>
        <v>-67.325000000000003</v>
      </c>
      <c r="O31" s="419">
        <f>-BRhoriz!BJ18</f>
        <v>-67.325000000000003</v>
      </c>
    </row>
    <row r="32" spans="1:15" x14ac:dyDescent="0.25">
      <c r="A32" s="416">
        <f>BRhoriz!B20</f>
        <v>44</v>
      </c>
      <c r="B32" s="417" t="str">
        <f>BRhoriz!C20</f>
        <v>PROVISIONES</v>
      </c>
      <c r="C32" s="418"/>
      <c r="D32" s="419">
        <f>-BRhoriz!AY20</f>
        <v>-120761.19593276741</v>
      </c>
      <c r="E32" s="419">
        <f>-BRhoriz!AZ20</f>
        <v>-119091.5962041555</v>
      </c>
      <c r="F32" s="419">
        <f>-BRhoriz!BA20</f>
        <v>-116522.45473013984</v>
      </c>
      <c r="G32" s="419">
        <f>-BRhoriz!BB20</f>
        <v>-110293.12464595406</v>
      </c>
      <c r="H32" s="419">
        <f>-BRhoriz!BC20</f>
        <v>-113439.70686747774</v>
      </c>
      <c r="I32" s="419">
        <f>-BRhoriz!BD20</f>
        <v>-112445.72852751124</v>
      </c>
      <c r="J32" s="419">
        <f>-BRhoriz!BE20</f>
        <v>-110915.13518071771</v>
      </c>
      <c r="K32" s="419">
        <f>-BRhoriz!BF20</f>
        <v>-82509.103644482064</v>
      </c>
      <c r="L32" s="419">
        <f>-BRhoriz!BG20</f>
        <v>-66373.186719344667</v>
      </c>
      <c r="M32" s="419">
        <f>-BRhoriz!BH20</f>
        <v>-39345.120457655503</v>
      </c>
      <c r="N32" s="419">
        <f>-BRhoriz!BI20</f>
        <v>-26722.487672840805</v>
      </c>
      <c r="O32" s="419">
        <f>-BRhoriz!BJ20</f>
        <v>-33944.172659062802</v>
      </c>
    </row>
    <row r="33" spans="1:15" x14ac:dyDescent="0.25">
      <c r="A33" s="416">
        <f>BRhoriz!B30</f>
        <v>45</v>
      </c>
      <c r="B33" s="417" t="str">
        <f>BRhoriz!C30</f>
        <v>GASTOS DE OPERACION</v>
      </c>
      <c r="C33" s="418"/>
      <c r="D33" s="419">
        <f>-BRhoriz!AY30</f>
        <v>-323730.09018333338</v>
      </c>
      <c r="E33" s="419">
        <f>-BRhoriz!AZ30</f>
        <v>-323730.09018333338</v>
      </c>
      <c r="F33" s="419">
        <f>-BRhoriz!BA30</f>
        <v>-323730.09018333338</v>
      </c>
      <c r="G33" s="419">
        <f>-BRhoriz!BB30</f>
        <v>-307196.85738333338</v>
      </c>
      <c r="H33" s="419">
        <f>-BRhoriz!BC30</f>
        <v>-307196.85738333338</v>
      </c>
      <c r="I33" s="419">
        <f>-BRhoriz!BD30</f>
        <v>-307196.85738333338</v>
      </c>
      <c r="J33" s="419">
        <f>-BRhoriz!BE30</f>
        <v>-307196.85738333338</v>
      </c>
      <c r="K33" s="419">
        <f>-BRhoriz!BF30</f>
        <v>-307196.85738333338</v>
      </c>
      <c r="L33" s="419">
        <f>-BRhoriz!BG30</f>
        <v>-307196.85738333338</v>
      </c>
      <c r="M33" s="419">
        <f>-BRhoriz!BH30</f>
        <v>-307196.85738333338</v>
      </c>
      <c r="N33" s="419">
        <f>-BRhoriz!BI30</f>
        <v>-307196.85738333338</v>
      </c>
      <c r="O33" s="419">
        <f>-BRhoriz!BJ30</f>
        <v>-307196.85738333338</v>
      </c>
    </row>
    <row r="34" spans="1:15" x14ac:dyDescent="0.25">
      <c r="A34" s="416">
        <f>BRhoriz!B136</f>
        <v>46</v>
      </c>
      <c r="B34" s="417" t="str">
        <f>BRhoriz!C136</f>
        <v>OTRAS PERDIDAS OPERACIONALES</v>
      </c>
      <c r="C34" s="418"/>
      <c r="D34" s="419">
        <f>-BRhoriz!AY136</f>
        <v>0</v>
      </c>
      <c r="E34" s="419">
        <f>-BRhoriz!AZ136</f>
        <v>0</v>
      </c>
      <c r="F34" s="419">
        <f>-BRhoriz!BA136</f>
        <v>0</v>
      </c>
      <c r="G34" s="419">
        <f>-BRhoriz!BB136</f>
        <v>0</v>
      </c>
      <c r="H34" s="419">
        <f>-BRhoriz!BC136</f>
        <v>0</v>
      </c>
      <c r="I34" s="419">
        <f>-BRhoriz!BD136</f>
        <v>0</v>
      </c>
      <c r="J34" s="419">
        <f>-BRhoriz!BE136</f>
        <v>0</v>
      </c>
      <c r="K34" s="419">
        <f>-BRhoriz!BF136</f>
        <v>0</v>
      </c>
      <c r="L34" s="419">
        <f>-BRhoriz!BG136</f>
        <v>0</v>
      </c>
      <c r="M34" s="419">
        <f>-BRhoriz!BH136</f>
        <v>0</v>
      </c>
      <c r="N34" s="419">
        <f>-BRhoriz!BI136</f>
        <v>0</v>
      </c>
      <c r="O34" s="419">
        <f>-BRhoriz!BJ136</f>
        <v>0</v>
      </c>
    </row>
    <row r="35" spans="1:15" x14ac:dyDescent="0.25">
      <c r="A35" s="416">
        <f>BRhoriz!B139</f>
        <v>47</v>
      </c>
      <c r="B35" s="417" t="str">
        <f>BRhoriz!C139</f>
        <v>OTROS GASTOS Y PERDIDAS</v>
      </c>
      <c r="C35" s="418"/>
      <c r="D35" s="419">
        <f>-BRhoriz!AY139</f>
        <v>-94072.42</v>
      </c>
      <c r="E35" s="419">
        <f>-BRhoriz!AZ139</f>
        <v>-94072.42</v>
      </c>
      <c r="F35" s="419">
        <f>-BRhoriz!BA139</f>
        <v>-24072.423999999999</v>
      </c>
      <c r="G35" s="419">
        <f>-BRhoriz!BB139</f>
        <v>-24072.423999999999</v>
      </c>
      <c r="H35" s="419">
        <f>-BRhoriz!BC139</f>
        <v>-24072.423999999999</v>
      </c>
      <c r="I35" s="419">
        <f>-BRhoriz!BD139</f>
        <v>-24072.423999999999</v>
      </c>
      <c r="J35" s="419">
        <f>-BRhoriz!BE139</f>
        <v>-24072.423999999999</v>
      </c>
      <c r="K35" s="419">
        <f>-BRhoriz!BF139</f>
        <v>-24072.423999999999</v>
      </c>
      <c r="L35" s="419">
        <f>-BRhoriz!BG139</f>
        <v>-94072.42</v>
      </c>
      <c r="M35" s="419">
        <f>-BRhoriz!BH139</f>
        <v>-94072.42</v>
      </c>
      <c r="N35" s="419">
        <f>-BRhoriz!BI139</f>
        <v>-94072.42</v>
      </c>
      <c r="O35" s="419">
        <f>-BRhoriz!BJ139</f>
        <v>-94072.42</v>
      </c>
    </row>
    <row r="36" spans="1:15" x14ac:dyDescent="0.25">
      <c r="A36" s="416">
        <f>BRhoriz!B145</f>
        <v>48</v>
      </c>
      <c r="B36" s="417" t="str">
        <f>BRhoriz!C145</f>
        <v>IMPUESTOS Y PARTICIPACION A EMPLEADOS</v>
      </c>
      <c r="C36" s="418"/>
      <c r="D36" s="419">
        <f>-BRhoriz!AY145</f>
        <v>-19942.594197561284</v>
      </c>
      <c r="E36" s="419">
        <f>-BRhoriz!AZ145</f>
        <v>-24074.847206013557</v>
      </c>
      <c r="F36" s="419">
        <f>-BRhoriz!BA145</f>
        <v>-59426.321286270875</v>
      </c>
      <c r="G36" s="419">
        <f>-BRhoriz!BB145</f>
        <v>-68772.815716350757</v>
      </c>
      <c r="H36" s="419">
        <f>-BRhoriz!BC145</f>
        <v>-76165.792116036901</v>
      </c>
      <c r="I36" s="419">
        <f>-BRhoriz!BD145</f>
        <v>-81184.103466663248</v>
      </c>
      <c r="J36" s="419">
        <f>-BRhoriz!BE145</f>
        <v>-88157.827229085</v>
      </c>
      <c r="K36" s="419">
        <f>-BRhoriz!BF145</f>
        <v>-110328.72887468839</v>
      </c>
      <c r="L36" s="419">
        <f>-BRhoriz!BG145</f>
        <v>-97100.179972779035</v>
      </c>
      <c r="M36" s="419">
        <f>-BRhoriz!BH145</f>
        <v>-119170.98268499976</v>
      </c>
      <c r="N36" s="419">
        <f>-BRhoriz!BI145</f>
        <v>-124044.87923910271</v>
      </c>
      <c r="O36" s="419">
        <f>-BRhoriz!BJ145</f>
        <v>-112664.96540036311</v>
      </c>
    </row>
    <row r="37" spans="1:15" x14ac:dyDescent="0.25">
      <c r="A37" s="404"/>
      <c r="B37" s="414" t="s">
        <v>555</v>
      </c>
      <c r="C37" s="415"/>
      <c r="D37" s="413"/>
      <c r="E37" s="413"/>
      <c r="F37" s="413"/>
      <c r="G37" s="413"/>
      <c r="H37" s="413"/>
      <c r="I37" s="413"/>
      <c r="J37" s="413"/>
      <c r="K37" s="413"/>
      <c r="L37" s="413"/>
      <c r="M37" s="413"/>
      <c r="N37" s="413"/>
      <c r="O37" s="413"/>
    </row>
    <row r="38" spans="1:15" x14ac:dyDescent="0.25">
      <c r="A38" s="416">
        <f>BRhoriz!B149</f>
        <v>51</v>
      </c>
      <c r="B38" s="417" t="str">
        <f>BRhoriz!C149</f>
        <v>INTERESES Y DESCUENTOS GANADOS</v>
      </c>
      <c r="C38" s="418"/>
      <c r="D38" s="419">
        <f>BRhoriz!AY149</f>
        <v>707419.01598410879</v>
      </c>
      <c r="E38" s="419">
        <f>BRhoriz!AZ149</f>
        <v>689890.57170136948</v>
      </c>
      <c r="F38" s="419">
        <f>BRhoriz!BA149</f>
        <v>796607.42792372056</v>
      </c>
      <c r="G38" s="419">
        <f>BRhoriz!BB149</f>
        <v>819825.07535612909</v>
      </c>
      <c r="H38" s="419">
        <f>BRhoriz!BC149</f>
        <v>898523.58688649</v>
      </c>
      <c r="I38" s="419">
        <f>BRhoriz!BD149</f>
        <v>928645.94340421446</v>
      </c>
      <c r="J38" s="419">
        <f>BRhoriz!BE149</f>
        <v>1004474.7696601488</v>
      </c>
      <c r="K38" s="419">
        <f>BRhoriz!BF149</f>
        <v>1075092.5828497566</v>
      </c>
      <c r="L38" s="419">
        <f>BRhoriz!BG149</f>
        <v>1099948.3854193476</v>
      </c>
      <c r="M38" s="419">
        <f>BRhoriz!BH149</f>
        <v>1196508.0290383836</v>
      </c>
      <c r="N38" s="419">
        <f>BRhoriz!BI149</f>
        <v>1198237.8807955468</v>
      </c>
      <c r="O38" s="419">
        <f>BRhoriz!BJ149</f>
        <v>1289691.2050224645</v>
      </c>
    </row>
    <row r="39" spans="1:15" x14ac:dyDescent="0.25">
      <c r="A39" s="416">
        <f>BRhoriz!B174</f>
        <v>53</v>
      </c>
      <c r="B39" s="417" t="str">
        <f>BRhoriz!C174</f>
        <v>UTILIDADES FINANCIERAS</v>
      </c>
      <c r="C39" s="418"/>
      <c r="D39" s="419">
        <f>BRhoriz!AY174</f>
        <v>150000</v>
      </c>
      <c r="E39" s="419">
        <f>BRhoriz!AZ174</f>
        <v>150000</v>
      </c>
      <c r="F39" s="419">
        <f>BRhoriz!BA174</f>
        <v>150000</v>
      </c>
      <c r="G39" s="419">
        <f>BRhoriz!BB174</f>
        <v>150000</v>
      </c>
      <c r="H39" s="419">
        <f>BRhoriz!BC174</f>
        <v>150000</v>
      </c>
      <c r="I39" s="419">
        <f>BRhoriz!BD174</f>
        <v>150000</v>
      </c>
      <c r="J39" s="419">
        <f>BRhoriz!BE174</f>
        <v>150000</v>
      </c>
      <c r="K39" s="419">
        <f>BRhoriz!BF174</f>
        <v>150000</v>
      </c>
      <c r="L39" s="419">
        <f>BRhoriz!BG174</f>
        <v>150000</v>
      </c>
      <c r="M39" s="419">
        <f>BRhoriz!BH174</f>
        <v>150000</v>
      </c>
      <c r="N39" s="419">
        <f>BRhoriz!BI174</f>
        <v>150000</v>
      </c>
      <c r="O39" s="419">
        <f>BRhoriz!BJ174</f>
        <v>150000</v>
      </c>
    </row>
    <row r="40" spans="1:15" x14ac:dyDescent="0.25">
      <c r="A40" s="416">
        <f>BRhoriz!B179</f>
        <v>54</v>
      </c>
      <c r="B40" s="417" t="str">
        <f>BRhoriz!C179</f>
        <v>INGRESOS POR SERVICIOS</v>
      </c>
      <c r="C40" s="418"/>
      <c r="D40" s="419">
        <f>BRhoriz!AY179</f>
        <v>11940.682000000001</v>
      </c>
      <c r="E40" s="419">
        <f>BRhoriz!AZ179</f>
        <v>11940.682000000001</v>
      </c>
      <c r="F40" s="419">
        <f>BRhoriz!BA179</f>
        <v>11940.682000000001</v>
      </c>
      <c r="G40" s="419">
        <f>BRhoriz!BB179</f>
        <v>11940.682000000001</v>
      </c>
      <c r="H40" s="419">
        <f>BRhoriz!BC179</f>
        <v>11940.682000000001</v>
      </c>
      <c r="I40" s="419">
        <f>BRhoriz!BD179</f>
        <v>11940.682000000001</v>
      </c>
      <c r="J40" s="419">
        <f>BRhoriz!BE179</f>
        <v>11940.682000000001</v>
      </c>
      <c r="K40" s="419">
        <f>BRhoriz!BF179</f>
        <v>11940.682000000001</v>
      </c>
      <c r="L40" s="419">
        <f>BRhoriz!BG179</f>
        <v>11940.682000000001</v>
      </c>
      <c r="M40" s="419">
        <f>BRhoriz!BH179</f>
        <v>11940.682000000001</v>
      </c>
      <c r="N40" s="419">
        <f>BRhoriz!BI179</f>
        <v>11940.682000000001</v>
      </c>
      <c r="O40" s="419">
        <f>BRhoriz!BJ179</f>
        <v>11940.682000000001</v>
      </c>
    </row>
    <row r="41" spans="1:15" x14ac:dyDescent="0.25">
      <c r="A41" s="416">
        <f>BRhoriz!B188</f>
        <v>55</v>
      </c>
      <c r="B41" s="417" t="str">
        <f>BRhoriz!C188</f>
        <v>OTROS INGRESOS OPERACIONALES</v>
      </c>
      <c r="C41" s="418"/>
      <c r="D41" s="419">
        <f>BRhoriz!AY188</f>
        <v>62369.412863658334</v>
      </c>
      <c r="E41" s="419">
        <f>BRhoriz!AZ188</f>
        <v>68321.822130833316</v>
      </c>
      <c r="F41" s="419">
        <f>BRhoriz!BA188</f>
        <v>74086.205241524993</v>
      </c>
      <c r="G41" s="419">
        <f>BRhoriz!BB188</f>
        <v>79413.884287733337</v>
      </c>
      <c r="H41" s="419">
        <f>BRhoriz!BC188</f>
        <v>84955.231249458317</v>
      </c>
      <c r="I41" s="419">
        <f>BRhoriz!BD188</f>
        <v>90425.573102699986</v>
      </c>
      <c r="J41" s="419">
        <f>BRhoriz!BE188</f>
        <v>95784.268031458298</v>
      </c>
      <c r="K41" s="419">
        <f>BRhoriz!BF188</f>
        <v>101033.18882773333</v>
      </c>
      <c r="L41" s="419">
        <f>BRhoriz!BG188</f>
        <v>106152.15103552504</v>
      </c>
      <c r="M41" s="419">
        <f>BRhoriz!BH188</f>
        <v>111088.06729083332</v>
      </c>
      <c r="N41" s="419">
        <f>BRhoriz!BI188</f>
        <v>115984.07929365833</v>
      </c>
      <c r="O41" s="419">
        <f>BRhoriz!BJ188</f>
        <v>120779.62468800001</v>
      </c>
    </row>
    <row r="42" spans="1:15" x14ac:dyDescent="0.25">
      <c r="A42" s="416">
        <f>BRhoriz!B190</f>
        <v>56</v>
      </c>
      <c r="B42" s="417" t="str">
        <f>BRhoriz!C190</f>
        <v>OTROS INGRESOS</v>
      </c>
      <c r="C42" s="418"/>
      <c r="D42" s="419">
        <f>BRhoriz!AY190</f>
        <v>103932.39316666665</v>
      </c>
      <c r="E42" s="419">
        <f>BRhoriz!AZ190</f>
        <v>103932.39316666665</v>
      </c>
      <c r="F42" s="419">
        <f>BRhoriz!BA190</f>
        <v>103932.39316666665</v>
      </c>
      <c r="G42" s="419">
        <f>BRhoriz!BB190</f>
        <v>103932.39316666665</v>
      </c>
      <c r="H42" s="419">
        <f>BRhoriz!BC190</f>
        <v>103932.39316666665</v>
      </c>
      <c r="I42" s="419">
        <f>BRhoriz!BD190</f>
        <v>103932.39316666665</v>
      </c>
      <c r="J42" s="419">
        <f>BRhoriz!BE190</f>
        <v>103932.39316666665</v>
      </c>
      <c r="K42" s="419">
        <f>BRhoriz!BF190</f>
        <v>103932.39316666665</v>
      </c>
      <c r="L42" s="419">
        <f>BRhoriz!BG190</f>
        <v>109489.16316666667</v>
      </c>
      <c r="M42" s="419">
        <f>BRhoriz!BH190</f>
        <v>109489.16316666667</v>
      </c>
      <c r="N42" s="419">
        <f>BRhoriz!BI190</f>
        <v>119489.16316666667</v>
      </c>
      <c r="O42" s="419">
        <f>BRhoriz!BJ190</f>
        <v>69489.163166666665</v>
      </c>
    </row>
    <row r="43" spans="1:15" x14ac:dyDescent="0.25">
      <c r="A43" s="404"/>
      <c r="B43" s="405"/>
      <c r="C43" s="405"/>
    </row>
    <row r="44" spans="1:15" x14ac:dyDescent="0.25">
      <c r="A44" s="404"/>
      <c r="B44" s="411" t="s">
        <v>877</v>
      </c>
      <c r="C44" s="411"/>
      <c r="D44" s="412">
        <f t="shared" ref="D44:K44" si="3">SUM(D9:D42)</f>
        <v>12412001.080239451</v>
      </c>
      <c r="E44" s="412">
        <f t="shared" si="3"/>
        <v>13067925.566291388</v>
      </c>
      <c r="F44" s="412">
        <f t="shared" si="3"/>
        <v>13539374.814814894</v>
      </c>
      <c r="G44" s="412">
        <f t="shared" si="3"/>
        <v>14647420.994422805</v>
      </c>
      <c r="H44" s="412">
        <f t="shared" si="3"/>
        <v>14946658.993875077</v>
      </c>
      <c r="I44" s="412">
        <f t="shared" si="3"/>
        <v>15545572.809790259</v>
      </c>
      <c r="J44" s="412">
        <f t="shared" si="3"/>
        <v>16251561.123585057</v>
      </c>
      <c r="K44" s="412">
        <f t="shared" si="3"/>
        <v>18105282.38814098</v>
      </c>
      <c r="L44" s="412">
        <f>SUM(L9:L42)</f>
        <v>18439576.826469861</v>
      </c>
      <c r="M44" s="412">
        <f>SUM(M9:M42)</f>
        <v>19815644.109898593</v>
      </c>
      <c r="N44" s="412">
        <f>SUM(N9:N42)</f>
        <v>20949134.842604082</v>
      </c>
      <c r="O44" s="412">
        <f>SUM(O9:O42)</f>
        <v>21453507.910685185</v>
      </c>
    </row>
    <row r="45" spans="1:15" x14ac:dyDescent="0.25">
      <c r="A45" s="404"/>
      <c r="B45" s="405"/>
      <c r="C45" s="405"/>
      <c r="D45" s="413"/>
      <c r="E45" s="413"/>
      <c r="F45" s="413"/>
      <c r="G45" s="413"/>
      <c r="H45" s="413"/>
      <c r="I45" s="413"/>
      <c r="J45" s="413"/>
      <c r="K45" s="413"/>
      <c r="L45" s="413"/>
      <c r="M45" s="413"/>
      <c r="N45" s="413"/>
      <c r="O45" s="413"/>
    </row>
    <row r="46" spans="1:15" x14ac:dyDescent="0.25">
      <c r="A46" s="407">
        <v>11</v>
      </c>
      <c r="B46" s="408" t="s">
        <v>80</v>
      </c>
      <c r="C46" s="408"/>
      <c r="D46" s="409">
        <f>BGhoriz!AM6</f>
        <v>4832852.8783030566</v>
      </c>
      <c r="E46" s="409">
        <f>BGhoriz!AN6</f>
        <v>5768827.0510733137</v>
      </c>
      <c r="F46" s="409">
        <f>BGhoriz!AO6</f>
        <v>5905297.5510705039</v>
      </c>
      <c r="G46" s="409">
        <f>BGhoriz!AP6</f>
        <v>5932709.8439351255</v>
      </c>
      <c r="H46" s="409">
        <f>BGhoriz!AQ6</f>
        <v>6786992.602239673</v>
      </c>
      <c r="I46" s="409">
        <f>BGhoriz!AR6</f>
        <v>6451153.7762577487</v>
      </c>
      <c r="J46" s="409">
        <f>BGhoriz!AS6</f>
        <v>6515681.237046483</v>
      </c>
      <c r="K46" s="409">
        <f>BGhoriz!AT6</f>
        <v>6227035.6951325573</v>
      </c>
      <c r="L46" s="409">
        <f>BGhoriz!AU6</f>
        <v>6240232.3597981725</v>
      </c>
      <c r="M46" s="409">
        <f>BGhoriz!AV6</f>
        <v>6575121.4397907564</v>
      </c>
      <c r="N46" s="409">
        <f>BGhoriz!AW6</f>
        <v>7445984.2136263074</v>
      </c>
      <c r="O46" s="409">
        <f>BGhoriz!AX6</f>
        <v>8116267.3890738869</v>
      </c>
    </row>
    <row r="47" spans="1:15" x14ac:dyDescent="0.25">
      <c r="A47" s="407">
        <v>13</v>
      </c>
      <c r="B47" s="408" t="s">
        <v>94</v>
      </c>
      <c r="C47" s="408"/>
      <c r="D47" s="409">
        <f>BGhoriz!AM20</f>
        <v>6212324.5199999986</v>
      </c>
      <c r="E47" s="409">
        <f>BGhoriz!AN20</f>
        <v>5602025.54</v>
      </c>
      <c r="F47" s="409">
        <f>BGhoriz!AO20</f>
        <v>6026932.9099999992</v>
      </c>
      <c r="G47" s="409">
        <f>BGhoriz!AP20</f>
        <v>6838671.7600000007</v>
      </c>
      <c r="H47" s="409">
        <f>BGhoriz!AQ20</f>
        <v>6223039.0300000003</v>
      </c>
      <c r="I47" s="409">
        <f>BGhoriz!AR20</f>
        <v>7237293.5899999999</v>
      </c>
      <c r="J47" s="409">
        <f>BGhoriz!AS20</f>
        <v>8925517.4600000009</v>
      </c>
      <c r="K47" s="409">
        <f>BGhoriz!AT20</f>
        <v>9941448.2000000011</v>
      </c>
      <c r="L47" s="409">
        <f>BGhoriz!AU20</f>
        <v>10282584.76</v>
      </c>
      <c r="M47" s="409">
        <f>BGhoriz!AV20</f>
        <v>11247615.579999998</v>
      </c>
      <c r="N47" s="409">
        <f>BGhoriz!AW20</f>
        <v>12086781.42</v>
      </c>
      <c r="O47" s="409">
        <f>BGhoriz!AX20</f>
        <v>11119798.34</v>
      </c>
    </row>
    <row r="48" spans="1:15" x14ac:dyDescent="0.25">
      <c r="A48" s="410"/>
      <c r="B48" s="411" t="s">
        <v>877</v>
      </c>
      <c r="C48" s="411"/>
      <c r="D48" s="412">
        <f t="shared" ref="D48:K48" si="4">SUM(D46:D47)</f>
        <v>11045177.398303054</v>
      </c>
      <c r="E48" s="412">
        <f t="shared" si="4"/>
        <v>11370852.591073314</v>
      </c>
      <c r="F48" s="412">
        <f t="shared" si="4"/>
        <v>11932230.461070504</v>
      </c>
      <c r="G48" s="412">
        <f t="shared" si="4"/>
        <v>12771381.603935126</v>
      </c>
      <c r="H48" s="412">
        <f t="shared" si="4"/>
        <v>13010031.632239673</v>
      </c>
      <c r="I48" s="412">
        <f t="shared" si="4"/>
        <v>13688447.366257749</v>
      </c>
      <c r="J48" s="412">
        <f t="shared" si="4"/>
        <v>15441198.697046485</v>
      </c>
      <c r="K48" s="412">
        <f t="shared" si="4"/>
        <v>16168483.895132558</v>
      </c>
      <c r="L48" s="412">
        <f>SUM(L46:L47)</f>
        <v>16522817.119798172</v>
      </c>
      <c r="M48" s="412">
        <f>SUM(M46:M47)</f>
        <v>17822737.019790754</v>
      </c>
      <c r="N48" s="412">
        <f t="shared" ref="N48:O48" si="5">SUM(N46:N47)</f>
        <v>19532765.633626308</v>
      </c>
      <c r="O48" s="412">
        <f t="shared" si="5"/>
        <v>19236065.729073886</v>
      </c>
    </row>
    <row r="50" spans="2:15" x14ac:dyDescent="0.25">
      <c r="B50" s="408" t="s">
        <v>878</v>
      </c>
      <c r="C50" s="408"/>
      <c r="D50" s="412">
        <f t="shared" ref="D50:K50" si="6">D48-D9</f>
        <v>-204354.27169694565</v>
      </c>
      <c r="E50" s="412">
        <f t="shared" si="6"/>
        <v>325675.19277025945</v>
      </c>
      <c r="F50" s="412">
        <f t="shared" si="6"/>
        <v>561377.86999719031</v>
      </c>
      <c r="G50" s="412">
        <f t="shared" si="6"/>
        <v>839151.14286462218</v>
      </c>
      <c r="H50" s="412">
        <f t="shared" si="6"/>
        <v>238650.02830454707</v>
      </c>
      <c r="I50" s="412">
        <f t="shared" si="6"/>
        <v>678415.73401807621</v>
      </c>
      <c r="J50" s="412">
        <f t="shared" si="6"/>
        <v>1752751.3307887353</v>
      </c>
      <c r="K50" s="412">
        <f t="shared" si="6"/>
        <v>727285.19808607362</v>
      </c>
      <c r="L50" s="412">
        <f>L48-L9</f>
        <v>354333.22466561384</v>
      </c>
      <c r="M50" s="412">
        <f>M48-M9</f>
        <v>1299919.8999925815</v>
      </c>
      <c r="N50" s="412">
        <f>N48-N9</f>
        <v>1710028.6138355546</v>
      </c>
      <c r="O50" s="412">
        <f>O48-O9</f>
        <v>-296699.90455242246</v>
      </c>
    </row>
    <row r="51" spans="2:15" x14ac:dyDescent="0.25">
      <c r="B51" s="408" t="s">
        <v>879</v>
      </c>
      <c r="C51" s="408"/>
      <c r="D51" s="412">
        <f>SUM(D$50:$K50)</f>
        <v>4918952.2251325585</v>
      </c>
      <c r="E51" s="412">
        <f>SUM(E$50:$K50)</f>
        <v>5123306.4968295041</v>
      </c>
      <c r="F51" s="412">
        <f>SUM(F$50:$K50)</f>
        <v>4797631.3040592447</v>
      </c>
      <c r="G51" s="412">
        <f>SUM(G$50:$K50)</f>
        <v>4236253.4340620544</v>
      </c>
      <c r="H51" s="412">
        <f>SUM(H$50:$K50)</f>
        <v>3397102.2911974322</v>
      </c>
      <c r="I51" s="412">
        <f>SUM(I$50:$K50)</f>
        <v>3158452.2628928851</v>
      </c>
      <c r="J51" s="412">
        <f>SUM(J$50:$K50)</f>
        <v>2480036.5288748089</v>
      </c>
      <c r="K51" s="412">
        <f>SUM($K$50:K50)</f>
        <v>727285.19808607362</v>
      </c>
      <c r="L51" s="412">
        <f>SUM($K$50:L50)</f>
        <v>1081618.4227516875</v>
      </c>
      <c r="M51" s="412">
        <f>SUM($K$50:M50)</f>
        <v>2381538.3227442689</v>
      </c>
      <c r="N51" s="412">
        <f>SUM($K$50:N50)</f>
        <v>4091566.9365798235</v>
      </c>
      <c r="O51" s="412">
        <f>SUM($K$50:O50)</f>
        <v>3794867.032027401</v>
      </c>
    </row>
    <row r="52" spans="2:15" x14ac:dyDescent="0.25">
      <c r="B52" s="406"/>
      <c r="C52" s="406"/>
      <c r="D52" s="420"/>
      <c r="E52" s="420"/>
      <c r="F52" s="420"/>
      <c r="G52" s="420"/>
      <c r="H52" s="420"/>
      <c r="I52" s="420"/>
      <c r="J52" s="420"/>
      <c r="K52" s="420"/>
      <c r="L52" s="420"/>
      <c r="M52" s="420"/>
      <c r="N52" s="420"/>
      <c r="O52" s="420"/>
    </row>
    <row r="53" spans="2:15" s="424" customFormat="1" ht="11.25" customHeight="1" x14ac:dyDescent="0.2">
      <c r="B53" s="425" t="s">
        <v>679</v>
      </c>
      <c r="C53" s="425"/>
      <c r="D53" s="426">
        <f>IF((D48-D44)&gt;5000,(D48-D44),0)</f>
        <v>0</v>
      </c>
      <c r="E53" s="426">
        <f t="shared" ref="E53:O53" si="7">IF((E48-E44)&gt;5000,(E48-E44),0)</f>
        <v>0</v>
      </c>
      <c r="F53" s="426">
        <f t="shared" si="7"/>
        <v>0</v>
      </c>
      <c r="G53" s="426">
        <f t="shared" si="7"/>
        <v>0</v>
      </c>
      <c r="H53" s="426">
        <f t="shared" si="7"/>
        <v>0</v>
      </c>
      <c r="I53" s="426">
        <f t="shared" si="7"/>
        <v>0</v>
      </c>
      <c r="J53" s="426">
        <f t="shared" si="7"/>
        <v>0</v>
      </c>
      <c r="K53" s="426">
        <f t="shared" si="7"/>
        <v>0</v>
      </c>
      <c r="L53" s="426">
        <f t="shared" si="7"/>
        <v>0</v>
      </c>
      <c r="M53" s="426">
        <f t="shared" si="7"/>
        <v>0</v>
      </c>
      <c r="N53" s="426">
        <f t="shared" si="7"/>
        <v>0</v>
      </c>
      <c r="O53" s="426">
        <f t="shared" si="7"/>
        <v>0</v>
      </c>
    </row>
  </sheetData>
  <pageMargins left="0.70866141732283472" right="0.70866141732283472" top="0.74803149606299213" bottom="0.74803149606299213" header="0.31496062992125984" footer="0.31496062992125984"/>
  <pageSetup paperSize="9" scale="24" orientation="portrait" useFirstPageNumber="1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S17"/>
  <sheetViews>
    <sheetView zoomScaleNormal="100" workbookViewId="0">
      <selection activeCell="B7" sqref="B7"/>
    </sheetView>
  </sheetViews>
  <sheetFormatPr baseColWidth="10" defaultColWidth="11.42578125" defaultRowHeight="15" x14ac:dyDescent="0.25"/>
  <cols>
    <col min="1" max="1" width="10.140625" style="1011" customWidth="1"/>
    <col min="3" max="3" width="9.5703125" customWidth="1"/>
    <col min="4" max="4" width="10.85546875" customWidth="1"/>
    <col min="5" max="5" width="9.5703125" customWidth="1"/>
    <col min="6" max="6" width="5" customWidth="1"/>
    <col min="7" max="7" width="8.7109375" customWidth="1"/>
    <col min="9" max="10" width="10" customWidth="1"/>
    <col min="12" max="12" width="9.28515625" customWidth="1"/>
    <col min="13" max="13" width="8.7109375" customWidth="1"/>
    <col min="14" max="18" width="9.5703125" customWidth="1"/>
    <col min="19" max="19" width="12.42578125" customWidth="1"/>
  </cols>
  <sheetData>
    <row r="1" spans="1:19" x14ac:dyDescent="0.25">
      <c r="A1" s="1007" t="s">
        <v>880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8">
        <v>720</v>
      </c>
      <c r="O1" s="429">
        <f>+N1+360</f>
        <v>1080</v>
      </c>
      <c r="P1" s="429">
        <f>+O1+360</f>
        <v>1440</v>
      </c>
      <c r="Q1" s="429">
        <f>+P1+360</f>
        <v>1800</v>
      </c>
      <c r="R1" s="429">
        <f>+Q1+360</f>
        <v>2160</v>
      </c>
      <c r="S1" s="430"/>
    </row>
    <row r="2" spans="1:19" x14ac:dyDescent="0.25">
      <c r="A2" s="1007" t="s">
        <v>881</v>
      </c>
      <c r="B2" s="431" t="s">
        <v>882</v>
      </c>
      <c r="C2" s="431" t="s">
        <v>883</v>
      </c>
      <c r="D2" s="431" t="s">
        <v>884</v>
      </c>
      <c r="E2" s="431" t="s">
        <v>885</v>
      </c>
      <c r="F2" s="431" t="s">
        <v>886</v>
      </c>
      <c r="G2" s="431" t="s">
        <v>887</v>
      </c>
      <c r="H2" s="427" t="s">
        <v>888</v>
      </c>
      <c r="I2" s="427" t="s">
        <v>889</v>
      </c>
      <c r="J2" s="427" t="s">
        <v>890</v>
      </c>
      <c r="K2" s="427" t="s">
        <v>891</v>
      </c>
      <c r="L2" s="427" t="s">
        <v>892</v>
      </c>
      <c r="M2" s="427" t="s">
        <v>893</v>
      </c>
      <c r="N2" s="428">
        <v>2025</v>
      </c>
      <c r="O2" s="428">
        <v>2026</v>
      </c>
      <c r="P2" s="428">
        <v>2027</v>
      </c>
      <c r="Q2" s="428">
        <v>2028</v>
      </c>
      <c r="R2" s="428">
        <v>2029</v>
      </c>
      <c r="S2" s="430"/>
    </row>
    <row r="3" spans="1:19" x14ac:dyDescent="0.25">
      <c r="A3" s="1008">
        <v>494652.44</v>
      </c>
      <c r="B3" s="433"/>
      <c r="C3" s="433"/>
      <c r="D3" s="433"/>
      <c r="E3" s="433"/>
      <c r="F3" s="433"/>
      <c r="G3" s="433"/>
      <c r="H3" s="434"/>
      <c r="I3" s="434"/>
      <c r="J3" s="434"/>
      <c r="K3" s="434"/>
      <c r="L3" s="434"/>
      <c r="M3" s="434"/>
      <c r="N3" s="435"/>
      <c r="O3" s="435"/>
      <c r="P3" s="435"/>
      <c r="Q3" s="435"/>
      <c r="R3" s="435"/>
      <c r="S3" s="436"/>
    </row>
    <row r="4" spans="1:19" x14ac:dyDescent="0.25">
      <c r="A4" s="1008">
        <v>494427.08</v>
      </c>
      <c r="B4" s="437"/>
      <c r="C4" s="437"/>
      <c r="D4" s="437"/>
      <c r="E4" s="437"/>
      <c r="F4" s="437"/>
      <c r="G4" s="437"/>
      <c r="H4" s="435"/>
      <c r="I4" s="435"/>
      <c r="J4" s="435"/>
      <c r="K4" s="435"/>
      <c r="L4" s="435"/>
      <c r="M4" s="435"/>
      <c r="N4" s="435"/>
      <c r="O4" s="435"/>
      <c r="P4" s="435"/>
      <c r="Q4" s="435"/>
      <c r="R4" s="435"/>
      <c r="S4" s="438"/>
    </row>
    <row r="5" spans="1:19" x14ac:dyDescent="0.25">
      <c r="A5" s="1008">
        <v>493865.87</v>
      </c>
      <c r="B5" s="437"/>
      <c r="C5" s="437"/>
      <c r="D5" s="437"/>
      <c r="E5" s="437"/>
      <c r="F5" s="437"/>
      <c r="G5" s="437"/>
      <c r="H5" s="435"/>
      <c r="I5" s="435"/>
      <c r="J5" s="435"/>
      <c r="K5" s="435"/>
      <c r="L5" s="435"/>
      <c r="M5" s="435"/>
      <c r="N5" s="435"/>
      <c r="O5" s="435"/>
      <c r="P5" s="435"/>
      <c r="Q5" s="435"/>
      <c r="R5" s="435"/>
      <c r="S5" s="438"/>
    </row>
    <row r="6" spans="1:19" x14ac:dyDescent="0.25">
      <c r="A6" s="1008">
        <v>295850.08</v>
      </c>
      <c r="B6" s="437"/>
      <c r="C6" s="437"/>
      <c r="D6" s="437"/>
      <c r="E6" s="437"/>
      <c r="F6" s="437"/>
      <c r="G6" s="437"/>
      <c r="H6" s="435"/>
      <c r="I6" s="435"/>
      <c r="J6" s="435"/>
      <c r="K6" s="435"/>
      <c r="L6" s="435"/>
      <c r="M6" s="435"/>
      <c r="N6" s="435"/>
      <c r="O6" s="435"/>
      <c r="P6" s="435"/>
      <c r="Q6" s="435"/>
      <c r="R6" s="435"/>
      <c r="S6" s="438"/>
    </row>
    <row r="7" spans="1:19" x14ac:dyDescent="0.25">
      <c r="A7" s="1008">
        <v>275714.96999999997</v>
      </c>
      <c r="B7" s="437"/>
      <c r="C7" s="437"/>
      <c r="D7" s="437"/>
      <c r="E7" s="437"/>
      <c r="F7" s="437"/>
      <c r="G7" s="437"/>
      <c r="H7" s="435"/>
      <c r="I7" s="435"/>
      <c r="J7" s="435"/>
      <c r="K7" s="435"/>
      <c r="L7" s="435"/>
      <c r="M7" s="435"/>
      <c r="N7" s="435"/>
      <c r="O7" s="435"/>
      <c r="P7" s="435"/>
      <c r="Q7" s="435"/>
      <c r="R7" s="435"/>
      <c r="S7" s="438"/>
    </row>
    <row r="8" spans="1:19" x14ac:dyDescent="0.25">
      <c r="A8" s="1008">
        <v>20037.150000000001</v>
      </c>
      <c r="B8" s="437"/>
      <c r="C8" s="437"/>
      <c r="D8" s="437"/>
      <c r="E8" s="437"/>
      <c r="F8" s="437"/>
      <c r="G8" s="437"/>
      <c r="H8" s="435"/>
      <c r="I8" s="435"/>
      <c r="J8" s="435"/>
      <c r="K8" s="435"/>
      <c r="L8" s="435"/>
      <c r="M8" s="435"/>
      <c r="N8" s="435"/>
      <c r="O8" s="435"/>
      <c r="P8" s="435"/>
      <c r="Q8" s="435"/>
      <c r="R8" s="435"/>
      <c r="S8" s="438"/>
    </row>
    <row r="9" spans="1:19" x14ac:dyDescent="0.25">
      <c r="A9" s="1008">
        <v>96968.91</v>
      </c>
      <c r="B9" s="437"/>
      <c r="C9" s="437"/>
      <c r="D9" s="437"/>
      <c r="E9" s="437"/>
      <c r="F9" s="437"/>
      <c r="G9" s="437"/>
      <c r="H9" s="435"/>
      <c r="I9" s="435"/>
      <c r="J9" s="435"/>
      <c r="K9" s="435"/>
      <c r="L9" s="435"/>
      <c r="M9" s="435"/>
      <c r="N9" s="435"/>
      <c r="O9" s="435"/>
      <c r="P9" s="435"/>
      <c r="Q9" s="435"/>
      <c r="R9" s="435"/>
      <c r="S9" s="438"/>
    </row>
    <row r="10" spans="1:19" x14ac:dyDescent="0.25">
      <c r="A10" s="1008">
        <v>39441.1</v>
      </c>
      <c r="B10" s="437"/>
      <c r="C10" s="437"/>
      <c r="D10" s="437"/>
      <c r="E10" s="437"/>
      <c r="F10" s="437"/>
      <c r="G10" s="437"/>
      <c r="H10" s="435"/>
      <c r="I10" s="435"/>
      <c r="J10" s="435"/>
      <c r="K10" s="435"/>
      <c r="L10" s="435"/>
      <c r="M10" s="435"/>
      <c r="N10" s="435"/>
      <c r="O10" s="435"/>
      <c r="P10" s="435"/>
      <c r="Q10" s="435"/>
      <c r="R10" s="435"/>
      <c r="S10" s="438"/>
    </row>
    <row r="11" spans="1:19" x14ac:dyDescent="0.25">
      <c r="A11" s="1008">
        <v>89495.47</v>
      </c>
      <c r="B11" s="437"/>
      <c r="C11" s="437"/>
      <c r="D11" s="437"/>
      <c r="E11" s="437"/>
      <c r="F11" s="437"/>
      <c r="G11" s="437"/>
      <c r="H11" s="435"/>
      <c r="I11" s="435"/>
      <c r="J11" s="435"/>
      <c r="K11" s="435"/>
      <c r="L11" s="435"/>
      <c r="M11" s="435"/>
      <c r="N11" s="435"/>
      <c r="O11" s="435"/>
      <c r="P11" s="435"/>
      <c r="Q11" s="435"/>
      <c r="R11" s="435"/>
      <c r="S11" s="438"/>
    </row>
    <row r="12" spans="1:19" x14ac:dyDescent="0.25">
      <c r="A12" s="1008">
        <v>96214.01</v>
      </c>
      <c r="B12" s="437"/>
      <c r="C12" s="437"/>
      <c r="D12" s="437"/>
      <c r="E12" s="437"/>
      <c r="F12" s="437"/>
      <c r="G12" s="437"/>
      <c r="H12" s="435"/>
      <c r="I12" s="435"/>
      <c r="J12" s="435"/>
      <c r="K12" s="435"/>
      <c r="L12" s="435"/>
      <c r="M12" s="435"/>
      <c r="N12" s="435"/>
      <c r="O12" s="435"/>
      <c r="P12" s="435"/>
      <c r="Q12" s="435"/>
      <c r="R12" s="435"/>
      <c r="S12" s="438"/>
    </row>
    <row r="13" spans="1:19" x14ac:dyDescent="0.25">
      <c r="A13" s="1008">
        <v>272428.15999999997</v>
      </c>
      <c r="B13" s="437"/>
      <c r="C13" s="437"/>
      <c r="D13" s="437"/>
      <c r="E13" s="437"/>
      <c r="F13" s="437"/>
      <c r="G13" s="437"/>
      <c r="H13" s="435"/>
      <c r="I13" s="435"/>
      <c r="J13" s="435"/>
      <c r="K13" s="435"/>
      <c r="L13" s="435"/>
      <c r="M13" s="435"/>
      <c r="N13" s="435"/>
      <c r="O13" s="435"/>
      <c r="P13" s="435"/>
      <c r="Q13" s="435"/>
      <c r="R13" s="435"/>
      <c r="S13" s="438"/>
    </row>
    <row r="14" spans="1:19" x14ac:dyDescent="0.25">
      <c r="A14" s="1008">
        <v>607439.4</v>
      </c>
      <c r="B14" s="437"/>
      <c r="C14" s="437"/>
      <c r="D14" s="437"/>
      <c r="E14" s="437"/>
      <c r="F14" s="437"/>
      <c r="G14" s="437"/>
      <c r="H14" s="435"/>
      <c r="I14" s="435"/>
      <c r="J14" s="435"/>
      <c r="K14" s="435"/>
      <c r="L14" s="435"/>
      <c r="M14" s="435"/>
      <c r="N14" s="435"/>
      <c r="O14" s="435"/>
      <c r="P14" s="435"/>
      <c r="Q14" s="435"/>
      <c r="R14" s="435"/>
      <c r="S14" s="438"/>
    </row>
    <row r="15" spans="1:19" s="439" customFormat="1" ht="22.5" customHeight="1" x14ac:dyDescent="0.25">
      <c r="A15" s="1009" t="s">
        <v>894</v>
      </c>
      <c r="B15" s="440"/>
      <c r="C15" s="440"/>
      <c r="D15" s="440"/>
      <c r="E15" s="440"/>
      <c r="F15" s="440"/>
      <c r="G15" s="440"/>
      <c r="H15" s="440"/>
      <c r="I15" s="440"/>
      <c r="J15" s="440"/>
      <c r="K15" s="440"/>
      <c r="L15" s="440"/>
      <c r="M15" s="440"/>
      <c r="N15" s="440"/>
      <c r="O15" s="441">
        <f>N15</f>
        <v>0</v>
      </c>
      <c r="P15" s="441">
        <f t="shared" ref="P15:Q15" si="0">O15</f>
        <v>0</v>
      </c>
      <c r="Q15" s="441">
        <f t="shared" si="0"/>
        <v>0</v>
      </c>
      <c r="R15" s="440"/>
      <c r="S15" s="442" t="s">
        <v>895</v>
      </c>
    </row>
    <row r="16" spans="1:19" x14ac:dyDescent="0.25">
      <c r="A16" s="1010" t="s">
        <v>896</v>
      </c>
      <c r="B16" s="443">
        <f>SUM(B3:B14)</f>
        <v>0</v>
      </c>
      <c r="C16" s="443">
        <f t="shared" ref="C16:G16" si="1">SUM(C3:C14)</f>
        <v>0</v>
      </c>
      <c r="D16" s="443">
        <f t="shared" si="1"/>
        <v>0</v>
      </c>
      <c r="E16" s="443">
        <f t="shared" si="1"/>
        <v>0</v>
      </c>
      <c r="F16" s="443">
        <f t="shared" si="1"/>
        <v>0</v>
      </c>
      <c r="G16" s="443">
        <f t="shared" si="1"/>
        <v>0</v>
      </c>
      <c r="H16" s="443">
        <f>SUM(H3:H15)</f>
        <v>0</v>
      </c>
      <c r="I16" s="443">
        <f t="shared" ref="I16:R16" si="2">SUM(I3:I15)</f>
        <v>0</v>
      </c>
      <c r="J16" s="443">
        <f t="shared" si="2"/>
        <v>0</v>
      </c>
      <c r="K16" s="443">
        <f t="shared" si="2"/>
        <v>0</v>
      </c>
      <c r="L16" s="443">
        <f t="shared" si="2"/>
        <v>0</v>
      </c>
      <c r="M16" s="443">
        <f t="shared" si="2"/>
        <v>0</v>
      </c>
      <c r="N16" s="443">
        <f t="shared" si="2"/>
        <v>0</v>
      </c>
      <c r="O16" s="443">
        <f t="shared" si="2"/>
        <v>0</v>
      </c>
      <c r="P16" s="443">
        <f t="shared" si="2"/>
        <v>0</v>
      </c>
      <c r="Q16" s="443">
        <f t="shared" si="2"/>
        <v>0</v>
      </c>
      <c r="R16" s="443">
        <f t="shared" si="2"/>
        <v>0</v>
      </c>
      <c r="S16" s="444">
        <f>SUM(N16:R16)</f>
        <v>0</v>
      </c>
    </row>
    <row r="17" spans="1:19" ht="33.75" customHeight="1" x14ac:dyDescent="0.25">
      <c r="A17" s="1009" t="s">
        <v>894</v>
      </c>
      <c r="B17" s="445"/>
      <c r="C17" s="445"/>
      <c r="D17" s="445"/>
      <c r="E17" s="445"/>
      <c r="F17" s="445"/>
      <c r="G17" s="445"/>
      <c r="H17" s="445"/>
      <c r="I17" s="432">
        <v>800000</v>
      </c>
      <c r="J17" s="432">
        <v>800000</v>
      </c>
      <c r="K17" s="445"/>
      <c r="L17" s="445"/>
      <c r="M17" s="445"/>
      <c r="N17" s="445"/>
      <c r="O17" s="445"/>
      <c r="P17" s="445"/>
      <c r="Q17" s="445"/>
      <c r="R17" s="445"/>
      <c r="S17" s="438"/>
    </row>
  </sheetData>
  <pageMargins left="0.7" right="0.7" top="0.75" bottom="0.75" header="0.3" footer="0.3"/>
  <pageSetup paperSize="9" orientation="portrait" useFirstPageNumber="1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  <pageSetUpPr fitToPage="1"/>
  </sheetPr>
  <dimension ref="A1:N50"/>
  <sheetViews>
    <sheetView zoomScaleNormal="100" workbookViewId="0">
      <pane xSplit="1" ySplit="9" topLeftCell="B25" activePane="bottomRight" state="frozen"/>
      <selection pane="topRight"/>
      <selection pane="bottomLeft"/>
      <selection pane="bottomRight" activeCell="C15" sqref="C15"/>
    </sheetView>
  </sheetViews>
  <sheetFormatPr baseColWidth="10" defaultColWidth="11.42578125" defaultRowHeight="15" x14ac:dyDescent="0.25"/>
  <cols>
    <col min="1" max="1" width="49.7109375" style="396" customWidth="1"/>
    <col min="2" max="9" width="17.28515625" style="396" customWidth="1"/>
    <col min="10" max="14" width="10.85546875" customWidth="1"/>
  </cols>
  <sheetData>
    <row r="1" spans="1:14" ht="41.25" customHeight="1" x14ac:dyDescent="0.25">
      <c r="A1" s="99">
        <f>BRmarg!A1</f>
        <v>0</v>
      </c>
      <c r="B1" s="342"/>
      <c r="C1" s="342"/>
      <c r="D1" s="342"/>
      <c r="E1" s="342"/>
      <c r="F1" s="342"/>
      <c r="G1" s="342"/>
      <c r="H1" s="342"/>
      <c r="I1" s="342"/>
    </row>
    <row r="2" spans="1:14" ht="23.25" customHeight="1" x14ac:dyDescent="0.25">
      <c r="A2" s="397" t="s">
        <v>869</v>
      </c>
      <c r="B2" s="397"/>
      <c r="C2" s="397"/>
      <c r="D2" s="397"/>
      <c r="E2" s="397"/>
      <c r="F2" s="397"/>
      <c r="G2" s="397"/>
      <c r="H2" s="397"/>
      <c r="I2" s="397"/>
    </row>
    <row r="3" spans="1:14" ht="23.25" customHeight="1" x14ac:dyDescent="0.25">
      <c r="A3" s="400" t="s">
        <v>897</v>
      </c>
      <c r="B3" s="400"/>
      <c r="C3" s="400"/>
      <c r="D3" s="400"/>
      <c r="E3" s="400"/>
      <c r="F3" s="400"/>
      <c r="G3" s="400"/>
      <c r="H3" s="400"/>
      <c r="I3" s="400"/>
    </row>
    <row r="5" spans="1:14" x14ac:dyDescent="0.25">
      <c r="A5" s="446" t="s">
        <v>834</v>
      </c>
      <c r="B5" s="447"/>
      <c r="C5" s="403">
        <f>BGhoriz!AM4</f>
        <v>45688</v>
      </c>
      <c r="D5" s="403">
        <f>BGhoriz!AN4</f>
        <v>45716</v>
      </c>
      <c r="E5" s="403">
        <f>BGhoriz!AO4</f>
        <v>45747</v>
      </c>
      <c r="F5" s="403">
        <f>BGhoriz!AP4</f>
        <v>45777</v>
      </c>
      <c r="G5" s="403">
        <f>BGhoriz!AQ4</f>
        <v>45808</v>
      </c>
      <c r="H5" s="403">
        <f>BGhoriz!AR4</f>
        <v>45838</v>
      </c>
      <c r="I5" s="403">
        <f>BGhoriz!AS4</f>
        <v>45869</v>
      </c>
      <c r="J5" s="403">
        <f>BGhoriz!AT4</f>
        <v>45900</v>
      </c>
      <c r="K5" s="403">
        <f>BGhoriz!AU4</f>
        <v>45930</v>
      </c>
      <c r="L5" s="403">
        <f>BGhoriz!AV4</f>
        <v>45961</v>
      </c>
      <c r="M5" s="403">
        <f>BGhoriz!AW4</f>
        <v>45991</v>
      </c>
      <c r="N5" s="403">
        <f>BGhoriz!AX4</f>
        <v>46022</v>
      </c>
    </row>
    <row r="6" spans="1:14" x14ac:dyDescent="0.25">
      <c r="A6" s="405"/>
      <c r="B6" s="406"/>
      <c r="C6" s="406"/>
      <c r="D6" s="406"/>
      <c r="E6" s="406"/>
      <c r="F6" s="406"/>
      <c r="G6" s="406"/>
      <c r="H6" s="406"/>
      <c r="I6" s="406"/>
      <c r="J6" s="406"/>
      <c r="K6" s="406"/>
      <c r="L6" s="406"/>
      <c r="M6" s="406"/>
      <c r="N6" s="406"/>
    </row>
    <row r="7" spans="1:14" x14ac:dyDescent="0.25">
      <c r="A7" s="408" t="s">
        <v>873</v>
      </c>
      <c r="B7" s="448"/>
      <c r="C7" s="409">
        <f>BGhoriz!AL6</f>
        <v>4340169.01</v>
      </c>
      <c r="D7" s="409">
        <f>BGhoriz!AM6</f>
        <v>4832852.8783030566</v>
      </c>
      <c r="E7" s="409">
        <f>BGhoriz!AN6</f>
        <v>5768827.0510733137</v>
      </c>
      <c r="F7" s="409">
        <f>BGhoriz!AO6</f>
        <v>5905297.5510705039</v>
      </c>
      <c r="G7" s="409">
        <f>BGhoriz!AP6</f>
        <v>5932709.8439351255</v>
      </c>
      <c r="H7" s="409">
        <f>BGhoriz!AQ6</f>
        <v>6786992.602239673</v>
      </c>
      <c r="I7" s="409">
        <f>BGhoriz!AR6</f>
        <v>6451153.7762577487</v>
      </c>
      <c r="J7" s="409">
        <f>BGhoriz!AS6</f>
        <v>6515681.237046483</v>
      </c>
      <c r="K7" s="409">
        <f>BGhoriz!AT6</f>
        <v>6227035.6951325573</v>
      </c>
      <c r="L7" s="409">
        <f>BGhoriz!AU6</f>
        <v>6240232.3597981725</v>
      </c>
      <c r="M7" s="409">
        <f>BGhoriz!AV6</f>
        <v>6575121.4397907564</v>
      </c>
      <c r="N7" s="409">
        <f>BGhoriz!AW6</f>
        <v>7445984.2136263074</v>
      </c>
    </row>
    <row r="8" spans="1:14" x14ac:dyDescent="0.25">
      <c r="A8" s="408" t="s">
        <v>874</v>
      </c>
      <c r="B8" s="448"/>
      <c r="C8" s="409">
        <f>BGhoriz!AL20</f>
        <v>6909362.6600000001</v>
      </c>
      <c r="D8" s="409">
        <f>BGhoriz!AM20</f>
        <v>6212324.5199999986</v>
      </c>
      <c r="E8" s="409">
        <f>BGhoriz!AN20</f>
        <v>5602025.54</v>
      </c>
      <c r="F8" s="409">
        <f>BGhoriz!AO20</f>
        <v>6026932.9099999992</v>
      </c>
      <c r="G8" s="409">
        <f>BGhoriz!AP20</f>
        <v>6838671.7600000007</v>
      </c>
      <c r="H8" s="409">
        <f>BGhoriz!AQ20</f>
        <v>6223039.0300000003</v>
      </c>
      <c r="I8" s="409">
        <f>BGhoriz!AR20</f>
        <v>7237293.5899999999</v>
      </c>
      <c r="J8" s="409">
        <f>BGhoriz!AS20</f>
        <v>8925517.4600000009</v>
      </c>
      <c r="K8" s="409">
        <f>BGhoriz!AT20</f>
        <v>9941448.2000000011</v>
      </c>
      <c r="L8" s="409">
        <f>BGhoriz!AU20</f>
        <v>10282584.76</v>
      </c>
      <c r="M8" s="409">
        <f>BGhoriz!AV20</f>
        <v>11247615.579999998</v>
      </c>
      <c r="N8" s="409">
        <f>BGhoriz!AW20</f>
        <v>12086781.42</v>
      </c>
    </row>
    <row r="9" spans="1:14" x14ac:dyDescent="0.25">
      <c r="A9" s="449" t="s">
        <v>875</v>
      </c>
      <c r="B9" s="450"/>
      <c r="C9" s="412">
        <f t="shared" ref="C9:J9" si="0">SUM(C7:C8)</f>
        <v>11249531.67</v>
      </c>
      <c r="D9" s="412">
        <f t="shared" si="0"/>
        <v>11045177.398303054</v>
      </c>
      <c r="E9" s="412">
        <f t="shared" si="0"/>
        <v>11370852.591073314</v>
      </c>
      <c r="F9" s="412">
        <f t="shared" si="0"/>
        <v>11932230.461070504</v>
      </c>
      <c r="G9" s="412">
        <f t="shared" si="0"/>
        <v>12771381.603935126</v>
      </c>
      <c r="H9" s="412">
        <f t="shared" si="0"/>
        <v>13010031.632239673</v>
      </c>
      <c r="I9" s="412">
        <f t="shared" si="0"/>
        <v>13688447.366257749</v>
      </c>
      <c r="J9" s="412">
        <f t="shared" si="0"/>
        <v>15441198.697046485</v>
      </c>
      <c r="K9" s="412">
        <f t="shared" ref="K9" si="1">SUM(K7:K8)</f>
        <v>16168483.895132558</v>
      </c>
      <c r="L9" s="412">
        <f t="shared" ref="L9:N9" si="2">SUM(L7:L8)</f>
        <v>16522817.119798172</v>
      </c>
      <c r="M9" s="412">
        <f t="shared" si="2"/>
        <v>17822737.019790754</v>
      </c>
      <c r="N9" s="412">
        <f t="shared" si="2"/>
        <v>19532765.633626308</v>
      </c>
    </row>
    <row r="10" spans="1:14" x14ac:dyDescent="0.25">
      <c r="A10" s="405"/>
      <c r="B10" s="413"/>
      <c r="C10" s="413"/>
      <c r="D10" s="413"/>
      <c r="E10" s="413"/>
      <c r="F10" s="413"/>
      <c r="G10" s="413"/>
      <c r="H10" s="413"/>
      <c r="I10" s="413"/>
      <c r="J10" s="413"/>
      <c r="K10" s="413"/>
      <c r="L10" s="413"/>
      <c r="M10" s="413"/>
      <c r="N10" s="413"/>
    </row>
    <row r="11" spans="1:14" x14ac:dyDescent="0.25">
      <c r="A11" s="449" t="s">
        <v>898</v>
      </c>
      <c r="B11" s="413"/>
      <c r="C11" s="413"/>
      <c r="D11" s="413"/>
      <c r="E11" s="413"/>
      <c r="F11" s="413"/>
      <c r="G11" s="413"/>
      <c r="H11" s="413"/>
      <c r="I11" s="413"/>
      <c r="J11" s="413"/>
      <c r="K11" s="413"/>
      <c r="L11" s="413"/>
      <c r="M11" s="413"/>
      <c r="N11" s="413"/>
    </row>
    <row r="12" spans="1:14" x14ac:dyDescent="0.25">
      <c r="A12" s="418" t="s">
        <v>899</v>
      </c>
      <c r="B12" s="451"/>
      <c r="C12" s="419">
        <f>DesglColoc!H27-OVA!D6</f>
        <v>750172.20373611106</v>
      </c>
      <c r="D12" s="419">
        <f>DesglColoc!H28-OVA!E6</f>
        <v>848254.62747222139</v>
      </c>
      <c r="E12" s="419">
        <f>DesglColoc!H29-OVA!F6</f>
        <v>1004943.0912083322</v>
      </c>
      <c r="F12" s="419">
        <f>DesglColoc!C30-OVA!G6</f>
        <v>1434597.2348958338</v>
      </c>
      <c r="G12" s="419">
        <f>DesglColoc!H31-OVA!H6</f>
        <v>1190806.5486805551</v>
      </c>
      <c r="H12" s="419">
        <f>DesglColoc!H32-OVA!I6</f>
        <v>1249977.4724166673</v>
      </c>
      <c r="I12" s="419">
        <f>DesglColoc!H33-OVA!J6</f>
        <v>1343016.5761527773</v>
      </c>
      <c r="J12" s="419">
        <f>DesglColoc!H34-OVA!K6</f>
        <v>1434495.0198888886</v>
      </c>
      <c r="K12" s="419">
        <f>DesglColoc!H35-OVA!L6</f>
        <v>1542793.8436249997</v>
      </c>
      <c r="L12" s="419">
        <f>DesglColoc!H36-OVA!M6</f>
        <v>1695332.1373611107</v>
      </c>
      <c r="M12" s="419">
        <f>DesglColoc!H37-OVA!N6</f>
        <v>1728585.681097222</v>
      </c>
      <c r="N12" s="419">
        <f>DesglColoc!H38-OVA!O6</f>
        <v>1812307.8548333324</v>
      </c>
    </row>
    <row r="13" spans="1:14" x14ac:dyDescent="0.25">
      <c r="A13" s="418" t="s">
        <v>900</v>
      </c>
      <c r="B13" s="451"/>
      <c r="C13" s="419">
        <f>OVA!D6</f>
        <v>1500000</v>
      </c>
      <c r="D13" s="419">
        <f>OVA!E6</f>
        <v>1500000</v>
      </c>
      <c r="E13" s="419">
        <f>OVA!F6</f>
        <v>1500000</v>
      </c>
      <c r="F13" s="419">
        <f>OVA!G6</f>
        <v>1500000</v>
      </c>
      <c r="G13" s="419">
        <f>OVA!H6</f>
        <v>1500000</v>
      </c>
      <c r="H13" s="419">
        <f>OVA!I6</f>
        <v>1500000</v>
      </c>
      <c r="I13" s="419">
        <f>OVA!J6</f>
        <v>1500000</v>
      </c>
      <c r="J13" s="419">
        <f>OVA!K6</f>
        <v>1500000</v>
      </c>
      <c r="K13" s="419">
        <f>OVA!L6</f>
        <v>1500000</v>
      </c>
      <c r="L13" s="419">
        <f>OVA!M6</f>
        <v>1500000</v>
      </c>
      <c r="M13" s="419">
        <f>OVA!N6</f>
        <v>1500000</v>
      </c>
      <c r="N13" s="419">
        <f>OVA!O6</f>
        <v>1500000</v>
      </c>
    </row>
    <row r="14" spans="1:14" x14ac:dyDescent="0.25">
      <c r="A14" s="418" t="s">
        <v>901</v>
      </c>
      <c r="B14" s="451"/>
      <c r="C14" s="419">
        <f>-(IF(BGhoriz!AM102-BGhoriz!AL102&lt;0,BGhoriz!AM102-BGhoriz!AL102,0)+IF(BGhoriz!AM112-BGhoriz!AL112&lt;0,BGhoriz!AM112-BGhoriz!AL112,0)+IF(BGhoriz!AM122-BGhoriz!AL122&lt;0,BGhoriz!AM122-BGhoriz!AL122,0)+IF(BGhoriz!AM134-BGhoriz!AL134&lt;0,BGhoriz!AM134-BGhoriz!AL134,0))</f>
        <v>230512.31136810908</v>
      </c>
      <c r="D14" s="419">
        <f>-(IF(BGhoriz!AN102-BGhoriz!AM102&lt;0,BGhoriz!AN102-BGhoriz!AM102,0)+IF(BGhoriz!AN112-BGhoriz!AM112&lt;0,BGhoriz!AN112-BGhoriz!AM112,0)+IF(BGhoriz!AN122-BGhoriz!AM122&lt;0,BGhoriz!AN122-BGhoriz!AM122,0)+IF(BGhoriz!AN134-BGhoriz!AM134&lt;0,BGhoriz!AN134-BGhoriz!AM134,0))</f>
        <v>111695.7401802559</v>
      </c>
      <c r="E14" s="419">
        <f>-(IF(BGhoriz!AO102-BGhoriz!AN102&lt;0,BGhoriz!AO102-BGhoriz!AN102,0)+IF(BGhoriz!AO112-BGhoriz!AN112&lt;0,BGhoriz!AO112-BGhoriz!AN112,0)+IF(BGhoriz!AO122-BGhoriz!AN122&lt;0,BGhoriz!AO122-BGhoriz!AN122,0)+IF(BGhoriz!AO134-BGhoriz!AN134&lt;0,BGhoriz!AO134-BGhoriz!AN134,0))</f>
        <v>66918.469004339364</v>
      </c>
      <c r="F14" s="419">
        <f>-(IF(BGhoriz!AP102-BGhoriz!AO102&lt;0,BGhoriz!AP102-BGhoriz!AO102,0)+IF(BGhoriz!AP112-BGhoriz!AO112&lt;0,BGhoriz!AP112-BGhoriz!AO112,0)+IF(BGhoriz!AP122-BGhoriz!AO122&lt;0,BGhoriz!AP122-BGhoriz!AO122,0)+IF(BGhoriz!AP134-BGhoriz!AO134&lt;0,BGhoriz!AP134-BGhoriz!AO134,0))</f>
        <v>256099.29042905243</v>
      </c>
      <c r="G14" s="419">
        <f>-(IF(BGhoriz!AQ102-BGhoriz!AP102&lt;0,BGhoriz!AQ102-BGhoriz!AP102,0)+IF(BGhoriz!AQ112-BGhoriz!AP112&lt;0,BGhoriz!AQ112-BGhoriz!AP112,0)+IF(BGhoriz!AQ122-BGhoriz!AP122&lt;0,BGhoriz!AQ122-BGhoriz!AP122,0)+IF(BGhoriz!AQ134-BGhoriz!AP134&lt;0,BGhoriz!AQ134-BGhoriz!AP134,0))</f>
        <v>38079.707415632089</v>
      </c>
      <c r="H14" s="419">
        <f>-(IF(BGhoriz!AR102-BGhoriz!AQ102&lt;0,BGhoriz!AR102-BGhoriz!AQ102,0)+IF(BGhoriz!AR112-BGhoriz!AQ112&lt;0,BGhoriz!AR112-BGhoriz!AQ112,0)+IF(BGhoriz!AR122-BGhoriz!AQ122&lt;0,BGhoriz!AR122-BGhoriz!AQ122,0)+IF(BGhoriz!AR134-BGhoriz!AQ134&lt;0,BGhoriz!AR134-BGhoriz!AQ134,0))</f>
        <v>71181.933142527821</v>
      </c>
      <c r="I14" s="419">
        <f>-(IF(BGhoriz!AS102-BGhoriz!AR102&lt;0,BGhoriz!AS102-BGhoriz!AR102,0)+IF(BGhoriz!AS112-BGhoriz!AR112&lt;0,BGhoriz!AS112-BGhoriz!AR112,0)+IF(BGhoriz!AS122-BGhoriz!AR122&lt;0,BGhoriz!AS122-BGhoriz!AR122,0)+IF(BGhoriz!AS134-BGhoriz!AR134&lt;0,BGhoriz!AS134-BGhoriz!AR134,0))</f>
        <v>35016.730640094553</v>
      </c>
      <c r="J14" s="419">
        <f>-(IF(BGhoriz!AT102-BGhoriz!AS102&lt;0,BGhoriz!AT102-BGhoriz!AS102,0)+IF(BGhoriz!AT112-BGhoriz!AS112&lt;0,BGhoriz!AT112-BGhoriz!AS112,0)+IF(BGhoriz!AT122-BGhoriz!AS122&lt;0,BGhoriz!AT122-BGhoriz!AS122,0)+IF(BGhoriz!AT134-BGhoriz!AS134&lt;0,BGhoriz!AT134-BGhoriz!AS134,0))</f>
        <v>103993.55739168293</v>
      </c>
      <c r="K14" s="419">
        <f>-(IF(BGhoriz!AU102-BGhoriz!AT102&lt;0,BGhoriz!AU102-BGhoriz!AT102,0)+IF(BGhoriz!AU112-BGhoriz!AT112&lt;0,BGhoriz!AU112-BGhoriz!AT112,0)+IF(BGhoriz!AU122-BGhoriz!AT122&lt;0,BGhoriz!AU122-BGhoriz!AT122,0)+IF(BGhoriz!AU134-BGhoriz!AT134&lt;0,BGhoriz!AU134-BGhoriz!AT134,0))</f>
        <v>38058.844578924763</v>
      </c>
      <c r="L14" s="419">
        <f>-(IF(BGhoriz!AV102-BGhoriz!AU102&lt;0,BGhoriz!AV102-BGhoriz!AU102,0)+IF(BGhoriz!AV112-BGhoriz!AU112&lt;0,BGhoriz!AV112-BGhoriz!AU112,0)+IF(BGhoriz!AV122-BGhoriz!AU122&lt;0,BGhoriz!AV122-BGhoriz!AU122,0)+IF(BGhoriz!AV134-BGhoriz!AU134&lt;0,BGhoriz!AV134-BGhoriz!AU134,0))</f>
        <v>330736.21098606696</v>
      </c>
      <c r="M14" s="419">
        <f>-(IF(BGhoriz!AW102-BGhoriz!AV102&lt;0,BGhoriz!AW102-BGhoriz!AV102,0)+IF(BGhoriz!AW112-BGhoriz!AV112&lt;0,BGhoriz!AW112-BGhoriz!AV112,0)+IF(BGhoriz!AW122-BGhoriz!AV122&lt;0,BGhoriz!AW122-BGhoriz!AV122,0)+IF(BGhoriz!AW134-BGhoriz!AV134&lt;0,BGhoriz!AW134-BGhoriz!AV134,0))</f>
        <v>232004.91386300098</v>
      </c>
      <c r="N14" s="419">
        <f>-(IF(BGhoriz!AX102-BGhoriz!AW102&lt;0,BGhoriz!AX102-BGhoriz!AW102,0)+IF(BGhoriz!AX112-BGhoriz!AW112&lt;0,BGhoriz!AX112-BGhoriz!AW112,0)+IF(BGhoriz!AX122-BGhoriz!AW122&lt;0,BGhoriz!AX122-BGhoriz!AW122,0)+IF(BGhoriz!AX134-BGhoriz!AW134&lt;0,BGhoriz!AX134-BGhoriz!AW134,0))</f>
        <v>90949.625070506299</v>
      </c>
    </row>
    <row r="15" spans="1:14" x14ac:dyDescent="0.25">
      <c r="A15" s="418" t="s">
        <v>902</v>
      </c>
      <c r="B15" s="451"/>
      <c r="C15" s="419">
        <f>IF(BGhoriz!AM154-BGhoriz!AL154&gt;0,BGhoriz!AM154-BGhoriz!AL154,0)</f>
        <v>200000.00000000047</v>
      </c>
      <c r="D15" s="419">
        <f>IF(BGhoriz!AN154-BGhoriz!AM154&gt;0,BGhoriz!AN154-BGhoriz!AM154,0)</f>
        <v>199999.99999999953</v>
      </c>
      <c r="E15" s="419">
        <f>IF(BGhoriz!AO154-BGhoriz!AN154&gt;0,BGhoriz!AO154-BGhoriz!AN154,0)</f>
        <v>200000</v>
      </c>
      <c r="F15" s="419">
        <f>IF(BGhoriz!AP154-BGhoriz!AO154&gt;0,BGhoriz!AP154-BGhoriz!AO154,0)</f>
        <v>200000</v>
      </c>
      <c r="G15" s="419">
        <f>IF(BGhoriz!AQ154-BGhoriz!AP154&gt;0,BGhoriz!AQ154-BGhoriz!AP154,0)</f>
        <v>199999.99999999953</v>
      </c>
      <c r="H15" s="419">
        <f>IF(BGhoriz!AR154-BGhoriz!AQ154&gt;0,BGhoriz!AR154-BGhoriz!AQ154,0)</f>
        <v>200000.00000000186</v>
      </c>
      <c r="I15" s="419">
        <f>IF(BGhoriz!AS154-BGhoriz!AR154&gt;0,BGhoriz!AS154-BGhoriz!AR154,0)</f>
        <v>199999.99999999907</v>
      </c>
      <c r="J15" s="419">
        <f>IF(BGhoriz!AT154-BGhoriz!AS154&gt;0,BGhoriz!AT154-BGhoriz!AS154,0)</f>
        <v>200000</v>
      </c>
      <c r="K15" s="419">
        <f>IF(BGhoriz!AU154-BGhoriz!AT154&gt;0,BGhoriz!AU154-BGhoriz!AT154,0)</f>
        <v>0</v>
      </c>
      <c r="L15" s="419">
        <f>IF(BGhoriz!AV154-BGhoriz!AU154&gt;0,BGhoriz!AV154-BGhoriz!AU154,0)</f>
        <v>200000.00000000093</v>
      </c>
      <c r="M15" s="419">
        <f>IF(BGhoriz!AW154-BGhoriz!AV154&gt;0,BGhoriz!AW154-BGhoriz!AV154,0)</f>
        <v>199999.99999999814</v>
      </c>
      <c r="N15" s="419">
        <f>IF(BGhoriz!AX154-BGhoriz!AW154&gt;0,BGhoriz!AX154-BGhoriz!AW154,0)</f>
        <v>200000.00000000093</v>
      </c>
    </row>
    <row r="16" spans="1:14" x14ac:dyDescent="0.25">
      <c r="A16" s="418" t="s">
        <v>903</v>
      </c>
      <c r="B16" s="451"/>
      <c r="C16" s="419">
        <f>IF(BGhoriz!AM160-BGhoriz!AL160&gt;0,BGhoriz!AM160-BGhoriz!AL160,0)</f>
        <v>6196499.9999999851</v>
      </c>
      <c r="D16" s="419">
        <f>IF(BGhoriz!AN160-BGhoriz!AM160&gt;0,BGhoriz!AN160-BGhoriz!AM160,0)</f>
        <v>6196500.0000000149</v>
      </c>
      <c r="E16" s="419">
        <f>IF(BGhoriz!AO160-BGhoriz!AN160&gt;0,BGhoriz!AO160-BGhoriz!AN160,0)</f>
        <v>6196499.9999999925</v>
      </c>
      <c r="F16" s="419">
        <f>IF(BGhoriz!AP160-BGhoriz!AO160&gt;0,BGhoriz!AP160-BGhoriz!AO160,0)</f>
        <v>6196500.0000000149</v>
      </c>
      <c r="G16" s="419">
        <f>IF(BGhoriz!AQ160-BGhoriz!AP160&gt;0,BGhoriz!AQ160-BGhoriz!AP160,0)</f>
        <v>6196499.9999999851</v>
      </c>
      <c r="H16" s="419">
        <f>IF(BGhoriz!AR160-BGhoriz!AQ160&gt;0,BGhoriz!AR160-BGhoriz!AQ160,0)</f>
        <v>6196500.0000000149</v>
      </c>
      <c r="I16" s="419">
        <f>IF(BGhoriz!AS160-BGhoriz!AR160&gt;0,BGhoriz!AS160-BGhoriz!AR160,0)</f>
        <v>6196499.9999999851</v>
      </c>
      <c r="J16" s="419">
        <f>IF(BGhoriz!AT160-BGhoriz!AS160&gt;0,BGhoriz!AT160-BGhoriz!AS160,0)</f>
        <v>6196500.0000000149</v>
      </c>
      <c r="K16" s="419">
        <f>IF(BGhoriz!AU160-BGhoriz!AT160&gt;0,BGhoriz!AU160-BGhoriz!AT160,0)</f>
        <v>6196500</v>
      </c>
      <c r="L16" s="419">
        <f>IF(BGhoriz!AV160-BGhoriz!AU160&gt;0,BGhoriz!AV160-BGhoriz!AU160,0)</f>
        <v>6196499.9999999851</v>
      </c>
      <c r="M16" s="419">
        <f>IF(BGhoriz!AW160-BGhoriz!AV160&gt;0,BGhoriz!AW160-BGhoriz!AV160,0)</f>
        <v>6196500.0000000298</v>
      </c>
      <c r="N16" s="419">
        <f>IF(BGhoriz!AX160-BGhoriz!AW160&gt;0,BGhoriz!AX160-BGhoriz!AW160,0)</f>
        <v>6196499.9999999851</v>
      </c>
    </row>
    <row r="17" spans="1:14" x14ac:dyDescent="0.25">
      <c r="A17" s="418" t="s">
        <v>904</v>
      </c>
      <c r="B17" s="451"/>
      <c r="C17" s="419">
        <f>IF(BGhoriz!AM167-BGhoriz!AL167&gt;0,BGhoriz!AM167-BGhoriz!AL167,0)+IF(BGhoriz!AM169-BGhoriz!AL169&gt;0,BGhoriz!AM169-BGhoriz!AL169,0)+IF(BGhoriz!AM196-BGhoriz!AL196&gt;0,BGhoriz!AM196-BGhoriz!AL196,0)</f>
        <v>69425.011791473764</v>
      </c>
      <c r="D17" s="419">
        <f>IF(BGhoriz!AN167-BGhoriz!AM167&gt;0,BGhoriz!AN167-BGhoriz!AM167,0)+IF(BGhoriz!AN169-BGhoriz!AM169&gt;0,BGhoriz!AN169-BGhoriz!AM169,0)+IF(BGhoriz!AN196-BGhoriz!AM196&gt;0,BGhoriz!AN196-BGhoriz!AM196,0)</f>
        <v>315481.10046749993</v>
      </c>
      <c r="E17" s="419">
        <f>IF(BGhoriz!AO167-BGhoriz!AN167&gt;0,BGhoriz!AO167-BGhoriz!AN167,0)+IF(BGhoriz!AO169-BGhoriz!AN169&gt;0,BGhoriz!AO169-BGhoriz!AN169,0)+IF(BGhoriz!AO196-BGhoriz!AN196&gt;0,BGhoriz!AO196-BGhoriz!AN196,0)</f>
        <v>221235.29693274712</v>
      </c>
      <c r="F17" s="419">
        <f>IF(BGhoriz!AP167-BGhoriz!AO167&gt;0,BGhoriz!AP167-BGhoriz!AO167,0)+IF(BGhoriz!AP169-BGhoriz!AO169&gt;0,BGhoriz!AP169-BGhoriz!AO169,0)+IF(BGhoriz!AP196-BGhoriz!AO196&gt;0,BGhoriz!AP196-BGhoriz!AO196,0)</f>
        <v>190245.75054592569</v>
      </c>
      <c r="G17" s="419">
        <f>IF(BGhoriz!AQ167-BGhoriz!AP167&gt;0,BGhoriz!AQ167-BGhoriz!AP167,0)+IF(BGhoriz!AQ169-BGhoriz!AP169&gt;0,BGhoriz!AQ169-BGhoriz!AP169,0)+IF(BGhoriz!AQ196-BGhoriz!AP196&gt;0,BGhoriz!AQ196-BGhoriz!AP196,0)</f>
        <v>188981.45540349744</v>
      </c>
      <c r="H17" s="419">
        <f>IF(BGhoriz!AR167-BGhoriz!AQ167&gt;0,BGhoriz!AR167-BGhoriz!AQ167,0)+IF(BGhoriz!AR169-BGhoriz!AQ169&gt;0,BGhoriz!AR169-BGhoriz!AQ169,0)+IF(BGhoriz!AR196-BGhoriz!AQ196&gt;0,BGhoriz!AR196-BGhoriz!AQ196,0)</f>
        <v>301920.00640475377</v>
      </c>
      <c r="I17" s="419">
        <f>IF(BGhoriz!AS167-BGhoriz!AR167&gt;0,BGhoriz!AS167-BGhoriz!AR167,0)+IF(BGhoriz!AS169-BGhoriz!AR169&gt;0,BGhoriz!AS169-BGhoriz!AR169,0)+IF(BGhoriz!AS196-BGhoriz!AR196&gt;0,BGhoriz!AS196-BGhoriz!AR196,0)</f>
        <v>232245.4312689536</v>
      </c>
      <c r="J17" s="419">
        <f>IF(BGhoriz!AT167-BGhoriz!AS167&gt;0,BGhoriz!AT167-BGhoriz!AS167,0)+IF(BGhoriz!AT169-BGhoriz!AS169&gt;0,BGhoriz!AT169-BGhoriz!AS169,0)+IF(BGhoriz!AT196-BGhoriz!AS196&gt;0,BGhoriz!AT196-BGhoriz!AS196,0)</f>
        <v>236996.86632784468</v>
      </c>
      <c r="K17" s="419">
        <f>IF(BGhoriz!AU167-BGhoriz!AT167&gt;0,BGhoriz!AU167-BGhoriz!AT167,0)+IF(BGhoriz!AU169-BGhoriz!AT169&gt;0,BGhoriz!AU169-BGhoriz!AT169,0)+IF(BGhoriz!AU196-BGhoriz!AT196&gt;0,BGhoriz!AU196-BGhoriz!AT196,0)</f>
        <v>204899.32221739274</v>
      </c>
      <c r="L17" s="419">
        <f>IF(BGhoriz!AV167-BGhoriz!AU167&gt;0,BGhoriz!AV167-BGhoriz!AU167,0)+IF(BGhoriz!AV169-BGhoriz!AU169&gt;0,BGhoriz!AV169-BGhoriz!AU169,0)+IF(BGhoriz!AV196-BGhoriz!AU196&gt;0,BGhoriz!AV196-BGhoriz!AU196,0)</f>
        <v>260680.70154830697</v>
      </c>
      <c r="M17" s="419">
        <f>IF(BGhoriz!AW167-BGhoriz!AV167&gt;0,BGhoriz!AW167-BGhoriz!AV167,0)+IF(BGhoriz!AW169-BGhoriz!AV169&gt;0,BGhoriz!AW169-BGhoriz!AV169,0)+IF(BGhoriz!AW196-BGhoriz!AV196&gt;0,BGhoriz!AW196-BGhoriz!AV196,0)</f>
        <v>269311.51051632222</v>
      </c>
      <c r="N17" s="419">
        <f>IF(BGhoriz!AX167-BGhoriz!AW167&gt;0,BGhoriz!AX167-BGhoriz!AW167,0)+IF(BGhoriz!AX169-BGhoriz!AW169&gt;0,BGhoriz!AX169-BGhoriz!AW169,0)+IF(BGhoriz!AX196-BGhoriz!AW196&gt;0,BGhoriz!AX196-BGhoriz!AW196,0)</f>
        <v>209585.72234182013</v>
      </c>
    </row>
    <row r="18" spans="1:14" x14ac:dyDescent="0.25">
      <c r="A18" s="418" t="s">
        <v>905</v>
      </c>
      <c r="B18" s="451"/>
      <c r="C18" s="419">
        <f>BRhoriz!AY149</f>
        <v>707419.01598410879</v>
      </c>
      <c r="D18" s="419">
        <f>BRhoriz!AZ149</f>
        <v>689890.57170136948</v>
      </c>
      <c r="E18" s="419">
        <f>BRhoriz!BA149</f>
        <v>796607.42792372056</v>
      </c>
      <c r="F18" s="419">
        <f>BRhoriz!BB149</f>
        <v>819825.07535612909</v>
      </c>
      <c r="G18" s="419">
        <f>BRhoriz!BC149</f>
        <v>898523.58688649</v>
      </c>
      <c r="H18" s="419">
        <f>BRhoriz!BD149</f>
        <v>928645.94340421446</v>
      </c>
      <c r="I18" s="419">
        <f>BRhoriz!BE149</f>
        <v>1004474.7696601488</v>
      </c>
      <c r="J18" s="419">
        <f>BRhoriz!BF149</f>
        <v>1075092.5828497566</v>
      </c>
      <c r="K18" s="419">
        <f>BRhoriz!BG149</f>
        <v>1099948.3854193476</v>
      </c>
      <c r="L18" s="419">
        <f>BRhoriz!BH149</f>
        <v>1196508.0290383836</v>
      </c>
      <c r="M18" s="419">
        <f>BRhoriz!BI149</f>
        <v>1198237.8807955468</v>
      </c>
      <c r="N18" s="419">
        <f>BRhoriz!BJ149</f>
        <v>1289691.2050224645</v>
      </c>
    </row>
    <row r="19" spans="1:14" x14ac:dyDescent="0.25">
      <c r="A19" s="417" t="str">
        <f>BRhoriz!C174</f>
        <v>UTILIDADES FINANCIERAS</v>
      </c>
      <c r="B19" s="451"/>
      <c r="C19" s="419">
        <f>BRhoriz!AY174</f>
        <v>150000</v>
      </c>
      <c r="D19" s="419">
        <f>BRhoriz!AZ174</f>
        <v>150000</v>
      </c>
      <c r="E19" s="419">
        <f>BRhoriz!BA174</f>
        <v>150000</v>
      </c>
      <c r="F19" s="419">
        <f>BRhoriz!BB174</f>
        <v>150000</v>
      </c>
      <c r="G19" s="419">
        <f>BRhoriz!BC174</f>
        <v>150000</v>
      </c>
      <c r="H19" s="419">
        <f>BRhoriz!BD174</f>
        <v>150000</v>
      </c>
      <c r="I19" s="419">
        <f>BRhoriz!BE174</f>
        <v>150000</v>
      </c>
      <c r="J19" s="419">
        <f>BRhoriz!BF174</f>
        <v>150000</v>
      </c>
      <c r="K19" s="419">
        <f>BRhoriz!BG174</f>
        <v>150000</v>
      </c>
      <c r="L19" s="419">
        <f>BRhoriz!BH174</f>
        <v>150000</v>
      </c>
      <c r="M19" s="419">
        <f>BRhoriz!BI174</f>
        <v>150000</v>
      </c>
      <c r="N19" s="419">
        <f>BRhoriz!BJ174</f>
        <v>150000</v>
      </c>
    </row>
    <row r="20" spans="1:14" x14ac:dyDescent="0.25">
      <c r="A20" s="417" t="str">
        <f>BRhoriz!C179</f>
        <v>INGRESOS POR SERVICIOS</v>
      </c>
      <c r="B20" s="451"/>
      <c r="C20" s="419">
        <f>BRhoriz!AY179</f>
        <v>11940.682000000001</v>
      </c>
      <c r="D20" s="419">
        <f>BRhoriz!AZ179</f>
        <v>11940.682000000001</v>
      </c>
      <c r="E20" s="419">
        <f>BRhoriz!BA179</f>
        <v>11940.682000000001</v>
      </c>
      <c r="F20" s="419">
        <f>BRhoriz!BB179</f>
        <v>11940.682000000001</v>
      </c>
      <c r="G20" s="419">
        <f>BRhoriz!BC179</f>
        <v>11940.682000000001</v>
      </c>
      <c r="H20" s="419">
        <f>BRhoriz!BD179</f>
        <v>11940.682000000001</v>
      </c>
      <c r="I20" s="419">
        <f>BRhoriz!BE179</f>
        <v>11940.682000000001</v>
      </c>
      <c r="J20" s="419">
        <f>BRhoriz!BF179</f>
        <v>11940.682000000001</v>
      </c>
      <c r="K20" s="419">
        <f>BRhoriz!BG179</f>
        <v>11940.682000000001</v>
      </c>
      <c r="L20" s="419">
        <f>BRhoriz!BH179</f>
        <v>11940.682000000001</v>
      </c>
      <c r="M20" s="419">
        <f>BRhoriz!BI179</f>
        <v>11940.682000000001</v>
      </c>
      <c r="N20" s="419">
        <f>BRhoriz!BJ179</f>
        <v>11940.682000000001</v>
      </c>
    </row>
    <row r="21" spans="1:14" x14ac:dyDescent="0.25">
      <c r="A21" s="417" t="str">
        <f>BRhoriz!C188</f>
        <v>OTROS INGRESOS OPERACIONALES</v>
      </c>
      <c r="B21" s="451"/>
      <c r="C21" s="419">
        <f>BRhoriz!AY188</f>
        <v>62369.412863658334</v>
      </c>
      <c r="D21" s="419">
        <f>BRhoriz!AZ188</f>
        <v>68321.822130833316</v>
      </c>
      <c r="E21" s="419">
        <f>BRhoriz!BA188</f>
        <v>74086.205241524993</v>
      </c>
      <c r="F21" s="419">
        <f>BRhoriz!BB188</f>
        <v>79413.884287733337</v>
      </c>
      <c r="G21" s="419">
        <f>BRhoriz!BC188</f>
        <v>84955.231249458317</v>
      </c>
      <c r="H21" s="419">
        <f>BRhoriz!BD188</f>
        <v>90425.573102699986</v>
      </c>
      <c r="I21" s="419">
        <f>BRhoriz!BE188</f>
        <v>95784.268031458298</v>
      </c>
      <c r="J21" s="419">
        <f>BRhoriz!BF188</f>
        <v>101033.18882773333</v>
      </c>
      <c r="K21" s="419">
        <f>BRhoriz!BG188</f>
        <v>106152.15103552504</v>
      </c>
      <c r="L21" s="419">
        <f>BRhoriz!BH188</f>
        <v>111088.06729083332</v>
      </c>
      <c r="M21" s="419">
        <f>BRhoriz!BI188</f>
        <v>115984.07929365833</v>
      </c>
      <c r="N21" s="419">
        <f>BRhoriz!BJ188</f>
        <v>120779.62468800001</v>
      </c>
    </row>
    <row r="22" spans="1:14" x14ac:dyDescent="0.25">
      <c r="A22" s="417" t="str">
        <f>BRhoriz!C190</f>
        <v>OTROS INGRESOS</v>
      </c>
      <c r="B22" s="451"/>
      <c r="C22" s="419">
        <f>BRhoriz!AY190</f>
        <v>103932.39316666665</v>
      </c>
      <c r="D22" s="419">
        <f>BRhoriz!AZ190</f>
        <v>103932.39316666665</v>
      </c>
      <c r="E22" s="419">
        <f>BRhoriz!BA190</f>
        <v>103932.39316666665</v>
      </c>
      <c r="F22" s="419">
        <f>BRhoriz!BB190</f>
        <v>103932.39316666665</v>
      </c>
      <c r="G22" s="419">
        <f>BRhoriz!BC190</f>
        <v>103932.39316666665</v>
      </c>
      <c r="H22" s="419">
        <f>BRhoriz!BD190</f>
        <v>103932.39316666665</v>
      </c>
      <c r="I22" s="419">
        <f>BRhoriz!BE190</f>
        <v>103932.39316666665</v>
      </c>
      <c r="J22" s="419">
        <f>BRhoriz!BF190</f>
        <v>103932.39316666665</v>
      </c>
      <c r="K22" s="419">
        <f>BRhoriz!BG190</f>
        <v>109489.16316666667</v>
      </c>
      <c r="L22" s="419">
        <f>BRhoriz!BH190</f>
        <v>109489.16316666667</v>
      </c>
      <c r="M22" s="419">
        <f>BRhoriz!BI190</f>
        <v>119489.16316666667</v>
      </c>
      <c r="N22" s="419">
        <f>BRhoriz!BJ190</f>
        <v>69489.163166666665</v>
      </c>
    </row>
    <row r="23" spans="1:14" x14ac:dyDescent="0.25">
      <c r="A23" s="418" t="s">
        <v>906</v>
      </c>
      <c r="B23" s="451"/>
      <c r="C23" s="419">
        <f>IF(BGhoriz!AM212-BGhoriz!AL212&gt;0,BGhoriz!AM212-BGhoriz!AL212,0)</f>
        <v>35366.474253727123</v>
      </c>
      <c r="D23" s="419">
        <f>IF(BGhoriz!AN212-BGhoriz!AM212&gt;0,BGhoriz!AN212-BGhoriz!AM212,0)</f>
        <v>42633.539889281616</v>
      </c>
      <c r="E23" s="419">
        <f>IF(BGhoriz!AO212-BGhoriz!AN212&gt;0,BGhoriz!AO212-BGhoriz!AN212,0)</f>
        <v>104803.37361663207</v>
      </c>
      <c r="F23" s="419">
        <f>IF(BGhoriz!AP212-BGhoriz!AO212&gt;0,BGhoriz!AP212-BGhoriz!AO212,0)</f>
        <v>119119.51757836714</v>
      </c>
      <c r="G23" s="419">
        <f>IF(BGhoriz!AQ212-BGhoriz!AP212&gt;0,BGhoriz!AQ212-BGhoriz!AP212,0)</f>
        <v>131289.43570798635</v>
      </c>
      <c r="H23" s="419">
        <f>IF(BGhoriz!AR212-BGhoriz!AQ212&gt;0,BGhoriz!AR212-BGhoriz!AQ212,0)</f>
        <v>140946.26500133239</v>
      </c>
      <c r="I23" s="419">
        <f>IF(BGhoriz!AS212-BGhoriz!AR212&gt;0,BGhoriz!AS212-BGhoriz!AR212,0)</f>
        <v>153210.39989386499</v>
      </c>
      <c r="J23" s="419">
        <f>IF(BGhoriz!AT212-BGhoriz!AS212&gt;0,BGhoriz!AT212-BGhoriz!AS212,0)</f>
        <v>187671.27711113356</v>
      </c>
      <c r="K23" s="419">
        <f>IF(BGhoriz!AU212-BGhoriz!AT212&gt;0,BGhoriz!AU212-BGhoriz!AT212,0)</f>
        <v>168936.60644311644</v>
      </c>
      <c r="L23" s="419">
        <f>IF(BGhoriz!AV212-BGhoriz!AU212&gt;0,BGhoriz!AV212-BGhoriz!AU212,0)</f>
        <v>207750.7767301295</v>
      </c>
      <c r="M23" s="419">
        <f>IF(BGhoriz!AW212-BGhoriz!AV212&gt;0,BGhoriz!AW212-BGhoriz!AV212,0)</f>
        <v>216322.11204941384</v>
      </c>
      <c r="N23" s="451"/>
    </row>
    <row r="24" spans="1:14" s="452" customFormat="1" x14ac:dyDescent="0.25">
      <c r="A24" s="453" t="s">
        <v>907</v>
      </c>
      <c r="B24" s="448"/>
      <c r="C24" s="412">
        <f t="shared" ref="C24:J24" si="3">SUM(C12:C23)</f>
        <v>10017637.505163841</v>
      </c>
      <c r="D24" s="412">
        <f t="shared" si="3"/>
        <v>10238650.477008142</v>
      </c>
      <c r="E24" s="412">
        <f t="shared" si="3"/>
        <v>10430966.939093957</v>
      </c>
      <c r="F24" s="412">
        <f t="shared" si="3"/>
        <v>11061673.828259725</v>
      </c>
      <c r="G24" s="412">
        <f t="shared" si="3"/>
        <v>10695009.040510271</v>
      </c>
      <c r="H24" s="412">
        <f t="shared" si="3"/>
        <v>10945470.268638879</v>
      </c>
      <c r="I24" s="412">
        <f t="shared" si="3"/>
        <v>11026121.250813946</v>
      </c>
      <c r="J24" s="412">
        <f t="shared" si="3"/>
        <v>11301655.56756372</v>
      </c>
      <c r="K24" s="412">
        <f t="shared" ref="K24:M24" si="4">SUM(K12:K23)</f>
        <v>11128718.998485973</v>
      </c>
      <c r="L24" s="412">
        <f t="shared" si="4"/>
        <v>11970025.768121483</v>
      </c>
      <c r="M24" s="412">
        <f t="shared" si="4"/>
        <v>11938376.022781858</v>
      </c>
      <c r="N24" s="412">
        <f t="shared" ref="N24" si="5">SUM(N12:N23)</f>
        <v>11651243.877122777</v>
      </c>
    </row>
    <row r="25" spans="1:14" x14ac:dyDescent="0.25">
      <c r="A25" s="449" t="s">
        <v>908</v>
      </c>
      <c r="B25" s="413"/>
      <c r="C25" s="413"/>
      <c r="D25" s="413"/>
      <c r="E25" s="413"/>
      <c r="F25" s="413"/>
      <c r="G25" s="413"/>
      <c r="H25" s="413"/>
      <c r="I25" s="413"/>
      <c r="J25" s="413"/>
      <c r="K25" s="413"/>
      <c r="L25" s="413"/>
      <c r="M25" s="413"/>
      <c r="N25" s="413"/>
    </row>
    <row r="26" spans="1:14" x14ac:dyDescent="0.25">
      <c r="A26" s="418" t="s">
        <v>909</v>
      </c>
      <c r="B26" s="451"/>
      <c r="C26" s="419">
        <f>-DesglColoc!I27-BGhoriz!AM91+BGhoriz!AL91</f>
        <v>-7227028.7667370113</v>
      </c>
      <c r="D26" s="419">
        <f>-DesglColoc!I28-BGhoriz!AN91+BGhoriz!AM91</f>
        <v>-7227647.4491709787</v>
      </c>
      <c r="E26" s="419">
        <f>-DesglColoc!I29-BGhoriz!AO91+BGhoriz!AN91</f>
        <v>-7230386.3651445899</v>
      </c>
      <c r="F26" s="419">
        <f>-DesglColoc!I30-BGhoriz!AP91+BGhoriz!AO91</f>
        <v>-7236582.4667501301</v>
      </c>
      <c r="G26" s="419">
        <f>-DesglColoc!I31-BGhoriz!AQ91+BGhoriz!AP91</f>
        <v>-7233498.9681952931</v>
      </c>
      <c r="H26" s="419">
        <f>-DesglColoc!I32-BGhoriz!AR91+BGhoriz!AQ91</f>
        <v>-7234484.1853942033</v>
      </c>
      <c r="I26" s="419">
        <f>-DesglColoc!I33-BGhoriz!AS91+BGhoriz!AR91</f>
        <v>-7236077.2377353562</v>
      </c>
      <c r="J26" s="419">
        <f>-DesglColoc!I34-BGhoriz!AT91+BGhoriz!AS91</f>
        <v>-7264506.5223162789</v>
      </c>
      <c r="K26" s="419">
        <f>-DesglColoc!I35-BGhoriz!AU91+BGhoriz!AT91</f>
        <v>-7280659.5945125595</v>
      </c>
      <c r="L26" s="419">
        <f>-DesglColoc!I36-BGhoriz!AV91+BGhoriz!AU91</f>
        <v>-7307749.3922815695</v>
      </c>
      <c r="M26" s="419">
        <f>-DesglColoc!I37-BGhoriz!AW91+BGhoriz!AV91</f>
        <v>-7320337.9713680269</v>
      </c>
      <c r="N26" s="419">
        <f>-DesglColoc!I38-BGhoriz!AX91+BGhoriz!AW91</f>
        <v>-6813176.9478338584</v>
      </c>
    </row>
    <row r="27" spans="1:14" x14ac:dyDescent="0.25">
      <c r="A27" s="418" t="s">
        <v>910</v>
      </c>
      <c r="B27" s="451"/>
      <c r="C27" s="419">
        <f>-IF(BGhoriz!AM102-BGhoriz!AL102&gt;0,BGhoriz!AM102-BGhoriz!AL102,0)</f>
        <v>-63092.932434184477</v>
      </c>
      <c r="D27" s="419">
        <f>-IF(BGhoriz!AN102-BGhoriz!AM102&gt;0,BGhoriz!AN102-BGhoriz!AM102,0)</f>
        <v>0</v>
      </c>
      <c r="E27" s="419">
        <f>-IF(BGhoriz!AO102-BGhoriz!AN102&gt;0,BGhoriz!AO102-BGhoriz!AN102,0)</f>
        <v>0</v>
      </c>
      <c r="F27" s="419">
        <f>-IF(BGhoriz!AP102-BGhoriz!AO102&gt;0,BGhoriz!AP102-BGhoriz!AO102,0)</f>
        <v>0</v>
      </c>
      <c r="G27" s="419">
        <f>-IF(BGhoriz!AQ102-BGhoriz!AP102&gt;0,BGhoriz!AQ102-BGhoriz!AP102,0)</f>
        <v>0</v>
      </c>
      <c r="H27" s="419">
        <f>-IF(BGhoriz!AR102-BGhoriz!AQ102&gt;0,BGhoriz!AR102-BGhoriz!AQ102,0)</f>
        <v>-23272.358048137277</v>
      </c>
      <c r="I27" s="419">
        <f>-IF(BGhoriz!AS102-BGhoriz!AR102&gt;0,BGhoriz!AS102-BGhoriz!AR102,0)</f>
        <v>-25834.321813148446</v>
      </c>
      <c r="J27" s="419">
        <f>-IF(BGhoriz!AT102-BGhoriz!AS102&gt;0,BGhoriz!AT102-BGhoriz!AS102,0)</f>
        <v>0</v>
      </c>
      <c r="K27" s="419">
        <f>-IF(BGhoriz!AU102-BGhoriz!AT102&gt;0,BGhoriz!AU102-BGhoriz!AT102,0)</f>
        <v>0</v>
      </c>
      <c r="L27" s="419">
        <f>-IF(BGhoriz!AV102-BGhoriz!AU102&gt;0,BGhoriz!AV102-BGhoriz!AU102,0)</f>
        <v>0</v>
      </c>
      <c r="M27" s="419">
        <f>-IF(BGhoriz!AW102-BGhoriz!AV102&gt;0,BGhoriz!AW102-BGhoriz!AV102,0)</f>
        <v>-76374.000994108152</v>
      </c>
      <c r="N27" s="419">
        <f>-IF(BGhoriz!AX102-BGhoriz!AW102&gt;0,BGhoriz!AX102-BGhoriz!AW102,0)</f>
        <v>0</v>
      </c>
    </row>
    <row r="28" spans="1:14" x14ac:dyDescent="0.25">
      <c r="A28" s="418" t="s">
        <v>911</v>
      </c>
      <c r="B28" s="451"/>
      <c r="C28" s="419">
        <f>-(IF(BGhoriz!AM112-BGhoriz!AL112&gt;0,BGhoriz!AM112-BGhoriz!AL112,0)+IF(BGhoriz!AM122-BGhoriz!AL122&gt;0,BGhoriz!AM122-BGhoriz!AL122,0)+IF(BGhoriz!AM134-BGhoriz!AL134&gt;0,BGhoriz!AM134-BGhoriz!AL134,0))</f>
        <v>-139383.61000000034</v>
      </c>
      <c r="D28" s="419">
        <f>-(IF(BGhoriz!AN112-BGhoriz!AM112&gt;0,BGhoriz!AN112-BGhoriz!AM112,0)+IF(BGhoriz!AN122-BGhoriz!AM122&gt;0,BGhoriz!AN122-BGhoriz!AM122,0)+IF(BGhoriz!AN134-BGhoriz!AM134&gt;0,BGhoriz!AN134-BGhoriz!AM134,0))</f>
        <v>-6507.9152467483655</v>
      </c>
      <c r="E28" s="419">
        <f>-(IF(BGhoriz!AO112-BGhoriz!AN112&gt;0,BGhoriz!AO112-BGhoriz!AN112,0)+IF(BGhoriz!AO122-BGhoriz!AN122&gt;0,BGhoriz!AO122-BGhoriz!AN122,0)+IF(BGhoriz!AO134-BGhoriz!AN134&gt;0,BGhoriz!AO134-BGhoriz!AN134,0))</f>
        <v>0</v>
      </c>
      <c r="F28" s="419">
        <f>-(IF(BGhoriz!AP112-BGhoriz!AO112&gt;0,BGhoriz!AP112-BGhoriz!AO112,0)+IF(BGhoriz!AP122-BGhoriz!AO122&gt;0,BGhoriz!AP122-BGhoriz!AO122,0)+IF(BGhoriz!AP134-BGhoriz!AO134&gt;0,BGhoriz!AP134-BGhoriz!AO134,0))</f>
        <v>0</v>
      </c>
      <c r="G28" s="419">
        <f>-(IF(BGhoriz!AQ112-BGhoriz!AP112&gt;0,BGhoriz!AQ112-BGhoriz!AP112,0)+IF(BGhoriz!AQ122-BGhoriz!AP122&gt;0,BGhoriz!AQ122-BGhoriz!AP122,0)+IF(BGhoriz!AQ134-BGhoriz!AP134&gt;0,BGhoriz!AQ134-BGhoriz!AP134,0))</f>
        <v>-127625.03201522585</v>
      </c>
      <c r="H28" s="419">
        <f>-(IF(BGhoriz!AR112-BGhoriz!AQ112&gt;0,BGhoriz!AR112-BGhoriz!AQ112,0)+IF(BGhoriz!AR122-BGhoriz!AQ122&gt;0,BGhoriz!AR122-BGhoriz!AQ122,0)+IF(BGhoriz!AR134-BGhoriz!AQ134&gt;0,BGhoriz!AR134-BGhoriz!AQ134,0))</f>
        <v>0</v>
      </c>
      <c r="I28" s="419">
        <f>-(IF(BGhoriz!AS112-BGhoriz!AR112&gt;0,BGhoriz!AS112-BGhoriz!AR112,0)+IF(BGhoriz!AS122-BGhoriz!AR122&gt;0,BGhoriz!AS122-BGhoriz!AR122,0)+IF(BGhoriz!AS134-BGhoriz!AR134&gt;0,BGhoriz!AS134-BGhoriz!AR134,0))</f>
        <v>0</v>
      </c>
      <c r="J28" s="419">
        <f>-(IF(BGhoriz!AT112-BGhoriz!AS112&gt;0,BGhoriz!AT112-BGhoriz!AS112,0)+IF(BGhoriz!AT122-BGhoriz!AS122&gt;0,BGhoriz!AT122-BGhoriz!AS122,0)+IF(BGhoriz!AT134-BGhoriz!AS134&gt;0,BGhoriz!AT134-BGhoriz!AS134,0))</f>
        <v>-125092.8925711466</v>
      </c>
      <c r="K28" s="419">
        <f>-(IF(BGhoriz!AU112-BGhoriz!AT112&gt;0,BGhoriz!AU112-BGhoriz!AT112,0)+IF(BGhoriz!AU122-BGhoriz!AT122&gt;0,BGhoriz!AU122-BGhoriz!AT122,0)+IF(BGhoriz!AU134-BGhoriz!AT134&gt;0,BGhoriz!AU134-BGhoriz!AT134,0))</f>
        <v>-217878.87946798466</v>
      </c>
      <c r="L28" s="419">
        <f>-(IF(BGhoriz!AV112-BGhoriz!AU112&gt;0,BGhoriz!AV112-BGhoriz!AU112,0)+IF(BGhoriz!AV122-BGhoriz!AU122&gt;0,BGhoriz!AV122-BGhoriz!AU122,0)+IF(BGhoriz!AV134-BGhoriz!AU134&gt;0,BGhoriz!AV134-BGhoriz!AU134,0))</f>
        <v>0</v>
      </c>
      <c r="M28" s="419">
        <f>-(IF(BGhoriz!AW112-BGhoriz!AV112&gt;0,BGhoriz!AW112-BGhoriz!AV112,0)+IF(BGhoriz!AW122-BGhoriz!AV122&gt;0,BGhoriz!AW122-BGhoriz!AV122,0)+IF(BGhoriz!AW134-BGhoriz!AV134&gt;0,BGhoriz!AW134-BGhoriz!AV134,0))</f>
        <v>0</v>
      </c>
      <c r="N28" s="419">
        <f>-(IF(BGhoriz!AX112-BGhoriz!AW112&gt;0,BGhoriz!AX112-BGhoriz!AW112,0)+IF(BGhoriz!AX122-BGhoriz!AW122&gt;0,BGhoriz!AX122-BGhoriz!AW122,0)+IF(BGhoriz!AX134-BGhoriz!AW134&gt;0,BGhoriz!AX134-BGhoriz!AW134,0))</f>
        <v>-1669868.0766313826</v>
      </c>
    </row>
    <row r="29" spans="1:14" x14ac:dyDescent="0.25">
      <c r="A29" s="418" t="s">
        <v>912</v>
      </c>
      <c r="B29" s="451"/>
      <c r="C29" s="419">
        <f>BGhoriz!AM189-BGhoriz!AL189</f>
        <v>0</v>
      </c>
      <c r="D29" s="419">
        <f>BGhoriz!AN189-BGhoriz!AM189</f>
        <v>0</v>
      </c>
      <c r="E29" s="419">
        <f>BGhoriz!AO189-BGhoriz!AN189</f>
        <v>0</v>
      </c>
      <c r="F29" s="419">
        <f>BGhoriz!AP189-BGhoriz!AO189</f>
        <v>0</v>
      </c>
      <c r="G29" s="419">
        <f>BGhoriz!AQ189-BGhoriz!AP189</f>
        <v>0</v>
      </c>
      <c r="H29" s="419">
        <f>BGhoriz!AR189-BGhoriz!AQ189</f>
        <v>0</v>
      </c>
      <c r="I29" s="419">
        <f>BGhoriz!AS189-BGhoriz!AR189</f>
        <v>0</v>
      </c>
      <c r="J29" s="419">
        <f>BGhoriz!AT189-BGhoriz!AS189</f>
        <v>0</v>
      </c>
      <c r="K29" s="419">
        <f>BGhoriz!AU189-BGhoriz!AT189</f>
        <v>0</v>
      </c>
      <c r="L29" s="419">
        <f>BGhoriz!AV189-BGhoriz!AU189</f>
        <v>0</v>
      </c>
      <c r="M29" s="419">
        <f>BGhoriz!AW189-BGhoriz!AV189</f>
        <v>0</v>
      </c>
      <c r="N29" s="419">
        <f>BGhoriz!AX189-BGhoriz!AW189</f>
        <v>0</v>
      </c>
    </row>
    <row r="30" spans="1:14" x14ac:dyDescent="0.25">
      <c r="A30" s="418" t="s">
        <v>913</v>
      </c>
      <c r="B30" s="451"/>
      <c r="C30" s="419">
        <f>IF(BGhoriz!AM154-BGhoriz!AL154&lt;0,BGhoriz!AM154-BGhoriz!AL154,0)</f>
        <v>0</v>
      </c>
      <c r="D30" s="419">
        <f>IF(BGhoriz!AN154-BGhoriz!AM154&lt;0,BGhoriz!AN154-BGhoriz!AM154,0)</f>
        <v>0</v>
      </c>
      <c r="E30" s="419">
        <f>IF(BGhoriz!AO154-BGhoriz!AN154&lt;0,BGhoriz!AO154-BGhoriz!AN154,0)</f>
        <v>0</v>
      </c>
      <c r="F30" s="419">
        <f>IF(BGhoriz!AP154-BGhoriz!AO154&lt;0,BGhoriz!AP154-BGhoriz!AO154,0)</f>
        <v>0</v>
      </c>
      <c r="G30" s="419">
        <f>IF(BGhoriz!AQ154-BGhoriz!AP154&lt;0,BGhoriz!AQ154-BGhoriz!AP154,0)</f>
        <v>0</v>
      </c>
      <c r="H30" s="419">
        <f>IF(BGhoriz!AR154-BGhoriz!AQ154&lt;0,BGhoriz!AR154-BGhoriz!AQ154,0)</f>
        <v>0</v>
      </c>
      <c r="I30" s="419">
        <f>IF(BGhoriz!AS154-BGhoriz!AR154&lt;0,BGhoriz!AS154-BGhoriz!AR154,0)</f>
        <v>0</v>
      </c>
      <c r="J30" s="419">
        <f>IF(BGhoriz!AT154-BGhoriz!AS154&lt;0,BGhoriz!AT154-BGhoriz!AS154,0)</f>
        <v>0</v>
      </c>
      <c r="K30" s="419">
        <f>IF(BGhoriz!AU154-BGhoriz!AT154&lt;0,BGhoriz!AU154-BGhoriz!AT154,0)</f>
        <v>0</v>
      </c>
      <c r="L30" s="419">
        <f>IF(BGhoriz!AV154-BGhoriz!AU154&lt;0,BGhoriz!AV154-BGhoriz!AU154,0)</f>
        <v>0</v>
      </c>
      <c r="M30" s="419">
        <f>IF(BGhoriz!AW154-BGhoriz!AV154&lt;0,BGhoriz!AW154-BGhoriz!AV154,0)</f>
        <v>0</v>
      </c>
      <c r="N30" s="419">
        <f>IF(BGhoriz!AX154-BGhoriz!AW154&lt;0,BGhoriz!AX154-BGhoriz!AW154,0)</f>
        <v>0</v>
      </c>
    </row>
    <row r="31" spans="1:14" x14ac:dyDescent="0.25">
      <c r="A31" s="418" t="s">
        <v>914</v>
      </c>
      <c r="B31" s="451"/>
      <c r="C31" s="419">
        <f>IF(BGhoriz!AM160-BGhoriz!AL160&lt;0,BGhoriz!AM160-BGhoriz!AL160,0)</f>
        <v>0</v>
      </c>
      <c r="D31" s="419">
        <f>IF(BGhoriz!AN160-BGhoriz!AM160&lt;0,BGhoriz!AN160-BGhoriz!AM160,0)</f>
        <v>0</v>
      </c>
      <c r="E31" s="419">
        <f>IF(BGhoriz!AO160-BGhoriz!AN160&lt;0,BGhoriz!AO160-BGhoriz!AN160,0)</f>
        <v>0</v>
      </c>
      <c r="F31" s="419">
        <f>IF(BGhoriz!AP160-BGhoriz!AO160&lt;0,BGhoriz!AP160-BGhoriz!AO160,0)</f>
        <v>0</v>
      </c>
      <c r="G31" s="419">
        <f>IF(BGhoriz!AQ160-BGhoriz!AP160&lt;0,BGhoriz!AQ160-BGhoriz!AP160,0)</f>
        <v>0</v>
      </c>
      <c r="H31" s="419">
        <f>IF(BGhoriz!AR160-BGhoriz!AQ160&lt;0,BGhoriz!AR160-BGhoriz!AQ160,0)</f>
        <v>0</v>
      </c>
      <c r="I31" s="419">
        <f>IF(BGhoriz!AS160-BGhoriz!AR160&lt;0,BGhoriz!AS160-BGhoriz!AR160,0)</f>
        <v>0</v>
      </c>
      <c r="J31" s="419">
        <f>IF(BGhoriz!AT160-BGhoriz!AS160&lt;0,BGhoriz!AT160-BGhoriz!AS160,0)</f>
        <v>0</v>
      </c>
      <c r="K31" s="419">
        <f>IF(BGhoriz!AU160-BGhoriz!AT160&lt;0,BGhoriz!AU160-BGhoriz!AT160,0)</f>
        <v>0</v>
      </c>
      <c r="L31" s="419">
        <f>IF(BGhoriz!AV160-BGhoriz!AU160&lt;0,BGhoriz!AV160-BGhoriz!AU160,0)</f>
        <v>0</v>
      </c>
      <c r="M31" s="419">
        <f>IF(BGhoriz!AW160-BGhoriz!AV160&lt;0,BGhoriz!AW160-BGhoriz!AV160,0)</f>
        <v>0</v>
      </c>
      <c r="N31" s="419">
        <f>IF(BGhoriz!AX160-BGhoriz!AW160&lt;0,BGhoriz!AX160-BGhoriz!AW160,0)</f>
        <v>0</v>
      </c>
    </row>
    <row r="32" spans="1:14" x14ac:dyDescent="0.25">
      <c r="A32" s="418" t="s">
        <v>915</v>
      </c>
      <c r="B32" s="451"/>
      <c r="C32" s="419">
        <f>IF(BGhoriz!AM167-BGhoriz!AL167&lt;0,BGhoriz!AM167-BGhoriz!AL167,0)+IF(BGhoriz!AM169-BGhoriz!AL169&lt;0,BGhoriz!AM169-BGhoriz!AL169,0)+IF(BGhoriz!AM196-BGhoriz!AL196&lt;0,BGhoriz!AM196-BGhoriz!AL196,0)</f>
        <v>-177161.15050000011</v>
      </c>
      <c r="D32" s="419">
        <f>IF(BGhoriz!AN167-BGhoriz!AM167&lt;0,BGhoriz!AN167-BGhoriz!AM167,0)+IF(BGhoriz!AN169-BGhoriz!AM169&lt;0,BGhoriz!AN169-BGhoriz!AM169,0)+IF(BGhoriz!AN196-BGhoriz!AM196&lt;0,BGhoriz!AN196-BGhoriz!AM196,0)</f>
        <v>0</v>
      </c>
      <c r="E32" s="419">
        <f>IF(BGhoriz!AO167-BGhoriz!AN167&lt;0,BGhoriz!AO167-BGhoriz!AN167,0)+IF(BGhoriz!AO169-BGhoriz!AN169&lt;0,BGhoriz!AO169-BGhoriz!AN169,0)+IF(BGhoriz!AO196-BGhoriz!AN196&lt;0,BGhoriz!AO196-BGhoriz!AN196,0)</f>
        <v>0</v>
      </c>
      <c r="F32" s="419">
        <f>IF(BGhoriz!AP167-BGhoriz!AO167&lt;0,BGhoriz!AP167-BGhoriz!AO167,0)+IF(BGhoriz!AP169-BGhoriz!AO169&lt;0,BGhoriz!AP169-BGhoriz!AO169,0)+IF(BGhoriz!AP196-BGhoriz!AO196&lt;0,BGhoriz!AP196-BGhoriz!AO196,0)</f>
        <v>0</v>
      </c>
      <c r="G32" s="419">
        <f>IF(BGhoriz!AQ167-BGhoriz!AP167&lt;0,BGhoriz!AQ167-BGhoriz!AP167,0)+IF(BGhoriz!AQ169-BGhoriz!AP169&lt;0,BGhoriz!AQ169-BGhoriz!AP169,0)+IF(BGhoriz!AQ196-BGhoriz!AP196&lt;0,BGhoriz!AQ196-BGhoriz!AP196,0)</f>
        <v>-43202.494916396448</v>
      </c>
      <c r="H32" s="419">
        <f>IF(BGhoriz!AR167-BGhoriz!AQ167&lt;0,BGhoriz!AR167-BGhoriz!AQ167,0)+IF(BGhoriz!AR169-BGhoriz!AQ169&lt;0,BGhoriz!AR169-BGhoriz!AQ169,0)+IF(BGhoriz!AR196-BGhoriz!AQ196&lt;0,BGhoriz!AR196-BGhoriz!AQ196,0)</f>
        <v>0</v>
      </c>
      <c r="I32" s="419">
        <f>IF(BGhoriz!AS167-BGhoriz!AR167&lt;0,BGhoriz!AS167-BGhoriz!AR167,0)+IF(BGhoriz!AS169-BGhoriz!AR169&lt;0,BGhoriz!AS169-BGhoriz!AR169,0)+IF(BGhoriz!AS196-BGhoriz!AR196&lt;0,BGhoriz!AS196-BGhoriz!AR196,0)</f>
        <v>0</v>
      </c>
      <c r="J32" s="419">
        <f>IF(BGhoriz!AT167-BGhoriz!AS167&lt;0,BGhoriz!AT167-BGhoriz!AS167,0)+IF(BGhoriz!AT169-BGhoriz!AS169&lt;0,BGhoriz!AT169-BGhoriz!AS169,0)+IF(BGhoriz!AT196-BGhoriz!AS196&lt;0,BGhoriz!AT196-BGhoriz!AS196,0)</f>
        <v>0</v>
      </c>
      <c r="K32" s="419">
        <f>IF(BGhoriz!AU167-BGhoriz!AT167&lt;0,BGhoriz!AU167-BGhoriz!AT167,0)+IF(BGhoriz!AU169-BGhoriz!AT169&lt;0,BGhoriz!AU169-BGhoriz!AT169,0)+IF(BGhoriz!AU196-BGhoriz!AT196&lt;0,BGhoriz!AU196-BGhoriz!AT196,0)</f>
        <v>-52319.597015936859</v>
      </c>
      <c r="L32" s="419">
        <f>IF(BGhoriz!AV167-BGhoriz!AU167&lt;0,BGhoriz!AV167-BGhoriz!AU167,0)+IF(BGhoriz!AV169-BGhoriz!AU169&lt;0,BGhoriz!AV169-BGhoriz!AU169,0)+IF(BGhoriz!AV196-BGhoriz!AU196&lt;0,BGhoriz!AV196-BGhoriz!AU196,0)</f>
        <v>0</v>
      </c>
      <c r="M32" s="419">
        <f>IF(BGhoriz!AW167-BGhoriz!AV167&lt;0,BGhoriz!AW167-BGhoriz!AV167,0)+IF(BGhoriz!AW169-BGhoriz!AV169&lt;0,BGhoriz!AW169-BGhoriz!AV169,0)+IF(BGhoriz!AW196-BGhoriz!AV196&lt;0,BGhoriz!AW196-BGhoriz!AV196,0)</f>
        <v>-37762.313426207285</v>
      </c>
      <c r="N32" s="419">
        <f>IF(BGhoriz!AX167-BGhoriz!AW167&lt;0,BGhoriz!AX167-BGhoriz!AW167,0)+IF(BGhoriz!AX169-BGhoriz!AW169&lt;0,BGhoriz!AX169-BGhoriz!AW169,0)+IF(BGhoriz!AX196-BGhoriz!AW196&lt;0,BGhoriz!AX196-BGhoriz!AW196,0)</f>
        <v>0</v>
      </c>
    </row>
    <row r="33" spans="1:14" x14ac:dyDescent="0.25">
      <c r="A33" s="418" t="s">
        <v>916</v>
      </c>
      <c r="B33" s="451"/>
      <c r="C33" s="419">
        <f>IF(BGhoriz!AM192-BGhoriz!AL192&lt;0,BGhoriz!AM192-BGhoriz!AL192,0)</f>
        <v>0</v>
      </c>
      <c r="D33" s="419">
        <f>IF(BGhoriz!AN192-BGhoriz!AM192&lt;0,BGhoriz!AN192-BGhoriz!AM192,0)</f>
        <v>0</v>
      </c>
      <c r="E33" s="419">
        <f>IF(BGhoriz!AO192-BGhoriz!AN192&lt;0,BGhoriz!AO192-BGhoriz!AN192,0)</f>
        <v>0</v>
      </c>
      <c r="F33" s="419">
        <f>IF(BGhoriz!AP192-BGhoriz!AO192&lt;0,BGhoriz!AP192-BGhoriz!AO192,0)</f>
        <v>0</v>
      </c>
      <c r="G33" s="419">
        <f>IF(BGhoriz!AQ192-BGhoriz!AP192&lt;0,BGhoriz!AQ192-BGhoriz!AP192,0)</f>
        <v>0</v>
      </c>
      <c r="H33" s="419">
        <f>IF(BGhoriz!AR192-BGhoriz!AQ192&lt;0,BGhoriz!AR192-BGhoriz!AQ192,0)</f>
        <v>0</v>
      </c>
      <c r="I33" s="419">
        <f>IF(BGhoriz!AS192-BGhoriz!AR192&lt;0,BGhoriz!AS192-BGhoriz!AR192,0)</f>
        <v>0</v>
      </c>
      <c r="J33" s="419">
        <f>IF(BGhoriz!AT192-BGhoriz!AS192&lt;0,BGhoriz!AT192-BGhoriz!AS192,0)</f>
        <v>0</v>
      </c>
      <c r="K33" s="419">
        <f>IF(BGhoriz!AU192-BGhoriz!AT192&lt;0,BGhoriz!AU192-BGhoriz!AT192,0)</f>
        <v>0</v>
      </c>
      <c r="L33" s="419">
        <f>IF(BGhoriz!AV192-BGhoriz!AU192&lt;0,BGhoriz!AV192-BGhoriz!AU192,0)</f>
        <v>0</v>
      </c>
      <c r="M33" s="419">
        <f>IF(BGhoriz!AW192-BGhoriz!AV192&lt;0,BGhoriz!AW192-BGhoriz!AV192,0)</f>
        <v>0</v>
      </c>
      <c r="N33" s="419">
        <f>IF(BGhoriz!AX192-BGhoriz!AW192&lt;0,BGhoriz!AX192-BGhoriz!AW192,0)</f>
        <v>0</v>
      </c>
    </row>
    <row r="34" spans="1:14" x14ac:dyDescent="0.25">
      <c r="A34" s="418" t="s">
        <v>917</v>
      </c>
      <c r="B34" s="451"/>
      <c r="C34" s="419">
        <f>-BRhoriz!AY8</f>
        <v>-438058.97593954328</v>
      </c>
      <c r="D34" s="419">
        <f>-BRhoriz!AZ8</f>
        <v>-416753.22200858447</v>
      </c>
      <c r="E34" s="419">
        <f>-BRhoriz!BA8</f>
        <v>-504282.29100803658</v>
      </c>
      <c r="F34" s="419">
        <f>-BRhoriz!BB8</f>
        <v>-529806.74746027403</v>
      </c>
      <c r="G34" s="419">
        <f>-BRhoriz!BC8</f>
        <v>-590505.60607652972</v>
      </c>
      <c r="H34" s="419">
        <f>-BRhoriz!BD8</f>
        <v>-613248.66526849312</v>
      </c>
      <c r="I34" s="419">
        <f>-BRhoriz!BE8</f>
        <v>-676728.92114502285</v>
      </c>
      <c r="J34" s="419">
        <f>-BRhoriz!BF8</f>
        <v>-719840.57867926941</v>
      </c>
      <c r="K34" s="419">
        <f>-BRhoriz!BG8</f>
        <v>-738000.58307671233</v>
      </c>
      <c r="L34" s="419">
        <f>-BRhoriz!BH8</f>
        <v>-805639.23621351609</v>
      </c>
      <c r="M34" s="419">
        <f>-BRhoriz!BI8</f>
        <v>-821442.50088493153</v>
      </c>
      <c r="N34" s="419">
        <f>-BRhoriz!BJ8</f>
        <v>-891862.55128200934</v>
      </c>
    </row>
    <row r="35" spans="1:14" x14ac:dyDescent="0.25">
      <c r="A35" s="418" t="s">
        <v>918</v>
      </c>
      <c r="B35" s="451"/>
      <c r="C35" s="419">
        <f>-BRhoriz!AY16</f>
        <v>-3957.4440000000004</v>
      </c>
      <c r="D35" s="419">
        <f>-BRhoriz!AZ16</f>
        <v>-3957.4440000000004</v>
      </c>
      <c r="E35" s="419">
        <f>-BRhoriz!BA16</f>
        <v>-3957.4440000000004</v>
      </c>
      <c r="F35" s="419">
        <f>-BRhoriz!BB16</f>
        <v>-3957.4440000000004</v>
      </c>
      <c r="G35" s="419">
        <f>-BRhoriz!BC16</f>
        <v>-3957.4440000000004</v>
      </c>
      <c r="H35" s="419">
        <f>-BRhoriz!BD16</f>
        <v>-3957.4440000000004</v>
      </c>
      <c r="I35" s="419">
        <f>-BRhoriz!BE16</f>
        <v>-3957.4440000000004</v>
      </c>
      <c r="J35" s="419">
        <f>-BRhoriz!BF16</f>
        <v>-3957.4440000000004</v>
      </c>
      <c r="K35" s="419">
        <f>-BRhoriz!BG16</f>
        <v>-3957.4440000000004</v>
      </c>
      <c r="L35" s="419">
        <f>-BRhoriz!BH16</f>
        <v>-3957.4440000000004</v>
      </c>
      <c r="M35" s="419">
        <f>-BRhoriz!BI16</f>
        <v>-3957.4440000000004</v>
      </c>
      <c r="N35" s="419">
        <f>-BRhoriz!BJ16</f>
        <v>-3957.4440000000004</v>
      </c>
    </row>
    <row r="36" spans="1:14" x14ac:dyDescent="0.25">
      <c r="A36" s="417" t="str">
        <f>BRhoriz!C30</f>
        <v>GASTOS DE OPERACION</v>
      </c>
      <c r="B36" s="451"/>
      <c r="C36" s="419">
        <f>-BRhoriz!AY30</f>
        <v>-323730.09018333338</v>
      </c>
      <c r="D36" s="419">
        <f>-BRhoriz!AZ30</f>
        <v>-323730.09018333338</v>
      </c>
      <c r="E36" s="419">
        <f>-BRhoriz!BA30</f>
        <v>-323730.09018333338</v>
      </c>
      <c r="F36" s="419">
        <f>-BRhoriz!BB30</f>
        <v>-307196.85738333338</v>
      </c>
      <c r="G36" s="419">
        <f>-BRhoriz!BC30</f>
        <v>-307196.85738333338</v>
      </c>
      <c r="H36" s="419">
        <f>-BRhoriz!BD30</f>
        <v>-307196.85738333338</v>
      </c>
      <c r="I36" s="419">
        <f>-BRhoriz!BE30</f>
        <v>-307196.85738333338</v>
      </c>
      <c r="J36" s="419">
        <f>-BRhoriz!BF30</f>
        <v>-307196.85738333338</v>
      </c>
      <c r="K36" s="419">
        <f>-BRhoriz!BG30</f>
        <v>-307196.85738333338</v>
      </c>
      <c r="L36" s="419">
        <f>-BRhoriz!BH30</f>
        <v>-307196.85738333338</v>
      </c>
      <c r="M36" s="419">
        <f>-BRhoriz!BI30</f>
        <v>-307196.85738333338</v>
      </c>
      <c r="N36" s="419">
        <f>-BRhoriz!BJ30</f>
        <v>-307196.85738333338</v>
      </c>
    </row>
    <row r="37" spans="1:14" x14ac:dyDescent="0.25">
      <c r="A37" s="418" t="s">
        <v>919</v>
      </c>
      <c r="B37" s="451"/>
      <c r="C37" s="419">
        <f>-(BRhoriz!AY18+BRhoriz!AY20+BRhoriz!AY136+BRhoriz!AY139+BRhoriz!AY145)</f>
        <v>-234843.5351303287</v>
      </c>
      <c r="D37" s="419">
        <f>-(BRhoriz!AZ18+BRhoriz!AZ20+BRhoriz!AZ136+BRhoriz!AZ139+BRhoriz!AZ145)</f>
        <v>-237306.18841016907</v>
      </c>
      <c r="E37" s="419">
        <f>-(BRhoriz!BA18+BRhoriz!BA20+BRhoriz!BA136+BRhoriz!BA139+BRhoriz!BA145)</f>
        <v>-200088.52501641068</v>
      </c>
      <c r="F37" s="419">
        <f>-(BRhoriz!BB18+BRhoriz!BB20+BRhoriz!BB136+BRhoriz!BB139+BRhoriz!BB145)</f>
        <v>-203205.68936230481</v>
      </c>
      <c r="G37" s="419">
        <f>-(BRhoriz!BC18+BRhoriz!BC20+BRhoriz!BC136+BRhoriz!BC139+BRhoriz!BC145)</f>
        <v>-213745.24798351465</v>
      </c>
      <c r="H37" s="419">
        <f>-(BRhoriz!BD18+BRhoriz!BD20+BRhoriz!BD136+BRhoriz!BD139+BRhoriz!BD145)</f>
        <v>-217769.5809941745</v>
      </c>
      <c r="I37" s="419">
        <f>-(BRhoriz!BE18+BRhoriz!BE20+BRhoriz!BE136+BRhoriz!BE139+BRhoriz!BE145)</f>
        <v>-223212.71140980269</v>
      </c>
      <c r="J37" s="419">
        <f>-(BRhoriz!BF18+BRhoriz!BF20+BRhoriz!BF136+BRhoriz!BF139+BRhoriz!BF145)</f>
        <v>-216977.58151917043</v>
      </c>
      <c r="K37" s="419">
        <f>-(BRhoriz!BG18+BRhoriz!BG20+BRhoriz!BG136+BRhoriz!BG139+BRhoriz!BG145)</f>
        <v>-257613.1116921237</v>
      </c>
      <c r="L37" s="419">
        <f>-(BRhoriz!BH18+BRhoriz!BH20+BRhoriz!BH136+BRhoriz!BH139+BRhoriz!BH145)</f>
        <v>-252655.84814265528</v>
      </c>
      <c r="M37" s="419">
        <f>-(BRhoriz!BI18+BRhoriz!BI20+BRhoriz!BI136+BRhoriz!BI139+BRhoriz!BI145)</f>
        <v>-244907.11191194353</v>
      </c>
      <c r="N37" s="419">
        <f>-(BRhoriz!BJ18+BRhoriz!BJ20+BRhoriz!BJ136+BRhoriz!BJ139+BRhoriz!BJ145)</f>
        <v>-240748.88305942592</v>
      </c>
    </row>
    <row r="38" spans="1:14" x14ac:dyDescent="0.25">
      <c r="A38" s="418" t="s">
        <v>906</v>
      </c>
      <c r="B38" s="451"/>
      <c r="C38" s="419">
        <f>IF(BGhoriz!AM212-BGhoriz!AL212&lt;0,BGhoriz!AM212-BGhoriz!AL212,0)</f>
        <v>0</v>
      </c>
      <c r="D38" s="419">
        <f>IF(BGhoriz!AN212-BGhoriz!AM212&lt;0,BGhoriz!AN212-BGhoriz!AM212,0)</f>
        <v>0</v>
      </c>
      <c r="E38" s="419">
        <f>IF(BGhoriz!AO212-BGhoriz!AN212&lt;0,BGhoriz!AO212-BGhoriz!AN212,0)</f>
        <v>0</v>
      </c>
      <c r="F38" s="419">
        <f>IF(BGhoriz!AP212-BGhoriz!AO212&lt;0,BGhoriz!AP212-BGhoriz!AO212,0)</f>
        <v>0</v>
      </c>
      <c r="G38" s="419">
        <f>IF(BGhoriz!AQ212-BGhoriz!AP212&lt;0,BGhoriz!AQ212-BGhoriz!AP212,0)</f>
        <v>0</v>
      </c>
      <c r="H38" s="419">
        <f>IF(BGhoriz!AR212-BGhoriz!AQ212&lt;0,BGhoriz!AR212-BGhoriz!AQ212,0)</f>
        <v>0</v>
      </c>
      <c r="I38" s="419">
        <f>IF(BGhoriz!AS212-BGhoriz!AR212&lt;0,BGhoriz!AS212-BGhoriz!AR212,0)</f>
        <v>0</v>
      </c>
      <c r="J38" s="419">
        <f>IF(BGhoriz!AT212-BGhoriz!AS212&lt;0,BGhoriz!AT212-BGhoriz!AS212,0)</f>
        <v>0</v>
      </c>
      <c r="K38" s="419">
        <f>IF(BGhoriz!AU212-BGhoriz!AT212&lt;0,BGhoriz!AU212-BGhoriz!AT212,0)</f>
        <v>0</v>
      </c>
      <c r="L38" s="419">
        <f>IF(BGhoriz!AV212-BGhoriz!AU212&lt;0,BGhoriz!AV212-BGhoriz!AU212,0)</f>
        <v>0</v>
      </c>
      <c r="M38" s="419">
        <f>IF(BGhoriz!AW212-BGhoriz!AV212&lt;0,BGhoriz!AW212-BGhoriz!AV212,0)</f>
        <v>0</v>
      </c>
      <c r="N38" s="419">
        <f>IF(BGhoriz!AX212-BGhoriz!AW212&gt;0,BGhoriz!AX212-BGhoriz!AW212,0)-BRhoriz!BV202</f>
        <v>196309.16012611263</v>
      </c>
    </row>
    <row r="39" spans="1:14" s="452" customFormat="1" x14ac:dyDescent="0.25">
      <c r="A39" s="453" t="s">
        <v>920</v>
      </c>
      <c r="B39" s="448"/>
      <c r="C39" s="412">
        <f t="shared" ref="C39:J39" si="6">SUM(C26:C38)</f>
        <v>-8607256.5049244016</v>
      </c>
      <c r="D39" s="412">
        <f t="shared" si="6"/>
        <v>-8215902.3090198142</v>
      </c>
      <c r="E39" s="412">
        <f t="shared" si="6"/>
        <v>-8262444.7153523704</v>
      </c>
      <c r="F39" s="412">
        <f t="shared" si="6"/>
        <v>-8280749.2049560426</v>
      </c>
      <c r="G39" s="412">
        <f t="shared" si="6"/>
        <v>-8519731.6505702939</v>
      </c>
      <c r="H39" s="412">
        <f t="shared" si="6"/>
        <v>-8399929.0910883415</v>
      </c>
      <c r="I39" s="412">
        <f t="shared" si="6"/>
        <v>-8473007.4934866633</v>
      </c>
      <c r="J39" s="412">
        <f t="shared" si="6"/>
        <v>-8637571.8764691986</v>
      </c>
      <c r="K39" s="412">
        <f t="shared" ref="K39:N39" si="7">SUM(K26:K38)</f>
        <v>-8857626.0671486501</v>
      </c>
      <c r="L39" s="412">
        <f t="shared" si="7"/>
        <v>-8677198.7780210748</v>
      </c>
      <c r="M39" s="412">
        <f t="shared" si="7"/>
        <v>-8811978.1999685504</v>
      </c>
      <c r="N39" s="412">
        <f t="shared" si="7"/>
        <v>-9730501.6000638958</v>
      </c>
    </row>
    <row r="40" spans="1:14" x14ac:dyDescent="0.25">
      <c r="A40" s="405"/>
    </row>
    <row r="41" spans="1:14" x14ac:dyDescent="0.25">
      <c r="A41" s="449" t="s">
        <v>877</v>
      </c>
      <c r="B41" s="450"/>
      <c r="C41" s="412">
        <f t="shared" ref="C41:J41" si="8">C9+C24+C39</f>
        <v>12659912.670239441</v>
      </c>
      <c r="D41" s="412">
        <f t="shared" si="8"/>
        <v>13067925.566291381</v>
      </c>
      <c r="E41" s="412">
        <f t="shared" si="8"/>
        <v>13539374.814814899</v>
      </c>
      <c r="F41" s="412">
        <f t="shared" si="8"/>
        <v>14713155.084374186</v>
      </c>
      <c r="G41" s="412">
        <f t="shared" si="8"/>
        <v>14946658.993875103</v>
      </c>
      <c r="H41" s="412">
        <f t="shared" si="8"/>
        <v>15555572.809790211</v>
      </c>
      <c r="I41" s="412">
        <f t="shared" si="8"/>
        <v>16241561.123585032</v>
      </c>
      <c r="J41" s="412">
        <f t="shared" si="8"/>
        <v>18105282.388141006</v>
      </c>
      <c r="K41" s="412">
        <f t="shared" ref="K41:N41" si="9">K9+K24+K39</f>
        <v>18439576.826469883</v>
      </c>
      <c r="L41" s="412">
        <f t="shared" si="9"/>
        <v>19815644.109898582</v>
      </c>
      <c r="M41" s="412">
        <f t="shared" si="9"/>
        <v>20949134.84260406</v>
      </c>
      <c r="N41" s="412">
        <f t="shared" si="9"/>
        <v>21453507.910685189</v>
      </c>
    </row>
    <row r="42" spans="1:14" x14ac:dyDescent="0.25">
      <c r="A42" s="405"/>
      <c r="B42" s="413"/>
      <c r="C42" s="413"/>
      <c r="D42" s="413"/>
      <c r="E42" s="413"/>
      <c r="F42" s="413"/>
      <c r="G42" s="413"/>
      <c r="H42" s="413"/>
      <c r="I42" s="413"/>
      <c r="J42" s="413"/>
      <c r="K42" s="413"/>
      <c r="L42" s="413"/>
      <c r="M42" s="413"/>
      <c r="N42" s="413"/>
    </row>
    <row r="43" spans="1:14" x14ac:dyDescent="0.25">
      <c r="A43" s="408" t="s">
        <v>80</v>
      </c>
      <c r="B43" s="448"/>
      <c r="C43" s="409">
        <f>BGhoriz!AM6</f>
        <v>4832852.8783030566</v>
      </c>
      <c r="D43" s="409">
        <f>BGhoriz!AN6</f>
        <v>5768827.0510733137</v>
      </c>
      <c r="E43" s="409">
        <f>BGhoriz!AO6</f>
        <v>5905297.5510705039</v>
      </c>
      <c r="F43" s="409">
        <f>BGhoriz!AP6</f>
        <v>5932709.8439351255</v>
      </c>
      <c r="G43" s="409">
        <f>BGhoriz!AQ6</f>
        <v>6786992.602239673</v>
      </c>
      <c r="H43" s="409">
        <f>BGhoriz!AR6</f>
        <v>6451153.7762577487</v>
      </c>
      <c r="I43" s="409">
        <f>BGhoriz!AS6</f>
        <v>6515681.237046483</v>
      </c>
      <c r="J43" s="409">
        <f>BGhoriz!AT6</f>
        <v>6227035.6951325573</v>
      </c>
      <c r="K43" s="409">
        <f>BGhoriz!AU6</f>
        <v>6240232.3597981725</v>
      </c>
      <c r="L43" s="409">
        <f>BGhoriz!AV6</f>
        <v>6575121.4397907564</v>
      </c>
      <c r="M43" s="409">
        <f>BGhoriz!AW6</f>
        <v>7445984.2136263074</v>
      </c>
      <c r="N43" s="409">
        <f>BGhoriz!AX6</f>
        <v>8116267.3890738869</v>
      </c>
    </row>
    <row r="44" spans="1:14" x14ac:dyDescent="0.25">
      <c r="A44" s="408" t="s">
        <v>94</v>
      </c>
      <c r="B44" s="448"/>
      <c r="C44" s="409">
        <f>BGhoriz!AM20</f>
        <v>6212324.5199999986</v>
      </c>
      <c r="D44" s="409">
        <f>BGhoriz!AN20</f>
        <v>5602025.54</v>
      </c>
      <c r="E44" s="409">
        <f>BGhoriz!AO20</f>
        <v>6026932.9099999992</v>
      </c>
      <c r="F44" s="409">
        <f>BGhoriz!AP20</f>
        <v>6838671.7600000007</v>
      </c>
      <c r="G44" s="409">
        <f>BGhoriz!AQ20</f>
        <v>6223039.0300000003</v>
      </c>
      <c r="H44" s="409">
        <f>BGhoriz!AR20</f>
        <v>7237293.5899999999</v>
      </c>
      <c r="I44" s="409">
        <f>BGhoriz!AS20</f>
        <v>8925517.4600000009</v>
      </c>
      <c r="J44" s="409">
        <f>BGhoriz!AT20</f>
        <v>9941448.2000000011</v>
      </c>
      <c r="K44" s="409">
        <f>BGhoriz!AU20</f>
        <v>10282584.76</v>
      </c>
      <c r="L44" s="409">
        <f>BGhoriz!AV20</f>
        <v>11247615.579999998</v>
      </c>
      <c r="M44" s="409">
        <f>BGhoriz!AW20</f>
        <v>12086781.42</v>
      </c>
      <c r="N44" s="409">
        <f>BGhoriz!AX20</f>
        <v>11119798.34</v>
      </c>
    </row>
    <row r="45" spans="1:14" x14ac:dyDescent="0.25">
      <c r="A45" s="449" t="s">
        <v>877</v>
      </c>
      <c r="B45" s="450"/>
      <c r="C45" s="412">
        <f t="shared" ref="C45:J45" si="10">SUM(C43:C44)</f>
        <v>11045177.398303054</v>
      </c>
      <c r="D45" s="412">
        <f t="shared" si="10"/>
        <v>11370852.591073314</v>
      </c>
      <c r="E45" s="412">
        <f t="shared" si="10"/>
        <v>11932230.461070504</v>
      </c>
      <c r="F45" s="412">
        <f t="shared" si="10"/>
        <v>12771381.603935126</v>
      </c>
      <c r="G45" s="412">
        <f t="shared" si="10"/>
        <v>13010031.632239673</v>
      </c>
      <c r="H45" s="412">
        <f t="shared" si="10"/>
        <v>13688447.366257749</v>
      </c>
      <c r="I45" s="412">
        <f t="shared" si="10"/>
        <v>15441198.697046485</v>
      </c>
      <c r="J45" s="412">
        <f t="shared" si="10"/>
        <v>16168483.895132558</v>
      </c>
      <c r="K45" s="412">
        <f t="shared" ref="K45" si="11">SUM(K43:K44)</f>
        <v>16522817.119798172</v>
      </c>
      <c r="L45" s="412">
        <f t="shared" ref="L45:N45" si="12">SUM(L43:L44)</f>
        <v>17822737.019790754</v>
      </c>
      <c r="M45" s="412">
        <f t="shared" si="12"/>
        <v>19532765.633626308</v>
      </c>
      <c r="N45" s="412">
        <f t="shared" si="12"/>
        <v>19236065.729073886</v>
      </c>
    </row>
    <row r="46" spans="1:14" x14ac:dyDescent="0.25">
      <c r="B46" s="406"/>
      <c r="C46" s="406"/>
      <c r="D46" s="406"/>
      <c r="E46" s="406"/>
      <c r="F46" s="406"/>
      <c r="G46" s="406"/>
      <c r="H46" s="406"/>
      <c r="I46" s="406"/>
      <c r="J46" s="406"/>
      <c r="K46" s="406"/>
      <c r="L46" s="406"/>
      <c r="M46" s="406"/>
      <c r="N46" s="406"/>
    </row>
    <row r="47" spans="1:14" x14ac:dyDescent="0.25">
      <c r="A47" s="408" t="s">
        <v>878</v>
      </c>
      <c r="B47" s="448"/>
      <c r="C47" s="412">
        <f t="shared" ref="C47:J47" si="13">C45-C9</f>
        <v>-204354.27169694565</v>
      </c>
      <c r="D47" s="412">
        <f t="shared" si="13"/>
        <v>325675.19277025945</v>
      </c>
      <c r="E47" s="412">
        <f t="shared" si="13"/>
        <v>561377.86999719031</v>
      </c>
      <c r="F47" s="412">
        <f t="shared" si="13"/>
        <v>839151.14286462218</v>
      </c>
      <c r="G47" s="412">
        <f t="shared" si="13"/>
        <v>238650.02830454707</v>
      </c>
      <c r="H47" s="412">
        <f t="shared" si="13"/>
        <v>678415.73401807621</v>
      </c>
      <c r="I47" s="412">
        <f t="shared" si="13"/>
        <v>1752751.3307887353</v>
      </c>
      <c r="J47" s="412">
        <f t="shared" si="13"/>
        <v>727285.19808607362</v>
      </c>
      <c r="K47" s="412">
        <f t="shared" ref="K47:N47" si="14">K45-K9</f>
        <v>354333.22466561384</v>
      </c>
      <c r="L47" s="412">
        <f t="shared" si="14"/>
        <v>1299919.8999925815</v>
      </c>
      <c r="M47" s="412">
        <f t="shared" si="14"/>
        <v>1710028.6138355546</v>
      </c>
      <c r="N47" s="412">
        <f t="shared" si="14"/>
        <v>-296699.90455242246</v>
      </c>
    </row>
    <row r="48" spans="1:14" x14ac:dyDescent="0.25">
      <c r="A48" s="408" t="s">
        <v>879</v>
      </c>
      <c r="B48" s="448"/>
      <c r="C48" s="412">
        <f>SUM(C$47:$J47)</f>
        <v>4918952.2251325585</v>
      </c>
      <c r="D48" s="412">
        <f>SUM(D$47:$J47)</f>
        <v>5123306.4968295041</v>
      </c>
      <c r="E48" s="412">
        <f>SUM(E$47:$J47)</f>
        <v>4797631.3040592447</v>
      </c>
      <c r="F48" s="412">
        <f>SUM(F$47:$J47)</f>
        <v>4236253.4340620544</v>
      </c>
      <c r="G48" s="412">
        <f>SUM(G$47:$J47)</f>
        <v>3397102.2911974322</v>
      </c>
      <c r="H48" s="412">
        <f>SUM(H$47:$J47)</f>
        <v>3158452.2628928851</v>
      </c>
      <c r="I48" s="412">
        <f>SUM(I$47:$J47)</f>
        <v>2480036.5288748089</v>
      </c>
      <c r="J48" s="412">
        <f>SUM($J$47:J47)</f>
        <v>727285.19808607362</v>
      </c>
      <c r="K48" s="412">
        <f>SUM($J$47:K47)</f>
        <v>1081618.4227516875</v>
      </c>
      <c r="L48" s="412">
        <f>SUM($J$47:L47)</f>
        <v>2381538.3227442689</v>
      </c>
      <c r="M48" s="412">
        <f>SUM($J$47:M47)</f>
        <v>4091566.9365798235</v>
      </c>
      <c r="N48" s="412">
        <f>SUM($J$47:N47)</f>
        <v>3794867.032027401</v>
      </c>
    </row>
    <row r="49" spans="1:14" x14ac:dyDescent="0.25">
      <c r="A49" s="406"/>
      <c r="B49" s="420"/>
      <c r="C49" s="420"/>
      <c r="D49" s="420"/>
      <c r="E49" s="420"/>
      <c r="F49" s="420"/>
      <c r="G49" s="420"/>
      <c r="H49" s="420"/>
      <c r="I49" s="420"/>
      <c r="J49" s="420"/>
      <c r="K49" s="420"/>
      <c r="L49" s="420"/>
      <c r="M49" s="420"/>
      <c r="N49" s="420"/>
    </row>
    <row r="50" spans="1:14" s="424" customFormat="1" ht="11.25" customHeight="1" x14ac:dyDescent="0.2">
      <c r="A50" s="425" t="s">
        <v>679</v>
      </c>
      <c r="C50" s="426">
        <f t="shared" ref="C50:J50" si="15">C45-C41</f>
        <v>-1614735.2719363868</v>
      </c>
      <c r="D50" s="426">
        <f t="shared" si="15"/>
        <v>-1697072.9752180669</v>
      </c>
      <c r="E50" s="426">
        <f t="shared" si="15"/>
        <v>-1607144.3537443951</v>
      </c>
      <c r="F50" s="426">
        <f t="shared" si="15"/>
        <v>-1941773.4804390594</v>
      </c>
      <c r="G50" s="426">
        <f t="shared" si="15"/>
        <v>-1936627.3616354298</v>
      </c>
      <c r="H50" s="426">
        <f t="shared" si="15"/>
        <v>-1867125.4435324613</v>
      </c>
      <c r="I50" s="426">
        <f t="shared" si="15"/>
        <v>-800362.4265385475</v>
      </c>
      <c r="J50" s="426">
        <f t="shared" si="15"/>
        <v>-1936798.4930084478</v>
      </c>
      <c r="K50" s="426">
        <f t="shared" ref="K50" si="16">K45-K41</f>
        <v>-1916759.7066717111</v>
      </c>
      <c r="L50" s="426">
        <f t="shared" ref="L50:N50" si="17">L45-L41</f>
        <v>-1992907.0901078284</v>
      </c>
      <c r="M50" s="426">
        <f t="shared" si="17"/>
        <v>-1416369.2089777514</v>
      </c>
      <c r="N50" s="426">
        <f t="shared" si="17"/>
        <v>-2217442.1816113032</v>
      </c>
    </row>
  </sheetData>
  <pageMargins left="0.70866141732283472" right="0.70866141732283472" top="0.74803149606299213" bottom="0.74803149606299213" header="0.31496062992125984" footer="0.31496062992125984"/>
  <pageSetup paperSize="9" scale="65" orientation="landscape" useFirstPageNumber="1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  <pageSetUpPr fitToPage="1"/>
  </sheetPr>
  <dimension ref="A1:P84"/>
  <sheetViews>
    <sheetView zoomScaleNormal="100" workbookViewId="0">
      <pane xSplit="4" ySplit="6" topLeftCell="E7" activePane="bottomRight" state="frozen"/>
      <selection pane="topRight"/>
      <selection pane="bottomLeft"/>
      <selection pane="bottomRight" activeCell="N83" sqref="N83"/>
    </sheetView>
  </sheetViews>
  <sheetFormatPr baseColWidth="10" defaultColWidth="11.42578125" defaultRowHeight="15" x14ac:dyDescent="0.25"/>
  <cols>
    <col min="1" max="1" width="9.140625" style="1" customWidth="1"/>
    <col min="2" max="2" width="48.42578125" style="1" customWidth="1"/>
    <col min="3" max="3" width="5.140625" style="454" customWidth="1"/>
    <col min="4" max="16" width="11.7109375" style="455" customWidth="1"/>
    <col min="17" max="17" width="11.42578125" style="1" customWidth="1"/>
    <col min="18" max="16384" width="11.42578125" style="1"/>
  </cols>
  <sheetData>
    <row r="1" spans="1:16" ht="33" customHeight="1" x14ac:dyDescent="0.25">
      <c r="A1" s="456" t="str">
        <f>Premisas!A1</f>
        <v>BANCO CAPITAL S.A.</v>
      </c>
    </row>
    <row r="2" spans="1:16" ht="15.75" customHeight="1" x14ac:dyDescent="0.25">
      <c r="A2" s="457" t="s">
        <v>921</v>
      </c>
      <c r="B2" s="458"/>
      <c r="C2" s="459"/>
      <c r="D2" s="458"/>
      <c r="E2" s="458"/>
      <c r="F2" s="458"/>
      <c r="G2" s="458"/>
      <c r="H2" s="458"/>
      <c r="I2" s="458"/>
      <c r="J2" s="458"/>
      <c r="K2" s="458"/>
      <c r="L2" s="458"/>
      <c r="M2" s="458"/>
      <c r="N2" s="458"/>
      <c r="O2" s="458"/>
      <c r="P2" s="458"/>
    </row>
    <row r="3" spans="1:16" ht="15.75" customHeight="1" x14ac:dyDescent="0.25">
      <c r="A3" s="457" t="s">
        <v>922</v>
      </c>
      <c r="B3" s="455"/>
    </row>
    <row r="4" spans="1:16" x14ac:dyDescent="0.25">
      <c r="A4" s="453" t="s">
        <v>923</v>
      </c>
      <c r="B4" s="460" t="s">
        <v>834</v>
      </c>
      <c r="C4" s="461"/>
      <c r="D4" s="462">
        <f>BGhoriz!AB4</f>
        <v>45657</v>
      </c>
      <c r="E4" s="462">
        <f>BGhoriz!AM4</f>
        <v>45688</v>
      </c>
      <c r="F4" s="462">
        <f>BGhoriz!AN4</f>
        <v>45716</v>
      </c>
      <c r="G4" s="462">
        <f>BGhoriz!AO4</f>
        <v>45747</v>
      </c>
      <c r="H4" s="462">
        <f>BGhoriz!AP4</f>
        <v>45777</v>
      </c>
      <c r="I4" s="462">
        <f>BGhoriz!AQ4</f>
        <v>45808</v>
      </c>
      <c r="J4" s="462">
        <f>BGhoriz!AR4</f>
        <v>45838</v>
      </c>
      <c r="K4" s="462">
        <f>BGhoriz!AS4</f>
        <v>45869</v>
      </c>
      <c r="L4" s="462">
        <f>BGhoriz!AT4</f>
        <v>45900</v>
      </c>
      <c r="M4" s="462">
        <f>BGhoriz!AU4</f>
        <v>45930</v>
      </c>
      <c r="N4" s="462">
        <f>BGhoriz!AV4</f>
        <v>45961</v>
      </c>
      <c r="O4" s="462">
        <f>BGhoriz!AW4</f>
        <v>45991</v>
      </c>
      <c r="P4" s="462">
        <f>BGhoriz!AX4</f>
        <v>46022</v>
      </c>
    </row>
    <row r="5" spans="1:16" x14ac:dyDescent="0.25">
      <c r="A5" s="463"/>
      <c r="B5" s="455"/>
      <c r="D5" s="464"/>
      <c r="E5" s="464"/>
      <c r="F5" s="464"/>
      <c r="G5" s="464"/>
      <c r="H5" s="464"/>
      <c r="I5" s="464"/>
      <c r="J5" s="464"/>
      <c r="K5" s="464"/>
      <c r="L5" s="464"/>
      <c r="M5" s="464"/>
      <c r="N5" s="464"/>
      <c r="O5" s="464"/>
      <c r="P5" s="464"/>
    </row>
    <row r="6" spans="1:16" s="465" customFormat="1" x14ac:dyDescent="0.25">
      <c r="A6" s="466"/>
      <c r="B6" s="467" t="s">
        <v>924</v>
      </c>
      <c r="C6" s="461"/>
      <c r="D6" s="468">
        <f t="shared" ref="D6" si="0">SUM(D7:D12)</f>
        <v>10578521.050000001</v>
      </c>
      <c r="E6" s="468">
        <f t="shared" ref="E6:P6" si="1">SUM(E7:E12)</f>
        <v>10699253.998507457</v>
      </c>
      <c r="F6" s="468">
        <f t="shared" si="1"/>
        <v>10784521.07828602</v>
      </c>
      <c r="G6" s="468">
        <f t="shared" si="1"/>
        <v>10994127.825519284</v>
      </c>
      <c r="H6" s="468">
        <f t="shared" si="1"/>
        <v>11232366.860676019</v>
      </c>
      <c r="I6" s="468">
        <f t="shared" si="1"/>
        <v>11494945.732091991</v>
      </c>
      <c r="J6" s="468">
        <f t="shared" si="1"/>
        <v>11776838.262094654</v>
      </c>
      <c r="K6" s="468">
        <f t="shared" si="1"/>
        <v>12083259.061882384</v>
      </c>
      <c r="L6" s="468">
        <f t="shared" si="1"/>
        <v>12458601.616104651</v>
      </c>
      <c r="M6" s="468">
        <f t="shared" si="1"/>
        <v>12796474.828990886</v>
      </c>
      <c r="N6" s="468">
        <f t="shared" si="1"/>
        <v>13211976.382451145</v>
      </c>
      <c r="O6" s="468">
        <f t="shared" si="1"/>
        <v>13644620.606549973</v>
      </c>
      <c r="P6" s="468">
        <f t="shared" si="1"/>
        <v>14037238.926802199</v>
      </c>
    </row>
    <row r="7" spans="1:16" x14ac:dyDescent="0.25">
      <c r="A7" s="469">
        <f>BGhoriz!B213</f>
        <v>31</v>
      </c>
      <c r="B7" s="470" t="str">
        <f>BGhoriz!C213</f>
        <v>CAPITAL SOCIAL</v>
      </c>
      <c r="D7" s="471">
        <f>BGhoriz!AB213</f>
        <v>17000000</v>
      </c>
      <c r="E7" s="471">
        <f>BGhoriz!AM213</f>
        <v>16050000</v>
      </c>
      <c r="F7" s="471">
        <f>BGhoriz!AN213</f>
        <v>16050000</v>
      </c>
      <c r="G7" s="471">
        <f>BGhoriz!AO213</f>
        <v>16050000</v>
      </c>
      <c r="H7" s="471">
        <f>BGhoriz!AP213</f>
        <v>16050000</v>
      </c>
      <c r="I7" s="471">
        <f>BGhoriz!AQ213</f>
        <v>16050000</v>
      </c>
      <c r="J7" s="471">
        <f>BGhoriz!AR213</f>
        <v>16050000</v>
      </c>
      <c r="K7" s="471">
        <f>BGhoriz!AS213</f>
        <v>16050000</v>
      </c>
      <c r="L7" s="471">
        <f>BGhoriz!AT213</f>
        <v>16050000</v>
      </c>
      <c r="M7" s="471">
        <f>BGhoriz!AU213</f>
        <v>16050000</v>
      </c>
      <c r="N7" s="471">
        <f>BGhoriz!AV213</f>
        <v>16050000</v>
      </c>
      <c r="O7" s="471">
        <f>BGhoriz!AW213</f>
        <v>16050000</v>
      </c>
      <c r="P7" s="471">
        <f>BGhoriz!AX213</f>
        <v>16050000</v>
      </c>
    </row>
    <row r="8" spans="1:16" x14ac:dyDescent="0.25">
      <c r="A8" s="472">
        <f>EEFFun!B466</f>
        <v>3301</v>
      </c>
      <c r="B8" s="473" t="str">
        <f>EEFFun!C466</f>
        <v>Legales</v>
      </c>
      <c r="D8" s="474"/>
      <c r="E8" s="474"/>
      <c r="F8" s="474"/>
      <c r="G8" s="474"/>
      <c r="H8" s="474"/>
      <c r="I8" s="474"/>
      <c r="J8" s="474"/>
      <c r="K8" s="474"/>
      <c r="L8" s="474"/>
      <c r="M8" s="474"/>
      <c r="N8" s="474"/>
      <c r="O8" s="474"/>
      <c r="P8" s="474"/>
    </row>
    <row r="9" spans="1:16" x14ac:dyDescent="0.25">
      <c r="A9" s="475">
        <v>3601</v>
      </c>
      <c r="B9" s="476" t="s">
        <v>424</v>
      </c>
      <c r="D9" s="474"/>
      <c r="E9" s="474"/>
      <c r="F9" s="474"/>
      <c r="G9" s="474"/>
      <c r="H9" s="474"/>
      <c r="I9" s="474"/>
      <c r="J9" s="474"/>
      <c r="K9" s="474"/>
      <c r="L9" s="474"/>
      <c r="M9" s="474"/>
      <c r="N9" s="474"/>
      <c r="O9" s="474"/>
      <c r="P9" s="474"/>
    </row>
    <row r="10" spans="1:16" x14ac:dyDescent="0.25">
      <c r="A10" s="472">
        <f>BGhoriz!B225</f>
        <v>3602</v>
      </c>
      <c r="B10" s="476" t="s">
        <v>925</v>
      </c>
      <c r="D10" s="477">
        <f>BGhoriz!AB225</f>
        <v>-5385697.5999999996</v>
      </c>
      <c r="E10" s="477">
        <f>BGhoriz!AM225</f>
        <v>-5386112.4757462721</v>
      </c>
      <c r="F10" s="477">
        <f>BGhoriz!AN225</f>
        <v>-5343478.9358569896</v>
      </c>
      <c r="G10" s="477">
        <f>BGhoriz!AO225</f>
        <v>-5238675.5622403575</v>
      </c>
      <c r="H10" s="477">
        <f>BGhoriz!AP225</f>
        <v>-5119556.0446619913</v>
      </c>
      <c r="I10" s="477">
        <f>BGhoriz!AQ225</f>
        <v>-4988266.608954004</v>
      </c>
      <c r="J10" s="477">
        <f>BGhoriz!AR225</f>
        <v>-4847320.3439526726</v>
      </c>
      <c r="K10" s="477">
        <f>BGhoriz!AS225</f>
        <v>-4694109.9440588076</v>
      </c>
      <c r="L10" s="477">
        <f>BGhoriz!AT225</f>
        <v>-4506438.6669476749</v>
      </c>
      <c r="M10" s="477">
        <f>BGhoriz!AU225</f>
        <v>-4337502.0605045576</v>
      </c>
      <c r="N10" s="477">
        <f>BGhoriz!AV225</f>
        <v>-4129751.2837744271</v>
      </c>
      <c r="O10" s="477">
        <f>BGhoriz!AW225</f>
        <v>-3913429.1717250138</v>
      </c>
      <c r="P10" s="477">
        <f>BGhoriz!AX225</f>
        <v>-3717120.0115989009</v>
      </c>
    </row>
    <row r="11" spans="1:16" x14ac:dyDescent="0.25">
      <c r="A11" s="478" t="s">
        <v>926</v>
      </c>
      <c r="B11" s="479" t="s">
        <v>927</v>
      </c>
      <c r="D11" s="477">
        <f>BGhoriz!AB228</f>
        <v>-1035781.3500000006</v>
      </c>
      <c r="E11" s="477">
        <f>BGhoriz!AM228</f>
        <v>35366.474253728455</v>
      </c>
      <c r="F11" s="477">
        <f>BGhoriz!AN228</f>
        <v>78000.014143010907</v>
      </c>
      <c r="G11" s="477">
        <f>BGhoriz!AO228</f>
        <v>182803.38775964253</v>
      </c>
      <c r="H11" s="477">
        <f>BGhoriz!AP228</f>
        <v>301922.905338009</v>
      </c>
      <c r="I11" s="477">
        <f>BGhoriz!AQ228</f>
        <v>433212.34104599652</v>
      </c>
      <c r="J11" s="477">
        <f>BGhoriz!AR228</f>
        <v>574158.60604732728</v>
      </c>
      <c r="K11" s="477">
        <f>BGhoriz!AS228</f>
        <v>727369.00594119215</v>
      </c>
      <c r="L11" s="477">
        <f>BGhoriz!AT228</f>
        <v>915040.28305232502</v>
      </c>
      <c r="M11" s="477">
        <f>BGhoriz!AU228</f>
        <v>1083976.8894954431</v>
      </c>
      <c r="N11" s="477">
        <f>BGhoriz!AV228</f>
        <v>1291727.666225573</v>
      </c>
      <c r="O11" s="477">
        <f>BGhoriz!AW228</f>
        <v>1508049.7782749864</v>
      </c>
      <c r="P11" s="477">
        <f>BGhoriz!AX228</f>
        <v>1704358.9384010991</v>
      </c>
    </row>
    <row r="12" spans="1:16" x14ac:dyDescent="0.25">
      <c r="A12" s="480">
        <f>EEFFun!B435</f>
        <v>2802</v>
      </c>
      <c r="B12" s="473" t="str">
        <f>EEFFun!C435</f>
        <v>Aportes para futura capitalización</v>
      </c>
      <c r="D12" s="474"/>
      <c r="E12" s="474"/>
      <c r="F12" s="474"/>
      <c r="G12" s="474"/>
      <c r="H12" s="474"/>
      <c r="I12" s="474"/>
      <c r="J12" s="474"/>
      <c r="K12" s="474"/>
      <c r="L12" s="474"/>
      <c r="M12" s="474"/>
      <c r="N12" s="474"/>
      <c r="O12" s="474"/>
      <c r="P12" s="474"/>
    </row>
    <row r="13" spans="1:16" x14ac:dyDescent="0.25">
      <c r="A13" s="481"/>
      <c r="B13" s="482"/>
      <c r="D13" s="483"/>
      <c r="E13" s="483"/>
      <c r="F13" s="483"/>
      <c r="G13" s="483"/>
      <c r="H13" s="483"/>
      <c r="I13" s="483"/>
      <c r="J13" s="483"/>
      <c r="K13" s="483"/>
      <c r="L13" s="483"/>
      <c r="M13" s="483"/>
      <c r="N13" s="483"/>
      <c r="O13" s="483"/>
      <c r="P13" s="483"/>
    </row>
    <row r="14" spans="1:16" s="465" customFormat="1" x14ac:dyDescent="0.25">
      <c r="A14" s="466"/>
      <c r="B14" s="467" t="s">
        <v>928</v>
      </c>
      <c r="C14" s="461"/>
      <c r="D14" s="484">
        <f t="shared" ref="D14" si="2">SUM(D15:D21)</f>
        <v>40442.283000000003</v>
      </c>
      <c r="E14" s="484">
        <f t="shared" ref="E14:P14" si="3">SUM(E15:E21)</f>
        <v>19139.908000000003</v>
      </c>
      <c r="F14" s="484">
        <f t="shared" si="3"/>
        <v>19139.908000000003</v>
      </c>
      <c r="G14" s="484">
        <f t="shared" si="3"/>
        <v>19139.908000000003</v>
      </c>
      <c r="H14" s="484">
        <f t="shared" si="3"/>
        <v>22470.387999999999</v>
      </c>
      <c r="I14" s="484">
        <f t="shared" si="3"/>
        <v>22470.387999999999</v>
      </c>
      <c r="J14" s="484">
        <f t="shared" si="3"/>
        <v>22470.387999999999</v>
      </c>
      <c r="K14" s="484">
        <f t="shared" si="3"/>
        <v>22470.387999999999</v>
      </c>
      <c r="L14" s="484">
        <f t="shared" si="3"/>
        <v>22470.387999999999</v>
      </c>
      <c r="M14" s="484">
        <f t="shared" si="3"/>
        <v>22470.387999999999</v>
      </c>
      <c r="N14" s="484">
        <f t="shared" si="3"/>
        <v>22470.387999999999</v>
      </c>
      <c r="O14" s="484">
        <f t="shared" si="3"/>
        <v>22470.387999999999</v>
      </c>
      <c r="P14" s="484">
        <f t="shared" si="3"/>
        <v>22470.387999999999</v>
      </c>
    </row>
    <row r="15" spans="1:16" x14ac:dyDescent="0.25">
      <c r="A15" s="475">
        <v>35</v>
      </c>
      <c r="B15" s="485" t="s">
        <v>929</v>
      </c>
      <c r="C15" s="486">
        <v>0.45</v>
      </c>
      <c r="D15" s="477">
        <f>BGhoriz!AB220*$C$15</f>
        <v>40442.283000000003</v>
      </c>
      <c r="E15" s="477">
        <f>BGhoriz!AM220*$C$15</f>
        <v>4923.3780000000006</v>
      </c>
      <c r="F15" s="477">
        <f>BGhoriz!AN220*$C$15</f>
        <v>4923.3780000000006</v>
      </c>
      <c r="G15" s="477">
        <f>BGhoriz!AO220*$C$15</f>
        <v>4923.3780000000006</v>
      </c>
      <c r="H15" s="477">
        <f>BGhoriz!AP220*$C$15</f>
        <v>4923.3780000000006</v>
      </c>
      <c r="I15" s="477">
        <f>BGhoriz!AQ220*$C$15</f>
        <v>4923.3780000000006</v>
      </c>
      <c r="J15" s="477">
        <f>BGhoriz!AR220*$C$15</f>
        <v>4923.3780000000006</v>
      </c>
      <c r="K15" s="477">
        <f>BGhoriz!AS220*$C$15</f>
        <v>4923.3780000000006</v>
      </c>
      <c r="L15" s="477">
        <f>BGhoriz!AT220*$C$15</f>
        <v>4923.3780000000006</v>
      </c>
      <c r="M15" s="477">
        <f>BGhoriz!AU220*$C$15</f>
        <v>4923.3780000000006</v>
      </c>
      <c r="N15" s="477">
        <f>BGhoriz!AV220*$C$15</f>
        <v>4923.3780000000006</v>
      </c>
      <c r="O15" s="477">
        <f>BGhoriz!AW220*$C$15</f>
        <v>4923.3780000000006</v>
      </c>
      <c r="P15" s="477">
        <f>BGhoriz!AX220*$C$15</f>
        <v>4923.3780000000006</v>
      </c>
    </row>
    <row r="16" spans="1:16" x14ac:dyDescent="0.25">
      <c r="A16" s="475">
        <v>3601</v>
      </c>
      <c r="B16" s="485" t="s">
        <v>424</v>
      </c>
      <c r="D16" s="477">
        <f>EEFFun!AB471</f>
        <v>0</v>
      </c>
      <c r="E16" s="477">
        <f>EEFFun!AC471</f>
        <v>14216.53</v>
      </c>
      <c r="F16" s="477">
        <f>EEFFun!AD471</f>
        <v>14216.53</v>
      </c>
      <c r="G16" s="477">
        <f>EEFFun!AE471</f>
        <v>14216.53</v>
      </c>
      <c r="H16" s="477">
        <f>EEFFun!AF471</f>
        <v>17547.009999999998</v>
      </c>
      <c r="I16" s="477">
        <f>EEFFun!AG471</f>
        <v>17547.009999999998</v>
      </c>
      <c r="J16" s="477">
        <f>EEFFun!AH471</f>
        <v>17547.009999999998</v>
      </c>
      <c r="K16" s="477">
        <f>EEFFun!AI471</f>
        <v>17547.009999999998</v>
      </c>
      <c r="L16" s="477">
        <f>EEFFun!AJ471</f>
        <v>17547.009999999998</v>
      </c>
      <c r="M16" s="477">
        <f>EEFFun!AK471</f>
        <v>17547.009999999998</v>
      </c>
      <c r="N16" s="477">
        <f>EEFFun!AL471</f>
        <v>17547.009999999998</v>
      </c>
      <c r="O16" s="477">
        <f>EEFFun!AM471</f>
        <v>17547.009999999998</v>
      </c>
      <c r="P16" s="477">
        <f>EEFFun!AN471</f>
        <v>17547.009999999998</v>
      </c>
    </row>
    <row r="17" spans="1:16" x14ac:dyDescent="0.25">
      <c r="A17" s="475">
        <v>3602</v>
      </c>
      <c r="B17" s="485" t="s">
        <v>930</v>
      </c>
      <c r="D17" s="474"/>
      <c r="E17" s="474"/>
      <c r="F17" s="474"/>
      <c r="G17" s="474"/>
      <c r="H17" s="474"/>
      <c r="I17" s="474"/>
      <c r="J17" s="474"/>
      <c r="K17" s="474"/>
      <c r="L17" s="474"/>
      <c r="M17" s="474"/>
      <c r="N17" s="474"/>
      <c r="O17" s="474"/>
      <c r="P17" s="474"/>
    </row>
    <row r="18" spans="1:16" x14ac:dyDescent="0.25">
      <c r="A18" s="475">
        <v>3603</v>
      </c>
      <c r="B18" s="485" t="s">
        <v>931</v>
      </c>
      <c r="D18" s="474"/>
      <c r="E18" s="474"/>
      <c r="F18" s="474"/>
      <c r="G18" s="474"/>
      <c r="H18" s="474"/>
      <c r="I18" s="474"/>
      <c r="J18" s="474"/>
      <c r="K18" s="474"/>
      <c r="L18" s="474"/>
      <c r="M18" s="474"/>
      <c r="N18" s="474"/>
      <c r="O18" s="474"/>
      <c r="P18" s="474"/>
    </row>
    <row r="19" spans="1:16" x14ac:dyDescent="0.25">
      <c r="A19" s="475">
        <v>3604</v>
      </c>
      <c r="B19" s="485" t="s">
        <v>932</v>
      </c>
      <c r="D19" s="474"/>
      <c r="E19" s="474"/>
      <c r="F19" s="474"/>
      <c r="G19" s="474"/>
      <c r="H19" s="474"/>
      <c r="I19" s="474"/>
      <c r="J19" s="474"/>
      <c r="K19" s="474"/>
      <c r="L19" s="474"/>
      <c r="M19" s="474"/>
      <c r="N19" s="474"/>
      <c r="O19" s="474"/>
      <c r="P19" s="474"/>
    </row>
    <row r="20" spans="1:16" ht="22.5" customHeight="1" x14ac:dyDescent="0.25">
      <c r="A20" s="472">
        <f>BGhoriz!B98</f>
        <v>149980</v>
      </c>
      <c r="B20" s="485" t="s">
        <v>933</v>
      </c>
      <c r="C20" s="487">
        <v>1.2500000000000001E-2</v>
      </c>
      <c r="D20" s="474"/>
      <c r="E20" s="474"/>
      <c r="F20" s="474"/>
      <c r="G20" s="474"/>
      <c r="H20" s="474"/>
      <c r="I20" s="474"/>
      <c r="J20" s="474"/>
      <c r="K20" s="474"/>
      <c r="L20" s="474"/>
      <c r="M20" s="474"/>
      <c r="N20" s="474"/>
      <c r="O20" s="474"/>
      <c r="P20" s="474"/>
    </row>
    <row r="21" spans="1:16" x14ac:dyDescent="0.25">
      <c r="A21" s="475">
        <v>149989</v>
      </c>
      <c r="B21" s="485" t="s">
        <v>934</v>
      </c>
      <c r="C21" s="487">
        <v>1.2500000000000001E-2</v>
      </c>
      <c r="D21" s="474"/>
      <c r="E21" s="474"/>
      <c r="F21" s="474"/>
      <c r="G21" s="474"/>
      <c r="H21" s="474"/>
      <c r="I21" s="474"/>
      <c r="J21" s="474"/>
      <c r="K21" s="474"/>
      <c r="L21" s="474"/>
      <c r="M21" s="474"/>
      <c r="N21" s="474"/>
      <c r="O21" s="474"/>
      <c r="P21" s="474"/>
    </row>
    <row r="22" spans="1:16" x14ac:dyDescent="0.25">
      <c r="A22" s="488"/>
      <c r="B22" s="455"/>
    </row>
    <row r="23" spans="1:16" s="465" customFormat="1" x14ac:dyDescent="0.25">
      <c r="A23" s="466"/>
      <c r="B23" s="467" t="s">
        <v>740</v>
      </c>
      <c r="C23" s="461"/>
      <c r="D23" s="484">
        <f t="shared" ref="D23" si="4">D6+D14</f>
        <v>10618963.333000001</v>
      </c>
      <c r="E23" s="484">
        <f t="shared" ref="E23:P23" si="5">E6+E14</f>
        <v>10718393.906507457</v>
      </c>
      <c r="F23" s="484">
        <f t="shared" si="5"/>
        <v>10803660.98628602</v>
      </c>
      <c r="G23" s="484">
        <f t="shared" si="5"/>
        <v>11013267.733519284</v>
      </c>
      <c r="H23" s="484">
        <f t="shared" si="5"/>
        <v>11254837.248676019</v>
      </c>
      <c r="I23" s="484">
        <f t="shared" si="5"/>
        <v>11517416.120091991</v>
      </c>
      <c r="J23" s="484">
        <f t="shared" si="5"/>
        <v>11799308.650094654</v>
      </c>
      <c r="K23" s="484">
        <f t="shared" si="5"/>
        <v>12105729.449882384</v>
      </c>
      <c r="L23" s="484">
        <f t="shared" si="5"/>
        <v>12481072.004104652</v>
      </c>
      <c r="M23" s="484">
        <f t="shared" si="5"/>
        <v>12818945.216990886</v>
      </c>
      <c r="N23" s="484">
        <f t="shared" si="5"/>
        <v>13234446.770451145</v>
      </c>
      <c r="O23" s="484">
        <f t="shared" si="5"/>
        <v>13667090.994549973</v>
      </c>
      <c r="P23" s="484">
        <f t="shared" si="5"/>
        <v>14059709.3148022</v>
      </c>
    </row>
    <row r="24" spans="1:16" x14ac:dyDescent="0.25">
      <c r="A24" s="463"/>
      <c r="B24" s="489" t="s">
        <v>741</v>
      </c>
      <c r="D24" s="490"/>
      <c r="E24" s="490"/>
      <c r="F24" s="490"/>
      <c r="G24" s="490"/>
      <c r="H24" s="490"/>
      <c r="I24" s="490"/>
      <c r="J24" s="490"/>
      <c r="K24" s="490"/>
      <c r="L24" s="490"/>
      <c r="M24" s="490"/>
      <c r="N24" s="490"/>
      <c r="O24" s="490"/>
      <c r="P24" s="490"/>
    </row>
    <row r="25" spans="1:16" x14ac:dyDescent="0.25">
      <c r="A25" s="488"/>
      <c r="B25" s="455"/>
    </row>
    <row r="26" spans="1:16" s="465" customFormat="1" x14ac:dyDescent="0.25">
      <c r="A26" s="466"/>
      <c r="B26" s="467" t="s">
        <v>742</v>
      </c>
      <c r="C26" s="461"/>
      <c r="D26" s="484">
        <f t="shared" ref="D26:P26" si="6">D23-D24</f>
        <v>10618963.333000001</v>
      </c>
      <c r="E26" s="484">
        <f t="shared" si="6"/>
        <v>10718393.906507457</v>
      </c>
      <c r="F26" s="484">
        <f t="shared" si="6"/>
        <v>10803660.98628602</v>
      </c>
      <c r="G26" s="484">
        <f t="shared" si="6"/>
        <v>11013267.733519284</v>
      </c>
      <c r="H26" s="484">
        <f t="shared" si="6"/>
        <v>11254837.248676019</v>
      </c>
      <c r="I26" s="484">
        <f t="shared" si="6"/>
        <v>11517416.120091991</v>
      </c>
      <c r="J26" s="484">
        <f t="shared" si="6"/>
        <v>11799308.650094654</v>
      </c>
      <c r="K26" s="484">
        <f t="shared" si="6"/>
        <v>12105729.449882384</v>
      </c>
      <c r="L26" s="484">
        <f t="shared" si="6"/>
        <v>12481072.004104652</v>
      </c>
      <c r="M26" s="484">
        <f t="shared" si="6"/>
        <v>12818945.216990886</v>
      </c>
      <c r="N26" s="484">
        <f t="shared" si="6"/>
        <v>13234446.770451145</v>
      </c>
      <c r="O26" s="484">
        <f t="shared" si="6"/>
        <v>13667090.994549973</v>
      </c>
      <c r="P26" s="484">
        <f t="shared" si="6"/>
        <v>14059709.3148022</v>
      </c>
    </row>
    <row r="27" spans="1:16" x14ac:dyDescent="0.25">
      <c r="A27" s="463"/>
      <c r="B27" s="455"/>
    </row>
    <row r="28" spans="1:16" x14ac:dyDescent="0.25">
      <c r="A28" s="491"/>
      <c r="B28" s="467" t="s">
        <v>935</v>
      </c>
      <c r="D28" s="492">
        <f t="shared" ref="D28:P28" si="7">D30+D39+D45+D52+D61</f>
        <v>51855378.689999998</v>
      </c>
      <c r="E28" s="492">
        <f t="shared" si="7"/>
        <v>77043226.362370029</v>
      </c>
      <c r="F28" s="492">
        <f t="shared" si="7"/>
        <v>82168106.551905513</v>
      </c>
      <c r="G28" s="492">
        <f t="shared" si="7"/>
        <v>87388009.22683464</v>
      </c>
      <c r="H28" s="492">
        <f t="shared" si="7"/>
        <v>92338780.4010759</v>
      </c>
      <c r="I28" s="492">
        <f t="shared" si="7"/>
        <v>97209668.173494786</v>
      </c>
      <c r="J28" s="492">
        <f t="shared" si="7"/>
        <v>102334681.04539596</v>
      </c>
      <c r="K28" s="492">
        <f t="shared" si="7"/>
        <v>108461310.62894031</v>
      </c>
      <c r="L28" s="492">
        <f t="shared" si="7"/>
        <v>113539706.66463327</v>
      </c>
      <c r="M28" s="492">
        <f t="shared" si="7"/>
        <v>118311725.67507553</v>
      </c>
      <c r="N28" s="492">
        <f t="shared" si="7"/>
        <v>123393326.61900249</v>
      </c>
      <c r="O28" s="492">
        <f t="shared" si="7"/>
        <v>129039476.61023995</v>
      </c>
      <c r="P28" s="492">
        <f t="shared" si="7"/>
        <v>133822564.25024892</v>
      </c>
    </row>
    <row r="29" spans="1:16" x14ac:dyDescent="0.25">
      <c r="A29" s="463"/>
      <c r="B29" s="455"/>
    </row>
    <row r="30" spans="1:16" x14ac:dyDescent="0.25">
      <c r="A30" s="466"/>
      <c r="B30" s="467" t="s">
        <v>936</v>
      </c>
      <c r="C30" s="461"/>
      <c r="D30" s="468">
        <f t="shared" ref="D30:P30" si="8">SUM(D32:D37)</f>
        <v>7432968.075526</v>
      </c>
      <c r="E30" s="468">
        <f t="shared" si="8"/>
        <v>9232564.7838290576</v>
      </c>
      <c r="F30" s="468">
        <f t="shared" si="8"/>
        <v>8270488.3465993144</v>
      </c>
      <c r="G30" s="468">
        <f t="shared" si="8"/>
        <v>7929952.5865965048</v>
      </c>
      <c r="H30" s="468">
        <f t="shared" si="8"/>
        <v>7576401.0094611263</v>
      </c>
      <c r="I30" s="468">
        <f t="shared" si="8"/>
        <v>8100354.3677656734</v>
      </c>
      <c r="J30" s="468">
        <f t="shared" si="8"/>
        <v>8854550.3717837483</v>
      </c>
      <c r="K30" s="468">
        <f t="shared" si="8"/>
        <v>10387291.052572483</v>
      </c>
      <c r="L30" s="468">
        <f t="shared" si="8"/>
        <v>8699747.7506585587</v>
      </c>
      <c r="M30" s="468">
        <f t="shared" si="8"/>
        <v>8560404.9053241722</v>
      </c>
      <c r="N30" s="468">
        <f t="shared" si="8"/>
        <v>8696917.535316756</v>
      </c>
      <c r="O30" s="468">
        <f t="shared" si="8"/>
        <v>11545696.119152308</v>
      </c>
      <c r="P30" s="468">
        <f t="shared" si="8"/>
        <v>10617928.684599886</v>
      </c>
    </row>
    <row r="31" spans="1:16" x14ac:dyDescent="0.25">
      <c r="A31" s="463"/>
      <c r="B31" s="493" t="s">
        <v>937</v>
      </c>
      <c r="D31" s="468">
        <f t="shared" ref="D31:P31" si="9">D30*0</f>
        <v>0</v>
      </c>
      <c r="E31" s="468">
        <f t="shared" si="9"/>
        <v>0</v>
      </c>
      <c r="F31" s="468">
        <f t="shared" si="9"/>
        <v>0</v>
      </c>
      <c r="G31" s="468">
        <f t="shared" si="9"/>
        <v>0</v>
      </c>
      <c r="H31" s="468">
        <f t="shared" si="9"/>
        <v>0</v>
      </c>
      <c r="I31" s="468">
        <f t="shared" si="9"/>
        <v>0</v>
      </c>
      <c r="J31" s="468">
        <f t="shared" si="9"/>
        <v>0</v>
      </c>
      <c r="K31" s="468">
        <f t="shared" si="9"/>
        <v>0</v>
      </c>
      <c r="L31" s="468">
        <f t="shared" si="9"/>
        <v>0</v>
      </c>
      <c r="M31" s="468">
        <f t="shared" si="9"/>
        <v>0</v>
      </c>
      <c r="N31" s="468">
        <f t="shared" si="9"/>
        <v>0</v>
      </c>
      <c r="O31" s="468">
        <f t="shared" si="9"/>
        <v>0</v>
      </c>
      <c r="P31" s="468">
        <f t="shared" si="9"/>
        <v>0</v>
      </c>
    </row>
    <row r="32" spans="1:16" x14ac:dyDescent="0.25">
      <c r="A32" s="478" t="s">
        <v>938</v>
      </c>
      <c r="B32" s="494" t="s">
        <v>939</v>
      </c>
      <c r="D32" s="471">
        <f>BGhoriz!AB6</f>
        <v>4049699.83</v>
      </c>
      <c r="E32" s="471">
        <f>BGhoriz!AM6</f>
        <v>4832852.8783030566</v>
      </c>
      <c r="F32" s="471">
        <f>BGhoriz!AN6</f>
        <v>5768827.0510733137</v>
      </c>
      <c r="G32" s="471">
        <f>BGhoriz!AO6</f>
        <v>5905297.5510705039</v>
      </c>
      <c r="H32" s="471">
        <f>BGhoriz!AP6</f>
        <v>5932709.8439351255</v>
      </c>
      <c r="I32" s="471">
        <f>BGhoriz!AQ6</f>
        <v>6786992.602239673</v>
      </c>
      <c r="J32" s="471">
        <f>BGhoriz!AR6</f>
        <v>6451153.7762577487</v>
      </c>
      <c r="K32" s="471">
        <f>BGhoriz!AS6</f>
        <v>6515681.237046483</v>
      </c>
      <c r="L32" s="471">
        <f>BGhoriz!AT6</f>
        <v>6227035.6951325573</v>
      </c>
      <c r="M32" s="471">
        <f>BGhoriz!AU6</f>
        <v>6240232.3597981725</v>
      </c>
      <c r="N32" s="471">
        <f>BGhoriz!AV6</f>
        <v>6575121.4397907564</v>
      </c>
      <c r="O32" s="471">
        <f>BGhoriz!AW6</f>
        <v>7445984.2136263074</v>
      </c>
      <c r="P32" s="471">
        <f>BGhoriz!AX6</f>
        <v>8116267.3890738869</v>
      </c>
    </row>
    <row r="33" spans="1:16" x14ac:dyDescent="0.25">
      <c r="A33" s="475">
        <v>1306</v>
      </c>
      <c r="B33" s="495" t="str">
        <f>BGhoriz!C35</f>
        <v>Mantenidas hasta el vencimiento del estado o de en</v>
      </c>
      <c r="D33" s="471">
        <f>BGhoriz!AB35</f>
        <v>2344713.46</v>
      </c>
      <c r="E33" s="471">
        <f>BGhoriz!AM35</f>
        <v>3368593.39</v>
      </c>
      <c r="F33" s="471">
        <f>BGhoriz!AN35</f>
        <v>1430921.1800000002</v>
      </c>
      <c r="G33" s="471">
        <f>BGhoriz!AO35</f>
        <v>995033.39000000013</v>
      </c>
      <c r="H33" s="471">
        <f>BGhoriz!AP35</f>
        <v>616377.83000000007</v>
      </c>
      <c r="I33" s="471">
        <f>BGhoriz!AQ35</f>
        <v>278364.7799999998</v>
      </c>
      <c r="J33" s="471">
        <f>BGhoriz!AR35</f>
        <v>1371651.2999999998</v>
      </c>
      <c r="K33" s="471">
        <f>BGhoriz!AS35</f>
        <v>2839311.86</v>
      </c>
      <c r="L33" s="471">
        <f>BGhoriz!AT35</f>
        <v>1444406.9</v>
      </c>
      <c r="M33" s="471">
        <f>BGhoriz!AU35</f>
        <v>1290921.83</v>
      </c>
      <c r="N33" s="471">
        <f>BGhoriz!AV35</f>
        <v>1086341.48</v>
      </c>
      <c r="O33" s="471">
        <f>BGhoriz!AW35</f>
        <v>3068593.3900000006</v>
      </c>
      <c r="P33" s="471">
        <f>BGhoriz!AX35</f>
        <v>1430921.1800000002</v>
      </c>
    </row>
    <row r="34" spans="1:16" x14ac:dyDescent="0.25">
      <c r="A34" s="478" t="s">
        <v>940</v>
      </c>
      <c r="B34" s="479" t="s">
        <v>941</v>
      </c>
      <c r="D34" s="496">
        <v>138245.03</v>
      </c>
      <c r="E34" s="496">
        <v>138245.03</v>
      </c>
      <c r="F34" s="496">
        <v>138245.03</v>
      </c>
      <c r="G34" s="496">
        <v>138245.03</v>
      </c>
      <c r="H34" s="496">
        <v>138245.03</v>
      </c>
      <c r="I34" s="496">
        <v>138245.03</v>
      </c>
      <c r="J34" s="496">
        <v>138245.03</v>
      </c>
      <c r="K34" s="496">
        <v>138245.03</v>
      </c>
      <c r="L34" s="496">
        <v>138245.03</v>
      </c>
      <c r="M34" s="496">
        <v>138245.03</v>
      </c>
      <c r="N34" s="496">
        <v>138245.03</v>
      </c>
      <c r="O34" s="496">
        <v>138245.03</v>
      </c>
      <c r="P34" s="496">
        <v>138245.03</v>
      </c>
    </row>
    <row r="35" spans="1:16" x14ac:dyDescent="0.25">
      <c r="A35" s="475">
        <v>190286</v>
      </c>
      <c r="B35" s="497" t="str">
        <f>BGhoriz!C139</f>
        <v>FONDO DE LIQUIDEZ</v>
      </c>
      <c r="D35" s="496">
        <v>877280.075526</v>
      </c>
      <c r="E35" s="496">
        <v>877280.075526</v>
      </c>
      <c r="F35" s="496">
        <v>877280.075526</v>
      </c>
      <c r="G35" s="496">
        <v>877280.075526</v>
      </c>
      <c r="H35" s="496">
        <v>877280.075526</v>
      </c>
      <c r="I35" s="496">
        <v>877280.075526</v>
      </c>
      <c r="J35" s="496">
        <v>877280.075526</v>
      </c>
      <c r="K35" s="496">
        <v>877280.075526</v>
      </c>
      <c r="L35" s="496">
        <v>877280.075526</v>
      </c>
      <c r="M35" s="496">
        <v>877280.075526</v>
      </c>
      <c r="N35" s="496">
        <v>877280.075526</v>
      </c>
      <c r="O35" s="496">
        <v>877280.075526</v>
      </c>
      <c r="P35" s="496">
        <v>877280.075526</v>
      </c>
    </row>
    <row r="36" spans="1:16" x14ac:dyDescent="0.25">
      <c r="A36" s="478" t="s">
        <v>942</v>
      </c>
      <c r="B36" s="479" t="s">
        <v>943</v>
      </c>
      <c r="C36" s="498"/>
      <c r="D36" s="499">
        <f>BGhoriz!AB148</f>
        <v>23029.68</v>
      </c>
      <c r="E36" s="499">
        <f>BGhoriz!AM148</f>
        <v>15593.41</v>
      </c>
      <c r="F36" s="499">
        <f>BGhoriz!AN148</f>
        <v>55215.01</v>
      </c>
      <c r="G36" s="499">
        <f>BGhoriz!AO148</f>
        <v>14096.54</v>
      </c>
      <c r="H36" s="499">
        <f>BGhoriz!AP148</f>
        <v>11788.23</v>
      </c>
      <c r="I36" s="499">
        <f>BGhoriz!AQ148</f>
        <v>19471.88</v>
      </c>
      <c r="J36" s="499">
        <f>BGhoriz!AR148</f>
        <v>16220.19</v>
      </c>
      <c r="K36" s="499">
        <f>BGhoriz!AS148</f>
        <v>16772.849999999999</v>
      </c>
      <c r="L36" s="499">
        <f>BGhoriz!AT148</f>
        <v>12780.05</v>
      </c>
      <c r="M36" s="499">
        <f>BGhoriz!AU148</f>
        <v>13725.61</v>
      </c>
      <c r="N36" s="499">
        <f>BGhoriz!AV148</f>
        <v>19929.509999999998</v>
      </c>
      <c r="O36" s="499">
        <f>BGhoriz!AW148</f>
        <v>15593.41</v>
      </c>
      <c r="P36" s="499">
        <f>BGhoriz!AX148</f>
        <v>55215.01</v>
      </c>
    </row>
    <row r="37" spans="1:16" x14ac:dyDescent="0.25">
      <c r="A37" s="500"/>
      <c r="B37" s="501" t="s">
        <v>944</v>
      </c>
      <c r="C37" s="498"/>
      <c r="D37" s="502"/>
      <c r="E37" s="502"/>
      <c r="F37" s="502"/>
      <c r="G37" s="502"/>
      <c r="H37" s="502"/>
      <c r="I37" s="502"/>
      <c r="J37" s="502"/>
      <c r="K37" s="502"/>
      <c r="L37" s="502"/>
      <c r="M37" s="502"/>
      <c r="N37" s="502"/>
      <c r="O37" s="502"/>
      <c r="P37" s="502"/>
    </row>
    <row r="38" spans="1:16" x14ac:dyDescent="0.25">
      <c r="A38" s="488"/>
      <c r="B38" s="455"/>
    </row>
    <row r="39" spans="1:16" x14ac:dyDescent="0.25">
      <c r="A39" s="466"/>
      <c r="B39" s="467" t="s">
        <v>945</v>
      </c>
      <c r="C39" s="461"/>
      <c r="D39" s="468">
        <f t="shared" ref="D39:P39" si="10">SUM(D41:D43)</f>
        <v>1345585.81</v>
      </c>
      <c r="E39" s="468">
        <f t="shared" si="10"/>
        <v>1543183.88</v>
      </c>
      <c r="F39" s="468">
        <f t="shared" si="10"/>
        <v>1543770.52</v>
      </c>
      <c r="G39" s="468">
        <f t="shared" si="10"/>
        <v>2544918.5299999998</v>
      </c>
      <c r="H39" s="468">
        <f t="shared" si="10"/>
        <v>2492200.6800000002</v>
      </c>
      <c r="I39" s="468">
        <f t="shared" si="10"/>
        <v>2292858.87</v>
      </c>
      <c r="J39" s="468">
        <f t="shared" si="10"/>
        <v>1694604.49</v>
      </c>
      <c r="K39" s="468">
        <f t="shared" si="10"/>
        <v>2050971.12</v>
      </c>
      <c r="L39" s="468">
        <f t="shared" si="10"/>
        <v>2352904.2000000002</v>
      </c>
      <c r="M39" s="468">
        <f t="shared" si="10"/>
        <v>1954783.6800000002</v>
      </c>
      <c r="N39" s="468">
        <f t="shared" si="10"/>
        <v>1050883.44</v>
      </c>
      <c r="O39" s="468">
        <f t="shared" si="10"/>
        <v>3043183.88</v>
      </c>
      <c r="P39" s="468">
        <f t="shared" si="10"/>
        <v>3243770.52</v>
      </c>
    </row>
    <row r="40" spans="1:16" x14ac:dyDescent="0.25">
      <c r="A40" s="463"/>
      <c r="B40" s="493" t="s">
        <v>946</v>
      </c>
      <c r="D40" s="468">
        <f t="shared" ref="D40:P40" si="11">D39*0.1</f>
        <v>134558.58100000001</v>
      </c>
      <c r="E40" s="468">
        <f t="shared" si="11"/>
        <v>154318.38800000001</v>
      </c>
      <c r="F40" s="468">
        <f t="shared" si="11"/>
        <v>154377.052</v>
      </c>
      <c r="G40" s="468">
        <f t="shared" si="11"/>
        <v>254491.853</v>
      </c>
      <c r="H40" s="468">
        <f t="shared" si="11"/>
        <v>249220.06800000003</v>
      </c>
      <c r="I40" s="468">
        <f t="shared" si="11"/>
        <v>229285.88700000002</v>
      </c>
      <c r="J40" s="468">
        <f t="shared" si="11"/>
        <v>169460.44900000002</v>
      </c>
      <c r="K40" s="468">
        <f t="shared" si="11"/>
        <v>205097.11200000002</v>
      </c>
      <c r="L40" s="468">
        <f t="shared" si="11"/>
        <v>235290.42000000004</v>
      </c>
      <c r="M40" s="468">
        <f t="shared" si="11"/>
        <v>195478.36800000002</v>
      </c>
      <c r="N40" s="468">
        <f t="shared" si="11"/>
        <v>105088.344</v>
      </c>
      <c r="O40" s="468">
        <f t="shared" si="11"/>
        <v>304318.38799999998</v>
      </c>
      <c r="P40" s="468">
        <f t="shared" si="11"/>
        <v>324377.05200000003</v>
      </c>
    </row>
    <row r="41" spans="1:16" x14ac:dyDescent="0.25">
      <c r="A41" s="478" t="s">
        <v>947</v>
      </c>
      <c r="B41" s="473" t="str">
        <f>BGhoriz!C27</f>
        <v>Disponibles para la venta del estado o de entidades sector público</v>
      </c>
      <c r="D41" s="471">
        <f>BGhoriz!AB27</f>
        <v>1345585.81</v>
      </c>
      <c r="E41" s="471">
        <f>BGhoriz!AM27</f>
        <v>1543183.88</v>
      </c>
      <c r="F41" s="471">
        <f>BGhoriz!AN27</f>
        <v>1543770.52</v>
      </c>
      <c r="G41" s="471">
        <f>BGhoriz!AO27</f>
        <v>2544918.5299999998</v>
      </c>
      <c r="H41" s="471">
        <f>BGhoriz!AP27</f>
        <v>2492200.6800000002</v>
      </c>
      <c r="I41" s="471">
        <f>BGhoriz!AQ27</f>
        <v>2292858.87</v>
      </c>
      <c r="J41" s="471">
        <f>BGhoriz!AR27</f>
        <v>1694604.49</v>
      </c>
      <c r="K41" s="471">
        <f>BGhoriz!AS27</f>
        <v>2050971.12</v>
      </c>
      <c r="L41" s="471">
        <f>BGhoriz!AT27</f>
        <v>2352904.2000000002</v>
      </c>
      <c r="M41" s="471">
        <f>BGhoriz!AU27</f>
        <v>1954783.6800000002</v>
      </c>
      <c r="N41" s="471">
        <f>BGhoriz!AV27</f>
        <v>1050883.44</v>
      </c>
      <c r="O41" s="471">
        <f>BGhoriz!AW27</f>
        <v>3043183.88</v>
      </c>
      <c r="P41" s="471">
        <f>BGhoriz!AX27</f>
        <v>3243770.52</v>
      </c>
    </row>
    <row r="42" spans="1:16" x14ac:dyDescent="0.25">
      <c r="A42" s="478" t="s">
        <v>948</v>
      </c>
      <c r="B42" s="473" t="str">
        <f>BGhoriz!C35</f>
        <v>Mantenidas hasta el vencimiento del estado o de en</v>
      </c>
      <c r="D42" s="503"/>
      <c r="E42" s="503"/>
      <c r="F42" s="503"/>
      <c r="G42" s="503"/>
      <c r="H42" s="503"/>
      <c r="I42" s="503"/>
      <c r="J42" s="503"/>
      <c r="K42" s="503"/>
      <c r="L42" s="503"/>
      <c r="M42" s="503"/>
      <c r="N42" s="503"/>
      <c r="O42" s="503"/>
      <c r="P42" s="503"/>
    </row>
    <row r="43" spans="1:16" x14ac:dyDescent="0.25">
      <c r="A43" s="478" t="s">
        <v>949</v>
      </c>
      <c r="B43" s="473" t="str">
        <f>BGhoriz!C38</f>
        <v>Depósitos sujetos a restricción</v>
      </c>
      <c r="C43" s="498"/>
      <c r="D43" s="503"/>
      <c r="E43" s="503"/>
      <c r="F43" s="503"/>
      <c r="G43" s="503"/>
      <c r="H43" s="503"/>
      <c r="I43" s="503"/>
      <c r="J43" s="503"/>
      <c r="K43" s="503"/>
      <c r="L43" s="503"/>
      <c r="M43" s="503"/>
      <c r="N43" s="503"/>
      <c r="O43" s="503"/>
      <c r="P43" s="503"/>
    </row>
    <row r="44" spans="1:16" x14ac:dyDescent="0.25">
      <c r="A44" s="488"/>
      <c r="B44" s="455"/>
    </row>
    <row r="45" spans="1:16" x14ac:dyDescent="0.25">
      <c r="A45" s="466"/>
      <c r="B45" s="467" t="s">
        <v>950</v>
      </c>
      <c r="C45" s="461"/>
      <c r="D45" s="468">
        <f t="shared" ref="D45:P45" si="12">SUM(D47:D50)</f>
        <v>0</v>
      </c>
      <c r="E45" s="468">
        <f t="shared" si="12"/>
        <v>0</v>
      </c>
      <c r="F45" s="468">
        <f t="shared" si="12"/>
        <v>0</v>
      </c>
      <c r="G45" s="468">
        <f t="shared" si="12"/>
        <v>0</v>
      </c>
      <c r="H45" s="468">
        <f t="shared" si="12"/>
        <v>0</v>
      </c>
      <c r="I45" s="468">
        <f t="shared" si="12"/>
        <v>0</v>
      </c>
      <c r="J45" s="468">
        <f t="shared" si="12"/>
        <v>0</v>
      </c>
      <c r="K45" s="468">
        <f t="shared" si="12"/>
        <v>0</v>
      </c>
      <c r="L45" s="468">
        <f t="shared" si="12"/>
        <v>0</v>
      </c>
      <c r="M45" s="468">
        <f t="shared" si="12"/>
        <v>0</v>
      </c>
      <c r="N45" s="468">
        <f t="shared" si="12"/>
        <v>0</v>
      </c>
      <c r="O45" s="468">
        <f t="shared" si="12"/>
        <v>0</v>
      </c>
      <c r="P45" s="468">
        <f t="shared" si="12"/>
        <v>0</v>
      </c>
    </row>
    <row r="46" spans="1:16" x14ac:dyDescent="0.25">
      <c r="A46" s="488"/>
      <c r="B46" s="493" t="s">
        <v>951</v>
      </c>
      <c r="D46" s="468">
        <f t="shared" ref="D46:P46" si="13">D45*20%</f>
        <v>0</v>
      </c>
      <c r="E46" s="468">
        <f t="shared" si="13"/>
        <v>0</v>
      </c>
      <c r="F46" s="468">
        <f t="shared" si="13"/>
        <v>0</v>
      </c>
      <c r="G46" s="468">
        <f t="shared" si="13"/>
        <v>0</v>
      </c>
      <c r="H46" s="468">
        <f t="shared" si="13"/>
        <v>0</v>
      </c>
      <c r="I46" s="468">
        <f t="shared" si="13"/>
        <v>0</v>
      </c>
      <c r="J46" s="468">
        <f t="shared" si="13"/>
        <v>0</v>
      </c>
      <c r="K46" s="468">
        <f t="shared" si="13"/>
        <v>0</v>
      </c>
      <c r="L46" s="468">
        <f t="shared" si="13"/>
        <v>0</v>
      </c>
      <c r="M46" s="468">
        <f t="shared" si="13"/>
        <v>0</v>
      </c>
      <c r="N46" s="468">
        <f t="shared" si="13"/>
        <v>0</v>
      </c>
      <c r="O46" s="468">
        <f t="shared" si="13"/>
        <v>0</v>
      </c>
      <c r="P46" s="468">
        <f t="shared" si="13"/>
        <v>0</v>
      </c>
    </row>
    <row r="47" spans="1:16" x14ac:dyDescent="0.25">
      <c r="A47" s="472">
        <f>BGhoriz!B27</f>
        <v>1304</v>
      </c>
      <c r="B47" s="504" t="str">
        <f>BGhoriz!C27</f>
        <v>Disponibles para la venta del estado o de entidades sector público</v>
      </c>
      <c r="D47" s="505">
        <f>BGhoriz!AB27-PT!D41</f>
        <v>0</v>
      </c>
      <c r="E47" s="505">
        <f>BGhoriz!AM27-PT!E41</f>
        <v>0</v>
      </c>
      <c r="F47" s="505">
        <f>BGhoriz!AN27-PT!F41</f>
        <v>0</v>
      </c>
      <c r="G47" s="505">
        <f>BGhoriz!AO27-PT!G41</f>
        <v>0</v>
      </c>
      <c r="H47" s="505">
        <f>BGhoriz!AP27-PT!H41</f>
        <v>0</v>
      </c>
      <c r="I47" s="505">
        <f>BGhoriz!AQ27-PT!I41</f>
        <v>0</v>
      </c>
      <c r="J47" s="505">
        <f>BGhoriz!AR27-PT!J41</f>
        <v>0</v>
      </c>
      <c r="K47" s="505">
        <f>BGhoriz!AS27-PT!K41</f>
        <v>0</v>
      </c>
      <c r="L47" s="505">
        <f>BGhoriz!AT27-PT!L41</f>
        <v>0</v>
      </c>
      <c r="M47" s="505">
        <f>BGhoriz!AU27-PT!M41</f>
        <v>0</v>
      </c>
      <c r="N47" s="505">
        <f>BGhoriz!AV27-PT!N41</f>
        <v>0</v>
      </c>
      <c r="O47" s="505">
        <f>BGhoriz!AW27-PT!O41</f>
        <v>0</v>
      </c>
      <c r="P47" s="505">
        <f>BGhoriz!AX27-PT!P41</f>
        <v>0</v>
      </c>
    </row>
    <row r="48" spans="1:16" x14ac:dyDescent="0.25">
      <c r="A48" s="472">
        <f>BGhoriz!B35</f>
        <v>1306</v>
      </c>
      <c r="B48" s="504" t="str">
        <f>BGhoriz!C35</f>
        <v>Mantenidas hasta el vencimiento del estado o de en</v>
      </c>
      <c r="D48" s="506">
        <v>0</v>
      </c>
      <c r="E48" s="506">
        <v>0</v>
      </c>
      <c r="F48" s="506">
        <v>0</v>
      </c>
      <c r="G48" s="506">
        <v>0</v>
      </c>
      <c r="H48" s="506">
        <v>0</v>
      </c>
      <c r="I48" s="506">
        <v>0</v>
      </c>
      <c r="J48" s="506">
        <v>0</v>
      </c>
      <c r="K48" s="506">
        <v>0</v>
      </c>
      <c r="L48" s="506">
        <v>0</v>
      </c>
      <c r="M48" s="506">
        <v>0</v>
      </c>
      <c r="N48" s="506">
        <v>0</v>
      </c>
      <c r="O48" s="506">
        <v>0</v>
      </c>
      <c r="P48" s="506">
        <v>0</v>
      </c>
    </row>
    <row r="49" spans="1:16" x14ac:dyDescent="0.25">
      <c r="A49" s="472">
        <f>BGhoriz!B38</f>
        <v>130710</v>
      </c>
      <c r="B49" s="504" t="str">
        <f>BGhoriz!C38</f>
        <v>Depósitos sujetos a restricción</v>
      </c>
      <c r="D49" s="507"/>
      <c r="E49" s="507"/>
      <c r="F49" s="507"/>
      <c r="G49" s="507"/>
      <c r="H49" s="507"/>
      <c r="I49" s="507"/>
      <c r="J49" s="507"/>
      <c r="K49" s="507"/>
      <c r="L49" s="507"/>
      <c r="M49" s="507"/>
      <c r="N49" s="507"/>
      <c r="O49" s="507"/>
      <c r="P49" s="507"/>
    </row>
    <row r="50" spans="1:16" x14ac:dyDescent="0.25">
      <c r="A50" s="472">
        <f>BGhoriz!B139</f>
        <v>190286</v>
      </c>
      <c r="B50" s="504" t="str">
        <f>BGhoriz!C139</f>
        <v>FONDO DE LIQUIDEZ</v>
      </c>
      <c r="D50" s="508">
        <v>0</v>
      </c>
      <c r="E50" s="508">
        <v>0</v>
      </c>
      <c r="F50" s="508">
        <v>0</v>
      </c>
      <c r="G50" s="508">
        <v>0</v>
      </c>
      <c r="H50" s="508">
        <v>0</v>
      </c>
      <c r="I50" s="508">
        <v>0</v>
      </c>
      <c r="J50" s="508">
        <v>0</v>
      </c>
      <c r="K50" s="508">
        <v>0</v>
      </c>
      <c r="L50" s="508">
        <v>0</v>
      </c>
      <c r="M50" s="508">
        <v>0</v>
      </c>
      <c r="N50" s="508">
        <v>0</v>
      </c>
      <c r="O50" s="508">
        <v>0</v>
      </c>
      <c r="P50" s="508">
        <v>0</v>
      </c>
    </row>
    <row r="52" spans="1:16" x14ac:dyDescent="0.25">
      <c r="A52" s="466"/>
      <c r="B52" s="467" t="s">
        <v>952</v>
      </c>
      <c r="C52" s="461"/>
      <c r="D52" s="468">
        <f t="shared" ref="D52:P52" si="14">SUM(D54:D59)</f>
        <v>0</v>
      </c>
      <c r="E52" s="468">
        <f t="shared" si="14"/>
        <v>0</v>
      </c>
      <c r="F52" s="468">
        <f t="shared" si="14"/>
        <v>0</v>
      </c>
      <c r="G52" s="468">
        <f t="shared" si="14"/>
        <v>0</v>
      </c>
      <c r="H52" s="468">
        <f t="shared" si="14"/>
        <v>0</v>
      </c>
      <c r="I52" s="468">
        <f t="shared" si="14"/>
        <v>0</v>
      </c>
      <c r="J52" s="468">
        <f t="shared" si="14"/>
        <v>0</v>
      </c>
      <c r="K52" s="468">
        <f t="shared" si="14"/>
        <v>0</v>
      </c>
      <c r="L52" s="468">
        <f t="shared" si="14"/>
        <v>0</v>
      </c>
      <c r="M52" s="468">
        <f t="shared" si="14"/>
        <v>0</v>
      </c>
      <c r="N52" s="468">
        <f t="shared" si="14"/>
        <v>0</v>
      </c>
      <c r="O52" s="468">
        <f t="shared" si="14"/>
        <v>0</v>
      </c>
      <c r="P52" s="468">
        <f t="shared" si="14"/>
        <v>0</v>
      </c>
    </row>
    <row r="53" spans="1:16" x14ac:dyDescent="0.25">
      <c r="A53" s="488"/>
      <c r="B53" s="493" t="s">
        <v>953</v>
      </c>
      <c r="D53" s="468">
        <f t="shared" ref="D53:P53" si="15">D52*0.5</f>
        <v>0</v>
      </c>
      <c r="E53" s="468">
        <f t="shared" si="15"/>
        <v>0</v>
      </c>
      <c r="F53" s="468">
        <f t="shared" si="15"/>
        <v>0</v>
      </c>
      <c r="G53" s="468">
        <f t="shared" si="15"/>
        <v>0</v>
      </c>
      <c r="H53" s="468">
        <f t="shared" si="15"/>
        <v>0</v>
      </c>
      <c r="I53" s="468">
        <f t="shared" si="15"/>
        <v>0</v>
      </c>
      <c r="J53" s="468">
        <f t="shared" si="15"/>
        <v>0</v>
      </c>
      <c r="K53" s="468">
        <f t="shared" si="15"/>
        <v>0</v>
      </c>
      <c r="L53" s="468">
        <f t="shared" si="15"/>
        <v>0</v>
      </c>
      <c r="M53" s="468">
        <f t="shared" si="15"/>
        <v>0</v>
      </c>
      <c r="N53" s="468">
        <f t="shared" si="15"/>
        <v>0</v>
      </c>
      <c r="O53" s="468">
        <f t="shared" si="15"/>
        <v>0</v>
      </c>
      <c r="P53" s="468">
        <f t="shared" si="15"/>
        <v>0</v>
      </c>
    </row>
    <row r="54" spans="1:16" x14ac:dyDescent="0.25">
      <c r="A54" s="478" t="s">
        <v>954</v>
      </c>
      <c r="B54" s="479" t="s">
        <v>955</v>
      </c>
      <c r="D54" s="502"/>
      <c r="E54" s="502"/>
      <c r="F54" s="502"/>
      <c r="G54" s="502"/>
      <c r="H54" s="502"/>
      <c r="I54" s="502"/>
      <c r="J54" s="502"/>
      <c r="K54" s="502"/>
      <c r="L54" s="502"/>
      <c r="M54" s="502"/>
      <c r="N54" s="502"/>
      <c r="O54" s="502"/>
      <c r="P54" s="502"/>
    </row>
    <row r="55" spans="1:16" x14ac:dyDescent="0.25">
      <c r="A55" s="478" t="s">
        <v>956</v>
      </c>
      <c r="B55" s="479" t="s">
        <v>957</v>
      </c>
      <c r="D55" s="502"/>
      <c r="E55" s="502"/>
      <c r="F55" s="502"/>
      <c r="G55" s="502"/>
      <c r="H55" s="502"/>
      <c r="I55" s="502"/>
      <c r="J55" s="502"/>
      <c r="K55" s="502"/>
      <c r="L55" s="502"/>
      <c r="M55" s="502"/>
      <c r="N55" s="502"/>
      <c r="O55" s="502"/>
      <c r="P55" s="502"/>
    </row>
    <row r="56" spans="1:16" x14ac:dyDescent="0.25">
      <c r="A56" s="478" t="s">
        <v>958</v>
      </c>
      <c r="B56" s="479" t="s">
        <v>959</v>
      </c>
      <c r="D56" s="502"/>
      <c r="E56" s="502"/>
      <c r="F56" s="502"/>
      <c r="G56" s="502"/>
      <c r="H56" s="502"/>
      <c r="I56" s="502"/>
      <c r="J56" s="502"/>
      <c r="K56" s="502"/>
      <c r="L56" s="502"/>
      <c r="M56" s="502"/>
      <c r="N56" s="502"/>
      <c r="O56" s="502"/>
      <c r="P56" s="502"/>
    </row>
    <row r="57" spans="1:16" x14ac:dyDescent="0.25">
      <c r="A57" s="478" t="s">
        <v>960</v>
      </c>
      <c r="B57" s="479" t="s">
        <v>961</v>
      </c>
      <c r="D57" s="502"/>
      <c r="E57" s="502"/>
      <c r="F57" s="502"/>
      <c r="G57" s="502"/>
      <c r="H57" s="502"/>
      <c r="I57" s="502"/>
      <c r="J57" s="502"/>
      <c r="K57" s="502"/>
      <c r="L57" s="502"/>
      <c r="M57" s="502"/>
      <c r="N57" s="502"/>
      <c r="O57" s="502"/>
      <c r="P57" s="502"/>
    </row>
    <row r="58" spans="1:16" ht="22.5" customHeight="1" x14ac:dyDescent="0.25">
      <c r="A58" s="478" t="s">
        <v>962</v>
      </c>
      <c r="B58" s="479" t="s">
        <v>963</v>
      </c>
      <c r="D58" s="502"/>
      <c r="E58" s="502"/>
      <c r="F58" s="502"/>
      <c r="G58" s="502"/>
      <c r="H58" s="502"/>
      <c r="I58" s="502"/>
      <c r="J58" s="502"/>
      <c r="K58" s="502"/>
      <c r="L58" s="502"/>
      <c r="M58" s="502"/>
      <c r="N58" s="502"/>
      <c r="O58" s="502"/>
      <c r="P58" s="502"/>
    </row>
    <row r="59" spans="1:16" x14ac:dyDescent="0.25">
      <c r="A59" s="478" t="s">
        <v>964</v>
      </c>
      <c r="B59" s="479" t="s">
        <v>965</v>
      </c>
      <c r="D59" s="502"/>
      <c r="E59" s="502"/>
      <c r="F59" s="502"/>
      <c r="G59" s="502"/>
      <c r="H59" s="502"/>
      <c r="I59" s="502"/>
      <c r="J59" s="502"/>
      <c r="K59" s="502"/>
      <c r="L59" s="502"/>
      <c r="M59" s="502"/>
      <c r="N59" s="502"/>
      <c r="O59" s="502"/>
      <c r="P59" s="502"/>
    </row>
    <row r="60" spans="1:16" x14ac:dyDescent="0.25">
      <c r="A60" s="488"/>
      <c r="B60" s="455"/>
    </row>
    <row r="61" spans="1:16" x14ac:dyDescent="0.25">
      <c r="A61" s="466"/>
      <c r="B61" s="467" t="s">
        <v>966</v>
      </c>
      <c r="C61" s="461"/>
      <c r="D61" s="468">
        <f t="shared" ref="D61:P61" si="16">SUM(D63:D69)</f>
        <v>43076824.804473996</v>
      </c>
      <c r="E61" s="468">
        <f t="shared" si="16"/>
        <v>66267477.698540971</v>
      </c>
      <c r="F61" s="468">
        <f t="shared" si="16"/>
        <v>72353847.685306206</v>
      </c>
      <c r="G61" s="468">
        <f t="shared" si="16"/>
        <v>76913138.110238135</v>
      </c>
      <c r="H61" s="468">
        <f t="shared" si="16"/>
        <v>82270178.711614773</v>
      </c>
      <c r="I61" s="468">
        <f t="shared" si="16"/>
        <v>86816454.935729116</v>
      </c>
      <c r="J61" s="468">
        <f t="shared" si="16"/>
        <v>91785526.183612213</v>
      </c>
      <c r="K61" s="468">
        <f t="shared" si="16"/>
        <v>96023048.456367835</v>
      </c>
      <c r="L61" s="468">
        <f t="shared" si="16"/>
        <v>102487054.71397471</v>
      </c>
      <c r="M61" s="468">
        <f t="shared" si="16"/>
        <v>107796537.08975136</v>
      </c>
      <c r="N61" s="468">
        <f t="shared" si="16"/>
        <v>113645525.64368574</v>
      </c>
      <c r="O61" s="468">
        <f t="shared" si="16"/>
        <v>114450596.61108765</v>
      </c>
      <c r="P61" s="468">
        <f t="shared" si="16"/>
        <v>119960865.04564904</v>
      </c>
    </row>
    <row r="62" spans="1:16" x14ac:dyDescent="0.25">
      <c r="A62" s="488"/>
      <c r="B62" s="493" t="s">
        <v>967</v>
      </c>
      <c r="D62" s="468">
        <f t="shared" ref="D62:P62" si="17">D61*100%</f>
        <v>43076824.804473996</v>
      </c>
      <c r="E62" s="468">
        <f t="shared" si="17"/>
        <v>66267477.698540971</v>
      </c>
      <c r="F62" s="468">
        <f t="shared" si="17"/>
        <v>72353847.685306206</v>
      </c>
      <c r="G62" s="468">
        <f t="shared" si="17"/>
        <v>76913138.110238135</v>
      </c>
      <c r="H62" s="468">
        <f t="shared" si="17"/>
        <v>82270178.711614773</v>
      </c>
      <c r="I62" s="468">
        <f t="shared" si="17"/>
        <v>86816454.935729116</v>
      </c>
      <c r="J62" s="468">
        <f t="shared" si="17"/>
        <v>91785526.183612213</v>
      </c>
      <c r="K62" s="468">
        <f t="shared" si="17"/>
        <v>96023048.456367835</v>
      </c>
      <c r="L62" s="468">
        <f t="shared" si="17"/>
        <v>102487054.71397471</v>
      </c>
      <c r="M62" s="468">
        <f t="shared" si="17"/>
        <v>107796537.08975136</v>
      </c>
      <c r="N62" s="468">
        <f t="shared" si="17"/>
        <v>113645525.64368574</v>
      </c>
      <c r="O62" s="468">
        <f t="shared" si="17"/>
        <v>114450596.61108765</v>
      </c>
      <c r="P62" s="468">
        <f t="shared" si="17"/>
        <v>119960865.04564904</v>
      </c>
    </row>
    <row r="63" spans="1:16" x14ac:dyDescent="0.25">
      <c r="A63" s="478" t="s">
        <v>968</v>
      </c>
      <c r="B63" s="479" t="s">
        <v>969</v>
      </c>
      <c r="C63" s="454" t="s">
        <v>970</v>
      </c>
      <c r="D63" s="505">
        <f>BGhoriz!AB20-D33-PT!D41-PT!D42-PT!D43-PT!D47-PT!D48-PT!D49-PT!D54-PT!D55</f>
        <v>3746873.2399999998</v>
      </c>
      <c r="E63" s="505">
        <f>BGhoriz!AM20-E33-PT!E41-PT!E42-PT!E43-PT!E47-PT!E48-PT!E49-PT!E54-PT!E55</f>
        <v>1300547.2499999986</v>
      </c>
      <c r="F63" s="505">
        <f>BGhoriz!AN20-F33-PT!F41-PT!F42-PT!F43-PT!F47-PT!F48-PT!F49-PT!F54-PT!F55</f>
        <v>2627333.84</v>
      </c>
      <c r="G63" s="505">
        <f>BGhoriz!AO20-G33-PT!G41-PT!G42-PT!G43-PT!G47-PT!G48-PT!G49-PT!G54-PT!G55</f>
        <v>2486980.9899999998</v>
      </c>
      <c r="H63" s="505">
        <f>BGhoriz!AP20-H33-PT!H41-PT!H42-PT!H43-PT!H47-PT!H48-PT!H49-PT!H54-PT!H55</f>
        <v>3730093.2500000005</v>
      </c>
      <c r="I63" s="505">
        <f>BGhoriz!AQ20-I33-PT!I41-PT!I42-PT!I43-PT!I47-PT!I48-PT!I49-PT!I54-PT!I55</f>
        <v>3651815.38</v>
      </c>
      <c r="J63" s="505">
        <f>BGhoriz!AR20-J33-PT!J41-PT!J42-PT!J43-PT!J47-PT!J48-PT!J49-PT!J54-PT!J55</f>
        <v>4171037.8</v>
      </c>
      <c r="K63" s="505">
        <f>BGhoriz!AS20-K33-PT!K41-PT!K42-PT!K43-PT!K47-PT!K48-PT!K49-PT!K54-PT!K55</f>
        <v>4035234.4800000014</v>
      </c>
      <c r="L63" s="505">
        <f>BGhoriz!AT20-L33-PT!L41-PT!L42-PT!L43-PT!L47-PT!L48-PT!L49-PT!L54-PT!L55</f>
        <v>6144137.1000000006</v>
      </c>
      <c r="M63" s="505">
        <f>BGhoriz!AU20-M33-PT!M41-PT!M42-PT!M43-PT!M47-PT!M48-PT!M49-PT!M54-PT!M55</f>
        <v>7036879.25</v>
      </c>
      <c r="N63" s="505">
        <f>BGhoriz!AV20-N33-PT!N41-PT!N42-PT!N43-PT!N47-PT!N48-PT!N49-PT!N54-PT!N55</f>
        <v>9110390.6599999983</v>
      </c>
      <c r="O63" s="505">
        <f>BGhoriz!AW20-O33-PT!O41-PT!O42-PT!O43-PT!O47-PT!O48-PT!O49-PT!O54-PT!O55</f>
        <v>5975004.1499999994</v>
      </c>
      <c r="P63" s="505">
        <f>BGhoriz!AX20-P33-PT!P41-PT!P42-PT!P43-PT!P47-PT!P48-PT!P49-PT!P54-PT!P55</f>
        <v>6445106.6400000006</v>
      </c>
    </row>
    <row r="64" spans="1:16" x14ac:dyDescent="0.25">
      <c r="A64" s="478" t="s">
        <v>940</v>
      </c>
      <c r="B64" s="479" t="s">
        <v>971</v>
      </c>
      <c r="C64" s="454" t="s">
        <v>970</v>
      </c>
      <c r="D64" s="499">
        <f>BGhoriz!AB39-PT!D34-PT!D56-PT!D57</f>
        <v>25161013.289999999</v>
      </c>
      <c r="E64" s="499">
        <f>BGhoriz!AM39-PT!E34-PT!E56-PT!E57</f>
        <v>50663842.203000888</v>
      </c>
      <c r="F64" s="499">
        <f>BGhoriz!AN39-PT!F34-PT!F56-PT!F57</f>
        <v>55543235.024699643</v>
      </c>
      <c r="G64" s="499">
        <f>BGhoriz!AO39-PT!G34-PT!G56-PT!G57</f>
        <v>60268678.298635915</v>
      </c>
      <c r="H64" s="499">
        <f>BGhoriz!AP39-PT!H34-PT!H56-PT!H57</f>
        <v>64636397.620441593</v>
      </c>
      <c r="I64" s="499">
        <f>BGhoriz!AQ39-PT!I34-PT!I56-PT!I57</f>
        <v>69179090.039956361</v>
      </c>
      <c r="J64" s="499">
        <f>BGhoriz!AR39-PT!J34-PT!J56-PT!J57</f>
        <v>73673596.752933845</v>
      </c>
      <c r="K64" s="499">
        <f>BGhoriz!AS39-PT!K34-PT!K56-PT!K57</f>
        <v>78056657.414516404</v>
      </c>
      <c r="L64" s="499">
        <f>BGhoriz!AT39-PT!L34-PT!L56-PT!L57</f>
        <v>82386668.916943818</v>
      </c>
      <c r="M64" s="499">
        <f>BGhoriz!AU39-PT!M34-PT!M56-PT!M57</f>
        <v>86624534.667831406</v>
      </c>
      <c r="N64" s="499">
        <f>BGhoriz!AV39-PT!N34-PT!N56-PT!N57</f>
        <v>90736951.922751859</v>
      </c>
      <c r="O64" s="499">
        <f>BGhoriz!AW39-PT!O34-PT!O56-PT!O57</f>
        <v>94828704.213022649</v>
      </c>
      <c r="P64" s="499">
        <f>BGhoriz!AX39-PT!P34-PT!P56-PT!P57</f>
        <v>98329573.30602318</v>
      </c>
    </row>
    <row r="65" spans="1:16" ht="22.5" customHeight="1" x14ac:dyDescent="0.25">
      <c r="A65" s="478" t="s">
        <v>972</v>
      </c>
      <c r="B65" s="479" t="s">
        <v>973</v>
      </c>
      <c r="D65" s="499">
        <f>BGhoriz!AB102</f>
        <v>2242483.13</v>
      </c>
      <c r="E65" s="499">
        <f>BGhoriz!AM102</f>
        <v>3896273.2624341846</v>
      </c>
      <c r="F65" s="499">
        <f>BGhoriz!AN102</f>
        <v>3809407.2718872782</v>
      </c>
      <c r="G65" s="499">
        <f>BGhoriz!AO102</f>
        <v>3775226.7847568202</v>
      </c>
      <c r="H65" s="499">
        <f>BGhoriz!AP102</f>
        <v>3701532.8826954332</v>
      </c>
      <c r="I65" s="499">
        <f>BGhoriz!AQ102</f>
        <v>3687887.6447015251</v>
      </c>
      <c r="J65" s="499">
        <f>BGhoriz!AR102</f>
        <v>3711160.0027496624</v>
      </c>
      <c r="K65" s="499">
        <f>BGhoriz!AS102</f>
        <v>3736994.3245628108</v>
      </c>
      <c r="L65" s="499">
        <f>BGhoriz!AT102</f>
        <v>3652878.4477920034</v>
      </c>
      <c r="M65" s="499">
        <f>BGhoriz!AU102</f>
        <v>3632083.6412145733</v>
      </c>
      <c r="N65" s="499">
        <f>BGhoriz!AV102</f>
        <v>3579999.1940763243</v>
      </c>
      <c r="O65" s="499">
        <f>BGhoriz!AW102</f>
        <v>3656373.1950704325</v>
      </c>
      <c r="P65" s="499">
        <f>BGhoriz!AX102</f>
        <v>3586975.6810882003</v>
      </c>
    </row>
    <row r="66" spans="1:16" ht="22.5" customHeight="1" x14ac:dyDescent="0.25">
      <c r="A66" s="478" t="s">
        <v>974</v>
      </c>
      <c r="B66" s="479" t="s">
        <v>975</v>
      </c>
      <c r="C66" s="454" t="s">
        <v>970</v>
      </c>
      <c r="D66" s="499">
        <f>BGhoriz!AB112</f>
        <v>519485.56</v>
      </c>
      <c r="E66" s="499">
        <f>BGhoriz!AM112</f>
        <v>510192.56664999994</v>
      </c>
      <c r="F66" s="499">
        <f>BGhoriz!AN112</f>
        <v>510036.12701664999</v>
      </c>
      <c r="G66" s="499">
        <f>BGhoriz!AO112</f>
        <v>509879.5309436667</v>
      </c>
      <c r="H66" s="499">
        <f>BGhoriz!AP112</f>
        <v>509722.77827461029</v>
      </c>
      <c r="I66" s="499">
        <f>BGhoriz!AQ112</f>
        <v>509565.86885288497</v>
      </c>
      <c r="J66" s="499">
        <f>BGhoriz!AR112</f>
        <v>509408.80252173787</v>
      </c>
      <c r="K66" s="499">
        <f>BGhoriz!AS112</f>
        <v>509251.57912425959</v>
      </c>
      <c r="L66" s="499">
        <f>BGhoriz!AT112</f>
        <v>509094.1985033839</v>
      </c>
      <c r="M66" s="499">
        <f>BGhoriz!AU112</f>
        <v>508936.66050188738</v>
      </c>
      <c r="N66" s="499">
        <f>BGhoriz!AV112</f>
        <v>508778.96496238926</v>
      </c>
      <c r="O66" s="499">
        <f>BGhoriz!AW112</f>
        <v>508621.11172735167</v>
      </c>
      <c r="P66" s="499">
        <f>BGhoriz!AX112</f>
        <v>508463.10063907906</v>
      </c>
    </row>
    <row r="67" spans="1:16" x14ac:dyDescent="0.25">
      <c r="A67" s="478" t="s">
        <v>976</v>
      </c>
      <c r="B67" s="479" t="s">
        <v>242</v>
      </c>
      <c r="C67" s="454" t="s">
        <v>970</v>
      </c>
      <c r="D67" s="499">
        <f>BGhoriz!AB122</f>
        <v>7424144.1600000001</v>
      </c>
      <c r="E67" s="499">
        <f>BGhoriz!AM122</f>
        <v>7515702.2700000005</v>
      </c>
      <c r="F67" s="499">
        <f>BGhoriz!AN122</f>
        <v>7491028.9600000009</v>
      </c>
      <c r="G67" s="499">
        <f>BGhoriz!AO122</f>
        <v>7464797.2700000014</v>
      </c>
      <c r="H67" s="499">
        <f>BGhoriz!AP122</f>
        <v>7439447.4800000004</v>
      </c>
      <c r="I67" s="499">
        <f>BGhoriz!AQ122</f>
        <v>7415169.9200000018</v>
      </c>
      <c r="J67" s="499">
        <f>BGhoriz!AR122</f>
        <v>7389246.0300000012</v>
      </c>
      <c r="K67" s="499">
        <f>BGhoriz!AS122</f>
        <v>7363723.7500000009</v>
      </c>
      <c r="L67" s="499">
        <f>BGhoriz!AT122</f>
        <v>7344003.4500000011</v>
      </c>
      <c r="M67" s="499">
        <f>BGhoriz!AU122</f>
        <v>7326896.950000003</v>
      </c>
      <c r="N67" s="499">
        <f>BGhoriz!AV122</f>
        <v>7304441.620000002</v>
      </c>
      <c r="O67" s="499">
        <f>BGhoriz!AW122</f>
        <v>7287908.1900000013</v>
      </c>
      <c r="P67" s="499">
        <f>BGhoriz!AX122</f>
        <v>7266514.0899999999</v>
      </c>
    </row>
    <row r="68" spans="1:16" x14ac:dyDescent="0.25">
      <c r="A68" s="478" t="s">
        <v>977</v>
      </c>
      <c r="B68" s="479" t="s">
        <v>978</v>
      </c>
      <c r="C68" s="454" t="s">
        <v>970</v>
      </c>
      <c r="D68" s="499">
        <f>BGhoriz!AB134-D35-D36-D50</f>
        <v>3927639.8544740002</v>
      </c>
      <c r="E68" s="499">
        <f>BGhoriz!AM134-E35-E36-E50</f>
        <v>2325734.5764558907</v>
      </c>
      <c r="F68" s="499">
        <f>BGhoriz!AN134-F35-F36-F50</f>
        <v>2292620.8917026394</v>
      </c>
      <c r="G68" s="499">
        <f>BGhoriz!AO134-G35-G36-G50</f>
        <v>2327389.6659017405</v>
      </c>
      <c r="H68" s="499">
        <f>BGhoriz!AP134-H35-H36-H50</f>
        <v>2172799.1302031325</v>
      </c>
      <c r="I68" s="499">
        <f>BGhoriz!AQ134-I35-I36-I50</f>
        <v>2292740.5122183585</v>
      </c>
      <c r="J68" s="499">
        <f>BGhoriz!AR134-J35-J36-J50</f>
        <v>2250891.2254069783</v>
      </c>
      <c r="K68" s="499">
        <f>BGhoriz!AS134-K35-K36-K50</f>
        <v>2241001.3381643621</v>
      </c>
      <c r="L68" s="499">
        <f>BGhoriz!AT134-L35-L36-L50</f>
        <v>2370087.030735509</v>
      </c>
      <c r="M68" s="499">
        <f>BGhoriz!AU134-M35-M36-M50</f>
        <v>2587020.3502034936</v>
      </c>
      <c r="N68" s="499">
        <f>BGhoriz!AV134-N35-N36-N50</f>
        <v>2324777.7118951748</v>
      </c>
      <c r="O68" s="499">
        <f>BGhoriz!AW134-O35-O36-O50</f>
        <v>2113800.1812672117</v>
      </c>
      <c r="P68" s="499">
        <f>BGhoriz!AX134-P35-P36-P50</f>
        <v>3744046.6578985946</v>
      </c>
    </row>
    <row r="69" spans="1:16" x14ac:dyDescent="0.25">
      <c r="A69" s="475">
        <v>6490</v>
      </c>
      <c r="B69" s="479" t="s">
        <v>979</v>
      </c>
      <c r="C69" s="454" t="s">
        <v>970</v>
      </c>
      <c r="D69" s="499">
        <f>EEFFun!AB683</f>
        <v>55185.57</v>
      </c>
      <c r="E69" s="499">
        <f>EEFFun!AC683</f>
        <v>55185.57</v>
      </c>
      <c r="F69" s="499">
        <f>EEFFun!AD683</f>
        <v>80185.570000000007</v>
      </c>
      <c r="G69" s="499">
        <f>EEFFun!AE683</f>
        <v>80185.570000000007</v>
      </c>
      <c r="H69" s="499">
        <f>EEFFun!AF683</f>
        <v>80185.570000000007</v>
      </c>
      <c r="I69" s="499">
        <f>EEFFun!AG683</f>
        <v>80185.570000000007</v>
      </c>
      <c r="J69" s="499">
        <f>EEFFun!AH683</f>
        <v>80185.570000000007</v>
      </c>
      <c r="K69" s="499">
        <f>EEFFun!AI683</f>
        <v>80185.570000000007</v>
      </c>
      <c r="L69" s="499">
        <f>EEFFun!AJ683</f>
        <v>80185.570000000007</v>
      </c>
      <c r="M69" s="499">
        <f>EEFFun!AK683</f>
        <v>80185.570000000007</v>
      </c>
      <c r="N69" s="499">
        <f>EEFFun!AL683</f>
        <v>80185.570000000007</v>
      </c>
      <c r="O69" s="499">
        <f>EEFFun!AM683</f>
        <v>80185.570000000007</v>
      </c>
      <c r="P69" s="499">
        <f>EEFFun!AN683</f>
        <v>80185.570000000007</v>
      </c>
    </row>
    <row r="70" spans="1:16" x14ac:dyDescent="0.25">
      <c r="A70" s="481"/>
      <c r="B70" s="482"/>
      <c r="D70" s="483"/>
      <c r="E70" s="483"/>
      <c r="F70" s="483"/>
      <c r="G70" s="483"/>
      <c r="H70" s="483"/>
      <c r="I70" s="483"/>
      <c r="J70" s="483"/>
      <c r="K70" s="483"/>
      <c r="L70" s="483"/>
      <c r="M70" s="483"/>
      <c r="N70" s="483"/>
      <c r="O70" s="483"/>
      <c r="P70" s="483"/>
    </row>
    <row r="71" spans="1:16" x14ac:dyDescent="0.25">
      <c r="A71" s="491"/>
      <c r="B71" s="509" t="s">
        <v>755</v>
      </c>
      <c r="D71" s="468">
        <f t="shared" ref="D71:P71" si="18">D31+D40+D46+D53+D62</f>
        <v>43211383.385473996</v>
      </c>
      <c r="E71" s="468">
        <f t="shared" si="18"/>
        <v>66421796.086540967</v>
      </c>
      <c r="F71" s="468">
        <f t="shared" si="18"/>
        <v>72508224.737306207</v>
      </c>
      <c r="G71" s="468">
        <f t="shared" si="18"/>
        <v>77167629.963238135</v>
      </c>
      <c r="H71" s="468">
        <f t="shared" si="18"/>
        <v>82519398.779614776</v>
      </c>
      <c r="I71" s="468">
        <f t="shared" si="18"/>
        <v>87045740.822729111</v>
      </c>
      <c r="J71" s="468">
        <f t="shared" si="18"/>
        <v>91954986.632612213</v>
      </c>
      <c r="K71" s="468">
        <f t="shared" si="18"/>
        <v>96228145.568367839</v>
      </c>
      <c r="L71" s="468">
        <f t="shared" si="18"/>
        <v>102722345.13397472</v>
      </c>
      <c r="M71" s="468">
        <f t="shared" si="18"/>
        <v>107992015.45775136</v>
      </c>
      <c r="N71" s="468">
        <f t="shared" si="18"/>
        <v>113750613.98768574</v>
      </c>
      <c r="O71" s="468">
        <f t="shared" si="18"/>
        <v>114754914.99908765</v>
      </c>
      <c r="P71" s="468">
        <f t="shared" si="18"/>
        <v>120285242.09764904</v>
      </c>
    </row>
    <row r="72" spans="1:16" x14ac:dyDescent="0.25">
      <c r="A72" s="491"/>
      <c r="B72" s="510"/>
    </row>
    <row r="73" spans="1:16" x14ac:dyDescent="0.25">
      <c r="A73" s="491"/>
      <c r="B73" s="509" t="s">
        <v>980</v>
      </c>
      <c r="D73" s="468">
        <f t="shared" ref="D73:P73" si="19">D71*9%</f>
        <v>3889024.5046926597</v>
      </c>
      <c r="E73" s="468">
        <f t="shared" si="19"/>
        <v>5977961.6477886867</v>
      </c>
      <c r="F73" s="468">
        <f t="shared" si="19"/>
        <v>6525740.2263575587</v>
      </c>
      <c r="G73" s="468">
        <f t="shared" si="19"/>
        <v>6945086.696691432</v>
      </c>
      <c r="H73" s="468">
        <f t="shared" si="19"/>
        <v>7426745.8901653299</v>
      </c>
      <c r="I73" s="468">
        <f t="shared" si="19"/>
        <v>7834116.6740456196</v>
      </c>
      <c r="J73" s="468">
        <f t="shared" si="19"/>
        <v>8275948.7969350992</v>
      </c>
      <c r="K73" s="468">
        <f t="shared" si="19"/>
        <v>8660533.1011531055</v>
      </c>
      <c r="L73" s="468">
        <f t="shared" si="19"/>
        <v>9245011.0620577242</v>
      </c>
      <c r="M73" s="468">
        <f t="shared" si="19"/>
        <v>9719281.3911976218</v>
      </c>
      <c r="N73" s="468">
        <f t="shared" si="19"/>
        <v>10237555.258891717</v>
      </c>
      <c r="O73" s="468">
        <f t="shared" si="19"/>
        <v>10327942.349917889</v>
      </c>
      <c r="P73" s="468">
        <f t="shared" si="19"/>
        <v>10825671.788788414</v>
      </c>
    </row>
    <row r="74" spans="1:16" x14ac:dyDescent="0.25">
      <c r="A74" s="491"/>
      <c r="B74" s="509" t="s">
        <v>981</v>
      </c>
      <c r="D74" s="468">
        <f t="shared" ref="D74:P74" si="20">D23-D73</f>
        <v>6729938.8283073409</v>
      </c>
      <c r="E74" s="468">
        <f t="shared" si="20"/>
        <v>4740432.25871877</v>
      </c>
      <c r="F74" s="468">
        <f t="shared" si="20"/>
        <v>4277920.7599284612</v>
      </c>
      <c r="G74" s="468">
        <f t="shared" si="20"/>
        <v>4068181.036827852</v>
      </c>
      <c r="H74" s="468">
        <f t="shared" si="20"/>
        <v>3828091.3585106889</v>
      </c>
      <c r="I74" s="468">
        <f t="shared" si="20"/>
        <v>3683299.4460463719</v>
      </c>
      <c r="J74" s="468">
        <f t="shared" si="20"/>
        <v>3523359.8531595552</v>
      </c>
      <c r="K74" s="468">
        <f t="shared" si="20"/>
        <v>3445196.3487292789</v>
      </c>
      <c r="L74" s="468">
        <f t="shared" si="20"/>
        <v>3236060.9420469273</v>
      </c>
      <c r="M74" s="468">
        <f t="shared" si="20"/>
        <v>3099663.8257932644</v>
      </c>
      <c r="N74" s="468">
        <f t="shared" si="20"/>
        <v>2996891.5115594286</v>
      </c>
      <c r="O74" s="468">
        <f t="shared" si="20"/>
        <v>3339148.6446320843</v>
      </c>
      <c r="P74" s="468">
        <f t="shared" si="20"/>
        <v>3234037.526013786</v>
      </c>
    </row>
    <row r="75" spans="1:16" x14ac:dyDescent="0.25">
      <c r="A75" s="463"/>
      <c r="B75" s="455"/>
    </row>
    <row r="76" spans="1:16" x14ac:dyDescent="0.25">
      <c r="A76" s="475">
        <v>1</v>
      </c>
      <c r="B76" s="479" t="s">
        <v>715</v>
      </c>
      <c r="D76" s="499">
        <f>BGhoriz!AB5</f>
        <v>51800193.119999997</v>
      </c>
      <c r="E76" s="499">
        <f>BGhoriz!AM5</f>
        <v>76988040.792370021</v>
      </c>
      <c r="F76" s="499">
        <f>BGhoriz!AN5</f>
        <v>82087920.98190552</v>
      </c>
      <c r="G76" s="499">
        <f>BGhoriz!AO5</f>
        <v>87307823.656834647</v>
      </c>
      <c r="H76" s="499">
        <f>BGhoriz!AP5</f>
        <v>92258594.831075907</v>
      </c>
      <c r="I76" s="499">
        <f>BGhoriz!AQ5</f>
        <v>97129482.603494808</v>
      </c>
      <c r="J76" s="499">
        <f>BGhoriz!AR5</f>
        <v>102254495.47539596</v>
      </c>
      <c r="K76" s="499">
        <f>BGhoriz!AS5</f>
        <v>108381125.05894034</v>
      </c>
      <c r="L76" s="499">
        <f>BGhoriz!AT5</f>
        <v>113459521.09463328</v>
      </c>
      <c r="M76" s="499">
        <f>BGhoriz!AU5</f>
        <v>118231540.10507554</v>
      </c>
      <c r="N76" s="499">
        <f>BGhoriz!AV5</f>
        <v>123313141.04900251</v>
      </c>
      <c r="O76" s="499">
        <f>BGhoriz!AW5</f>
        <v>128959291.04023996</v>
      </c>
      <c r="P76" s="499">
        <f>BGhoriz!AX5</f>
        <v>133742378.68024893</v>
      </c>
    </row>
    <row r="77" spans="1:16" x14ac:dyDescent="0.25">
      <c r="A77" s="475">
        <v>6</v>
      </c>
      <c r="B77" s="479" t="s">
        <v>598</v>
      </c>
      <c r="D77" s="499">
        <f>BGhoriz!AB234</f>
        <v>139761.57</v>
      </c>
      <c r="E77" s="499">
        <f>BGhoriz!AM234</f>
        <v>118622.57</v>
      </c>
      <c r="F77" s="499">
        <f>BGhoriz!AN234</f>
        <v>118622.57</v>
      </c>
      <c r="G77" s="499">
        <f>BGhoriz!AO234</f>
        <v>118622.57</v>
      </c>
      <c r="H77" s="499">
        <f>BGhoriz!AP234</f>
        <v>118622.57</v>
      </c>
      <c r="I77" s="499">
        <f>BGhoriz!AQ234</f>
        <v>118622.57</v>
      </c>
      <c r="J77" s="499">
        <f>BGhoriz!AR234</f>
        <v>118622.57</v>
      </c>
      <c r="K77" s="499">
        <f>BGhoriz!AS234</f>
        <v>139761.57</v>
      </c>
      <c r="L77" s="499">
        <f>BGhoriz!AT234</f>
        <v>139761.57</v>
      </c>
      <c r="M77" s="499">
        <f>BGhoriz!AU234</f>
        <v>139761.57</v>
      </c>
      <c r="N77" s="499">
        <f>BGhoriz!AV234</f>
        <v>139761.57</v>
      </c>
      <c r="O77" s="499">
        <f>BGhoriz!AW234</f>
        <v>139761.57</v>
      </c>
      <c r="P77" s="499">
        <f>BGhoriz!AX234</f>
        <v>139761.57</v>
      </c>
    </row>
    <row r="78" spans="1:16" x14ac:dyDescent="0.25">
      <c r="A78" s="463"/>
      <c r="B78" s="455"/>
    </row>
    <row r="79" spans="1:16" x14ac:dyDescent="0.25">
      <c r="A79" s="463"/>
      <c r="B79" s="511" t="s">
        <v>982</v>
      </c>
      <c r="D79" s="468">
        <f t="shared" ref="D79:P79" si="21">(D76+D77)*4%</f>
        <v>2077598.1876000001</v>
      </c>
      <c r="E79" s="468">
        <f t="shared" si="21"/>
        <v>3084266.5344948005</v>
      </c>
      <c r="F79" s="468">
        <f t="shared" si="21"/>
        <v>3288261.7420762205</v>
      </c>
      <c r="G79" s="468">
        <f t="shared" si="21"/>
        <v>3497057.8490733858</v>
      </c>
      <c r="H79" s="468">
        <f t="shared" si="21"/>
        <v>3695088.6960430359</v>
      </c>
      <c r="I79" s="468">
        <f t="shared" si="21"/>
        <v>3889924.2069397923</v>
      </c>
      <c r="J79" s="468">
        <f t="shared" si="21"/>
        <v>4094924.7218158385</v>
      </c>
      <c r="K79" s="468">
        <f t="shared" si="21"/>
        <v>4340835.4651576132</v>
      </c>
      <c r="L79" s="468">
        <f t="shared" si="21"/>
        <v>4543971.3065853314</v>
      </c>
      <c r="M79" s="468">
        <f t="shared" si="21"/>
        <v>4734852.067003021</v>
      </c>
      <c r="N79" s="468">
        <f t="shared" si="21"/>
        <v>4938116.1047601001</v>
      </c>
      <c r="O79" s="468">
        <f t="shared" si="21"/>
        <v>5163962.1044095978</v>
      </c>
      <c r="P79" s="468">
        <f t="shared" si="21"/>
        <v>5355285.6100099571</v>
      </c>
    </row>
    <row r="80" spans="1:16" x14ac:dyDescent="0.25">
      <c r="A80" s="463"/>
      <c r="B80" s="511" t="s">
        <v>983</v>
      </c>
      <c r="D80" s="468">
        <f t="shared" ref="D80:P80" si="22">D23-D79</f>
        <v>8541365.1454000007</v>
      </c>
      <c r="E80" s="468">
        <f t="shared" si="22"/>
        <v>7634127.3720126562</v>
      </c>
      <c r="F80" s="468">
        <f t="shared" si="22"/>
        <v>7515399.2442097999</v>
      </c>
      <c r="G80" s="468">
        <f t="shared" si="22"/>
        <v>7516209.8844458982</v>
      </c>
      <c r="H80" s="468">
        <f t="shared" si="22"/>
        <v>7559748.5526329828</v>
      </c>
      <c r="I80" s="468">
        <f t="shared" si="22"/>
        <v>7627491.9131521992</v>
      </c>
      <c r="J80" s="468">
        <f t="shared" si="22"/>
        <v>7704383.9282788159</v>
      </c>
      <c r="K80" s="468">
        <f t="shared" si="22"/>
        <v>7764893.9847247712</v>
      </c>
      <c r="L80" s="468">
        <f t="shared" si="22"/>
        <v>7937100.6975193201</v>
      </c>
      <c r="M80" s="468">
        <f t="shared" si="22"/>
        <v>8084093.1499878652</v>
      </c>
      <c r="N80" s="468">
        <f t="shared" si="22"/>
        <v>8296330.6656910451</v>
      </c>
      <c r="O80" s="468">
        <f t="shared" si="22"/>
        <v>8503128.8901403751</v>
      </c>
      <c r="P80" s="468">
        <f t="shared" si="22"/>
        <v>8704423.7047922425</v>
      </c>
    </row>
    <row r="81" spans="1:16" x14ac:dyDescent="0.25">
      <c r="A81" s="463"/>
      <c r="B81" s="455"/>
    </row>
    <row r="82" spans="1:16" ht="22.5" customHeight="1" x14ac:dyDescent="0.25">
      <c r="A82" s="463"/>
      <c r="B82" s="512" t="s">
        <v>984</v>
      </c>
      <c r="D82" s="513">
        <f t="shared" ref="D82:P82" si="23">D23/D71</f>
        <v>0.24574458165969496</v>
      </c>
      <c r="E82" s="513">
        <f t="shared" si="23"/>
        <v>0.16136862502998955</v>
      </c>
      <c r="F82" s="513">
        <f t="shared" si="23"/>
        <v>0.14899911045163719</v>
      </c>
      <c r="G82" s="513">
        <f t="shared" si="23"/>
        <v>0.14271875057930239</v>
      </c>
      <c r="H82" s="513">
        <f t="shared" si="23"/>
        <v>0.13639019933645424</v>
      </c>
      <c r="I82" s="513">
        <f t="shared" si="23"/>
        <v>0.13231452810020314</v>
      </c>
      <c r="J82" s="513">
        <f t="shared" si="23"/>
        <v>0.12831613686418591</v>
      </c>
      <c r="K82" s="513">
        <f t="shared" si="23"/>
        <v>0.12580237703200409</v>
      </c>
      <c r="L82" s="513">
        <f t="shared" si="23"/>
        <v>0.12150298932356268</v>
      </c>
      <c r="M82" s="513">
        <f t="shared" si="23"/>
        <v>0.11870271299831342</v>
      </c>
      <c r="N82" s="513">
        <f t="shared" si="23"/>
        <v>0.11634615679422937</v>
      </c>
      <c r="O82" s="513">
        <f t="shared" si="23"/>
        <v>0.11909808825755858</v>
      </c>
      <c r="P82" s="513">
        <f t="shared" si="23"/>
        <v>0.1168864032662324</v>
      </c>
    </row>
    <row r="83" spans="1:16" ht="22.5" customHeight="1" x14ac:dyDescent="0.25">
      <c r="B83" s="514" t="s">
        <v>985</v>
      </c>
      <c r="D83" s="513">
        <f t="shared" ref="D83:P83" si="24">D26/(D76+D77)</f>
        <v>0.2044469117537461</v>
      </c>
      <c r="E83" s="513">
        <f t="shared" si="24"/>
        <v>0.13900736251723611</v>
      </c>
      <c r="F83" s="513">
        <f t="shared" si="24"/>
        <v>0.13142093706280875</v>
      </c>
      <c r="G83" s="513">
        <f t="shared" si="24"/>
        <v>0.12597181069152136</v>
      </c>
      <c r="H83" s="513">
        <f t="shared" si="24"/>
        <v>0.1218356383242275</v>
      </c>
      <c r="I83" s="513">
        <f t="shared" si="24"/>
        <v>0.1184333216523286</v>
      </c>
      <c r="J83" s="513">
        <f t="shared" si="24"/>
        <v>0.11525788092985907</v>
      </c>
      <c r="K83" s="513">
        <f t="shared" si="24"/>
        <v>0.1115520691539764</v>
      </c>
      <c r="L83" s="513">
        <f t="shared" si="24"/>
        <v>0.10986928536292923</v>
      </c>
      <c r="M83" s="513">
        <f t="shared" si="24"/>
        <v>0.10829436726292303</v>
      </c>
      <c r="N83" s="513">
        <f t="shared" si="24"/>
        <v>0.10720239451392236</v>
      </c>
      <c r="O83" s="513">
        <f t="shared" si="24"/>
        <v>0.10586515329289038</v>
      </c>
      <c r="P83" s="513">
        <f t="shared" si="24"/>
        <v>0.10501557032567724</v>
      </c>
    </row>
    <row r="84" spans="1:16" ht="20.100000000000001" customHeight="1" x14ac:dyDescent="0.25">
      <c r="B84" s="511" t="s">
        <v>986</v>
      </c>
      <c r="D84" s="513">
        <f t="shared" ref="D84:P84" si="25">D67/D23</f>
        <v>0.69914020108990993</v>
      </c>
      <c r="E84" s="513">
        <f t="shared" si="25"/>
        <v>0.70119668446193173</v>
      </c>
      <c r="F84" s="513">
        <f t="shared" si="25"/>
        <v>0.69337875091684043</v>
      </c>
      <c r="G84" s="513">
        <f t="shared" si="25"/>
        <v>0.67780039953815141</v>
      </c>
      <c r="H84" s="513">
        <f t="shared" si="25"/>
        <v>0.66100000520888491</v>
      </c>
      <c r="I84" s="513">
        <f t="shared" si="25"/>
        <v>0.64382235066286508</v>
      </c>
      <c r="J84" s="513">
        <f t="shared" si="25"/>
        <v>0.62624398167097062</v>
      </c>
      <c r="K84" s="513">
        <f t="shared" si="25"/>
        <v>0.60828418316184529</v>
      </c>
      <c r="L84" s="513">
        <f t="shared" si="25"/>
        <v>0.5884112716908273</v>
      </c>
      <c r="M84" s="513">
        <f t="shared" si="25"/>
        <v>0.57156784945835937</v>
      </c>
      <c r="N84" s="513">
        <f t="shared" si="25"/>
        <v>0.55192647994238775</v>
      </c>
      <c r="O84" s="513">
        <f t="shared" si="25"/>
        <v>0.53324501848317252</v>
      </c>
      <c r="P84" s="513">
        <f t="shared" si="25"/>
        <v>0.51683245558638558</v>
      </c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8" orientation="portrait" useFirstPageNumber="1" horizontalDpi="4294967295" verticalDpi="429496729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  <pageSetUpPr fitToPage="1"/>
  </sheetPr>
  <dimension ref="A1:AN331"/>
  <sheetViews>
    <sheetView showGridLines="0" zoomScaleNormal="100" workbookViewId="0">
      <pane ySplit="1" topLeftCell="A2" activePane="bottomLeft" state="frozen"/>
      <selection pane="bottomLeft" activeCell="F93" sqref="F93"/>
    </sheetView>
  </sheetViews>
  <sheetFormatPr baseColWidth="10" defaultColWidth="11.42578125" defaultRowHeight="15" outlineLevelRow="1" x14ac:dyDescent="0.25"/>
  <cols>
    <col min="1" max="1" width="3" style="515" customWidth="1"/>
    <col min="2" max="2" width="19.140625" style="515" customWidth="1"/>
    <col min="3" max="3" width="27.7109375" style="515" customWidth="1"/>
    <col min="4" max="4" width="8" style="516" customWidth="1"/>
    <col min="5" max="5" width="5.7109375" style="516" customWidth="1"/>
    <col min="6" max="6" width="36.42578125" style="516" customWidth="1"/>
    <col min="7" max="7" width="17.140625" style="515" customWidth="1"/>
    <col min="8" max="8" width="18.7109375" style="515" customWidth="1"/>
    <col min="9" max="9" width="13.42578125" style="515" customWidth="1"/>
    <col min="10" max="10" width="8.7109375" style="515" customWidth="1"/>
    <col min="11" max="11" width="12.5703125" style="515" customWidth="1"/>
    <col min="12" max="12" width="9.42578125" style="515" customWidth="1"/>
    <col min="13" max="13" width="8.85546875" style="515" customWidth="1"/>
    <col min="14" max="14" width="9.5703125" style="515" customWidth="1"/>
    <col min="15" max="15" width="10.42578125" style="515" customWidth="1"/>
    <col min="16" max="16" width="9.85546875" style="515" customWidth="1"/>
    <col min="17" max="17" width="10.28515625" style="515" customWidth="1"/>
    <col min="18" max="18" width="8.42578125" style="515" customWidth="1"/>
    <col min="19" max="20" width="10.85546875" style="515" customWidth="1"/>
    <col min="21" max="21" width="11.28515625" style="515" customWidth="1"/>
    <col min="22" max="22" width="9.42578125" style="515" customWidth="1"/>
    <col min="23" max="23" width="13.140625" style="515" customWidth="1"/>
    <col min="24" max="24" width="11.7109375" style="515" customWidth="1"/>
    <col min="25" max="31" width="11.42578125" style="515" customWidth="1"/>
    <col min="32" max="32" width="13.28515625" style="515" customWidth="1"/>
    <col min="33" max="33" width="11.5703125" style="515" customWidth="1"/>
    <col min="34" max="34" width="13.28515625" style="515" customWidth="1"/>
    <col min="35" max="35" width="12.85546875" style="515" customWidth="1"/>
    <col min="36" max="37" width="10.140625" style="515" customWidth="1"/>
    <col min="38" max="38" width="5.7109375" style="515" customWidth="1"/>
    <col min="39" max="40" width="11.28515625" style="515" customWidth="1"/>
    <col min="41" max="41" width="11.42578125" style="515" customWidth="1"/>
    <col min="42" max="16384" width="11.42578125" style="515"/>
  </cols>
  <sheetData>
    <row r="1" spans="1:40" s="517" customFormat="1" ht="36" customHeight="1" x14ac:dyDescent="0.25">
      <c r="B1" s="99" t="str">
        <f>Premisas!A1</f>
        <v>BANCO CAPITAL S.A.</v>
      </c>
      <c r="D1" s="2"/>
      <c r="F1" s="2"/>
      <c r="G1" s="518" t="s">
        <v>682</v>
      </c>
      <c r="I1" s="519">
        <v>2024</v>
      </c>
      <c r="AM1" s="515"/>
      <c r="AN1" s="515"/>
    </row>
    <row r="2" spans="1:40" ht="23.25" customHeight="1" x14ac:dyDescent="0.25">
      <c r="B2" s="520" t="s">
        <v>987</v>
      </c>
      <c r="C2" s="521"/>
      <c r="D2" s="522"/>
      <c r="E2" s="522"/>
      <c r="F2" s="522"/>
      <c r="G2" s="521"/>
    </row>
    <row r="3" spans="1:40" x14ac:dyDescent="0.25">
      <c r="B3" s="521"/>
      <c r="C3" s="521"/>
      <c r="D3" s="522"/>
      <c r="E3" s="522"/>
      <c r="F3" s="522"/>
      <c r="G3" s="521"/>
    </row>
    <row r="4" spans="1:40" ht="24.95" customHeight="1" x14ac:dyDescent="0.25">
      <c r="B4" s="523" t="s">
        <v>988</v>
      </c>
      <c r="C4" s="524">
        <v>460</v>
      </c>
      <c r="D4" s="522"/>
      <c r="E4" s="522"/>
      <c r="F4" s="522"/>
      <c r="G4" s="521"/>
      <c r="H4" s="525"/>
      <c r="I4" s="1001" t="s">
        <v>989</v>
      </c>
      <c r="J4" s="1002"/>
      <c r="K4" s="526">
        <f>BRhoriz!AN31</f>
        <v>1365403.75</v>
      </c>
    </row>
    <row r="5" spans="1:40" ht="24.95" customHeight="1" x14ac:dyDescent="0.25">
      <c r="B5" s="523" t="s">
        <v>990</v>
      </c>
      <c r="C5" s="527">
        <f>(C6-C4)/C4</f>
        <v>2.1739130434782608E-2</v>
      </c>
      <c r="D5" s="522"/>
      <c r="E5" s="522"/>
      <c r="F5" s="522"/>
      <c r="G5" s="528"/>
      <c r="H5" s="525"/>
      <c r="I5" s="1001" t="s">
        <v>991</v>
      </c>
      <c r="J5" s="1002"/>
      <c r="K5" s="526">
        <f>BRhoriz!BV31</f>
        <v>1657220.7357000001</v>
      </c>
      <c r="R5" s="529"/>
    </row>
    <row r="6" spans="1:40" ht="24.95" customHeight="1" x14ac:dyDescent="0.25">
      <c r="B6" s="523" t="s">
        <v>992</v>
      </c>
      <c r="C6" s="524">
        <v>470</v>
      </c>
      <c r="D6" s="522"/>
      <c r="E6" s="522"/>
      <c r="F6" s="522"/>
      <c r="G6" s="521"/>
      <c r="I6" s="1003" t="str">
        <f>IF(K6&lt;0,"REDUCCIÓN NÓMINA","INCREMENTO NÓMINA")</f>
        <v>INCREMENTO NÓMINA</v>
      </c>
      <c r="J6" s="1002"/>
      <c r="K6" s="530">
        <f>K5-K4</f>
        <v>291816.98570000008</v>
      </c>
      <c r="L6" s="531">
        <f>K6/K4</f>
        <v>0.21372212116745692</v>
      </c>
      <c r="M6" s="532"/>
      <c r="O6" s="533" t="s">
        <v>993</v>
      </c>
    </row>
    <row r="7" spans="1:40" x14ac:dyDescent="0.25">
      <c r="L7" s="525"/>
      <c r="M7" s="525"/>
      <c r="O7" s="534">
        <v>0.4</v>
      </c>
      <c r="T7" s="535">
        <v>45900</v>
      </c>
      <c r="U7" s="535">
        <v>45991</v>
      </c>
      <c r="X7" s="536">
        <v>45688</v>
      </c>
      <c r="Y7" s="536">
        <v>45716</v>
      </c>
      <c r="Z7" s="536">
        <v>45747</v>
      </c>
      <c r="AA7" s="536">
        <v>45777</v>
      </c>
      <c r="AB7" s="536">
        <v>45808</v>
      </c>
      <c r="AC7" s="536">
        <v>45838</v>
      </c>
      <c r="AD7" s="536">
        <v>45869</v>
      </c>
      <c r="AE7" s="536">
        <v>45900</v>
      </c>
      <c r="AF7" s="536">
        <v>45930</v>
      </c>
      <c r="AG7" s="536">
        <v>45961</v>
      </c>
      <c r="AH7" s="536">
        <v>45991</v>
      </c>
      <c r="AI7" s="536">
        <v>46022</v>
      </c>
      <c r="AJ7" s="536"/>
      <c r="AK7" s="536"/>
      <c r="AM7" s="537" t="s">
        <v>994</v>
      </c>
      <c r="AN7" s="537" t="s">
        <v>994</v>
      </c>
    </row>
    <row r="8" spans="1:40" s="538" customFormat="1" ht="50.1" customHeight="1" x14ac:dyDescent="0.25">
      <c r="A8" s="539" t="s">
        <v>995</v>
      </c>
      <c r="B8" s="540" t="s">
        <v>996</v>
      </c>
      <c r="C8" s="540" t="s">
        <v>997</v>
      </c>
      <c r="D8" s="540" t="s">
        <v>998</v>
      </c>
      <c r="E8" s="540" t="s">
        <v>999</v>
      </c>
      <c r="F8" s="540" t="s">
        <v>1000</v>
      </c>
      <c r="G8" s="540" t="s">
        <v>1001</v>
      </c>
      <c r="H8" s="540" t="s">
        <v>1002</v>
      </c>
      <c r="I8" s="541" t="s">
        <v>1003</v>
      </c>
      <c r="J8" s="540" t="s">
        <v>1004</v>
      </c>
      <c r="K8" s="540" t="s">
        <v>1005</v>
      </c>
      <c r="L8" s="540" t="s">
        <v>1006</v>
      </c>
      <c r="M8" s="540" t="s">
        <v>1007</v>
      </c>
      <c r="N8" s="540" t="s">
        <v>1008</v>
      </c>
      <c r="O8" s="540" t="s">
        <v>1009</v>
      </c>
      <c r="P8" s="540" t="s">
        <v>1010</v>
      </c>
      <c r="Q8" s="540" t="s">
        <v>1011</v>
      </c>
      <c r="R8" s="542" t="s">
        <v>1012</v>
      </c>
      <c r="S8" s="540" t="s">
        <v>1013</v>
      </c>
      <c r="T8" s="540" t="s">
        <v>1014</v>
      </c>
      <c r="U8" s="540" t="s">
        <v>1015</v>
      </c>
      <c r="V8" s="540" t="s">
        <v>1016</v>
      </c>
      <c r="W8" s="542" t="s">
        <v>1017</v>
      </c>
      <c r="X8" s="540" t="s">
        <v>1018</v>
      </c>
      <c r="Y8" s="540" t="s">
        <v>1019</v>
      </c>
      <c r="Z8" s="540" t="s">
        <v>1020</v>
      </c>
      <c r="AA8" s="540" t="s">
        <v>1021</v>
      </c>
      <c r="AB8" s="540" t="s">
        <v>1022</v>
      </c>
      <c r="AC8" s="540" t="s">
        <v>1023</v>
      </c>
      <c r="AD8" s="540" t="s">
        <v>1024</v>
      </c>
      <c r="AE8" s="540" t="s">
        <v>1025</v>
      </c>
      <c r="AF8" s="540" t="s">
        <v>1026</v>
      </c>
      <c r="AG8" s="540" t="s">
        <v>1027</v>
      </c>
      <c r="AH8" s="540" t="s">
        <v>1028</v>
      </c>
      <c r="AI8" s="540" t="s">
        <v>1029</v>
      </c>
      <c r="AJ8" s="540" t="s">
        <v>1030</v>
      </c>
      <c r="AK8" s="540" t="s">
        <v>1031</v>
      </c>
      <c r="AL8" s="543"/>
      <c r="AM8" s="543"/>
    </row>
    <row r="9" spans="1:40" s="538" customFormat="1" ht="12" customHeight="1" outlineLevel="1" collapsed="1" x14ac:dyDescent="0.25">
      <c r="A9" s="544">
        <v>1</v>
      </c>
      <c r="B9" s="545" t="s">
        <v>1032</v>
      </c>
      <c r="C9" s="546" t="s">
        <v>1033</v>
      </c>
      <c r="D9" s="547" t="s">
        <v>1034</v>
      </c>
      <c r="E9" s="547" t="s">
        <v>1035</v>
      </c>
      <c r="F9" s="546" t="s">
        <v>1036</v>
      </c>
      <c r="G9" s="548"/>
      <c r="H9" s="548"/>
      <c r="I9" s="549">
        <v>45581</v>
      </c>
      <c r="J9" s="550">
        <v>700</v>
      </c>
      <c r="K9" s="551"/>
      <c r="L9" s="552">
        <f t="shared" ref="L9:L40" si="0">J9+K9</f>
        <v>700</v>
      </c>
      <c r="M9" s="551"/>
      <c r="N9" s="551"/>
      <c r="O9" s="551"/>
      <c r="P9" s="551"/>
      <c r="Q9" s="553">
        <f t="shared" ref="Q9:Q40" si="1">+SUM(L9:P9)</f>
        <v>700</v>
      </c>
      <c r="R9" s="553">
        <f t="shared" ref="R9:R40" si="2">Q9*12.15%</f>
        <v>85.05</v>
      </c>
      <c r="S9" s="553">
        <f t="shared" ref="S9:S40" si="3">SUM(X9:AI9)/12</f>
        <v>14.583274999999999</v>
      </c>
      <c r="T9" s="553">
        <f t="shared" ref="T9:T40" si="4">IF(I9=0,0,IF($T$7+365-I9&gt;365,$C$6,($T$7+365-I9)*($C$6/365)))/12</f>
        <v>39.166666666666664</v>
      </c>
      <c r="U9" s="553">
        <f t="shared" ref="U9:U40" si="5">IF(I9=0,0,IF($U$7+365-I9&gt;364,Q9,($U$7+365-I9)*(Q9/365)))/12</f>
        <v>58.333333333333336</v>
      </c>
      <c r="V9" s="553">
        <f t="shared" ref="V9:V40" si="6">+SUM(Q9:U9)</f>
        <v>897.13327499999991</v>
      </c>
      <c r="W9" s="554">
        <v>0</v>
      </c>
      <c r="X9" s="552">
        <f t="shared" ref="X9:X40" si="7">IF(I9=0,0,IF($X$7-I9&gt;365,Q9*8.3333%,0))</f>
        <v>0</v>
      </c>
      <c r="Y9" s="552">
        <f t="shared" ref="Y9:Y40" si="8">IF(I9=0,0,IF($Y$7-I9&gt;365,Q9*8.3333%,0))</f>
        <v>0</v>
      </c>
      <c r="Z9" s="552">
        <f t="shared" ref="Z9:Z40" si="9">IF(I9=0,0,IF($Z$7-I9&gt;365,Q9*8.3333%,0))</f>
        <v>0</v>
      </c>
      <c r="AA9" s="552">
        <f t="shared" ref="AA9:AA40" si="10">IF(I9=0,0,IF($AA$7-I9&gt;365,Q9*8.3333%,0))</f>
        <v>0</v>
      </c>
      <c r="AB9" s="552">
        <f t="shared" ref="AB9:AB40" si="11">IF(I9=0,0,IF($AB$7-I9&gt;365,Q9*8.3333%,0))</f>
        <v>0</v>
      </c>
      <c r="AC9" s="552">
        <f t="shared" ref="AC9:AC40" si="12">IF(I9=0,0,IF($AC$7-I9&gt;365,Q9*8.3333%,0))</f>
        <v>0</v>
      </c>
      <c r="AD9" s="552">
        <f t="shared" ref="AD9:AD40" si="13">IF(I9=0,0,IF($AD$7-I9&gt;365,Q9*8.3333%,0))</f>
        <v>0</v>
      </c>
      <c r="AE9" s="552">
        <f t="shared" ref="AE9:AE40" si="14">IF(I9=0,0,IF($AE$7-I9&gt;365,Q9*8.3333%,0))</f>
        <v>0</v>
      </c>
      <c r="AF9" s="552">
        <f t="shared" ref="AF9:AF40" si="15">IF(I9=0,0,IF($AF$7-I9&gt;365,Q9*8.3333%,0))</f>
        <v>0</v>
      </c>
      <c r="AG9" s="552">
        <f t="shared" ref="AG9:AG40" si="16">IF(I9=0,0,IF($AG$7-I9&gt;365,Q9*8.3333%,0))</f>
        <v>58.333099999999995</v>
      </c>
      <c r="AH9" s="552">
        <f t="shared" ref="AH9:AH40" si="17">IF(I9=0,0,IF($AH$7-I9&gt;365,Q9*8.3333%,0))</f>
        <v>58.333099999999995</v>
      </c>
      <c r="AI9" s="552">
        <f t="shared" ref="AI9:AI40" si="18">IF(I9=0,0,IF($AI$7-I9&gt;365,Q9*8.3333%,0))</f>
        <v>58.333099999999995</v>
      </c>
      <c r="AJ9" s="555"/>
      <c r="AK9" s="555"/>
      <c r="AL9" s="543"/>
      <c r="AM9" s="543"/>
    </row>
    <row r="10" spans="1:40" s="538" customFormat="1" ht="12" customHeight="1" outlineLevel="1" collapsed="1" x14ac:dyDescent="0.25">
      <c r="A10" s="544">
        <v>72</v>
      </c>
      <c r="B10" s="556" t="str">
        <f t="shared" ref="B10:B41" si="19">IF(E10="UIO","QUITO",IF(E10="GYE","GUAYAQUIL",IF(E10="IBA","IBARRA")))</f>
        <v>QUITO</v>
      </c>
      <c r="C10" s="546" t="s">
        <v>1033</v>
      </c>
      <c r="D10" s="547" t="s">
        <v>1034</v>
      </c>
      <c r="E10" s="547" t="s">
        <v>1035</v>
      </c>
      <c r="F10" s="546" t="s">
        <v>1036</v>
      </c>
      <c r="G10" s="557"/>
      <c r="H10" s="557"/>
      <c r="I10" s="549">
        <v>45581</v>
      </c>
      <c r="J10" s="550">
        <v>700</v>
      </c>
      <c r="K10" s="551"/>
      <c r="L10" s="552">
        <f t="shared" si="0"/>
        <v>700</v>
      </c>
      <c r="M10" s="551"/>
      <c r="N10" s="551"/>
      <c r="O10" s="551"/>
      <c r="P10" s="551"/>
      <c r="Q10" s="553">
        <f t="shared" si="1"/>
        <v>700</v>
      </c>
      <c r="R10" s="553">
        <f t="shared" si="2"/>
        <v>85.05</v>
      </c>
      <c r="S10" s="553">
        <f t="shared" si="3"/>
        <v>14.583274999999999</v>
      </c>
      <c r="T10" s="553">
        <f t="shared" si="4"/>
        <v>39.166666666666664</v>
      </c>
      <c r="U10" s="553">
        <f t="shared" si="5"/>
        <v>58.333333333333336</v>
      </c>
      <c r="V10" s="553">
        <f t="shared" si="6"/>
        <v>897.13327499999991</v>
      </c>
      <c r="W10" s="554">
        <v>0</v>
      </c>
      <c r="X10" s="552">
        <f t="shared" si="7"/>
        <v>0</v>
      </c>
      <c r="Y10" s="552">
        <f t="shared" si="8"/>
        <v>0</v>
      </c>
      <c r="Z10" s="552">
        <f t="shared" si="9"/>
        <v>0</v>
      </c>
      <c r="AA10" s="552">
        <f t="shared" si="10"/>
        <v>0</v>
      </c>
      <c r="AB10" s="552">
        <f t="shared" si="11"/>
        <v>0</v>
      </c>
      <c r="AC10" s="552">
        <f t="shared" si="12"/>
        <v>0</v>
      </c>
      <c r="AD10" s="552">
        <f t="shared" si="13"/>
        <v>0</v>
      </c>
      <c r="AE10" s="552">
        <f t="shared" si="14"/>
        <v>0</v>
      </c>
      <c r="AF10" s="552">
        <f t="shared" si="15"/>
        <v>0</v>
      </c>
      <c r="AG10" s="552">
        <f t="shared" si="16"/>
        <v>58.333099999999995</v>
      </c>
      <c r="AH10" s="552">
        <f t="shared" si="17"/>
        <v>58.333099999999995</v>
      </c>
      <c r="AI10" s="552">
        <f t="shared" si="18"/>
        <v>58.333099999999995</v>
      </c>
      <c r="AJ10" s="555"/>
      <c r="AK10" s="555"/>
      <c r="AL10" s="543"/>
      <c r="AM10" s="543"/>
    </row>
    <row r="11" spans="1:40" s="538" customFormat="1" ht="12" customHeight="1" outlineLevel="1" collapsed="1" x14ac:dyDescent="0.25">
      <c r="A11" s="544">
        <v>2</v>
      </c>
      <c r="B11" s="556" t="str">
        <f t="shared" si="19"/>
        <v>QUITO</v>
      </c>
      <c r="C11" s="546" t="s">
        <v>1037</v>
      </c>
      <c r="D11" s="547" t="s">
        <v>1038</v>
      </c>
      <c r="E11" s="547" t="s">
        <v>1035</v>
      </c>
      <c r="F11" s="546" t="s">
        <v>1039</v>
      </c>
      <c r="G11" s="548"/>
      <c r="H11" s="548"/>
      <c r="I11" s="549">
        <v>41764</v>
      </c>
      <c r="J11" s="550">
        <v>1500</v>
      </c>
      <c r="K11" s="551"/>
      <c r="L11" s="552">
        <f t="shared" si="0"/>
        <v>1500</v>
      </c>
      <c r="M11" s="551"/>
      <c r="N11" s="551"/>
      <c r="O11" s="551"/>
      <c r="P11" s="551"/>
      <c r="Q11" s="553">
        <f t="shared" si="1"/>
        <v>1500</v>
      </c>
      <c r="R11" s="553">
        <f t="shared" si="2"/>
        <v>182.25</v>
      </c>
      <c r="S11" s="553">
        <f t="shared" si="3"/>
        <v>124.99949999999997</v>
      </c>
      <c r="T11" s="553">
        <f t="shared" si="4"/>
        <v>39.166666666666664</v>
      </c>
      <c r="U11" s="553">
        <f t="shared" si="5"/>
        <v>125</v>
      </c>
      <c r="V11" s="553">
        <f t="shared" si="6"/>
        <v>1971.4161666666666</v>
      </c>
      <c r="W11" s="554">
        <v>0</v>
      </c>
      <c r="X11" s="552">
        <f t="shared" si="7"/>
        <v>124.99949999999998</v>
      </c>
      <c r="Y11" s="552">
        <f t="shared" si="8"/>
        <v>124.99949999999998</v>
      </c>
      <c r="Z11" s="552">
        <f t="shared" si="9"/>
        <v>124.99949999999998</v>
      </c>
      <c r="AA11" s="552">
        <f t="shared" si="10"/>
        <v>124.99949999999998</v>
      </c>
      <c r="AB11" s="552">
        <f t="shared" si="11"/>
        <v>124.99949999999998</v>
      </c>
      <c r="AC11" s="552">
        <f t="shared" si="12"/>
        <v>124.99949999999998</v>
      </c>
      <c r="AD11" s="552">
        <f t="shared" si="13"/>
        <v>124.99949999999998</v>
      </c>
      <c r="AE11" s="552">
        <f t="shared" si="14"/>
        <v>124.99949999999998</v>
      </c>
      <c r="AF11" s="552">
        <f t="shared" si="15"/>
        <v>124.99949999999998</v>
      </c>
      <c r="AG11" s="552">
        <f t="shared" si="16"/>
        <v>124.99949999999998</v>
      </c>
      <c r="AH11" s="552">
        <f t="shared" si="17"/>
        <v>124.99949999999998</v>
      </c>
      <c r="AI11" s="552">
        <f t="shared" si="18"/>
        <v>124.99949999999998</v>
      </c>
      <c r="AJ11" s="555"/>
      <c r="AK11" s="555"/>
      <c r="AL11" s="543"/>
      <c r="AM11" s="543"/>
    </row>
    <row r="12" spans="1:40" s="538" customFormat="1" ht="12" customHeight="1" outlineLevel="1" collapsed="1" x14ac:dyDescent="0.25">
      <c r="A12" s="544">
        <v>3</v>
      </c>
      <c r="B12" s="556" t="str">
        <f t="shared" si="19"/>
        <v>QUITO</v>
      </c>
      <c r="C12" s="546" t="s">
        <v>1037</v>
      </c>
      <c r="D12" s="547" t="s">
        <v>1038</v>
      </c>
      <c r="E12" s="547" t="s">
        <v>1035</v>
      </c>
      <c r="F12" s="546" t="s">
        <v>1040</v>
      </c>
      <c r="G12" s="548"/>
      <c r="H12" s="548"/>
      <c r="I12" s="549">
        <v>45601</v>
      </c>
      <c r="J12" s="550">
        <v>800</v>
      </c>
      <c r="K12" s="551"/>
      <c r="L12" s="552">
        <f t="shared" si="0"/>
        <v>800</v>
      </c>
      <c r="M12" s="551"/>
      <c r="N12" s="551"/>
      <c r="O12" s="551"/>
      <c r="P12" s="551"/>
      <c r="Q12" s="553">
        <f t="shared" si="1"/>
        <v>800</v>
      </c>
      <c r="R12" s="553">
        <f t="shared" si="2"/>
        <v>97.2</v>
      </c>
      <c r="S12" s="553">
        <f t="shared" si="3"/>
        <v>11.111066666666666</v>
      </c>
      <c r="T12" s="553">
        <f t="shared" si="4"/>
        <v>39.166666666666664</v>
      </c>
      <c r="U12" s="553">
        <f t="shared" si="5"/>
        <v>66.666666666666671</v>
      </c>
      <c r="V12" s="553">
        <f t="shared" si="6"/>
        <v>1014.1444</v>
      </c>
      <c r="W12" s="554">
        <v>0</v>
      </c>
      <c r="X12" s="552">
        <f t="shared" si="7"/>
        <v>0</v>
      </c>
      <c r="Y12" s="552">
        <f t="shared" si="8"/>
        <v>0</v>
      </c>
      <c r="Z12" s="552">
        <f t="shared" si="9"/>
        <v>0</v>
      </c>
      <c r="AA12" s="552">
        <f t="shared" si="10"/>
        <v>0</v>
      </c>
      <c r="AB12" s="552">
        <f t="shared" si="11"/>
        <v>0</v>
      </c>
      <c r="AC12" s="552">
        <f t="shared" si="12"/>
        <v>0</v>
      </c>
      <c r="AD12" s="552">
        <f t="shared" si="13"/>
        <v>0</v>
      </c>
      <c r="AE12" s="552">
        <f t="shared" si="14"/>
        <v>0</v>
      </c>
      <c r="AF12" s="552">
        <f t="shared" si="15"/>
        <v>0</v>
      </c>
      <c r="AG12" s="552">
        <f t="shared" si="16"/>
        <v>0</v>
      </c>
      <c r="AH12" s="552">
        <f t="shared" si="17"/>
        <v>66.666399999999996</v>
      </c>
      <c r="AI12" s="552">
        <f t="shared" si="18"/>
        <v>66.666399999999996</v>
      </c>
      <c r="AJ12" s="555"/>
      <c r="AK12" s="555"/>
      <c r="AL12" s="543"/>
      <c r="AM12" s="543"/>
    </row>
    <row r="13" spans="1:40" s="538" customFormat="1" ht="12" customHeight="1" outlineLevel="1" collapsed="1" x14ac:dyDescent="0.25">
      <c r="A13" s="544">
        <v>4</v>
      </c>
      <c r="B13" s="556" t="str">
        <f t="shared" si="19"/>
        <v>QUITO</v>
      </c>
      <c r="C13" s="546" t="s">
        <v>1041</v>
      </c>
      <c r="D13" s="547" t="s">
        <v>1042</v>
      </c>
      <c r="E13" s="547" t="s">
        <v>1035</v>
      </c>
      <c r="F13" s="546" t="s">
        <v>1043</v>
      </c>
      <c r="G13" s="548"/>
      <c r="H13" s="548"/>
      <c r="I13" s="549">
        <v>45554</v>
      </c>
      <c r="J13" s="550">
        <v>600</v>
      </c>
      <c r="K13" s="551"/>
      <c r="L13" s="552">
        <f t="shared" si="0"/>
        <v>600</v>
      </c>
      <c r="M13" s="551"/>
      <c r="N13" s="551"/>
      <c r="O13" s="551"/>
      <c r="P13" s="551"/>
      <c r="Q13" s="553">
        <f t="shared" si="1"/>
        <v>600</v>
      </c>
      <c r="R13" s="553">
        <f t="shared" si="2"/>
        <v>72.899999999999991</v>
      </c>
      <c r="S13" s="553">
        <f t="shared" si="3"/>
        <v>16.666599999999999</v>
      </c>
      <c r="T13" s="553">
        <f t="shared" si="4"/>
        <v>39.166666666666664</v>
      </c>
      <c r="U13" s="553">
        <f t="shared" si="5"/>
        <v>50</v>
      </c>
      <c r="V13" s="553">
        <f t="shared" si="6"/>
        <v>778.73326666666662</v>
      </c>
      <c r="W13" s="554">
        <v>0</v>
      </c>
      <c r="X13" s="552">
        <f t="shared" si="7"/>
        <v>0</v>
      </c>
      <c r="Y13" s="552">
        <f t="shared" si="8"/>
        <v>0</v>
      </c>
      <c r="Z13" s="552">
        <f t="shared" si="9"/>
        <v>0</v>
      </c>
      <c r="AA13" s="552">
        <f t="shared" si="10"/>
        <v>0</v>
      </c>
      <c r="AB13" s="552">
        <f t="shared" si="11"/>
        <v>0</v>
      </c>
      <c r="AC13" s="552">
        <f t="shared" si="12"/>
        <v>0</v>
      </c>
      <c r="AD13" s="552">
        <f t="shared" si="13"/>
        <v>0</v>
      </c>
      <c r="AE13" s="552">
        <f t="shared" si="14"/>
        <v>0</v>
      </c>
      <c r="AF13" s="552">
        <f t="shared" si="15"/>
        <v>49.999799999999993</v>
      </c>
      <c r="AG13" s="552">
        <f t="shared" si="16"/>
        <v>49.999799999999993</v>
      </c>
      <c r="AH13" s="552">
        <f t="shared" si="17"/>
        <v>49.999799999999993</v>
      </c>
      <c r="AI13" s="552">
        <f t="shared" si="18"/>
        <v>49.999799999999993</v>
      </c>
      <c r="AJ13" s="551"/>
      <c r="AK13" s="551"/>
      <c r="AL13" s="543"/>
      <c r="AM13" s="543"/>
    </row>
    <row r="14" spans="1:40" s="538" customFormat="1" ht="12" customHeight="1" outlineLevel="1" collapsed="1" x14ac:dyDescent="0.25">
      <c r="A14" s="544">
        <v>5</v>
      </c>
      <c r="B14" s="556" t="str">
        <f t="shared" si="19"/>
        <v>QUITO</v>
      </c>
      <c r="C14" s="546" t="s">
        <v>1041</v>
      </c>
      <c r="D14" s="547" t="s">
        <v>1042</v>
      </c>
      <c r="E14" s="547" t="s">
        <v>1035</v>
      </c>
      <c r="F14" s="546" t="s">
        <v>1043</v>
      </c>
      <c r="G14" s="557"/>
      <c r="H14" s="557"/>
      <c r="I14" s="549">
        <v>41214</v>
      </c>
      <c r="J14" s="550">
        <v>900</v>
      </c>
      <c r="K14" s="551"/>
      <c r="L14" s="552">
        <f t="shared" si="0"/>
        <v>900</v>
      </c>
      <c r="M14" s="551"/>
      <c r="N14" s="551"/>
      <c r="O14" s="552">
        <f>L14*$O$7</f>
        <v>360</v>
      </c>
      <c r="P14" s="551"/>
      <c r="Q14" s="553">
        <f t="shared" si="1"/>
        <v>1260</v>
      </c>
      <c r="R14" s="553">
        <f t="shared" si="2"/>
        <v>153.09</v>
      </c>
      <c r="S14" s="553">
        <f t="shared" si="3"/>
        <v>104.99957999999999</v>
      </c>
      <c r="T14" s="553">
        <f t="shared" si="4"/>
        <v>39.166666666666664</v>
      </c>
      <c r="U14" s="553">
        <f t="shared" si="5"/>
        <v>105</v>
      </c>
      <c r="V14" s="553">
        <f t="shared" si="6"/>
        <v>1662.2562466666666</v>
      </c>
      <c r="W14" s="554">
        <v>0</v>
      </c>
      <c r="X14" s="552">
        <f t="shared" si="7"/>
        <v>104.99957999999999</v>
      </c>
      <c r="Y14" s="552">
        <f t="shared" si="8"/>
        <v>104.99957999999999</v>
      </c>
      <c r="Z14" s="552">
        <f t="shared" si="9"/>
        <v>104.99957999999999</v>
      </c>
      <c r="AA14" s="552">
        <f t="shared" si="10"/>
        <v>104.99957999999999</v>
      </c>
      <c r="AB14" s="552">
        <f t="shared" si="11"/>
        <v>104.99957999999999</v>
      </c>
      <c r="AC14" s="552">
        <f t="shared" si="12"/>
        <v>104.99957999999999</v>
      </c>
      <c r="AD14" s="552">
        <f t="shared" si="13"/>
        <v>104.99957999999999</v>
      </c>
      <c r="AE14" s="552">
        <f t="shared" si="14"/>
        <v>104.99957999999999</v>
      </c>
      <c r="AF14" s="552">
        <f t="shared" si="15"/>
        <v>104.99957999999999</v>
      </c>
      <c r="AG14" s="552">
        <f t="shared" si="16"/>
        <v>104.99957999999999</v>
      </c>
      <c r="AH14" s="552">
        <f t="shared" si="17"/>
        <v>104.99957999999999</v>
      </c>
      <c r="AI14" s="552">
        <f t="shared" si="18"/>
        <v>104.99957999999999</v>
      </c>
      <c r="AJ14" s="551"/>
      <c r="AK14" s="551"/>
      <c r="AL14" s="543"/>
      <c r="AM14" s="543"/>
    </row>
    <row r="15" spans="1:40" s="538" customFormat="1" ht="12" customHeight="1" outlineLevel="1" collapsed="1" x14ac:dyDescent="0.25">
      <c r="A15" s="544">
        <v>6</v>
      </c>
      <c r="B15" s="556" t="str">
        <f t="shared" si="19"/>
        <v>IBARRA</v>
      </c>
      <c r="C15" s="546" t="s">
        <v>1033</v>
      </c>
      <c r="D15" s="547" t="s">
        <v>1034</v>
      </c>
      <c r="E15" s="547" t="s">
        <v>1044</v>
      </c>
      <c r="F15" s="546" t="s">
        <v>1045</v>
      </c>
      <c r="G15" s="557"/>
      <c r="H15" s="557"/>
      <c r="I15" s="549">
        <v>43692</v>
      </c>
      <c r="J15" s="550">
        <v>900</v>
      </c>
      <c r="K15" s="551"/>
      <c r="L15" s="552">
        <f t="shared" si="0"/>
        <v>900</v>
      </c>
      <c r="M15" s="551"/>
      <c r="N15" s="551"/>
      <c r="O15" s="551"/>
      <c r="P15" s="551"/>
      <c r="Q15" s="553">
        <f t="shared" si="1"/>
        <v>900</v>
      </c>
      <c r="R15" s="553">
        <f t="shared" si="2"/>
        <v>109.35</v>
      </c>
      <c r="S15" s="553">
        <f t="shared" si="3"/>
        <v>74.999699999999976</v>
      </c>
      <c r="T15" s="553">
        <f t="shared" si="4"/>
        <v>39.166666666666664</v>
      </c>
      <c r="U15" s="553">
        <f t="shared" si="5"/>
        <v>75</v>
      </c>
      <c r="V15" s="553">
        <f t="shared" si="6"/>
        <v>1198.5163666666667</v>
      </c>
      <c r="W15" s="554">
        <v>0</v>
      </c>
      <c r="X15" s="552">
        <f t="shared" si="7"/>
        <v>74.99969999999999</v>
      </c>
      <c r="Y15" s="552">
        <f t="shared" si="8"/>
        <v>74.99969999999999</v>
      </c>
      <c r="Z15" s="552">
        <f t="shared" si="9"/>
        <v>74.99969999999999</v>
      </c>
      <c r="AA15" s="552">
        <f t="shared" si="10"/>
        <v>74.99969999999999</v>
      </c>
      <c r="AB15" s="552">
        <f t="shared" si="11"/>
        <v>74.99969999999999</v>
      </c>
      <c r="AC15" s="552">
        <f t="shared" si="12"/>
        <v>74.99969999999999</v>
      </c>
      <c r="AD15" s="552">
        <f t="shared" si="13"/>
        <v>74.99969999999999</v>
      </c>
      <c r="AE15" s="552">
        <f t="shared" si="14"/>
        <v>74.99969999999999</v>
      </c>
      <c r="AF15" s="552">
        <f t="shared" si="15"/>
        <v>74.99969999999999</v>
      </c>
      <c r="AG15" s="552">
        <f t="shared" si="16"/>
        <v>74.99969999999999</v>
      </c>
      <c r="AH15" s="552">
        <f t="shared" si="17"/>
        <v>74.99969999999999</v>
      </c>
      <c r="AI15" s="552">
        <f t="shared" si="18"/>
        <v>74.99969999999999</v>
      </c>
      <c r="AJ15" s="551"/>
      <c r="AK15" s="551"/>
      <c r="AL15" s="543"/>
      <c r="AM15" s="543"/>
    </row>
    <row r="16" spans="1:40" s="538" customFormat="1" ht="12" customHeight="1" outlineLevel="1" collapsed="1" x14ac:dyDescent="0.25">
      <c r="A16" s="544">
        <v>7</v>
      </c>
      <c r="B16" s="556" t="str">
        <f t="shared" si="19"/>
        <v>QUITO</v>
      </c>
      <c r="C16" s="546" t="s">
        <v>1046</v>
      </c>
      <c r="D16" s="547" t="s">
        <v>1047</v>
      </c>
      <c r="E16" s="547" t="s">
        <v>1035</v>
      </c>
      <c r="F16" s="546" t="s">
        <v>1048</v>
      </c>
      <c r="G16" s="557"/>
      <c r="H16" s="557"/>
      <c r="I16" s="549">
        <v>44764</v>
      </c>
      <c r="J16" s="550">
        <v>1000</v>
      </c>
      <c r="K16" s="551"/>
      <c r="L16" s="552">
        <f t="shared" si="0"/>
        <v>1000</v>
      </c>
      <c r="M16" s="551"/>
      <c r="N16" s="551"/>
      <c r="O16" s="552">
        <f>L16*$O$7</f>
        <v>400</v>
      </c>
      <c r="P16" s="551"/>
      <c r="Q16" s="553">
        <f t="shared" si="1"/>
        <v>1400</v>
      </c>
      <c r="R16" s="553">
        <f t="shared" si="2"/>
        <v>170.1</v>
      </c>
      <c r="S16" s="553">
        <f t="shared" si="3"/>
        <v>116.66619999999996</v>
      </c>
      <c r="T16" s="553">
        <f t="shared" si="4"/>
        <v>39.166666666666664</v>
      </c>
      <c r="U16" s="553">
        <f t="shared" si="5"/>
        <v>116.66666666666667</v>
      </c>
      <c r="V16" s="553">
        <f t="shared" si="6"/>
        <v>1842.5995333333333</v>
      </c>
      <c r="W16" s="554">
        <v>0</v>
      </c>
      <c r="X16" s="552">
        <f t="shared" si="7"/>
        <v>116.66619999999999</v>
      </c>
      <c r="Y16" s="552">
        <f t="shared" si="8"/>
        <v>116.66619999999999</v>
      </c>
      <c r="Z16" s="552">
        <f t="shared" si="9"/>
        <v>116.66619999999999</v>
      </c>
      <c r="AA16" s="552">
        <f t="shared" si="10"/>
        <v>116.66619999999999</v>
      </c>
      <c r="AB16" s="552">
        <f t="shared" si="11"/>
        <v>116.66619999999999</v>
      </c>
      <c r="AC16" s="552">
        <f t="shared" si="12"/>
        <v>116.66619999999999</v>
      </c>
      <c r="AD16" s="552">
        <f t="shared" si="13"/>
        <v>116.66619999999999</v>
      </c>
      <c r="AE16" s="552">
        <f t="shared" si="14"/>
        <v>116.66619999999999</v>
      </c>
      <c r="AF16" s="552">
        <f t="shared" si="15"/>
        <v>116.66619999999999</v>
      </c>
      <c r="AG16" s="552">
        <f t="shared" si="16"/>
        <v>116.66619999999999</v>
      </c>
      <c r="AH16" s="552">
        <f t="shared" si="17"/>
        <v>116.66619999999999</v>
      </c>
      <c r="AI16" s="552">
        <f t="shared" si="18"/>
        <v>116.66619999999999</v>
      </c>
      <c r="AJ16" s="551"/>
      <c r="AK16" s="551"/>
      <c r="AL16" s="543"/>
      <c r="AM16" s="543"/>
    </row>
    <row r="17" spans="1:39" s="538" customFormat="1" ht="12" customHeight="1" outlineLevel="1" collapsed="1" x14ac:dyDescent="0.25">
      <c r="A17" s="544">
        <v>8</v>
      </c>
      <c r="B17" s="556" t="str">
        <f t="shared" si="19"/>
        <v>GUAYAQUIL</v>
      </c>
      <c r="C17" s="546" t="s">
        <v>1046</v>
      </c>
      <c r="D17" s="547" t="s">
        <v>1047</v>
      </c>
      <c r="E17" s="547" t="s">
        <v>1049</v>
      </c>
      <c r="F17" s="546" t="s">
        <v>1050</v>
      </c>
      <c r="G17" s="557"/>
      <c r="H17" s="557"/>
      <c r="I17" s="549">
        <v>45530</v>
      </c>
      <c r="J17" s="550">
        <v>850</v>
      </c>
      <c r="K17" s="551"/>
      <c r="L17" s="552">
        <f t="shared" si="0"/>
        <v>850</v>
      </c>
      <c r="M17" s="551"/>
      <c r="N17" s="551"/>
      <c r="O17" s="552">
        <f>L17*$O$7</f>
        <v>340</v>
      </c>
      <c r="P17" s="551"/>
      <c r="Q17" s="553">
        <f t="shared" si="1"/>
        <v>1190</v>
      </c>
      <c r="R17" s="553">
        <f t="shared" si="2"/>
        <v>144.58500000000001</v>
      </c>
      <c r="S17" s="553">
        <f t="shared" si="3"/>
        <v>41.319279166666661</v>
      </c>
      <c r="T17" s="553">
        <f t="shared" si="4"/>
        <v>39.166666666666664</v>
      </c>
      <c r="U17" s="553">
        <f t="shared" si="5"/>
        <v>99.166666666666671</v>
      </c>
      <c r="V17" s="553">
        <f t="shared" si="6"/>
        <v>1514.2376125000001</v>
      </c>
      <c r="W17" s="554">
        <v>0</v>
      </c>
      <c r="X17" s="552">
        <f t="shared" si="7"/>
        <v>0</v>
      </c>
      <c r="Y17" s="552">
        <f t="shared" si="8"/>
        <v>0</v>
      </c>
      <c r="Z17" s="552">
        <f t="shared" si="9"/>
        <v>0</v>
      </c>
      <c r="AA17" s="552">
        <f t="shared" si="10"/>
        <v>0</v>
      </c>
      <c r="AB17" s="552">
        <f t="shared" si="11"/>
        <v>0</v>
      </c>
      <c r="AC17" s="552">
        <f t="shared" si="12"/>
        <v>0</v>
      </c>
      <c r="AD17" s="552">
        <f t="shared" si="13"/>
        <v>0</v>
      </c>
      <c r="AE17" s="552">
        <f t="shared" si="14"/>
        <v>99.166269999999983</v>
      </c>
      <c r="AF17" s="552">
        <f t="shared" si="15"/>
        <v>99.166269999999983</v>
      </c>
      <c r="AG17" s="552">
        <f t="shared" si="16"/>
        <v>99.166269999999983</v>
      </c>
      <c r="AH17" s="552">
        <f t="shared" si="17"/>
        <v>99.166269999999983</v>
      </c>
      <c r="AI17" s="552">
        <f t="shared" si="18"/>
        <v>99.166269999999983</v>
      </c>
      <c r="AJ17" s="551"/>
      <c r="AK17" s="551"/>
      <c r="AL17" s="543"/>
      <c r="AM17" s="543"/>
    </row>
    <row r="18" spans="1:39" s="538" customFormat="1" ht="12" customHeight="1" outlineLevel="1" collapsed="1" x14ac:dyDescent="0.25">
      <c r="A18" s="544">
        <v>9</v>
      </c>
      <c r="B18" s="556" t="str">
        <f t="shared" si="19"/>
        <v>GUAYAQUIL</v>
      </c>
      <c r="C18" s="546" t="s">
        <v>1046</v>
      </c>
      <c r="D18" s="547" t="s">
        <v>1047</v>
      </c>
      <c r="E18" s="547" t="s">
        <v>1049</v>
      </c>
      <c r="F18" s="546" t="s">
        <v>1051</v>
      </c>
      <c r="G18" s="557"/>
      <c r="H18" s="557"/>
      <c r="I18" s="549">
        <v>45526</v>
      </c>
      <c r="J18" s="550">
        <v>800</v>
      </c>
      <c r="K18" s="551"/>
      <c r="L18" s="552">
        <f t="shared" si="0"/>
        <v>800</v>
      </c>
      <c r="M18" s="551"/>
      <c r="N18" s="551"/>
      <c r="O18" s="552">
        <f>L18*$O$7</f>
        <v>320</v>
      </c>
      <c r="P18" s="551"/>
      <c r="Q18" s="553">
        <f t="shared" si="1"/>
        <v>1120</v>
      </c>
      <c r="R18" s="553">
        <f t="shared" si="2"/>
        <v>136.07999999999998</v>
      </c>
      <c r="S18" s="553">
        <f t="shared" si="3"/>
        <v>38.888733333333327</v>
      </c>
      <c r="T18" s="553">
        <f t="shared" si="4"/>
        <v>39.166666666666664</v>
      </c>
      <c r="U18" s="553">
        <f t="shared" si="5"/>
        <v>93.333333333333329</v>
      </c>
      <c r="V18" s="553">
        <f t="shared" si="6"/>
        <v>1427.4687333333331</v>
      </c>
      <c r="W18" s="554">
        <v>0</v>
      </c>
      <c r="X18" s="552">
        <f t="shared" si="7"/>
        <v>0</v>
      </c>
      <c r="Y18" s="552">
        <f t="shared" si="8"/>
        <v>0</v>
      </c>
      <c r="Z18" s="552">
        <f t="shared" si="9"/>
        <v>0</v>
      </c>
      <c r="AA18" s="552">
        <f t="shared" si="10"/>
        <v>0</v>
      </c>
      <c r="AB18" s="552">
        <f t="shared" si="11"/>
        <v>0</v>
      </c>
      <c r="AC18" s="552">
        <f t="shared" si="12"/>
        <v>0</v>
      </c>
      <c r="AD18" s="552">
        <f t="shared" si="13"/>
        <v>0</v>
      </c>
      <c r="AE18" s="552">
        <f t="shared" si="14"/>
        <v>93.332959999999986</v>
      </c>
      <c r="AF18" s="552">
        <f t="shared" si="15"/>
        <v>93.332959999999986</v>
      </c>
      <c r="AG18" s="552">
        <f t="shared" si="16"/>
        <v>93.332959999999986</v>
      </c>
      <c r="AH18" s="552">
        <f t="shared" si="17"/>
        <v>93.332959999999986</v>
      </c>
      <c r="AI18" s="552">
        <f t="shared" si="18"/>
        <v>93.332959999999986</v>
      </c>
      <c r="AJ18" s="551"/>
      <c r="AK18" s="551"/>
      <c r="AL18" s="543"/>
      <c r="AM18" s="543"/>
    </row>
    <row r="19" spans="1:39" s="538" customFormat="1" ht="12" customHeight="1" outlineLevel="1" collapsed="1" x14ac:dyDescent="0.25">
      <c r="A19" s="544">
        <v>10</v>
      </c>
      <c r="B19" s="556" t="str">
        <f t="shared" si="19"/>
        <v>IBARRA</v>
      </c>
      <c r="C19" s="546" t="s">
        <v>1041</v>
      </c>
      <c r="D19" s="547" t="s">
        <v>1042</v>
      </c>
      <c r="E19" s="547" t="s">
        <v>1044</v>
      </c>
      <c r="F19" s="546" t="s">
        <v>1043</v>
      </c>
      <c r="G19" s="557"/>
      <c r="H19" s="557"/>
      <c r="I19" s="549">
        <v>44105</v>
      </c>
      <c r="J19" s="550">
        <v>1000</v>
      </c>
      <c r="K19" s="551"/>
      <c r="L19" s="552">
        <f t="shared" si="0"/>
        <v>1000</v>
      </c>
      <c r="M19" s="551"/>
      <c r="N19" s="551"/>
      <c r="O19" s="552">
        <f>L19*$O$7</f>
        <v>400</v>
      </c>
      <c r="P19" s="551"/>
      <c r="Q19" s="553">
        <f t="shared" si="1"/>
        <v>1400</v>
      </c>
      <c r="R19" s="553">
        <f t="shared" si="2"/>
        <v>170.1</v>
      </c>
      <c r="S19" s="553">
        <f t="shared" si="3"/>
        <v>116.66619999999996</v>
      </c>
      <c r="T19" s="553">
        <f t="shared" si="4"/>
        <v>39.166666666666664</v>
      </c>
      <c r="U19" s="553">
        <f t="shared" si="5"/>
        <v>116.66666666666667</v>
      </c>
      <c r="V19" s="553">
        <f t="shared" si="6"/>
        <v>1842.5995333333333</v>
      </c>
      <c r="W19" s="554">
        <v>0</v>
      </c>
      <c r="X19" s="552">
        <f t="shared" si="7"/>
        <v>116.66619999999999</v>
      </c>
      <c r="Y19" s="552">
        <f t="shared" si="8"/>
        <v>116.66619999999999</v>
      </c>
      <c r="Z19" s="552">
        <f t="shared" si="9"/>
        <v>116.66619999999999</v>
      </c>
      <c r="AA19" s="552">
        <f t="shared" si="10"/>
        <v>116.66619999999999</v>
      </c>
      <c r="AB19" s="552">
        <f t="shared" si="11"/>
        <v>116.66619999999999</v>
      </c>
      <c r="AC19" s="552">
        <f t="shared" si="12"/>
        <v>116.66619999999999</v>
      </c>
      <c r="AD19" s="552">
        <f t="shared" si="13"/>
        <v>116.66619999999999</v>
      </c>
      <c r="AE19" s="552">
        <f t="shared" si="14"/>
        <v>116.66619999999999</v>
      </c>
      <c r="AF19" s="552">
        <f t="shared" si="15"/>
        <v>116.66619999999999</v>
      </c>
      <c r="AG19" s="552">
        <f t="shared" si="16"/>
        <v>116.66619999999999</v>
      </c>
      <c r="AH19" s="552">
        <f t="shared" si="17"/>
        <v>116.66619999999999</v>
      </c>
      <c r="AI19" s="552">
        <f t="shared" si="18"/>
        <v>116.66619999999999</v>
      </c>
      <c r="AJ19" s="551"/>
      <c r="AK19" s="551"/>
      <c r="AL19" s="543"/>
      <c r="AM19" s="543"/>
    </row>
    <row r="20" spans="1:39" s="538" customFormat="1" ht="12" customHeight="1" outlineLevel="1" collapsed="1" x14ac:dyDescent="0.25">
      <c r="A20" s="544">
        <v>11</v>
      </c>
      <c r="B20" s="556" t="str">
        <f t="shared" si="19"/>
        <v>IBARRA</v>
      </c>
      <c r="C20" s="546" t="s">
        <v>1046</v>
      </c>
      <c r="D20" s="547" t="s">
        <v>1047</v>
      </c>
      <c r="E20" s="547" t="s">
        <v>1044</v>
      </c>
      <c r="F20" s="546" t="s">
        <v>1051</v>
      </c>
      <c r="G20" s="557"/>
      <c r="H20" s="557"/>
      <c r="I20" s="549">
        <v>45532</v>
      </c>
      <c r="J20" s="550">
        <v>800</v>
      </c>
      <c r="K20" s="551"/>
      <c r="L20" s="552">
        <f t="shared" si="0"/>
        <v>800</v>
      </c>
      <c r="M20" s="551"/>
      <c r="N20" s="551"/>
      <c r="O20" s="552">
        <f>L20*$O$7</f>
        <v>320</v>
      </c>
      <c r="P20" s="551"/>
      <c r="Q20" s="553">
        <f t="shared" si="1"/>
        <v>1120</v>
      </c>
      <c r="R20" s="553">
        <f t="shared" si="2"/>
        <v>136.07999999999998</v>
      </c>
      <c r="S20" s="553">
        <f t="shared" si="3"/>
        <v>38.888733333333327</v>
      </c>
      <c r="T20" s="553">
        <f t="shared" si="4"/>
        <v>39.166666666666664</v>
      </c>
      <c r="U20" s="553">
        <f t="shared" si="5"/>
        <v>93.333333333333329</v>
      </c>
      <c r="V20" s="553">
        <f t="shared" si="6"/>
        <v>1427.4687333333331</v>
      </c>
      <c r="W20" s="554">
        <v>0</v>
      </c>
      <c r="X20" s="552">
        <f t="shared" si="7"/>
        <v>0</v>
      </c>
      <c r="Y20" s="552">
        <f t="shared" si="8"/>
        <v>0</v>
      </c>
      <c r="Z20" s="552">
        <f t="shared" si="9"/>
        <v>0</v>
      </c>
      <c r="AA20" s="552">
        <f t="shared" si="10"/>
        <v>0</v>
      </c>
      <c r="AB20" s="552">
        <f t="shared" si="11"/>
        <v>0</v>
      </c>
      <c r="AC20" s="552">
        <f t="shared" si="12"/>
        <v>0</v>
      </c>
      <c r="AD20" s="552">
        <f t="shared" si="13"/>
        <v>0</v>
      </c>
      <c r="AE20" s="552">
        <f t="shared" si="14"/>
        <v>93.332959999999986</v>
      </c>
      <c r="AF20" s="552">
        <f t="shared" si="15"/>
        <v>93.332959999999986</v>
      </c>
      <c r="AG20" s="552">
        <f t="shared" si="16"/>
        <v>93.332959999999986</v>
      </c>
      <c r="AH20" s="552">
        <f t="shared" si="17"/>
        <v>93.332959999999986</v>
      </c>
      <c r="AI20" s="552">
        <f t="shared" si="18"/>
        <v>93.332959999999986</v>
      </c>
      <c r="AJ20" s="551"/>
      <c r="AK20" s="551"/>
      <c r="AL20" s="543"/>
      <c r="AM20" s="543"/>
    </row>
    <row r="21" spans="1:39" s="538" customFormat="1" ht="12" customHeight="1" outlineLevel="1" collapsed="1" x14ac:dyDescent="0.25">
      <c r="A21" s="544">
        <v>12</v>
      </c>
      <c r="B21" s="556" t="str">
        <f t="shared" si="19"/>
        <v>QUITO</v>
      </c>
      <c r="C21" s="546" t="s">
        <v>1052</v>
      </c>
      <c r="D21" s="547" t="s">
        <v>1053</v>
      </c>
      <c r="E21" s="547" t="s">
        <v>1035</v>
      </c>
      <c r="F21" s="546" t="s">
        <v>1054</v>
      </c>
      <c r="G21" s="557"/>
      <c r="H21" s="557"/>
      <c r="I21" s="549">
        <v>44440</v>
      </c>
      <c r="J21" s="550">
        <v>460</v>
      </c>
      <c r="K21" s="551"/>
      <c r="L21" s="552">
        <f t="shared" si="0"/>
        <v>460</v>
      </c>
      <c r="M21" s="551"/>
      <c r="N21" s="551"/>
      <c r="O21" s="551"/>
      <c r="P21" s="551"/>
      <c r="Q21" s="553">
        <f t="shared" si="1"/>
        <v>460</v>
      </c>
      <c r="R21" s="553">
        <f t="shared" si="2"/>
        <v>55.89</v>
      </c>
      <c r="S21" s="553">
        <f t="shared" si="3"/>
        <v>38.333179999999992</v>
      </c>
      <c r="T21" s="553">
        <f t="shared" si="4"/>
        <v>39.166666666666664</v>
      </c>
      <c r="U21" s="553">
        <f t="shared" si="5"/>
        <v>38.333333333333336</v>
      </c>
      <c r="V21" s="553">
        <f t="shared" si="6"/>
        <v>631.72317999999996</v>
      </c>
      <c r="W21" s="554">
        <v>0</v>
      </c>
      <c r="X21" s="552">
        <f t="shared" si="7"/>
        <v>38.333179999999999</v>
      </c>
      <c r="Y21" s="552">
        <f t="shared" si="8"/>
        <v>38.333179999999999</v>
      </c>
      <c r="Z21" s="552">
        <f t="shared" si="9"/>
        <v>38.333179999999999</v>
      </c>
      <c r="AA21" s="552">
        <f t="shared" si="10"/>
        <v>38.333179999999999</v>
      </c>
      <c r="AB21" s="552">
        <f t="shared" si="11"/>
        <v>38.333179999999999</v>
      </c>
      <c r="AC21" s="552">
        <f t="shared" si="12"/>
        <v>38.333179999999999</v>
      </c>
      <c r="AD21" s="552">
        <f t="shared" si="13"/>
        <v>38.333179999999999</v>
      </c>
      <c r="AE21" s="552">
        <f t="shared" si="14"/>
        <v>38.333179999999999</v>
      </c>
      <c r="AF21" s="552">
        <f t="shared" si="15"/>
        <v>38.333179999999999</v>
      </c>
      <c r="AG21" s="552">
        <f t="shared" si="16"/>
        <v>38.333179999999999</v>
      </c>
      <c r="AH21" s="552">
        <f t="shared" si="17"/>
        <v>38.333179999999999</v>
      </c>
      <c r="AI21" s="552">
        <f t="shared" si="18"/>
        <v>38.333179999999999</v>
      </c>
      <c r="AJ21" s="551"/>
      <c r="AK21" s="551"/>
      <c r="AL21" s="543"/>
      <c r="AM21" s="543"/>
    </row>
    <row r="22" spans="1:39" s="538" customFormat="1" ht="12" customHeight="1" outlineLevel="1" collapsed="1" x14ac:dyDescent="0.25">
      <c r="A22" s="544">
        <v>14</v>
      </c>
      <c r="B22" s="556" t="str">
        <f t="shared" si="19"/>
        <v>QUITO</v>
      </c>
      <c r="C22" s="546" t="s">
        <v>1041</v>
      </c>
      <c r="D22" s="547" t="s">
        <v>1042</v>
      </c>
      <c r="E22" s="547" t="s">
        <v>1035</v>
      </c>
      <c r="F22" s="546" t="s">
        <v>1043</v>
      </c>
      <c r="G22" s="557"/>
      <c r="H22" s="557"/>
      <c r="I22" s="549">
        <v>43843</v>
      </c>
      <c r="J22" s="550">
        <v>800</v>
      </c>
      <c r="K22" s="551"/>
      <c r="L22" s="552">
        <f t="shared" si="0"/>
        <v>800</v>
      </c>
      <c r="M22" s="551"/>
      <c r="N22" s="551"/>
      <c r="O22" s="552">
        <f>L22*$O$7</f>
        <v>320</v>
      </c>
      <c r="P22" s="551"/>
      <c r="Q22" s="553">
        <f t="shared" si="1"/>
        <v>1120</v>
      </c>
      <c r="R22" s="553">
        <f t="shared" si="2"/>
        <v>136.07999999999998</v>
      </c>
      <c r="S22" s="553">
        <f t="shared" si="3"/>
        <v>93.332959999999972</v>
      </c>
      <c r="T22" s="553">
        <f t="shared" si="4"/>
        <v>39.166666666666664</v>
      </c>
      <c r="U22" s="553">
        <f t="shared" si="5"/>
        <v>93.333333333333329</v>
      </c>
      <c r="V22" s="553">
        <f t="shared" si="6"/>
        <v>1481.9129599999999</v>
      </c>
      <c r="W22" s="554">
        <v>0</v>
      </c>
      <c r="X22" s="552">
        <f t="shared" si="7"/>
        <v>93.332959999999986</v>
      </c>
      <c r="Y22" s="552">
        <f t="shared" si="8"/>
        <v>93.332959999999986</v>
      </c>
      <c r="Z22" s="552">
        <f t="shared" si="9"/>
        <v>93.332959999999986</v>
      </c>
      <c r="AA22" s="552">
        <f t="shared" si="10"/>
        <v>93.332959999999986</v>
      </c>
      <c r="AB22" s="552">
        <f t="shared" si="11"/>
        <v>93.332959999999986</v>
      </c>
      <c r="AC22" s="552">
        <f t="shared" si="12"/>
        <v>93.332959999999986</v>
      </c>
      <c r="AD22" s="552">
        <f t="shared" si="13"/>
        <v>93.332959999999986</v>
      </c>
      <c r="AE22" s="552">
        <f t="shared" si="14"/>
        <v>93.332959999999986</v>
      </c>
      <c r="AF22" s="552">
        <f t="shared" si="15"/>
        <v>93.332959999999986</v>
      </c>
      <c r="AG22" s="552">
        <f t="shared" si="16"/>
        <v>93.332959999999986</v>
      </c>
      <c r="AH22" s="552">
        <f t="shared" si="17"/>
        <v>93.332959999999986</v>
      </c>
      <c r="AI22" s="552">
        <f t="shared" si="18"/>
        <v>93.332959999999986</v>
      </c>
      <c r="AJ22" s="551"/>
      <c r="AK22" s="551"/>
      <c r="AL22" s="543"/>
      <c r="AM22" s="543"/>
    </row>
    <row r="23" spans="1:39" s="538" customFormat="1" ht="12" customHeight="1" outlineLevel="1" collapsed="1" x14ac:dyDescent="0.25">
      <c r="A23" s="544">
        <v>73</v>
      </c>
      <c r="B23" s="556" t="str">
        <f t="shared" si="19"/>
        <v>GUAYAQUIL</v>
      </c>
      <c r="C23" s="546" t="s">
        <v>1033</v>
      </c>
      <c r="D23" s="547" t="s">
        <v>1034</v>
      </c>
      <c r="E23" s="547" t="s">
        <v>1049</v>
      </c>
      <c r="F23" s="546" t="s">
        <v>1055</v>
      </c>
      <c r="G23" s="557"/>
      <c r="H23" s="557"/>
      <c r="I23" s="549">
        <v>45581</v>
      </c>
      <c r="J23" s="550">
        <v>467</v>
      </c>
      <c r="K23" s="551"/>
      <c r="L23" s="552">
        <f t="shared" si="0"/>
        <v>467</v>
      </c>
      <c r="M23" s="551"/>
      <c r="N23" s="551"/>
      <c r="O23" s="551"/>
      <c r="P23" s="551"/>
      <c r="Q23" s="553">
        <f t="shared" si="1"/>
        <v>467</v>
      </c>
      <c r="R23" s="553">
        <f t="shared" si="2"/>
        <v>56.740499999999997</v>
      </c>
      <c r="S23" s="553">
        <f t="shared" si="3"/>
        <v>9.7291277499999982</v>
      </c>
      <c r="T23" s="553">
        <f t="shared" si="4"/>
        <v>39.166666666666664</v>
      </c>
      <c r="U23" s="553">
        <f t="shared" si="5"/>
        <v>38.916666666666664</v>
      </c>
      <c r="V23" s="553">
        <f t="shared" si="6"/>
        <v>611.55296108333323</v>
      </c>
      <c r="W23" s="554">
        <v>0</v>
      </c>
      <c r="X23" s="552">
        <f t="shared" si="7"/>
        <v>0</v>
      </c>
      <c r="Y23" s="552">
        <f t="shared" si="8"/>
        <v>0</v>
      </c>
      <c r="Z23" s="552">
        <f t="shared" si="9"/>
        <v>0</v>
      </c>
      <c r="AA23" s="552">
        <f t="shared" si="10"/>
        <v>0</v>
      </c>
      <c r="AB23" s="552">
        <f t="shared" si="11"/>
        <v>0</v>
      </c>
      <c r="AC23" s="552">
        <f t="shared" si="12"/>
        <v>0</v>
      </c>
      <c r="AD23" s="552">
        <f t="shared" si="13"/>
        <v>0</v>
      </c>
      <c r="AE23" s="552">
        <f t="shared" si="14"/>
        <v>0</v>
      </c>
      <c r="AF23" s="552">
        <f t="shared" si="15"/>
        <v>0</v>
      </c>
      <c r="AG23" s="552">
        <f t="shared" si="16"/>
        <v>38.916510999999993</v>
      </c>
      <c r="AH23" s="552">
        <f t="shared" si="17"/>
        <v>38.916510999999993</v>
      </c>
      <c r="AI23" s="552">
        <f t="shared" si="18"/>
        <v>38.916510999999993</v>
      </c>
      <c r="AJ23" s="551"/>
      <c r="AK23" s="551"/>
      <c r="AL23" s="543"/>
      <c r="AM23" s="543"/>
    </row>
    <row r="24" spans="1:39" s="538" customFormat="1" ht="12" customHeight="1" outlineLevel="1" collapsed="1" x14ac:dyDescent="0.25">
      <c r="A24" s="544">
        <v>74</v>
      </c>
      <c r="B24" s="556" t="str">
        <f t="shared" si="19"/>
        <v>QUITO</v>
      </c>
      <c r="C24" s="546" t="s">
        <v>1046</v>
      </c>
      <c r="D24" s="547" t="s">
        <v>1047</v>
      </c>
      <c r="E24" s="547" t="s">
        <v>1035</v>
      </c>
      <c r="F24" s="546" t="s">
        <v>1050</v>
      </c>
      <c r="G24" s="557"/>
      <c r="H24" s="557"/>
      <c r="I24" s="549">
        <v>45566</v>
      </c>
      <c r="J24" s="550">
        <v>900</v>
      </c>
      <c r="K24" s="551"/>
      <c r="L24" s="552">
        <f t="shared" si="0"/>
        <v>900</v>
      </c>
      <c r="M24" s="551"/>
      <c r="N24" s="551"/>
      <c r="O24" s="551"/>
      <c r="P24" s="551"/>
      <c r="Q24" s="553">
        <f t="shared" si="1"/>
        <v>900</v>
      </c>
      <c r="R24" s="553">
        <f t="shared" si="2"/>
        <v>109.35</v>
      </c>
      <c r="S24" s="553">
        <f t="shared" si="3"/>
        <v>18.749924999999998</v>
      </c>
      <c r="T24" s="553">
        <f t="shared" si="4"/>
        <v>39.166666666666664</v>
      </c>
      <c r="U24" s="553">
        <f t="shared" si="5"/>
        <v>75</v>
      </c>
      <c r="V24" s="553">
        <f t="shared" si="6"/>
        <v>1142.2665916666667</v>
      </c>
      <c r="W24" s="554">
        <v>0</v>
      </c>
      <c r="X24" s="552">
        <f t="shared" si="7"/>
        <v>0</v>
      </c>
      <c r="Y24" s="552">
        <f t="shared" si="8"/>
        <v>0</v>
      </c>
      <c r="Z24" s="552">
        <f t="shared" si="9"/>
        <v>0</v>
      </c>
      <c r="AA24" s="552">
        <f t="shared" si="10"/>
        <v>0</v>
      </c>
      <c r="AB24" s="552">
        <f t="shared" si="11"/>
        <v>0</v>
      </c>
      <c r="AC24" s="552">
        <f t="shared" si="12"/>
        <v>0</v>
      </c>
      <c r="AD24" s="552">
        <f t="shared" si="13"/>
        <v>0</v>
      </c>
      <c r="AE24" s="552">
        <f t="shared" si="14"/>
        <v>0</v>
      </c>
      <c r="AF24" s="552">
        <f t="shared" si="15"/>
        <v>0</v>
      </c>
      <c r="AG24" s="552">
        <f t="shared" si="16"/>
        <v>74.99969999999999</v>
      </c>
      <c r="AH24" s="552">
        <f t="shared" si="17"/>
        <v>74.99969999999999</v>
      </c>
      <c r="AI24" s="552">
        <f t="shared" si="18"/>
        <v>74.99969999999999</v>
      </c>
      <c r="AJ24" s="551"/>
      <c r="AK24" s="551"/>
      <c r="AL24" s="543"/>
      <c r="AM24" s="543"/>
    </row>
    <row r="25" spans="1:39" s="538" customFormat="1" ht="12" customHeight="1" outlineLevel="1" collapsed="1" x14ac:dyDescent="0.25">
      <c r="A25" s="544">
        <v>15</v>
      </c>
      <c r="B25" s="556" t="str">
        <f t="shared" si="19"/>
        <v>QUITO</v>
      </c>
      <c r="C25" s="546" t="s">
        <v>1056</v>
      </c>
      <c r="D25" s="547" t="s">
        <v>1057</v>
      </c>
      <c r="E25" s="547" t="s">
        <v>1035</v>
      </c>
      <c r="F25" s="546" t="s">
        <v>1058</v>
      </c>
      <c r="G25" s="145"/>
      <c r="H25" s="145"/>
      <c r="I25" s="549">
        <v>44986</v>
      </c>
      <c r="J25" s="550">
        <v>1300</v>
      </c>
      <c r="K25" s="551"/>
      <c r="L25" s="552">
        <f t="shared" si="0"/>
        <v>1300</v>
      </c>
      <c r="M25" s="551"/>
      <c r="N25" s="551"/>
      <c r="O25" s="551"/>
      <c r="P25" s="551"/>
      <c r="Q25" s="553">
        <f t="shared" si="1"/>
        <v>1300</v>
      </c>
      <c r="R25" s="553">
        <f t="shared" si="2"/>
        <v>157.94999999999999</v>
      </c>
      <c r="S25" s="553">
        <f t="shared" si="3"/>
        <v>108.33289999999995</v>
      </c>
      <c r="T25" s="553">
        <f t="shared" si="4"/>
        <v>39.166666666666664</v>
      </c>
      <c r="U25" s="553">
        <f t="shared" si="5"/>
        <v>108.33333333333333</v>
      </c>
      <c r="V25" s="553">
        <f t="shared" si="6"/>
        <v>1713.7828999999999</v>
      </c>
      <c r="W25" s="554">
        <v>0</v>
      </c>
      <c r="X25" s="552">
        <f t="shared" si="7"/>
        <v>108.33289999999998</v>
      </c>
      <c r="Y25" s="552">
        <f t="shared" si="8"/>
        <v>108.33289999999998</v>
      </c>
      <c r="Z25" s="552">
        <f t="shared" si="9"/>
        <v>108.33289999999998</v>
      </c>
      <c r="AA25" s="552">
        <f t="shared" si="10"/>
        <v>108.33289999999998</v>
      </c>
      <c r="AB25" s="552">
        <f t="shared" si="11"/>
        <v>108.33289999999998</v>
      </c>
      <c r="AC25" s="552">
        <f t="shared" si="12"/>
        <v>108.33289999999998</v>
      </c>
      <c r="AD25" s="552">
        <f t="shared" si="13"/>
        <v>108.33289999999998</v>
      </c>
      <c r="AE25" s="552">
        <f t="shared" si="14"/>
        <v>108.33289999999998</v>
      </c>
      <c r="AF25" s="552">
        <f t="shared" si="15"/>
        <v>108.33289999999998</v>
      </c>
      <c r="AG25" s="552">
        <f t="shared" si="16"/>
        <v>108.33289999999998</v>
      </c>
      <c r="AH25" s="552">
        <f t="shared" si="17"/>
        <v>108.33289999999998</v>
      </c>
      <c r="AI25" s="552">
        <f t="shared" si="18"/>
        <v>108.33289999999998</v>
      </c>
      <c r="AJ25" s="551"/>
      <c r="AK25" s="551"/>
      <c r="AL25" s="543"/>
      <c r="AM25" s="543"/>
    </row>
    <row r="26" spans="1:39" s="538" customFormat="1" ht="12" customHeight="1" outlineLevel="1" collapsed="1" x14ac:dyDescent="0.25">
      <c r="A26" s="544">
        <v>16</v>
      </c>
      <c r="B26" s="556" t="str">
        <f t="shared" si="19"/>
        <v>QUITO</v>
      </c>
      <c r="C26" s="546" t="s">
        <v>1046</v>
      </c>
      <c r="D26" s="547" t="s">
        <v>1047</v>
      </c>
      <c r="E26" s="547" t="s">
        <v>1035</v>
      </c>
      <c r="F26" s="546" t="s">
        <v>1051</v>
      </c>
      <c r="G26" s="145"/>
      <c r="H26" s="145"/>
      <c r="I26" s="549">
        <v>45566</v>
      </c>
      <c r="J26" s="550">
        <v>700</v>
      </c>
      <c r="K26" s="551"/>
      <c r="L26" s="552">
        <f t="shared" si="0"/>
        <v>700</v>
      </c>
      <c r="M26" s="551"/>
      <c r="N26" s="551"/>
      <c r="O26" s="551"/>
      <c r="P26" s="551"/>
      <c r="Q26" s="553">
        <f t="shared" si="1"/>
        <v>700</v>
      </c>
      <c r="R26" s="553">
        <f t="shared" si="2"/>
        <v>85.05</v>
      </c>
      <c r="S26" s="553">
        <f t="shared" si="3"/>
        <v>14.583274999999999</v>
      </c>
      <c r="T26" s="553">
        <f t="shared" si="4"/>
        <v>39.166666666666664</v>
      </c>
      <c r="U26" s="553">
        <f t="shared" si="5"/>
        <v>58.333333333333336</v>
      </c>
      <c r="V26" s="553">
        <f t="shared" si="6"/>
        <v>897.13327499999991</v>
      </c>
      <c r="W26" s="554">
        <v>0</v>
      </c>
      <c r="X26" s="552">
        <f t="shared" si="7"/>
        <v>0</v>
      </c>
      <c r="Y26" s="552">
        <f t="shared" si="8"/>
        <v>0</v>
      </c>
      <c r="Z26" s="552">
        <f t="shared" si="9"/>
        <v>0</v>
      </c>
      <c r="AA26" s="552">
        <f t="shared" si="10"/>
        <v>0</v>
      </c>
      <c r="AB26" s="552">
        <f t="shared" si="11"/>
        <v>0</v>
      </c>
      <c r="AC26" s="552">
        <f t="shared" si="12"/>
        <v>0</v>
      </c>
      <c r="AD26" s="552">
        <f t="shared" si="13"/>
        <v>0</v>
      </c>
      <c r="AE26" s="552">
        <f t="shared" si="14"/>
        <v>0</v>
      </c>
      <c r="AF26" s="552">
        <f t="shared" si="15"/>
        <v>0</v>
      </c>
      <c r="AG26" s="552">
        <f t="shared" si="16"/>
        <v>58.333099999999995</v>
      </c>
      <c r="AH26" s="552">
        <f t="shared" si="17"/>
        <v>58.333099999999995</v>
      </c>
      <c r="AI26" s="552">
        <f t="shared" si="18"/>
        <v>58.333099999999995</v>
      </c>
      <c r="AJ26" s="551"/>
      <c r="AK26" s="551"/>
      <c r="AL26" s="543"/>
      <c r="AM26" s="543"/>
    </row>
    <row r="27" spans="1:39" s="538" customFormat="1" ht="12" customHeight="1" outlineLevel="1" collapsed="1" x14ac:dyDescent="0.25">
      <c r="A27" s="544">
        <v>17</v>
      </c>
      <c r="B27" s="556" t="str">
        <f t="shared" si="19"/>
        <v>QUITO</v>
      </c>
      <c r="C27" s="546" t="s">
        <v>1033</v>
      </c>
      <c r="D27" s="547" t="s">
        <v>1034</v>
      </c>
      <c r="E27" s="547" t="s">
        <v>1035</v>
      </c>
      <c r="F27" s="546" t="s">
        <v>1059</v>
      </c>
      <c r="G27" s="145"/>
      <c r="H27" s="145"/>
      <c r="I27" s="549">
        <v>45607</v>
      </c>
      <c r="J27" s="550">
        <v>600</v>
      </c>
      <c r="K27" s="551"/>
      <c r="L27" s="552">
        <f t="shared" si="0"/>
        <v>600</v>
      </c>
      <c r="M27" s="551"/>
      <c r="N27" s="551"/>
      <c r="O27" s="551"/>
      <c r="P27" s="551"/>
      <c r="Q27" s="553">
        <f t="shared" si="1"/>
        <v>600</v>
      </c>
      <c r="R27" s="553">
        <f t="shared" si="2"/>
        <v>72.899999999999991</v>
      </c>
      <c r="S27" s="553">
        <f t="shared" si="3"/>
        <v>8.3332999999999995</v>
      </c>
      <c r="T27" s="553">
        <f t="shared" si="4"/>
        <v>39.166666666666664</v>
      </c>
      <c r="U27" s="553">
        <f t="shared" si="5"/>
        <v>50</v>
      </c>
      <c r="V27" s="553">
        <f t="shared" si="6"/>
        <v>770.39996666666661</v>
      </c>
      <c r="W27" s="554">
        <v>0</v>
      </c>
      <c r="X27" s="552">
        <f t="shared" si="7"/>
        <v>0</v>
      </c>
      <c r="Y27" s="552">
        <f t="shared" si="8"/>
        <v>0</v>
      </c>
      <c r="Z27" s="552">
        <f t="shared" si="9"/>
        <v>0</v>
      </c>
      <c r="AA27" s="552">
        <f t="shared" si="10"/>
        <v>0</v>
      </c>
      <c r="AB27" s="552">
        <f t="shared" si="11"/>
        <v>0</v>
      </c>
      <c r="AC27" s="552">
        <f t="shared" si="12"/>
        <v>0</v>
      </c>
      <c r="AD27" s="552">
        <f t="shared" si="13"/>
        <v>0</v>
      </c>
      <c r="AE27" s="552">
        <f t="shared" si="14"/>
        <v>0</v>
      </c>
      <c r="AF27" s="552">
        <f t="shared" si="15"/>
        <v>0</v>
      </c>
      <c r="AG27" s="552">
        <f t="shared" si="16"/>
        <v>0</v>
      </c>
      <c r="AH27" s="552">
        <f t="shared" si="17"/>
        <v>49.999799999999993</v>
      </c>
      <c r="AI27" s="552">
        <f t="shared" si="18"/>
        <v>49.999799999999993</v>
      </c>
      <c r="AJ27" s="551"/>
      <c r="AK27" s="551"/>
      <c r="AL27" s="543"/>
      <c r="AM27" s="543"/>
    </row>
    <row r="28" spans="1:39" s="538" customFormat="1" ht="12" customHeight="1" outlineLevel="1" collapsed="1" x14ac:dyDescent="0.25">
      <c r="A28" s="544">
        <v>18</v>
      </c>
      <c r="B28" s="556" t="str">
        <f t="shared" si="19"/>
        <v>QUITO</v>
      </c>
      <c r="C28" s="546" t="s">
        <v>1052</v>
      </c>
      <c r="D28" s="547" t="s">
        <v>1053</v>
      </c>
      <c r="E28" s="547" t="s">
        <v>1035</v>
      </c>
      <c r="F28" s="546" t="s">
        <v>1060</v>
      </c>
      <c r="G28" s="557"/>
      <c r="H28" s="557"/>
      <c r="I28" s="549">
        <v>44203</v>
      </c>
      <c r="J28" s="550">
        <v>900</v>
      </c>
      <c r="K28" s="551"/>
      <c r="L28" s="552">
        <f t="shared" si="0"/>
        <v>900</v>
      </c>
      <c r="M28" s="551"/>
      <c r="N28" s="551"/>
      <c r="O28" s="551"/>
      <c r="P28" s="551"/>
      <c r="Q28" s="553">
        <f t="shared" si="1"/>
        <v>900</v>
      </c>
      <c r="R28" s="553">
        <f t="shared" si="2"/>
        <v>109.35</v>
      </c>
      <c r="S28" s="553">
        <f t="shared" si="3"/>
        <v>74.999699999999976</v>
      </c>
      <c r="T28" s="553">
        <f t="shared" si="4"/>
        <v>39.166666666666664</v>
      </c>
      <c r="U28" s="553">
        <f t="shared" si="5"/>
        <v>75</v>
      </c>
      <c r="V28" s="553">
        <f t="shared" si="6"/>
        <v>1198.5163666666667</v>
      </c>
      <c r="W28" s="554">
        <v>0</v>
      </c>
      <c r="X28" s="552">
        <f t="shared" si="7"/>
        <v>74.99969999999999</v>
      </c>
      <c r="Y28" s="552">
        <f t="shared" si="8"/>
        <v>74.99969999999999</v>
      </c>
      <c r="Z28" s="552">
        <f t="shared" si="9"/>
        <v>74.99969999999999</v>
      </c>
      <c r="AA28" s="552">
        <f t="shared" si="10"/>
        <v>74.99969999999999</v>
      </c>
      <c r="AB28" s="552">
        <f t="shared" si="11"/>
        <v>74.99969999999999</v>
      </c>
      <c r="AC28" s="552">
        <f t="shared" si="12"/>
        <v>74.99969999999999</v>
      </c>
      <c r="AD28" s="552">
        <f t="shared" si="13"/>
        <v>74.99969999999999</v>
      </c>
      <c r="AE28" s="552">
        <f t="shared" si="14"/>
        <v>74.99969999999999</v>
      </c>
      <c r="AF28" s="552">
        <f t="shared" si="15"/>
        <v>74.99969999999999</v>
      </c>
      <c r="AG28" s="552">
        <f t="shared" si="16"/>
        <v>74.99969999999999</v>
      </c>
      <c r="AH28" s="552">
        <f t="shared" si="17"/>
        <v>74.99969999999999</v>
      </c>
      <c r="AI28" s="552">
        <f t="shared" si="18"/>
        <v>74.99969999999999</v>
      </c>
      <c r="AJ28" s="551"/>
      <c r="AK28" s="551"/>
      <c r="AL28" s="543"/>
      <c r="AM28" s="543"/>
    </row>
    <row r="29" spans="1:39" s="558" customFormat="1" ht="12" customHeight="1" outlineLevel="1" collapsed="1" x14ac:dyDescent="0.25">
      <c r="A29" s="544">
        <v>19</v>
      </c>
      <c r="B29" s="556" t="str">
        <f t="shared" si="19"/>
        <v>QUITO</v>
      </c>
      <c r="C29" s="546" t="s">
        <v>1041</v>
      </c>
      <c r="D29" s="547" t="s">
        <v>1042</v>
      </c>
      <c r="E29" s="547" t="s">
        <v>1035</v>
      </c>
      <c r="F29" s="546" t="s">
        <v>1061</v>
      </c>
      <c r="G29" s="557"/>
      <c r="H29" s="557"/>
      <c r="I29" s="549">
        <v>45530</v>
      </c>
      <c r="J29" s="550">
        <v>500</v>
      </c>
      <c r="K29" s="551"/>
      <c r="L29" s="552">
        <f t="shared" si="0"/>
        <v>500</v>
      </c>
      <c r="M29" s="551"/>
      <c r="N29" s="551"/>
      <c r="O29" s="551"/>
      <c r="P29" s="551"/>
      <c r="Q29" s="553">
        <f t="shared" si="1"/>
        <v>500</v>
      </c>
      <c r="R29" s="553">
        <f t="shared" si="2"/>
        <v>60.75</v>
      </c>
      <c r="S29" s="553">
        <f t="shared" si="3"/>
        <v>17.361041666666662</v>
      </c>
      <c r="T29" s="553">
        <f t="shared" si="4"/>
        <v>39.166666666666664</v>
      </c>
      <c r="U29" s="553">
        <f t="shared" si="5"/>
        <v>41.666666666666664</v>
      </c>
      <c r="V29" s="553">
        <f t="shared" si="6"/>
        <v>658.94437499999992</v>
      </c>
      <c r="W29" s="554">
        <v>0</v>
      </c>
      <c r="X29" s="552">
        <f t="shared" si="7"/>
        <v>0</v>
      </c>
      <c r="Y29" s="552">
        <f t="shared" si="8"/>
        <v>0</v>
      </c>
      <c r="Z29" s="552">
        <f t="shared" si="9"/>
        <v>0</v>
      </c>
      <c r="AA29" s="552">
        <f t="shared" si="10"/>
        <v>0</v>
      </c>
      <c r="AB29" s="552">
        <f t="shared" si="11"/>
        <v>0</v>
      </c>
      <c r="AC29" s="552">
        <f t="shared" si="12"/>
        <v>0</v>
      </c>
      <c r="AD29" s="552">
        <f t="shared" si="13"/>
        <v>0</v>
      </c>
      <c r="AE29" s="552">
        <f t="shared" si="14"/>
        <v>41.666499999999992</v>
      </c>
      <c r="AF29" s="552">
        <f t="shared" si="15"/>
        <v>41.666499999999992</v>
      </c>
      <c r="AG29" s="552">
        <f t="shared" si="16"/>
        <v>41.666499999999992</v>
      </c>
      <c r="AH29" s="552">
        <f t="shared" si="17"/>
        <v>41.666499999999992</v>
      </c>
      <c r="AI29" s="552">
        <f t="shared" si="18"/>
        <v>41.666499999999992</v>
      </c>
      <c r="AJ29" s="551"/>
      <c r="AK29" s="551"/>
      <c r="AL29" s="559"/>
      <c r="AM29" s="559"/>
    </row>
    <row r="30" spans="1:39" s="558" customFormat="1" ht="12" customHeight="1" outlineLevel="1" collapsed="1" x14ac:dyDescent="0.25">
      <c r="A30" s="544">
        <v>20</v>
      </c>
      <c r="B30" s="556" t="str">
        <f t="shared" si="19"/>
        <v>QUITO</v>
      </c>
      <c r="C30" s="546" t="s">
        <v>1041</v>
      </c>
      <c r="D30" s="547" t="s">
        <v>1042</v>
      </c>
      <c r="E30" s="547" t="s">
        <v>1035</v>
      </c>
      <c r="F30" s="546" t="s">
        <v>1062</v>
      </c>
      <c r="G30" s="557"/>
      <c r="H30" s="557"/>
      <c r="I30" s="549">
        <v>45581</v>
      </c>
      <c r="J30" s="550">
        <v>500</v>
      </c>
      <c r="K30" s="551"/>
      <c r="L30" s="552">
        <f t="shared" si="0"/>
        <v>500</v>
      </c>
      <c r="M30" s="551"/>
      <c r="N30" s="551"/>
      <c r="O30" s="551"/>
      <c r="P30" s="551"/>
      <c r="Q30" s="553">
        <f t="shared" si="1"/>
        <v>500</v>
      </c>
      <c r="R30" s="553">
        <f t="shared" si="2"/>
        <v>60.75</v>
      </c>
      <c r="S30" s="553">
        <f t="shared" si="3"/>
        <v>10.416624999999998</v>
      </c>
      <c r="T30" s="553">
        <f t="shared" si="4"/>
        <v>39.166666666666664</v>
      </c>
      <c r="U30" s="553">
        <f t="shared" si="5"/>
        <v>41.666666666666664</v>
      </c>
      <c r="V30" s="553">
        <f t="shared" si="6"/>
        <v>651.99995833333321</v>
      </c>
      <c r="W30" s="554">
        <v>0</v>
      </c>
      <c r="X30" s="552">
        <f t="shared" si="7"/>
        <v>0</v>
      </c>
      <c r="Y30" s="552">
        <f t="shared" si="8"/>
        <v>0</v>
      </c>
      <c r="Z30" s="552">
        <f t="shared" si="9"/>
        <v>0</v>
      </c>
      <c r="AA30" s="552">
        <f t="shared" si="10"/>
        <v>0</v>
      </c>
      <c r="AB30" s="552">
        <f t="shared" si="11"/>
        <v>0</v>
      </c>
      <c r="AC30" s="552">
        <f t="shared" si="12"/>
        <v>0</v>
      </c>
      <c r="AD30" s="552">
        <f t="shared" si="13"/>
        <v>0</v>
      </c>
      <c r="AE30" s="552">
        <f t="shared" si="14"/>
        <v>0</v>
      </c>
      <c r="AF30" s="552">
        <f t="shared" si="15"/>
        <v>0</v>
      </c>
      <c r="AG30" s="552">
        <f t="shared" si="16"/>
        <v>41.666499999999992</v>
      </c>
      <c r="AH30" s="552">
        <f t="shared" si="17"/>
        <v>41.666499999999992</v>
      </c>
      <c r="AI30" s="552">
        <f t="shared" si="18"/>
        <v>41.666499999999992</v>
      </c>
      <c r="AJ30" s="551"/>
      <c r="AK30" s="551"/>
      <c r="AL30" s="559"/>
      <c r="AM30" s="559"/>
    </row>
    <row r="31" spans="1:39" s="558" customFormat="1" ht="12" customHeight="1" outlineLevel="1" collapsed="1" x14ac:dyDescent="0.25">
      <c r="A31" s="544">
        <v>21</v>
      </c>
      <c r="B31" s="556" t="str">
        <f t="shared" si="19"/>
        <v>QUITO</v>
      </c>
      <c r="C31" s="546" t="s">
        <v>1033</v>
      </c>
      <c r="D31" s="547" t="s">
        <v>1034</v>
      </c>
      <c r="E31" s="547" t="s">
        <v>1035</v>
      </c>
      <c r="F31" s="546" t="s">
        <v>1045</v>
      </c>
      <c r="G31" s="557"/>
      <c r="H31" s="557"/>
      <c r="I31" s="549">
        <v>45054</v>
      </c>
      <c r="J31" s="550">
        <v>467</v>
      </c>
      <c r="K31" s="551"/>
      <c r="L31" s="552">
        <f t="shared" si="0"/>
        <v>467</v>
      </c>
      <c r="M31" s="551"/>
      <c r="N31" s="551"/>
      <c r="O31" s="551"/>
      <c r="P31" s="551"/>
      <c r="Q31" s="553">
        <f t="shared" si="1"/>
        <v>467</v>
      </c>
      <c r="R31" s="553">
        <f t="shared" si="2"/>
        <v>56.740499999999997</v>
      </c>
      <c r="S31" s="553">
        <f t="shared" si="3"/>
        <v>38.916511</v>
      </c>
      <c r="T31" s="553">
        <f t="shared" si="4"/>
        <v>39.166666666666664</v>
      </c>
      <c r="U31" s="553">
        <f t="shared" si="5"/>
        <v>38.916666666666664</v>
      </c>
      <c r="V31" s="553">
        <f t="shared" si="6"/>
        <v>640.74034433333327</v>
      </c>
      <c r="W31" s="554">
        <v>0</v>
      </c>
      <c r="X31" s="552">
        <f t="shared" si="7"/>
        <v>38.916510999999993</v>
      </c>
      <c r="Y31" s="552">
        <f t="shared" si="8"/>
        <v>38.916510999999993</v>
      </c>
      <c r="Z31" s="552">
        <f t="shared" si="9"/>
        <v>38.916510999999993</v>
      </c>
      <c r="AA31" s="552">
        <f t="shared" si="10"/>
        <v>38.916510999999993</v>
      </c>
      <c r="AB31" s="552">
        <f t="shared" si="11"/>
        <v>38.916510999999993</v>
      </c>
      <c r="AC31" s="552">
        <f t="shared" si="12"/>
        <v>38.916510999999993</v>
      </c>
      <c r="AD31" s="552">
        <f t="shared" si="13"/>
        <v>38.916510999999993</v>
      </c>
      <c r="AE31" s="552">
        <f t="shared" si="14"/>
        <v>38.916510999999993</v>
      </c>
      <c r="AF31" s="552">
        <f t="shared" si="15"/>
        <v>38.916510999999993</v>
      </c>
      <c r="AG31" s="552">
        <f t="shared" si="16"/>
        <v>38.916510999999993</v>
      </c>
      <c r="AH31" s="552">
        <f t="shared" si="17"/>
        <v>38.916510999999993</v>
      </c>
      <c r="AI31" s="552">
        <f t="shared" si="18"/>
        <v>38.916510999999993</v>
      </c>
      <c r="AJ31" s="551"/>
      <c r="AK31" s="551"/>
      <c r="AL31" s="559"/>
      <c r="AM31" s="559"/>
    </row>
    <row r="32" spans="1:39" s="558" customFormat="1" ht="12" customHeight="1" outlineLevel="1" collapsed="1" x14ac:dyDescent="0.25">
      <c r="A32" s="544">
        <v>22</v>
      </c>
      <c r="B32" s="556" t="str">
        <f t="shared" si="19"/>
        <v>QUITO</v>
      </c>
      <c r="C32" s="546" t="s">
        <v>1033</v>
      </c>
      <c r="D32" s="547" t="s">
        <v>1034</v>
      </c>
      <c r="E32" s="547" t="s">
        <v>1035</v>
      </c>
      <c r="F32" s="546" t="s">
        <v>1063</v>
      </c>
      <c r="G32" s="557"/>
      <c r="H32" s="557"/>
      <c r="I32" s="549">
        <v>44754</v>
      </c>
      <c r="J32" s="550">
        <v>1300</v>
      </c>
      <c r="K32" s="551"/>
      <c r="L32" s="552">
        <f t="shared" si="0"/>
        <v>1300</v>
      </c>
      <c r="M32" s="551"/>
      <c r="N32" s="551"/>
      <c r="O32" s="551"/>
      <c r="P32" s="551"/>
      <c r="Q32" s="553">
        <f t="shared" si="1"/>
        <v>1300</v>
      </c>
      <c r="R32" s="553">
        <f t="shared" si="2"/>
        <v>157.94999999999999</v>
      </c>
      <c r="S32" s="553">
        <f t="shared" si="3"/>
        <v>108.33289999999995</v>
      </c>
      <c r="T32" s="553">
        <f t="shared" si="4"/>
        <v>39.166666666666664</v>
      </c>
      <c r="U32" s="553">
        <f t="shared" si="5"/>
        <v>108.33333333333333</v>
      </c>
      <c r="V32" s="553">
        <f t="shared" si="6"/>
        <v>1713.7828999999999</v>
      </c>
      <c r="W32" s="554">
        <v>0</v>
      </c>
      <c r="X32" s="552">
        <f t="shared" si="7"/>
        <v>108.33289999999998</v>
      </c>
      <c r="Y32" s="552">
        <f t="shared" si="8"/>
        <v>108.33289999999998</v>
      </c>
      <c r="Z32" s="552">
        <f t="shared" si="9"/>
        <v>108.33289999999998</v>
      </c>
      <c r="AA32" s="552">
        <f t="shared" si="10"/>
        <v>108.33289999999998</v>
      </c>
      <c r="AB32" s="552">
        <f t="shared" si="11"/>
        <v>108.33289999999998</v>
      </c>
      <c r="AC32" s="552">
        <f t="shared" si="12"/>
        <v>108.33289999999998</v>
      </c>
      <c r="AD32" s="552">
        <f t="shared" si="13"/>
        <v>108.33289999999998</v>
      </c>
      <c r="AE32" s="552">
        <f t="shared" si="14"/>
        <v>108.33289999999998</v>
      </c>
      <c r="AF32" s="552">
        <f t="shared" si="15"/>
        <v>108.33289999999998</v>
      </c>
      <c r="AG32" s="552">
        <f t="shared" si="16"/>
        <v>108.33289999999998</v>
      </c>
      <c r="AH32" s="552">
        <f t="shared" si="17"/>
        <v>108.33289999999998</v>
      </c>
      <c r="AI32" s="552">
        <f t="shared" si="18"/>
        <v>108.33289999999998</v>
      </c>
      <c r="AJ32" s="551"/>
      <c r="AK32" s="551"/>
      <c r="AL32" s="559"/>
      <c r="AM32" s="559"/>
    </row>
    <row r="33" spans="1:39" s="558" customFormat="1" ht="12" customHeight="1" outlineLevel="1" collapsed="1" x14ac:dyDescent="0.25">
      <c r="A33" s="544">
        <v>23</v>
      </c>
      <c r="B33" s="556" t="str">
        <f t="shared" si="19"/>
        <v>QUITO</v>
      </c>
      <c r="C33" s="546" t="s">
        <v>1033</v>
      </c>
      <c r="D33" s="547" t="s">
        <v>1034</v>
      </c>
      <c r="E33" s="547" t="s">
        <v>1035</v>
      </c>
      <c r="F33" s="546" t="s">
        <v>1064</v>
      </c>
      <c r="G33" s="557"/>
      <c r="H33" s="557"/>
      <c r="I33" s="549">
        <v>45593</v>
      </c>
      <c r="J33" s="550">
        <v>600</v>
      </c>
      <c r="K33" s="551"/>
      <c r="L33" s="552">
        <f t="shared" si="0"/>
        <v>600</v>
      </c>
      <c r="M33" s="551"/>
      <c r="N33" s="551"/>
      <c r="O33" s="551"/>
      <c r="P33" s="551"/>
      <c r="Q33" s="553">
        <f t="shared" si="1"/>
        <v>600</v>
      </c>
      <c r="R33" s="553">
        <f t="shared" si="2"/>
        <v>72.899999999999991</v>
      </c>
      <c r="S33" s="553">
        <f t="shared" si="3"/>
        <v>12.499949999999998</v>
      </c>
      <c r="T33" s="553">
        <f t="shared" si="4"/>
        <v>39.166666666666664</v>
      </c>
      <c r="U33" s="553">
        <f t="shared" si="5"/>
        <v>50</v>
      </c>
      <c r="V33" s="553">
        <f t="shared" si="6"/>
        <v>774.56661666666662</v>
      </c>
      <c r="W33" s="554">
        <v>0</v>
      </c>
      <c r="X33" s="552">
        <f t="shared" si="7"/>
        <v>0</v>
      </c>
      <c r="Y33" s="552">
        <f t="shared" si="8"/>
        <v>0</v>
      </c>
      <c r="Z33" s="552">
        <f t="shared" si="9"/>
        <v>0</v>
      </c>
      <c r="AA33" s="552">
        <f t="shared" si="10"/>
        <v>0</v>
      </c>
      <c r="AB33" s="552">
        <f t="shared" si="11"/>
        <v>0</v>
      </c>
      <c r="AC33" s="552">
        <f t="shared" si="12"/>
        <v>0</v>
      </c>
      <c r="AD33" s="552">
        <f t="shared" si="13"/>
        <v>0</v>
      </c>
      <c r="AE33" s="552">
        <f t="shared" si="14"/>
        <v>0</v>
      </c>
      <c r="AF33" s="552">
        <f t="shared" si="15"/>
        <v>0</v>
      </c>
      <c r="AG33" s="552">
        <f t="shared" si="16"/>
        <v>49.999799999999993</v>
      </c>
      <c r="AH33" s="552">
        <f t="shared" si="17"/>
        <v>49.999799999999993</v>
      </c>
      <c r="AI33" s="552">
        <f t="shared" si="18"/>
        <v>49.999799999999993</v>
      </c>
      <c r="AJ33" s="551"/>
      <c r="AK33" s="551"/>
      <c r="AL33" s="559"/>
      <c r="AM33" s="559"/>
    </row>
    <row r="34" spans="1:39" s="538" customFormat="1" ht="12" customHeight="1" outlineLevel="1" collapsed="1" x14ac:dyDescent="0.25">
      <c r="A34" s="544">
        <v>24</v>
      </c>
      <c r="B34" s="556" t="str">
        <f t="shared" si="19"/>
        <v>GUAYAQUIL</v>
      </c>
      <c r="C34" s="546" t="s">
        <v>1046</v>
      </c>
      <c r="D34" s="547" t="s">
        <v>1047</v>
      </c>
      <c r="E34" s="547" t="s">
        <v>1049</v>
      </c>
      <c r="F34" s="546" t="s">
        <v>1051</v>
      </c>
      <c r="G34" s="557"/>
      <c r="H34" s="557"/>
      <c r="I34" s="549">
        <v>45615</v>
      </c>
      <c r="J34" s="550">
        <v>700</v>
      </c>
      <c r="K34" s="551"/>
      <c r="L34" s="552">
        <f t="shared" si="0"/>
        <v>700</v>
      </c>
      <c r="M34" s="551"/>
      <c r="N34" s="551"/>
      <c r="O34" s="551"/>
      <c r="P34" s="551"/>
      <c r="Q34" s="553">
        <f t="shared" si="1"/>
        <v>700</v>
      </c>
      <c r="R34" s="553">
        <f t="shared" si="2"/>
        <v>85.05</v>
      </c>
      <c r="S34" s="553">
        <f t="shared" si="3"/>
        <v>9.7221833333333318</v>
      </c>
      <c r="T34" s="553">
        <f t="shared" si="4"/>
        <v>39.166666666666664</v>
      </c>
      <c r="U34" s="553">
        <f t="shared" si="5"/>
        <v>58.333333333333336</v>
      </c>
      <c r="V34" s="553">
        <f t="shared" si="6"/>
        <v>892.27218333333326</v>
      </c>
      <c r="W34" s="554">
        <v>0</v>
      </c>
      <c r="X34" s="552">
        <f t="shared" si="7"/>
        <v>0</v>
      </c>
      <c r="Y34" s="552">
        <f t="shared" si="8"/>
        <v>0</v>
      </c>
      <c r="Z34" s="552">
        <f t="shared" si="9"/>
        <v>0</v>
      </c>
      <c r="AA34" s="552">
        <f t="shared" si="10"/>
        <v>0</v>
      </c>
      <c r="AB34" s="552">
        <f t="shared" si="11"/>
        <v>0</v>
      </c>
      <c r="AC34" s="552">
        <f t="shared" si="12"/>
        <v>0</v>
      </c>
      <c r="AD34" s="552">
        <f t="shared" si="13"/>
        <v>0</v>
      </c>
      <c r="AE34" s="552">
        <f t="shared" si="14"/>
        <v>0</v>
      </c>
      <c r="AF34" s="552">
        <f t="shared" si="15"/>
        <v>0</v>
      </c>
      <c r="AG34" s="552">
        <f t="shared" si="16"/>
        <v>0</v>
      </c>
      <c r="AH34" s="552">
        <f t="shared" si="17"/>
        <v>58.333099999999995</v>
      </c>
      <c r="AI34" s="552">
        <f t="shared" si="18"/>
        <v>58.333099999999995</v>
      </c>
      <c r="AJ34" s="551"/>
      <c r="AK34" s="551"/>
      <c r="AL34" s="543"/>
      <c r="AM34" s="543"/>
    </row>
    <row r="35" spans="1:39" s="538" customFormat="1" ht="12" customHeight="1" outlineLevel="1" collapsed="1" x14ac:dyDescent="0.25">
      <c r="A35" s="544">
        <v>25</v>
      </c>
      <c r="B35" s="556" t="str">
        <f t="shared" si="19"/>
        <v>GUAYAQUIL</v>
      </c>
      <c r="C35" s="546" t="s">
        <v>1033</v>
      </c>
      <c r="D35" s="547" t="s">
        <v>1034</v>
      </c>
      <c r="E35" s="547" t="s">
        <v>1049</v>
      </c>
      <c r="F35" s="546" t="s">
        <v>1045</v>
      </c>
      <c r="G35" s="557"/>
      <c r="H35" s="557"/>
      <c r="I35" s="549">
        <v>45257</v>
      </c>
      <c r="J35" s="550">
        <v>467</v>
      </c>
      <c r="K35" s="551"/>
      <c r="L35" s="552">
        <f t="shared" si="0"/>
        <v>467</v>
      </c>
      <c r="M35" s="551"/>
      <c r="N35" s="551"/>
      <c r="O35" s="551"/>
      <c r="P35" s="551"/>
      <c r="Q35" s="553">
        <f t="shared" si="1"/>
        <v>467</v>
      </c>
      <c r="R35" s="553">
        <f t="shared" si="2"/>
        <v>56.740499999999997</v>
      </c>
      <c r="S35" s="553">
        <f t="shared" si="3"/>
        <v>38.916511</v>
      </c>
      <c r="T35" s="553">
        <f t="shared" si="4"/>
        <v>39.166666666666664</v>
      </c>
      <c r="U35" s="553">
        <f t="shared" si="5"/>
        <v>38.916666666666664</v>
      </c>
      <c r="V35" s="553">
        <f t="shared" si="6"/>
        <v>640.74034433333327</v>
      </c>
      <c r="W35" s="554">
        <v>0</v>
      </c>
      <c r="X35" s="552">
        <f t="shared" si="7"/>
        <v>38.916510999999993</v>
      </c>
      <c r="Y35" s="552">
        <f t="shared" si="8"/>
        <v>38.916510999999993</v>
      </c>
      <c r="Z35" s="552">
        <f t="shared" si="9"/>
        <v>38.916510999999993</v>
      </c>
      <c r="AA35" s="552">
        <f t="shared" si="10"/>
        <v>38.916510999999993</v>
      </c>
      <c r="AB35" s="552">
        <f t="shared" si="11"/>
        <v>38.916510999999993</v>
      </c>
      <c r="AC35" s="552">
        <f t="shared" si="12"/>
        <v>38.916510999999993</v>
      </c>
      <c r="AD35" s="552">
        <f t="shared" si="13"/>
        <v>38.916510999999993</v>
      </c>
      <c r="AE35" s="552">
        <f t="shared" si="14"/>
        <v>38.916510999999993</v>
      </c>
      <c r="AF35" s="552">
        <f t="shared" si="15"/>
        <v>38.916510999999993</v>
      </c>
      <c r="AG35" s="552">
        <f t="shared" si="16"/>
        <v>38.916510999999993</v>
      </c>
      <c r="AH35" s="552">
        <f t="shared" si="17"/>
        <v>38.916510999999993</v>
      </c>
      <c r="AI35" s="552">
        <f t="shared" si="18"/>
        <v>38.916510999999993</v>
      </c>
      <c r="AJ35" s="551"/>
      <c r="AK35" s="551"/>
      <c r="AL35" s="543"/>
      <c r="AM35" s="543"/>
    </row>
    <row r="36" spans="1:39" s="538" customFormat="1" ht="12" customHeight="1" outlineLevel="1" collapsed="1" x14ac:dyDescent="0.25">
      <c r="A36" s="544">
        <v>26</v>
      </c>
      <c r="B36" s="556" t="str">
        <f t="shared" si="19"/>
        <v>QUITO</v>
      </c>
      <c r="C36" s="546" t="s">
        <v>1033</v>
      </c>
      <c r="D36" s="547" t="s">
        <v>1034</v>
      </c>
      <c r="E36" s="547" t="s">
        <v>1035</v>
      </c>
      <c r="F36" s="546" t="s">
        <v>1036</v>
      </c>
      <c r="G36" s="557"/>
      <c r="H36" s="557"/>
      <c r="I36" s="549">
        <v>45510</v>
      </c>
      <c r="J36" s="550">
        <v>900</v>
      </c>
      <c r="K36" s="551"/>
      <c r="L36" s="552">
        <f t="shared" si="0"/>
        <v>900</v>
      </c>
      <c r="M36" s="551"/>
      <c r="N36" s="551"/>
      <c r="O36" s="551"/>
      <c r="P36" s="551"/>
      <c r="Q36" s="553">
        <f t="shared" si="1"/>
        <v>900</v>
      </c>
      <c r="R36" s="553">
        <f t="shared" si="2"/>
        <v>109.35</v>
      </c>
      <c r="S36" s="553">
        <f t="shared" si="3"/>
        <v>31.249874999999992</v>
      </c>
      <c r="T36" s="553">
        <f t="shared" si="4"/>
        <v>39.166666666666664</v>
      </c>
      <c r="U36" s="553">
        <f t="shared" si="5"/>
        <v>75</v>
      </c>
      <c r="V36" s="553">
        <f t="shared" si="6"/>
        <v>1154.7665416666669</v>
      </c>
      <c r="W36" s="554">
        <v>0</v>
      </c>
      <c r="X36" s="552">
        <f t="shared" si="7"/>
        <v>0</v>
      </c>
      <c r="Y36" s="552">
        <f t="shared" si="8"/>
        <v>0</v>
      </c>
      <c r="Z36" s="552">
        <f t="shared" si="9"/>
        <v>0</v>
      </c>
      <c r="AA36" s="552">
        <f t="shared" si="10"/>
        <v>0</v>
      </c>
      <c r="AB36" s="552">
        <f t="shared" si="11"/>
        <v>0</v>
      </c>
      <c r="AC36" s="552">
        <f t="shared" si="12"/>
        <v>0</v>
      </c>
      <c r="AD36" s="552">
        <f t="shared" si="13"/>
        <v>0</v>
      </c>
      <c r="AE36" s="552">
        <f t="shared" si="14"/>
        <v>74.99969999999999</v>
      </c>
      <c r="AF36" s="552">
        <f t="shared" si="15"/>
        <v>74.99969999999999</v>
      </c>
      <c r="AG36" s="552">
        <f t="shared" si="16"/>
        <v>74.99969999999999</v>
      </c>
      <c r="AH36" s="552">
        <f t="shared" si="17"/>
        <v>74.99969999999999</v>
      </c>
      <c r="AI36" s="552">
        <f t="shared" si="18"/>
        <v>74.99969999999999</v>
      </c>
      <c r="AJ36" s="551"/>
      <c r="AK36" s="551"/>
      <c r="AL36" s="543"/>
      <c r="AM36" s="543"/>
    </row>
    <row r="37" spans="1:39" s="538" customFormat="1" ht="12" customHeight="1" outlineLevel="1" collapsed="1" x14ac:dyDescent="0.25">
      <c r="A37" s="544">
        <v>27</v>
      </c>
      <c r="B37" s="556" t="str">
        <f t="shared" si="19"/>
        <v>QUITO</v>
      </c>
      <c r="C37" s="546" t="s">
        <v>1046</v>
      </c>
      <c r="D37" s="547" t="s">
        <v>1047</v>
      </c>
      <c r="E37" s="547" t="s">
        <v>1035</v>
      </c>
      <c r="F37" s="546" t="s">
        <v>1048</v>
      </c>
      <c r="G37" s="557"/>
      <c r="H37" s="557"/>
      <c r="I37" s="549">
        <v>45153</v>
      </c>
      <c r="J37" s="550">
        <v>900</v>
      </c>
      <c r="K37" s="551"/>
      <c r="L37" s="552">
        <f t="shared" si="0"/>
        <v>900</v>
      </c>
      <c r="M37" s="551"/>
      <c r="N37" s="551"/>
      <c r="O37" s="552">
        <f>L37*$O$7</f>
        <v>360</v>
      </c>
      <c r="P37" s="551"/>
      <c r="Q37" s="553">
        <f t="shared" si="1"/>
        <v>1260</v>
      </c>
      <c r="R37" s="553">
        <f t="shared" si="2"/>
        <v>153.09</v>
      </c>
      <c r="S37" s="553">
        <f t="shared" si="3"/>
        <v>104.99957999999999</v>
      </c>
      <c r="T37" s="553">
        <f t="shared" si="4"/>
        <v>39.166666666666664</v>
      </c>
      <c r="U37" s="553">
        <f t="shared" si="5"/>
        <v>105</v>
      </c>
      <c r="V37" s="553">
        <f t="shared" si="6"/>
        <v>1662.2562466666666</v>
      </c>
      <c r="W37" s="554">
        <v>0</v>
      </c>
      <c r="X37" s="552">
        <f t="shared" si="7"/>
        <v>104.99957999999999</v>
      </c>
      <c r="Y37" s="552">
        <f t="shared" si="8"/>
        <v>104.99957999999999</v>
      </c>
      <c r="Z37" s="552">
        <f t="shared" si="9"/>
        <v>104.99957999999999</v>
      </c>
      <c r="AA37" s="552">
        <f t="shared" si="10"/>
        <v>104.99957999999999</v>
      </c>
      <c r="AB37" s="552">
        <f t="shared" si="11"/>
        <v>104.99957999999999</v>
      </c>
      <c r="AC37" s="552">
        <f t="shared" si="12"/>
        <v>104.99957999999999</v>
      </c>
      <c r="AD37" s="552">
        <f t="shared" si="13"/>
        <v>104.99957999999999</v>
      </c>
      <c r="AE37" s="552">
        <f t="shared" si="14"/>
        <v>104.99957999999999</v>
      </c>
      <c r="AF37" s="552">
        <f t="shared" si="15"/>
        <v>104.99957999999999</v>
      </c>
      <c r="AG37" s="552">
        <f t="shared" si="16"/>
        <v>104.99957999999999</v>
      </c>
      <c r="AH37" s="552">
        <f t="shared" si="17"/>
        <v>104.99957999999999</v>
      </c>
      <c r="AI37" s="552">
        <f t="shared" si="18"/>
        <v>104.99957999999999</v>
      </c>
      <c r="AJ37" s="551"/>
      <c r="AK37" s="551"/>
      <c r="AL37" s="543"/>
      <c r="AM37" s="543"/>
    </row>
    <row r="38" spans="1:39" s="538" customFormat="1" ht="12" customHeight="1" outlineLevel="1" collapsed="1" x14ac:dyDescent="0.25">
      <c r="A38" s="544">
        <v>28</v>
      </c>
      <c r="B38" s="556" t="str">
        <f t="shared" si="19"/>
        <v>QUITO</v>
      </c>
      <c r="C38" s="546" t="s">
        <v>1037</v>
      </c>
      <c r="D38" s="547" t="s">
        <v>1038</v>
      </c>
      <c r="E38" s="547" t="s">
        <v>1035</v>
      </c>
      <c r="F38" s="546" t="s">
        <v>1039</v>
      </c>
      <c r="G38" s="557"/>
      <c r="H38" s="557"/>
      <c r="I38" s="549">
        <v>42767</v>
      </c>
      <c r="J38" s="550">
        <v>280</v>
      </c>
      <c r="K38" s="551"/>
      <c r="L38" s="552">
        <f t="shared" si="0"/>
        <v>280</v>
      </c>
      <c r="M38" s="551"/>
      <c r="N38" s="551"/>
      <c r="O38" s="551"/>
      <c r="P38" s="551"/>
      <c r="Q38" s="553">
        <f t="shared" si="1"/>
        <v>280</v>
      </c>
      <c r="R38" s="553">
        <f t="shared" si="2"/>
        <v>34.019999999999996</v>
      </c>
      <c r="S38" s="553">
        <f t="shared" si="3"/>
        <v>23.333239999999993</v>
      </c>
      <c r="T38" s="553">
        <f t="shared" si="4"/>
        <v>39.166666666666664</v>
      </c>
      <c r="U38" s="553">
        <f t="shared" si="5"/>
        <v>23.333333333333332</v>
      </c>
      <c r="V38" s="553">
        <f t="shared" si="6"/>
        <v>399.85323999999997</v>
      </c>
      <c r="W38" s="554">
        <v>0</v>
      </c>
      <c r="X38" s="552">
        <f t="shared" si="7"/>
        <v>23.333239999999996</v>
      </c>
      <c r="Y38" s="552">
        <f t="shared" si="8"/>
        <v>23.333239999999996</v>
      </c>
      <c r="Z38" s="552">
        <f t="shared" si="9"/>
        <v>23.333239999999996</v>
      </c>
      <c r="AA38" s="552">
        <f t="shared" si="10"/>
        <v>23.333239999999996</v>
      </c>
      <c r="AB38" s="552">
        <f t="shared" si="11"/>
        <v>23.333239999999996</v>
      </c>
      <c r="AC38" s="552">
        <f t="shared" si="12"/>
        <v>23.333239999999996</v>
      </c>
      <c r="AD38" s="552">
        <f t="shared" si="13"/>
        <v>23.333239999999996</v>
      </c>
      <c r="AE38" s="552">
        <f t="shared" si="14"/>
        <v>23.333239999999996</v>
      </c>
      <c r="AF38" s="552">
        <f t="shared" si="15"/>
        <v>23.333239999999996</v>
      </c>
      <c r="AG38" s="552">
        <f t="shared" si="16"/>
        <v>23.333239999999996</v>
      </c>
      <c r="AH38" s="552">
        <f t="shared" si="17"/>
        <v>23.333239999999996</v>
      </c>
      <c r="AI38" s="552">
        <f t="shared" si="18"/>
        <v>23.333239999999996</v>
      </c>
      <c r="AJ38" s="551"/>
      <c r="AK38" s="551"/>
      <c r="AL38" s="543"/>
      <c r="AM38" s="543"/>
    </row>
    <row r="39" spans="1:39" s="538" customFormat="1" ht="12" customHeight="1" outlineLevel="1" collapsed="1" x14ac:dyDescent="0.25">
      <c r="A39" s="544">
        <v>29</v>
      </c>
      <c r="B39" s="556" t="str">
        <f t="shared" si="19"/>
        <v>IBARRA</v>
      </c>
      <c r="C39" s="546" t="s">
        <v>1046</v>
      </c>
      <c r="D39" s="547" t="s">
        <v>1047</v>
      </c>
      <c r="E39" s="547" t="s">
        <v>1044</v>
      </c>
      <c r="F39" s="546" t="s">
        <v>1065</v>
      </c>
      <c r="G39" s="560"/>
      <c r="H39" s="560"/>
      <c r="I39" s="549">
        <v>43801</v>
      </c>
      <c r="J39" s="550">
        <v>2300</v>
      </c>
      <c r="K39" s="551"/>
      <c r="L39" s="552">
        <f t="shared" si="0"/>
        <v>2300</v>
      </c>
      <c r="M39" s="551"/>
      <c r="N39" s="551"/>
      <c r="O39" s="552">
        <f>L39*$O$7</f>
        <v>920</v>
      </c>
      <c r="P39" s="551"/>
      <c r="Q39" s="553">
        <f t="shared" si="1"/>
        <v>3220</v>
      </c>
      <c r="R39" s="553">
        <f t="shared" si="2"/>
        <v>391.23</v>
      </c>
      <c r="S39" s="553">
        <f t="shared" si="3"/>
        <v>268.33226000000002</v>
      </c>
      <c r="T39" s="553">
        <f t="shared" si="4"/>
        <v>39.166666666666664</v>
      </c>
      <c r="U39" s="553">
        <f t="shared" si="5"/>
        <v>268.33333333333331</v>
      </c>
      <c r="V39" s="553">
        <f t="shared" si="6"/>
        <v>4187.0622599999997</v>
      </c>
      <c r="W39" s="554">
        <v>0</v>
      </c>
      <c r="X39" s="552">
        <f t="shared" si="7"/>
        <v>268.33225999999996</v>
      </c>
      <c r="Y39" s="552">
        <f t="shared" si="8"/>
        <v>268.33225999999996</v>
      </c>
      <c r="Z39" s="552">
        <f t="shared" si="9"/>
        <v>268.33225999999996</v>
      </c>
      <c r="AA39" s="552">
        <f t="shared" si="10"/>
        <v>268.33225999999996</v>
      </c>
      <c r="AB39" s="552">
        <f t="shared" si="11"/>
        <v>268.33225999999996</v>
      </c>
      <c r="AC39" s="552">
        <f t="shared" si="12"/>
        <v>268.33225999999996</v>
      </c>
      <c r="AD39" s="552">
        <f t="shared" si="13"/>
        <v>268.33225999999996</v>
      </c>
      <c r="AE39" s="552">
        <f t="shared" si="14"/>
        <v>268.33225999999996</v>
      </c>
      <c r="AF39" s="552">
        <f t="shared" si="15"/>
        <v>268.33225999999996</v>
      </c>
      <c r="AG39" s="552">
        <f t="shared" si="16"/>
        <v>268.33225999999996</v>
      </c>
      <c r="AH39" s="552">
        <f t="shared" si="17"/>
        <v>268.33225999999996</v>
      </c>
      <c r="AI39" s="552">
        <f t="shared" si="18"/>
        <v>268.33225999999996</v>
      </c>
      <c r="AJ39" s="551"/>
      <c r="AK39" s="551"/>
      <c r="AL39" s="543"/>
      <c r="AM39" s="543"/>
    </row>
    <row r="40" spans="1:39" s="538" customFormat="1" ht="12" customHeight="1" outlineLevel="1" collapsed="1" x14ac:dyDescent="0.25">
      <c r="A40" s="544">
        <v>30</v>
      </c>
      <c r="B40" s="556" t="str">
        <f t="shared" si="19"/>
        <v>QUITO</v>
      </c>
      <c r="C40" s="546" t="s">
        <v>1066</v>
      </c>
      <c r="D40" s="547" t="s">
        <v>1067</v>
      </c>
      <c r="E40" s="547" t="s">
        <v>1035</v>
      </c>
      <c r="F40" s="546" t="s">
        <v>1068</v>
      </c>
      <c r="G40" s="557"/>
      <c r="H40" s="557"/>
      <c r="I40" s="549">
        <v>44263</v>
      </c>
      <c r="J40" s="550">
        <v>2500</v>
      </c>
      <c r="K40" s="551"/>
      <c r="L40" s="552">
        <f t="shared" si="0"/>
        <v>2500</v>
      </c>
      <c r="M40" s="551"/>
      <c r="N40" s="551"/>
      <c r="O40" s="551"/>
      <c r="P40" s="551"/>
      <c r="Q40" s="553">
        <f t="shared" si="1"/>
        <v>2500</v>
      </c>
      <c r="R40" s="553">
        <f t="shared" si="2"/>
        <v>303.75</v>
      </c>
      <c r="S40" s="553">
        <f t="shared" si="3"/>
        <v>208.33249999999998</v>
      </c>
      <c r="T40" s="553">
        <f t="shared" si="4"/>
        <v>39.166666666666664</v>
      </c>
      <c r="U40" s="553">
        <f t="shared" si="5"/>
        <v>208.33333333333334</v>
      </c>
      <c r="V40" s="553">
        <f t="shared" si="6"/>
        <v>3259.5825</v>
      </c>
      <c r="W40" s="554">
        <v>0</v>
      </c>
      <c r="X40" s="552">
        <f t="shared" si="7"/>
        <v>208.33249999999998</v>
      </c>
      <c r="Y40" s="552">
        <f t="shared" si="8"/>
        <v>208.33249999999998</v>
      </c>
      <c r="Z40" s="552">
        <f t="shared" si="9"/>
        <v>208.33249999999998</v>
      </c>
      <c r="AA40" s="552">
        <f t="shared" si="10"/>
        <v>208.33249999999998</v>
      </c>
      <c r="AB40" s="552">
        <f t="shared" si="11"/>
        <v>208.33249999999998</v>
      </c>
      <c r="AC40" s="552">
        <f t="shared" si="12"/>
        <v>208.33249999999998</v>
      </c>
      <c r="AD40" s="552">
        <f t="shared" si="13"/>
        <v>208.33249999999998</v>
      </c>
      <c r="AE40" s="552">
        <f t="shared" si="14"/>
        <v>208.33249999999998</v>
      </c>
      <c r="AF40" s="552">
        <f t="shared" si="15"/>
        <v>208.33249999999998</v>
      </c>
      <c r="AG40" s="552">
        <f t="shared" si="16"/>
        <v>208.33249999999998</v>
      </c>
      <c r="AH40" s="552">
        <f t="shared" si="17"/>
        <v>208.33249999999998</v>
      </c>
      <c r="AI40" s="552">
        <f t="shared" si="18"/>
        <v>208.33249999999998</v>
      </c>
      <c r="AJ40" s="551"/>
      <c r="AK40" s="551"/>
      <c r="AL40" s="543"/>
      <c r="AM40" s="543"/>
    </row>
    <row r="41" spans="1:39" s="538" customFormat="1" ht="12" customHeight="1" outlineLevel="1" collapsed="1" x14ac:dyDescent="0.25">
      <c r="A41" s="544">
        <v>31</v>
      </c>
      <c r="B41" s="556" t="str">
        <f t="shared" si="19"/>
        <v>IBARRA</v>
      </c>
      <c r="C41" s="546" t="s">
        <v>1069</v>
      </c>
      <c r="D41" s="547" t="s">
        <v>1070</v>
      </c>
      <c r="E41" s="547" t="s">
        <v>1044</v>
      </c>
      <c r="F41" s="546" t="s">
        <v>1071</v>
      </c>
      <c r="G41" s="557"/>
      <c r="H41" s="557"/>
      <c r="I41" s="549">
        <v>44319</v>
      </c>
      <c r="J41" s="550">
        <v>1000</v>
      </c>
      <c r="K41" s="551"/>
      <c r="L41" s="552">
        <f t="shared" ref="L41:L61" si="20">J41+K41</f>
        <v>1000</v>
      </c>
      <c r="M41" s="551"/>
      <c r="N41" s="551"/>
      <c r="O41" s="551"/>
      <c r="P41" s="551"/>
      <c r="Q41" s="553">
        <f t="shared" ref="Q41:Q72" si="21">+SUM(L41:P41)</f>
        <v>1000</v>
      </c>
      <c r="R41" s="553">
        <f t="shared" ref="R41:R72" si="22">Q41*12.15%</f>
        <v>121.5</v>
      </c>
      <c r="S41" s="553">
        <f t="shared" ref="S41:S72" si="23">SUM(X41:AI41)/12</f>
        <v>83.332999999999984</v>
      </c>
      <c r="T41" s="553">
        <f t="shared" ref="T41:T72" si="24">IF(I41=0,0,IF($T$7+365-I41&gt;365,$C$6,($T$7+365-I41)*($C$6/365)))/12</f>
        <v>39.166666666666664</v>
      </c>
      <c r="U41" s="553">
        <f t="shared" ref="U41:U72" si="25">IF(I41=0,0,IF($U$7+365-I41&gt;364,Q41,($U$7+365-I41)*(Q41/365)))/12</f>
        <v>83.333333333333329</v>
      </c>
      <c r="V41" s="553">
        <f t="shared" ref="V41:V72" si="26">+SUM(Q41:U41)</f>
        <v>1327.3330000000001</v>
      </c>
      <c r="W41" s="554">
        <v>0</v>
      </c>
      <c r="X41" s="552">
        <f t="shared" ref="X41:X72" si="27">IF(I41=0,0,IF($X$7-I41&gt;365,Q41*8.3333%,0))</f>
        <v>83.332999999999984</v>
      </c>
      <c r="Y41" s="552">
        <f t="shared" ref="Y41:Y72" si="28">IF(I41=0,0,IF($Y$7-I41&gt;365,Q41*8.3333%,0))</f>
        <v>83.332999999999984</v>
      </c>
      <c r="Z41" s="552">
        <f t="shared" ref="Z41:Z72" si="29">IF(I41=0,0,IF($Z$7-I41&gt;365,Q41*8.3333%,0))</f>
        <v>83.332999999999984</v>
      </c>
      <c r="AA41" s="552">
        <f t="shared" ref="AA41:AA72" si="30">IF(I41=0,0,IF($AA$7-I41&gt;365,Q41*8.3333%,0))</f>
        <v>83.332999999999984</v>
      </c>
      <c r="AB41" s="552">
        <f t="shared" ref="AB41:AB72" si="31">IF(I41=0,0,IF($AB$7-I41&gt;365,Q41*8.3333%,0))</f>
        <v>83.332999999999984</v>
      </c>
      <c r="AC41" s="552">
        <f t="shared" ref="AC41:AC72" si="32">IF(I41=0,0,IF($AC$7-I41&gt;365,Q41*8.3333%,0))</f>
        <v>83.332999999999984</v>
      </c>
      <c r="AD41" s="552">
        <f t="shared" ref="AD41:AD72" si="33">IF(I41=0,0,IF($AD$7-I41&gt;365,Q41*8.3333%,0))</f>
        <v>83.332999999999984</v>
      </c>
      <c r="AE41" s="552">
        <f t="shared" ref="AE41:AE72" si="34">IF(I41=0,0,IF($AE$7-I41&gt;365,Q41*8.3333%,0))</f>
        <v>83.332999999999984</v>
      </c>
      <c r="AF41" s="552">
        <f t="shared" ref="AF41:AF72" si="35">IF(I41=0,0,IF($AF$7-I41&gt;365,Q41*8.3333%,0))</f>
        <v>83.332999999999984</v>
      </c>
      <c r="AG41" s="552">
        <f t="shared" ref="AG41:AG72" si="36">IF(I41=0,0,IF($AG$7-I41&gt;365,Q41*8.3333%,0))</f>
        <v>83.332999999999984</v>
      </c>
      <c r="AH41" s="552">
        <f t="shared" ref="AH41:AH72" si="37">IF(I41=0,0,IF($AH$7-I41&gt;365,Q41*8.3333%,0))</f>
        <v>83.332999999999984</v>
      </c>
      <c r="AI41" s="552">
        <f t="shared" ref="AI41:AI72" si="38">IF(I41=0,0,IF($AI$7-I41&gt;365,Q41*8.3333%,0))</f>
        <v>83.332999999999984</v>
      </c>
      <c r="AJ41" s="551"/>
      <c r="AK41" s="551"/>
      <c r="AL41" s="543"/>
      <c r="AM41" s="543"/>
    </row>
    <row r="42" spans="1:39" s="538" customFormat="1" ht="12" customHeight="1" outlineLevel="1" collapsed="1" x14ac:dyDescent="0.25">
      <c r="A42" s="544">
        <v>32</v>
      </c>
      <c r="B42" s="556" t="str">
        <f t="shared" ref="B42:B73" si="39">IF(E42="UIO","QUITO",IF(E42="GYE","GUAYAQUIL",IF(E42="IBA","IBARRA")))</f>
        <v>QUITO</v>
      </c>
      <c r="C42" s="546" t="s">
        <v>1033</v>
      </c>
      <c r="D42" s="547" t="s">
        <v>1034</v>
      </c>
      <c r="E42" s="547" t="s">
        <v>1035</v>
      </c>
      <c r="F42" s="546" t="s">
        <v>1055</v>
      </c>
      <c r="G42" s="557"/>
      <c r="H42" s="557"/>
      <c r="I42" s="549">
        <v>45609</v>
      </c>
      <c r="J42" s="550">
        <v>467</v>
      </c>
      <c r="K42" s="551"/>
      <c r="L42" s="552">
        <f t="shared" si="20"/>
        <v>467</v>
      </c>
      <c r="M42" s="551"/>
      <c r="N42" s="551"/>
      <c r="O42" s="551"/>
      <c r="P42" s="551"/>
      <c r="Q42" s="553">
        <f t="shared" si="21"/>
        <v>467</v>
      </c>
      <c r="R42" s="553">
        <f t="shared" si="22"/>
        <v>56.740499999999997</v>
      </c>
      <c r="S42" s="553">
        <f t="shared" si="23"/>
        <v>6.4860851666666655</v>
      </c>
      <c r="T42" s="553">
        <f t="shared" si="24"/>
        <v>39.166666666666664</v>
      </c>
      <c r="U42" s="553">
        <f t="shared" si="25"/>
        <v>38.916666666666664</v>
      </c>
      <c r="V42" s="553">
        <f t="shared" si="26"/>
        <v>608.30991849999987</v>
      </c>
      <c r="W42" s="554">
        <v>0</v>
      </c>
      <c r="X42" s="552">
        <f t="shared" si="27"/>
        <v>0</v>
      </c>
      <c r="Y42" s="552">
        <f t="shared" si="28"/>
        <v>0</v>
      </c>
      <c r="Z42" s="552">
        <f t="shared" si="29"/>
        <v>0</v>
      </c>
      <c r="AA42" s="552">
        <f t="shared" si="30"/>
        <v>0</v>
      </c>
      <c r="AB42" s="552">
        <f t="shared" si="31"/>
        <v>0</v>
      </c>
      <c r="AC42" s="552">
        <f t="shared" si="32"/>
        <v>0</v>
      </c>
      <c r="AD42" s="552">
        <f t="shared" si="33"/>
        <v>0</v>
      </c>
      <c r="AE42" s="552">
        <f t="shared" si="34"/>
        <v>0</v>
      </c>
      <c r="AF42" s="552">
        <f t="shared" si="35"/>
        <v>0</v>
      </c>
      <c r="AG42" s="552">
        <f t="shared" si="36"/>
        <v>0</v>
      </c>
      <c r="AH42" s="552">
        <f t="shared" si="37"/>
        <v>38.916510999999993</v>
      </c>
      <c r="AI42" s="552">
        <f t="shared" si="38"/>
        <v>38.916510999999993</v>
      </c>
      <c r="AJ42" s="551"/>
      <c r="AK42" s="551"/>
      <c r="AL42" s="543"/>
      <c r="AM42" s="543"/>
    </row>
    <row r="43" spans="1:39" s="538" customFormat="1" ht="12" customHeight="1" outlineLevel="1" collapsed="1" x14ac:dyDescent="0.25">
      <c r="A43" s="544">
        <v>33</v>
      </c>
      <c r="B43" s="556" t="str">
        <f t="shared" si="39"/>
        <v>QUITO</v>
      </c>
      <c r="C43" s="546" t="s">
        <v>1052</v>
      </c>
      <c r="D43" s="547" t="s">
        <v>1053</v>
      </c>
      <c r="E43" s="547" t="s">
        <v>1035</v>
      </c>
      <c r="F43" s="546" t="s">
        <v>1072</v>
      </c>
      <c r="G43" s="557"/>
      <c r="H43" s="557"/>
      <c r="I43" s="549">
        <v>44958</v>
      </c>
      <c r="J43" s="550">
        <v>1000</v>
      </c>
      <c r="K43" s="551"/>
      <c r="L43" s="552">
        <f t="shared" si="20"/>
        <v>1000</v>
      </c>
      <c r="M43" s="551"/>
      <c r="N43" s="551"/>
      <c r="O43" s="551"/>
      <c r="P43" s="551"/>
      <c r="Q43" s="553">
        <f t="shared" si="21"/>
        <v>1000</v>
      </c>
      <c r="R43" s="553">
        <f t="shared" si="22"/>
        <v>121.5</v>
      </c>
      <c r="S43" s="553">
        <f t="shared" si="23"/>
        <v>83.332999999999984</v>
      </c>
      <c r="T43" s="553">
        <f t="shared" si="24"/>
        <v>39.166666666666664</v>
      </c>
      <c r="U43" s="553">
        <f t="shared" si="25"/>
        <v>83.333333333333329</v>
      </c>
      <c r="V43" s="553">
        <f t="shared" si="26"/>
        <v>1327.3330000000001</v>
      </c>
      <c r="W43" s="554">
        <v>0</v>
      </c>
      <c r="X43" s="552">
        <f t="shared" si="27"/>
        <v>83.332999999999984</v>
      </c>
      <c r="Y43" s="552">
        <f t="shared" si="28"/>
        <v>83.332999999999984</v>
      </c>
      <c r="Z43" s="552">
        <f t="shared" si="29"/>
        <v>83.332999999999984</v>
      </c>
      <c r="AA43" s="552">
        <f t="shared" si="30"/>
        <v>83.332999999999984</v>
      </c>
      <c r="AB43" s="552">
        <f t="shared" si="31"/>
        <v>83.332999999999984</v>
      </c>
      <c r="AC43" s="552">
        <f t="shared" si="32"/>
        <v>83.332999999999984</v>
      </c>
      <c r="AD43" s="552">
        <f t="shared" si="33"/>
        <v>83.332999999999984</v>
      </c>
      <c r="AE43" s="552">
        <f t="shared" si="34"/>
        <v>83.332999999999984</v>
      </c>
      <c r="AF43" s="552">
        <f t="shared" si="35"/>
        <v>83.332999999999984</v>
      </c>
      <c r="AG43" s="552">
        <f t="shared" si="36"/>
        <v>83.332999999999984</v>
      </c>
      <c r="AH43" s="552">
        <f t="shared" si="37"/>
        <v>83.332999999999984</v>
      </c>
      <c r="AI43" s="552">
        <f t="shared" si="38"/>
        <v>83.332999999999984</v>
      </c>
      <c r="AJ43" s="551"/>
      <c r="AK43" s="551"/>
      <c r="AL43" s="543"/>
      <c r="AM43" s="543"/>
    </row>
    <row r="44" spans="1:39" s="538" customFormat="1" ht="12" customHeight="1" outlineLevel="1" collapsed="1" x14ac:dyDescent="0.25">
      <c r="A44" s="544">
        <v>34</v>
      </c>
      <c r="B44" s="556" t="str">
        <f t="shared" si="39"/>
        <v>QUITO</v>
      </c>
      <c r="C44" s="546" t="s">
        <v>1033</v>
      </c>
      <c r="D44" s="547" t="s">
        <v>1034</v>
      </c>
      <c r="E44" s="547" t="s">
        <v>1035</v>
      </c>
      <c r="F44" s="546" t="s">
        <v>1036</v>
      </c>
      <c r="G44" s="557"/>
      <c r="H44" s="557"/>
      <c r="I44" s="549">
        <v>45607</v>
      </c>
      <c r="J44" s="550">
        <v>700</v>
      </c>
      <c r="K44" s="551"/>
      <c r="L44" s="552">
        <f t="shared" si="20"/>
        <v>700</v>
      </c>
      <c r="M44" s="551"/>
      <c r="N44" s="551"/>
      <c r="O44" s="551"/>
      <c r="P44" s="551"/>
      <c r="Q44" s="553">
        <f t="shared" si="21"/>
        <v>700</v>
      </c>
      <c r="R44" s="553">
        <f t="shared" si="22"/>
        <v>85.05</v>
      </c>
      <c r="S44" s="553">
        <f t="shared" si="23"/>
        <v>9.7221833333333318</v>
      </c>
      <c r="T44" s="553">
        <f t="shared" si="24"/>
        <v>39.166666666666664</v>
      </c>
      <c r="U44" s="553">
        <f t="shared" si="25"/>
        <v>58.333333333333336</v>
      </c>
      <c r="V44" s="553">
        <f t="shared" si="26"/>
        <v>892.27218333333326</v>
      </c>
      <c r="W44" s="554">
        <v>0</v>
      </c>
      <c r="X44" s="552">
        <f t="shared" si="27"/>
        <v>0</v>
      </c>
      <c r="Y44" s="552">
        <f t="shared" si="28"/>
        <v>0</v>
      </c>
      <c r="Z44" s="552">
        <f t="shared" si="29"/>
        <v>0</v>
      </c>
      <c r="AA44" s="552">
        <f t="shared" si="30"/>
        <v>0</v>
      </c>
      <c r="AB44" s="552">
        <f t="shared" si="31"/>
        <v>0</v>
      </c>
      <c r="AC44" s="552">
        <f t="shared" si="32"/>
        <v>0</v>
      </c>
      <c r="AD44" s="552">
        <f t="shared" si="33"/>
        <v>0</v>
      </c>
      <c r="AE44" s="552">
        <f t="shared" si="34"/>
        <v>0</v>
      </c>
      <c r="AF44" s="552">
        <f t="shared" si="35"/>
        <v>0</v>
      </c>
      <c r="AG44" s="552">
        <f t="shared" si="36"/>
        <v>0</v>
      </c>
      <c r="AH44" s="552">
        <f t="shared" si="37"/>
        <v>58.333099999999995</v>
      </c>
      <c r="AI44" s="552">
        <f t="shared" si="38"/>
        <v>58.333099999999995</v>
      </c>
      <c r="AJ44" s="551"/>
      <c r="AK44" s="551"/>
      <c r="AL44" s="543"/>
      <c r="AM44" s="543"/>
    </row>
    <row r="45" spans="1:39" s="538" customFormat="1" ht="12" customHeight="1" outlineLevel="1" collapsed="1" x14ac:dyDescent="0.25">
      <c r="A45" s="544">
        <v>35</v>
      </c>
      <c r="B45" s="556" t="str">
        <f t="shared" si="39"/>
        <v>QUITO</v>
      </c>
      <c r="C45" s="546" t="s">
        <v>1033</v>
      </c>
      <c r="D45" s="547" t="s">
        <v>1034</v>
      </c>
      <c r="E45" s="547" t="s">
        <v>1035</v>
      </c>
      <c r="F45" s="546" t="s">
        <v>1059</v>
      </c>
      <c r="G45" s="557"/>
      <c r="H45" s="557"/>
      <c r="I45" s="549">
        <v>45607</v>
      </c>
      <c r="J45" s="550">
        <v>600</v>
      </c>
      <c r="K45" s="551"/>
      <c r="L45" s="552">
        <f t="shared" si="20"/>
        <v>600</v>
      </c>
      <c r="M45" s="551"/>
      <c r="N45" s="551"/>
      <c r="O45" s="551"/>
      <c r="P45" s="551"/>
      <c r="Q45" s="553">
        <f t="shared" si="21"/>
        <v>600</v>
      </c>
      <c r="R45" s="553">
        <f t="shared" si="22"/>
        <v>72.899999999999991</v>
      </c>
      <c r="S45" s="553">
        <f t="shared" si="23"/>
        <v>8.3332999999999995</v>
      </c>
      <c r="T45" s="553">
        <f t="shared" si="24"/>
        <v>39.166666666666664</v>
      </c>
      <c r="U45" s="553">
        <f t="shared" si="25"/>
        <v>50</v>
      </c>
      <c r="V45" s="553">
        <f t="shared" si="26"/>
        <v>770.39996666666661</v>
      </c>
      <c r="W45" s="554">
        <v>0</v>
      </c>
      <c r="X45" s="552">
        <f t="shared" si="27"/>
        <v>0</v>
      </c>
      <c r="Y45" s="552">
        <f t="shared" si="28"/>
        <v>0</v>
      </c>
      <c r="Z45" s="552">
        <f t="shared" si="29"/>
        <v>0</v>
      </c>
      <c r="AA45" s="552">
        <f t="shared" si="30"/>
        <v>0</v>
      </c>
      <c r="AB45" s="552">
        <f t="shared" si="31"/>
        <v>0</v>
      </c>
      <c r="AC45" s="552">
        <f t="shared" si="32"/>
        <v>0</v>
      </c>
      <c r="AD45" s="552">
        <f t="shared" si="33"/>
        <v>0</v>
      </c>
      <c r="AE45" s="552">
        <f t="shared" si="34"/>
        <v>0</v>
      </c>
      <c r="AF45" s="552">
        <f t="shared" si="35"/>
        <v>0</v>
      </c>
      <c r="AG45" s="552">
        <f t="shared" si="36"/>
        <v>0</v>
      </c>
      <c r="AH45" s="552">
        <f t="shared" si="37"/>
        <v>49.999799999999993</v>
      </c>
      <c r="AI45" s="552">
        <f t="shared" si="38"/>
        <v>49.999799999999993</v>
      </c>
      <c r="AJ45" s="551"/>
      <c r="AK45" s="551"/>
      <c r="AL45" s="543"/>
      <c r="AM45" s="543"/>
    </row>
    <row r="46" spans="1:39" s="538" customFormat="1" ht="12" customHeight="1" outlineLevel="1" collapsed="1" x14ac:dyDescent="0.25">
      <c r="A46" s="544">
        <v>36</v>
      </c>
      <c r="B46" s="556" t="str">
        <f t="shared" si="39"/>
        <v>QUITO</v>
      </c>
      <c r="C46" s="546" t="s">
        <v>1046</v>
      </c>
      <c r="D46" s="547" t="s">
        <v>1047</v>
      </c>
      <c r="E46" s="547" t="s">
        <v>1035</v>
      </c>
      <c r="F46" s="546" t="s">
        <v>1050</v>
      </c>
      <c r="G46" s="557"/>
      <c r="H46" s="557"/>
      <c r="I46" s="549">
        <v>45566</v>
      </c>
      <c r="J46" s="550">
        <v>900</v>
      </c>
      <c r="K46" s="551"/>
      <c r="L46" s="552">
        <f t="shared" si="20"/>
        <v>900</v>
      </c>
      <c r="M46" s="551"/>
      <c r="N46" s="551"/>
      <c r="O46" s="551"/>
      <c r="P46" s="551"/>
      <c r="Q46" s="553">
        <f t="shared" si="21"/>
        <v>900</v>
      </c>
      <c r="R46" s="553">
        <f t="shared" si="22"/>
        <v>109.35</v>
      </c>
      <c r="S46" s="553">
        <f t="shared" si="23"/>
        <v>18.749924999999998</v>
      </c>
      <c r="T46" s="553">
        <f t="shared" si="24"/>
        <v>39.166666666666664</v>
      </c>
      <c r="U46" s="553">
        <f t="shared" si="25"/>
        <v>75</v>
      </c>
      <c r="V46" s="553">
        <f t="shared" si="26"/>
        <v>1142.2665916666667</v>
      </c>
      <c r="W46" s="554">
        <v>0</v>
      </c>
      <c r="X46" s="552">
        <f t="shared" si="27"/>
        <v>0</v>
      </c>
      <c r="Y46" s="552">
        <f t="shared" si="28"/>
        <v>0</v>
      </c>
      <c r="Z46" s="552">
        <f t="shared" si="29"/>
        <v>0</v>
      </c>
      <c r="AA46" s="552">
        <f t="shared" si="30"/>
        <v>0</v>
      </c>
      <c r="AB46" s="552">
        <f t="shared" si="31"/>
        <v>0</v>
      </c>
      <c r="AC46" s="552">
        <f t="shared" si="32"/>
        <v>0</v>
      </c>
      <c r="AD46" s="552">
        <f t="shared" si="33"/>
        <v>0</v>
      </c>
      <c r="AE46" s="552">
        <f t="shared" si="34"/>
        <v>0</v>
      </c>
      <c r="AF46" s="552">
        <f t="shared" si="35"/>
        <v>0</v>
      </c>
      <c r="AG46" s="552">
        <f t="shared" si="36"/>
        <v>74.99969999999999</v>
      </c>
      <c r="AH46" s="552">
        <f t="shared" si="37"/>
        <v>74.99969999999999</v>
      </c>
      <c r="AI46" s="552">
        <f t="shared" si="38"/>
        <v>74.99969999999999</v>
      </c>
      <c r="AJ46" s="551"/>
      <c r="AK46" s="551"/>
      <c r="AL46" s="543"/>
      <c r="AM46" s="543"/>
    </row>
    <row r="47" spans="1:39" s="538" customFormat="1" ht="12" customHeight="1" outlineLevel="1" collapsed="1" x14ac:dyDescent="0.25">
      <c r="A47" s="544">
        <v>37</v>
      </c>
      <c r="B47" s="556" t="str">
        <f t="shared" si="39"/>
        <v>QUITO</v>
      </c>
      <c r="C47" s="546" t="s">
        <v>1052</v>
      </c>
      <c r="D47" s="547" t="s">
        <v>1053</v>
      </c>
      <c r="E47" s="547" t="s">
        <v>1035</v>
      </c>
      <c r="F47" s="546" t="s">
        <v>1073</v>
      </c>
      <c r="G47" s="557"/>
      <c r="H47" s="557"/>
      <c r="I47" s="549">
        <v>42100</v>
      </c>
      <c r="J47" s="550">
        <v>1100</v>
      </c>
      <c r="K47" s="551"/>
      <c r="L47" s="552">
        <f t="shared" si="20"/>
        <v>1100</v>
      </c>
      <c r="M47" s="551"/>
      <c r="N47" s="551"/>
      <c r="O47" s="551"/>
      <c r="P47" s="551"/>
      <c r="Q47" s="553">
        <f t="shared" si="21"/>
        <v>1100</v>
      </c>
      <c r="R47" s="553">
        <f t="shared" si="22"/>
        <v>133.65</v>
      </c>
      <c r="S47" s="553">
        <f t="shared" si="23"/>
        <v>91.666299999999993</v>
      </c>
      <c r="T47" s="553">
        <f t="shared" si="24"/>
        <v>39.166666666666664</v>
      </c>
      <c r="U47" s="553">
        <f t="shared" si="25"/>
        <v>91.666666666666671</v>
      </c>
      <c r="V47" s="553">
        <f t="shared" si="26"/>
        <v>1456.1496333333337</v>
      </c>
      <c r="W47" s="554">
        <v>0</v>
      </c>
      <c r="X47" s="552">
        <f t="shared" si="27"/>
        <v>91.666299999999993</v>
      </c>
      <c r="Y47" s="552">
        <f t="shared" si="28"/>
        <v>91.666299999999993</v>
      </c>
      <c r="Z47" s="552">
        <f t="shared" si="29"/>
        <v>91.666299999999993</v>
      </c>
      <c r="AA47" s="552">
        <f t="shared" si="30"/>
        <v>91.666299999999993</v>
      </c>
      <c r="AB47" s="552">
        <f t="shared" si="31"/>
        <v>91.666299999999993</v>
      </c>
      <c r="AC47" s="552">
        <f t="shared" si="32"/>
        <v>91.666299999999993</v>
      </c>
      <c r="AD47" s="552">
        <f t="shared" si="33"/>
        <v>91.666299999999993</v>
      </c>
      <c r="AE47" s="552">
        <f t="shared" si="34"/>
        <v>91.666299999999993</v>
      </c>
      <c r="AF47" s="552">
        <f t="shared" si="35"/>
        <v>91.666299999999993</v>
      </c>
      <c r="AG47" s="552">
        <f t="shared" si="36"/>
        <v>91.666299999999993</v>
      </c>
      <c r="AH47" s="552">
        <f t="shared" si="37"/>
        <v>91.666299999999993</v>
      </c>
      <c r="AI47" s="552">
        <f t="shared" si="38"/>
        <v>91.666299999999993</v>
      </c>
      <c r="AJ47" s="551"/>
      <c r="AK47" s="551"/>
      <c r="AL47" s="543"/>
      <c r="AM47" s="543"/>
    </row>
    <row r="48" spans="1:39" s="538" customFormat="1" ht="12" customHeight="1" outlineLevel="1" collapsed="1" x14ac:dyDescent="0.25">
      <c r="A48" s="544">
        <v>38</v>
      </c>
      <c r="B48" s="556" t="str">
        <f t="shared" si="39"/>
        <v>QUITO</v>
      </c>
      <c r="C48" s="546" t="s">
        <v>1074</v>
      </c>
      <c r="D48" s="547" t="s">
        <v>1047</v>
      </c>
      <c r="E48" s="547" t="s">
        <v>1035</v>
      </c>
      <c r="F48" s="546" t="s">
        <v>1075</v>
      </c>
      <c r="G48" s="557"/>
      <c r="H48" s="557"/>
      <c r="I48" s="549">
        <v>45439</v>
      </c>
      <c r="J48" s="550">
        <v>1000</v>
      </c>
      <c r="K48" s="551"/>
      <c r="L48" s="552">
        <f t="shared" si="20"/>
        <v>1000</v>
      </c>
      <c r="M48" s="551"/>
      <c r="N48" s="551"/>
      <c r="O48" s="552">
        <f>L48*$O$7</f>
        <v>400</v>
      </c>
      <c r="P48" s="551"/>
      <c r="Q48" s="553">
        <f t="shared" si="21"/>
        <v>1400</v>
      </c>
      <c r="R48" s="553">
        <f t="shared" si="22"/>
        <v>170.1</v>
      </c>
      <c r="S48" s="553">
        <f t="shared" si="23"/>
        <v>77.777466666666655</v>
      </c>
      <c r="T48" s="553">
        <f t="shared" si="24"/>
        <v>39.166666666666664</v>
      </c>
      <c r="U48" s="553">
        <f t="shared" si="25"/>
        <v>116.66666666666667</v>
      </c>
      <c r="V48" s="553">
        <f t="shared" si="26"/>
        <v>1803.7108000000001</v>
      </c>
      <c r="W48" s="554">
        <v>0</v>
      </c>
      <c r="X48" s="552">
        <f t="shared" si="27"/>
        <v>0</v>
      </c>
      <c r="Y48" s="552">
        <f t="shared" si="28"/>
        <v>0</v>
      </c>
      <c r="Z48" s="552">
        <f t="shared" si="29"/>
        <v>0</v>
      </c>
      <c r="AA48" s="552">
        <f t="shared" si="30"/>
        <v>0</v>
      </c>
      <c r="AB48" s="552">
        <f t="shared" si="31"/>
        <v>116.66619999999999</v>
      </c>
      <c r="AC48" s="552">
        <f t="shared" si="32"/>
        <v>116.66619999999999</v>
      </c>
      <c r="AD48" s="552">
        <f t="shared" si="33"/>
        <v>116.66619999999999</v>
      </c>
      <c r="AE48" s="552">
        <f t="shared" si="34"/>
        <v>116.66619999999999</v>
      </c>
      <c r="AF48" s="552">
        <f t="shared" si="35"/>
        <v>116.66619999999999</v>
      </c>
      <c r="AG48" s="552">
        <f t="shared" si="36"/>
        <v>116.66619999999999</v>
      </c>
      <c r="AH48" s="552">
        <f t="shared" si="37"/>
        <v>116.66619999999999</v>
      </c>
      <c r="AI48" s="552">
        <f t="shared" si="38"/>
        <v>116.66619999999999</v>
      </c>
      <c r="AJ48" s="551"/>
      <c r="AK48" s="551"/>
      <c r="AL48" s="543"/>
      <c r="AM48" s="543"/>
    </row>
    <row r="49" spans="1:39" s="538" customFormat="1" ht="12" customHeight="1" outlineLevel="1" collapsed="1" x14ac:dyDescent="0.25">
      <c r="A49" s="544">
        <v>39</v>
      </c>
      <c r="B49" s="556" t="str">
        <f t="shared" si="39"/>
        <v>IBARRA</v>
      </c>
      <c r="C49" s="546" t="s">
        <v>1074</v>
      </c>
      <c r="D49" s="547" t="s">
        <v>1047</v>
      </c>
      <c r="E49" s="547" t="s">
        <v>1044</v>
      </c>
      <c r="F49" s="546" t="s">
        <v>1075</v>
      </c>
      <c r="G49" s="557"/>
      <c r="H49" s="557"/>
      <c r="I49" s="549">
        <v>43535</v>
      </c>
      <c r="J49" s="550">
        <v>2000</v>
      </c>
      <c r="K49" s="551"/>
      <c r="L49" s="552">
        <f t="shared" si="20"/>
        <v>2000</v>
      </c>
      <c r="M49" s="551"/>
      <c r="N49" s="551"/>
      <c r="O49" s="552">
        <f>L49*$O$7</f>
        <v>800</v>
      </c>
      <c r="P49" s="551"/>
      <c r="Q49" s="553">
        <f t="shared" si="21"/>
        <v>2800</v>
      </c>
      <c r="R49" s="553">
        <f t="shared" si="22"/>
        <v>340.2</v>
      </c>
      <c r="S49" s="553">
        <f t="shared" si="23"/>
        <v>233.33239999999992</v>
      </c>
      <c r="T49" s="553">
        <f t="shared" si="24"/>
        <v>39.166666666666664</v>
      </c>
      <c r="U49" s="553">
        <f t="shared" si="25"/>
        <v>233.33333333333334</v>
      </c>
      <c r="V49" s="553">
        <f t="shared" si="26"/>
        <v>3646.0323999999996</v>
      </c>
      <c r="W49" s="554">
        <v>0</v>
      </c>
      <c r="X49" s="552">
        <f t="shared" si="27"/>
        <v>233.33239999999998</v>
      </c>
      <c r="Y49" s="552">
        <f t="shared" si="28"/>
        <v>233.33239999999998</v>
      </c>
      <c r="Z49" s="552">
        <f t="shared" si="29"/>
        <v>233.33239999999998</v>
      </c>
      <c r="AA49" s="552">
        <f t="shared" si="30"/>
        <v>233.33239999999998</v>
      </c>
      <c r="AB49" s="552">
        <f t="shared" si="31"/>
        <v>233.33239999999998</v>
      </c>
      <c r="AC49" s="552">
        <f t="shared" si="32"/>
        <v>233.33239999999998</v>
      </c>
      <c r="AD49" s="552">
        <f t="shared" si="33"/>
        <v>233.33239999999998</v>
      </c>
      <c r="AE49" s="552">
        <f t="shared" si="34"/>
        <v>233.33239999999998</v>
      </c>
      <c r="AF49" s="552">
        <f t="shared" si="35"/>
        <v>233.33239999999998</v>
      </c>
      <c r="AG49" s="552">
        <f t="shared" si="36"/>
        <v>233.33239999999998</v>
      </c>
      <c r="AH49" s="552">
        <f t="shared" si="37"/>
        <v>233.33239999999998</v>
      </c>
      <c r="AI49" s="552">
        <f t="shared" si="38"/>
        <v>233.33239999999998</v>
      </c>
      <c r="AJ49" s="551"/>
      <c r="AK49" s="551"/>
      <c r="AL49" s="543"/>
      <c r="AM49" s="543"/>
    </row>
    <row r="50" spans="1:39" s="538" customFormat="1" ht="12" customHeight="1" outlineLevel="1" collapsed="1" x14ac:dyDescent="0.25">
      <c r="A50" s="544">
        <v>40</v>
      </c>
      <c r="B50" s="556" t="str">
        <f t="shared" si="39"/>
        <v>QUITO</v>
      </c>
      <c r="C50" s="546" t="s">
        <v>1066</v>
      </c>
      <c r="D50" s="547" t="s">
        <v>1067</v>
      </c>
      <c r="E50" s="547" t="s">
        <v>1035</v>
      </c>
      <c r="F50" s="561" t="s">
        <v>1076</v>
      </c>
      <c r="G50" s="557"/>
      <c r="H50" s="557"/>
      <c r="I50" s="549">
        <v>42646</v>
      </c>
      <c r="J50" s="550">
        <v>1500</v>
      </c>
      <c r="K50" s="551"/>
      <c r="L50" s="552">
        <f t="shared" si="20"/>
        <v>1500</v>
      </c>
      <c r="M50" s="551"/>
      <c r="N50" s="551"/>
      <c r="O50" s="551"/>
      <c r="P50" s="551"/>
      <c r="Q50" s="553">
        <f t="shared" si="21"/>
        <v>1500</v>
      </c>
      <c r="R50" s="553">
        <f t="shared" si="22"/>
        <v>182.25</v>
      </c>
      <c r="S50" s="553">
        <f t="shared" si="23"/>
        <v>124.99949999999997</v>
      </c>
      <c r="T50" s="553">
        <f t="shared" si="24"/>
        <v>39.166666666666664</v>
      </c>
      <c r="U50" s="553">
        <f t="shared" si="25"/>
        <v>125</v>
      </c>
      <c r="V50" s="553">
        <f t="shared" si="26"/>
        <v>1971.4161666666666</v>
      </c>
      <c r="W50" s="554">
        <v>0</v>
      </c>
      <c r="X50" s="552">
        <f t="shared" si="27"/>
        <v>124.99949999999998</v>
      </c>
      <c r="Y50" s="552">
        <f t="shared" si="28"/>
        <v>124.99949999999998</v>
      </c>
      <c r="Z50" s="552">
        <f t="shared" si="29"/>
        <v>124.99949999999998</v>
      </c>
      <c r="AA50" s="552">
        <f t="shared" si="30"/>
        <v>124.99949999999998</v>
      </c>
      <c r="AB50" s="552">
        <f t="shared" si="31"/>
        <v>124.99949999999998</v>
      </c>
      <c r="AC50" s="552">
        <f t="shared" si="32"/>
        <v>124.99949999999998</v>
      </c>
      <c r="AD50" s="552">
        <f t="shared" si="33"/>
        <v>124.99949999999998</v>
      </c>
      <c r="AE50" s="552">
        <f t="shared" si="34"/>
        <v>124.99949999999998</v>
      </c>
      <c r="AF50" s="552">
        <f t="shared" si="35"/>
        <v>124.99949999999998</v>
      </c>
      <c r="AG50" s="552">
        <f t="shared" si="36"/>
        <v>124.99949999999998</v>
      </c>
      <c r="AH50" s="552">
        <f t="shared" si="37"/>
        <v>124.99949999999998</v>
      </c>
      <c r="AI50" s="552">
        <f t="shared" si="38"/>
        <v>124.99949999999998</v>
      </c>
      <c r="AJ50" s="551"/>
      <c r="AK50" s="551"/>
      <c r="AL50" s="543"/>
      <c r="AM50" s="543"/>
    </row>
    <row r="51" spans="1:39" s="538" customFormat="1" ht="12" customHeight="1" outlineLevel="1" collapsed="1" x14ac:dyDescent="0.25">
      <c r="A51" s="544">
        <v>41</v>
      </c>
      <c r="B51" s="556" t="str">
        <f t="shared" si="39"/>
        <v>QUITO</v>
      </c>
      <c r="C51" s="546" t="s">
        <v>1041</v>
      </c>
      <c r="D51" s="547" t="s">
        <v>1042</v>
      </c>
      <c r="E51" s="547" t="s">
        <v>1035</v>
      </c>
      <c r="F51" s="546" t="s">
        <v>1077</v>
      </c>
      <c r="G51" s="557"/>
      <c r="H51" s="557"/>
      <c r="I51" s="549">
        <v>44235</v>
      </c>
      <c r="J51" s="550">
        <v>500</v>
      </c>
      <c r="K51" s="551"/>
      <c r="L51" s="552">
        <f t="shared" si="20"/>
        <v>500</v>
      </c>
      <c r="M51" s="551"/>
      <c r="N51" s="551"/>
      <c r="O51" s="552">
        <f>L51*$O$7</f>
        <v>200</v>
      </c>
      <c r="P51" s="551"/>
      <c r="Q51" s="553">
        <f t="shared" si="21"/>
        <v>700</v>
      </c>
      <c r="R51" s="553">
        <f t="shared" si="22"/>
        <v>85.05</v>
      </c>
      <c r="S51" s="553">
        <f t="shared" si="23"/>
        <v>58.33309999999998</v>
      </c>
      <c r="T51" s="553">
        <f t="shared" si="24"/>
        <v>39.166666666666664</v>
      </c>
      <c r="U51" s="553">
        <f t="shared" si="25"/>
        <v>58.333333333333336</v>
      </c>
      <c r="V51" s="553">
        <f t="shared" si="26"/>
        <v>940.8830999999999</v>
      </c>
      <c r="W51" s="554">
        <v>0</v>
      </c>
      <c r="X51" s="552">
        <f t="shared" si="27"/>
        <v>58.333099999999995</v>
      </c>
      <c r="Y51" s="552">
        <f t="shared" si="28"/>
        <v>58.333099999999995</v>
      </c>
      <c r="Z51" s="552">
        <f t="shared" si="29"/>
        <v>58.333099999999995</v>
      </c>
      <c r="AA51" s="552">
        <f t="shared" si="30"/>
        <v>58.333099999999995</v>
      </c>
      <c r="AB51" s="552">
        <f t="shared" si="31"/>
        <v>58.333099999999995</v>
      </c>
      <c r="AC51" s="552">
        <f t="shared" si="32"/>
        <v>58.333099999999995</v>
      </c>
      <c r="AD51" s="552">
        <f t="shared" si="33"/>
        <v>58.333099999999995</v>
      </c>
      <c r="AE51" s="552">
        <f t="shared" si="34"/>
        <v>58.333099999999995</v>
      </c>
      <c r="AF51" s="552">
        <f t="shared" si="35"/>
        <v>58.333099999999995</v>
      </c>
      <c r="AG51" s="552">
        <f t="shared" si="36"/>
        <v>58.333099999999995</v>
      </c>
      <c r="AH51" s="552">
        <f t="shared" si="37"/>
        <v>58.333099999999995</v>
      </c>
      <c r="AI51" s="552">
        <f t="shared" si="38"/>
        <v>58.333099999999995</v>
      </c>
      <c r="AJ51" s="551"/>
      <c r="AK51" s="551"/>
      <c r="AL51" s="543"/>
      <c r="AM51" s="543"/>
    </row>
    <row r="52" spans="1:39" s="538" customFormat="1" ht="12" customHeight="1" outlineLevel="1" collapsed="1" x14ac:dyDescent="0.25">
      <c r="A52" s="544">
        <v>42</v>
      </c>
      <c r="B52" s="556" t="str">
        <f t="shared" si="39"/>
        <v>GUAYAQUIL</v>
      </c>
      <c r="C52" s="546" t="s">
        <v>1033</v>
      </c>
      <c r="D52" s="547" t="s">
        <v>1034</v>
      </c>
      <c r="E52" s="547" t="s">
        <v>1049</v>
      </c>
      <c r="F52" s="546" t="s">
        <v>1078</v>
      </c>
      <c r="G52" s="557"/>
      <c r="H52" s="557"/>
      <c r="I52" s="549">
        <v>45245</v>
      </c>
      <c r="J52" s="550">
        <v>800</v>
      </c>
      <c r="K52" s="551"/>
      <c r="L52" s="552">
        <f t="shared" si="20"/>
        <v>800</v>
      </c>
      <c r="M52" s="551"/>
      <c r="N52" s="551"/>
      <c r="O52" s="551"/>
      <c r="P52" s="551"/>
      <c r="Q52" s="553">
        <f t="shared" si="21"/>
        <v>800</v>
      </c>
      <c r="R52" s="553">
        <f t="shared" si="22"/>
        <v>97.2</v>
      </c>
      <c r="S52" s="553">
        <f t="shared" si="23"/>
        <v>66.666399999999982</v>
      </c>
      <c r="T52" s="553">
        <f t="shared" si="24"/>
        <v>39.166666666666664</v>
      </c>
      <c r="U52" s="553">
        <f t="shared" si="25"/>
        <v>66.666666666666671</v>
      </c>
      <c r="V52" s="553">
        <f t="shared" si="26"/>
        <v>1069.6997333333334</v>
      </c>
      <c r="W52" s="554">
        <v>0</v>
      </c>
      <c r="X52" s="552">
        <f t="shared" si="27"/>
        <v>66.666399999999996</v>
      </c>
      <c r="Y52" s="552">
        <f t="shared" si="28"/>
        <v>66.666399999999996</v>
      </c>
      <c r="Z52" s="552">
        <f t="shared" si="29"/>
        <v>66.666399999999996</v>
      </c>
      <c r="AA52" s="552">
        <f t="shared" si="30"/>
        <v>66.666399999999996</v>
      </c>
      <c r="AB52" s="552">
        <f t="shared" si="31"/>
        <v>66.666399999999996</v>
      </c>
      <c r="AC52" s="552">
        <f t="shared" si="32"/>
        <v>66.666399999999996</v>
      </c>
      <c r="AD52" s="552">
        <f t="shared" si="33"/>
        <v>66.666399999999996</v>
      </c>
      <c r="AE52" s="552">
        <f t="shared" si="34"/>
        <v>66.666399999999996</v>
      </c>
      <c r="AF52" s="552">
        <f t="shared" si="35"/>
        <v>66.666399999999996</v>
      </c>
      <c r="AG52" s="552">
        <f t="shared" si="36"/>
        <v>66.666399999999996</v>
      </c>
      <c r="AH52" s="552">
        <f t="shared" si="37"/>
        <v>66.666399999999996</v>
      </c>
      <c r="AI52" s="552">
        <f t="shared" si="38"/>
        <v>66.666399999999996</v>
      </c>
      <c r="AJ52" s="551"/>
      <c r="AK52" s="551"/>
      <c r="AL52" s="543"/>
      <c r="AM52" s="543"/>
    </row>
    <row r="53" spans="1:39" s="538" customFormat="1" ht="12" customHeight="1" outlineLevel="1" collapsed="1" x14ac:dyDescent="0.25">
      <c r="A53" s="544">
        <v>43</v>
      </c>
      <c r="B53" s="556" t="str">
        <f t="shared" si="39"/>
        <v>IBARRA</v>
      </c>
      <c r="C53" s="546" t="s">
        <v>1033</v>
      </c>
      <c r="D53" s="547" t="s">
        <v>1034</v>
      </c>
      <c r="E53" s="547" t="s">
        <v>1044</v>
      </c>
      <c r="F53" s="546" t="s">
        <v>1078</v>
      </c>
      <c r="G53" s="557"/>
      <c r="H53" s="557"/>
      <c r="I53" s="549">
        <v>35797</v>
      </c>
      <c r="J53" s="550">
        <v>800</v>
      </c>
      <c r="K53" s="551"/>
      <c r="L53" s="552">
        <f t="shared" si="20"/>
        <v>800</v>
      </c>
      <c r="M53" s="551"/>
      <c r="N53" s="551"/>
      <c r="O53" s="551"/>
      <c r="P53" s="551"/>
      <c r="Q53" s="553">
        <f t="shared" si="21"/>
        <v>800</v>
      </c>
      <c r="R53" s="553">
        <f t="shared" si="22"/>
        <v>97.2</v>
      </c>
      <c r="S53" s="553">
        <f t="shared" si="23"/>
        <v>66.666399999999982</v>
      </c>
      <c r="T53" s="553">
        <f t="shared" si="24"/>
        <v>39.166666666666664</v>
      </c>
      <c r="U53" s="553">
        <f t="shared" si="25"/>
        <v>66.666666666666671</v>
      </c>
      <c r="V53" s="553">
        <f t="shared" si="26"/>
        <v>1069.6997333333334</v>
      </c>
      <c r="W53" s="554">
        <v>0</v>
      </c>
      <c r="X53" s="552">
        <f t="shared" si="27"/>
        <v>66.666399999999996</v>
      </c>
      <c r="Y53" s="552">
        <f t="shared" si="28"/>
        <v>66.666399999999996</v>
      </c>
      <c r="Z53" s="552">
        <f t="shared" si="29"/>
        <v>66.666399999999996</v>
      </c>
      <c r="AA53" s="552">
        <f t="shared" si="30"/>
        <v>66.666399999999996</v>
      </c>
      <c r="AB53" s="552">
        <f t="shared" si="31"/>
        <v>66.666399999999996</v>
      </c>
      <c r="AC53" s="552">
        <f t="shared" si="32"/>
        <v>66.666399999999996</v>
      </c>
      <c r="AD53" s="552">
        <f t="shared" si="33"/>
        <v>66.666399999999996</v>
      </c>
      <c r="AE53" s="552">
        <f t="shared" si="34"/>
        <v>66.666399999999996</v>
      </c>
      <c r="AF53" s="552">
        <f t="shared" si="35"/>
        <v>66.666399999999996</v>
      </c>
      <c r="AG53" s="552">
        <f t="shared" si="36"/>
        <v>66.666399999999996</v>
      </c>
      <c r="AH53" s="552">
        <f t="shared" si="37"/>
        <v>66.666399999999996</v>
      </c>
      <c r="AI53" s="552">
        <f t="shared" si="38"/>
        <v>66.666399999999996</v>
      </c>
      <c r="AJ53" s="551"/>
      <c r="AK53" s="551"/>
      <c r="AL53" s="543"/>
      <c r="AM53" s="543"/>
    </row>
    <row r="54" spans="1:39" s="538" customFormat="1" ht="12" customHeight="1" outlineLevel="1" collapsed="1" x14ac:dyDescent="0.25">
      <c r="A54" s="544">
        <v>44</v>
      </c>
      <c r="B54" s="556" t="str">
        <f t="shared" si="39"/>
        <v>QUITO</v>
      </c>
      <c r="C54" s="546" t="s">
        <v>1069</v>
      </c>
      <c r="D54" s="547" t="s">
        <v>1070</v>
      </c>
      <c r="E54" s="547" t="s">
        <v>1035</v>
      </c>
      <c r="F54" s="546" t="s">
        <v>1071</v>
      </c>
      <c r="G54" s="557"/>
      <c r="H54" s="557"/>
      <c r="I54" s="549">
        <v>42795</v>
      </c>
      <c r="J54" s="550">
        <v>700</v>
      </c>
      <c r="K54" s="551"/>
      <c r="L54" s="552">
        <f t="shared" si="20"/>
        <v>700</v>
      </c>
      <c r="M54" s="551"/>
      <c r="N54" s="551"/>
      <c r="O54" s="551"/>
      <c r="P54" s="551"/>
      <c r="Q54" s="553">
        <f t="shared" si="21"/>
        <v>700</v>
      </c>
      <c r="R54" s="553">
        <f t="shared" si="22"/>
        <v>85.05</v>
      </c>
      <c r="S54" s="553">
        <f t="shared" si="23"/>
        <v>58.33309999999998</v>
      </c>
      <c r="T54" s="553">
        <f t="shared" si="24"/>
        <v>39.166666666666664</v>
      </c>
      <c r="U54" s="553">
        <f t="shared" si="25"/>
        <v>58.333333333333336</v>
      </c>
      <c r="V54" s="553">
        <f t="shared" si="26"/>
        <v>940.8830999999999</v>
      </c>
      <c r="W54" s="554">
        <v>0</v>
      </c>
      <c r="X54" s="552">
        <f t="shared" si="27"/>
        <v>58.333099999999995</v>
      </c>
      <c r="Y54" s="552">
        <f t="shared" si="28"/>
        <v>58.333099999999995</v>
      </c>
      <c r="Z54" s="552">
        <f t="shared" si="29"/>
        <v>58.333099999999995</v>
      </c>
      <c r="AA54" s="552">
        <f t="shared" si="30"/>
        <v>58.333099999999995</v>
      </c>
      <c r="AB54" s="552">
        <f t="shared" si="31"/>
        <v>58.333099999999995</v>
      </c>
      <c r="AC54" s="552">
        <f t="shared" si="32"/>
        <v>58.333099999999995</v>
      </c>
      <c r="AD54" s="552">
        <f t="shared" si="33"/>
        <v>58.333099999999995</v>
      </c>
      <c r="AE54" s="552">
        <f t="shared" si="34"/>
        <v>58.333099999999995</v>
      </c>
      <c r="AF54" s="552">
        <f t="shared" si="35"/>
        <v>58.333099999999995</v>
      </c>
      <c r="AG54" s="552">
        <f t="shared" si="36"/>
        <v>58.333099999999995</v>
      </c>
      <c r="AH54" s="552">
        <f t="shared" si="37"/>
        <v>58.333099999999995</v>
      </c>
      <c r="AI54" s="552">
        <f t="shared" si="38"/>
        <v>58.333099999999995</v>
      </c>
      <c r="AJ54" s="551"/>
      <c r="AK54" s="551"/>
      <c r="AL54" s="543"/>
      <c r="AM54" s="543"/>
    </row>
    <row r="55" spans="1:39" s="538" customFormat="1" ht="12" customHeight="1" outlineLevel="1" collapsed="1" x14ac:dyDescent="0.25">
      <c r="A55" s="544">
        <v>45</v>
      </c>
      <c r="B55" s="556" t="str">
        <f t="shared" si="39"/>
        <v>QUITO</v>
      </c>
      <c r="C55" s="546" t="s">
        <v>1046</v>
      </c>
      <c r="D55" s="547" t="s">
        <v>1047</v>
      </c>
      <c r="E55" s="547" t="s">
        <v>1035</v>
      </c>
      <c r="F55" s="546" t="s">
        <v>1075</v>
      </c>
      <c r="G55" s="557"/>
      <c r="H55" s="557"/>
      <c r="I55" s="549">
        <v>45181</v>
      </c>
      <c r="J55" s="550">
        <v>900</v>
      </c>
      <c r="K55" s="551"/>
      <c r="L55" s="552">
        <f t="shared" si="20"/>
        <v>900</v>
      </c>
      <c r="M55" s="551"/>
      <c r="N55" s="551"/>
      <c r="O55" s="552">
        <f>L55*$O$7</f>
        <v>360</v>
      </c>
      <c r="P55" s="551"/>
      <c r="Q55" s="553">
        <f t="shared" si="21"/>
        <v>1260</v>
      </c>
      <c r="R55" s="553">
        <f t="shared" si="22"/>
        <v>153.09</v>
      </c>
      <c r="S55" s="553">
        <f t="shared" si="23"/>
        <v>104.99957999999999</v>
      </c>
      <c r="T55" s="553">
        <f t="shared" si="24"/>
        <v>39.166666666666664</v>
      </c>
      <c r="U55" s="553">
        <f t="shared" si="25"/>
        <v>105</v>
      </c>
      <c r="V55" s="553">
        <f t="shared" si="26"/>
        <v>1662.2562466666666</v>
      </c>
      <c r="W55" s="554">
        <v>0</v>
      </c>
      <c r="X55" s="552">
        <f t="shared" si="27"/>
        <v>104.99957999999999</v>
      </c>
      <c r="Y55" s="552">
        <f t="shared" si="28"/>
        <v>104.99957999999999</v>
      </c>
      <c r="Z55" s="552">
        <f t="shared" si="29"/>
        <v>104.99957999999999</v>
      </c>
      <c r="AA55" s="552">
        <f t="shared" si="30"/>
        <v>104.99957999999999</v>
      </c>
      <c r="AB55" s="552">
        <f t="shared" si="31"/>
        <v>104.99957999999999</v>
      </c>
      <c r="AC55" s="552">
        <f t="shared" si="32"/>
        <v>104.99957999999999</v>
      </c>
      <c r="AD55" s="552">
        <f t="shared" si="33"/>
        <v>104.99957999999999</v>
      </c>
      <c r="AE55" s="552">
        <f t="shared" si="34"/>
        <v>104.99957999999999</v>
      </c>
      <c r="AF55" s="552">
        <f t="shared" si="35"/>
        <v>104.99957999999999</v>
      </c>
      <c r="AG55" s="552">
        <f t="shared" si="36"/>
        <v>104.99957999999999</v>
      </c>
      <c r="AH55" s="552">
        <f t="shared" si="37"/>
        <v>104.99957999999999</v>
      </c>
      <c r="AI55" s="552">
        <f t="shared" si="38"/>
        <v>104.99957999999999</v>
      </c>
      <c r="AJ55" s="562"/>
      <c r="AK55" s="562"/>
      <c r="AL55" s="543"/>
      <c r="AM55" s="543"/>
    </row>
    <row r="56" spans="1:39" s="538" customFormat="1" ht="12" customHeight="1" outlineLevel="1" collapsed="1" x14ac:dyDescent="0.25">
      <c r="A56" s="544">
        <v>46</v>
      </c>
      <c r="B56" s="556" t="str">
        <f t="shared" si="39"/>
        <v>QUITO</v>
      </c>
      <c r="C56" s="546" t="s">
        <v>1079</v>
      </c>
      <c r="D56" s="547" t="s">
        <v>1080</v>
      </c>
      <c r="E56" s="547" t="s">
        <v>1035</v>
      </c>
      <c r="F56" s="546" t="s">
        <v>1081</v>
      </c>
      <c r="G56" s="557"/>
      <c r="H56" s="557"/>
      <c r="I56" s="549">
        <v>44942</v>
      </c>
      <c r="J56" s="550">
        <v>1250</v>
      </c>
      <c r="K56" s="551"/>
      <c r="L56" s="552">
        <f t="shared" si="20"/>
        <v>1250</v>
      </c>
      <c r="M56" s="551"/>
      <c r="N56" s="551"/>
      <c r="O56" s="551"/>
      <c r="P56" s="551"/>
      <c r="Q56" s="553">
        <f t="shared" si="21"/>
        <v>1250</v>
      </c>
      <c r="R56" s="553">
        <f t="shared" si="22"/>
        <v>151.875</v>
      </c>
      <c r="S56" s="553">
        <f t="shared" si="23"/>
        <v>104.16624999999999</v>
      </c>
      <c r="T56" s="553">
        <f t="shared" si="24"/>
        <v>39.166666666666664</v>
      </c>
      <c r="U56" s="553">
        <f t="shared" si="25"/>
        <v>104.16666666666667</v>
      </c>
      <c r="V56" s="553">
        <f t="shared" si="26"/>
        <v>1649.3745833333335</v>
      </c>
      <c r="W56" s="554">
        <v>0</v>
      </c>
      <c r="X56" s="552">
        <f t="shared" si="27"/>
        <v>104.16624999999999</v>
      </c>
      <c r="Y56" s="552">
        <f t="shared" si="28"/>
        <v>104.16624999999999</v>
      </c>
      <c r="Z56" s="552">
        <f t="shared" si="29"/>
        <v>104.16624999999999</v>
      </c>
      <c r="AA56" s="552">
        <f t="shared" si="30"/>
        <v>104.16624999999999</v>
      </c>
      <c r="AB56" s="552">
        <f t="shared" si="31"/>
        <v>104.16624999999999</v>
      </c>
      <c r="AC56" s="552">
        <f t="shared" si="32"/>
        <v>104.16624999999999</v>
      </c>
      <c r="AD56" s="552">
        <f t="shared" si="33"/>
        <v>104.16624999999999</v>
      </c>
      <c r="AE56" s="552">
        <f t="shared" si="34"/>
        <v>104.16624999999999</v>
      </c>
      <c r="AF56" s="552">
        <f t="shared" si="35"/>
        <v>104.16624999999999</v>
      </c>
      <c r="AG56" s="552">
        <f t="shared" si="36"/>
        <v>104.16624999999999</v>
      </c>
      <c r="AH56" s="552">
        <f t="shared" si="37"/>
        <v>104.16624999999999</v>
      </c>
      <c r="AI56" s="552">
        <f t="shared" si="38"/>
        <v>104.16624999999999</v>
      </c>
      <c r="AJ56" s="562"/>
      <c r="AK56" s="562"/>
      <c r="AL56" s="543"/>
      <c r="AM56" s="543"/>
    </row>
    <row r="57" spans="1:39" s="538" customFormat="1" ht="12" customHeight="1" outlineLevel="1" collapsed="1" x14ac:dyDescent="0.25">
      <c r="A57" s="544">
        <v>47</v>
      </c>
      <c r="B57" s="556" t="str">
        <f t="shared" si="39"/>
        <v>QUITO</v>
      </c>
      <c r="C57" s="546" t="s">
        <v>1052</v>
      </c>
      <c r="D57" s="547" t="s">
        <v>1053</v>
      </c>
      <c r="E57" s="547" t="s">
        <v>1035</v>
      </c>
      <c r="F57" s="546" t="s">
        <v>1054</v>
      </c>
      <c r="G57" s="557"/>
      <c r="H57" s="557"/>
      <c r="I57" s="549">
        <v>42803</v>
      </c>
      <c r="J57" s="550">
        <v>500</v>
      </c>
      <c r="K57" s="551"/>
      <c r="L57" s="552">
        <f t="shared" si="20"/>
        <v>500</v>
      </c>
      <c r="M57" s="551"/>
      <c r="N57" s="551"/>
      <c r="O57" s="551"/>
      <c r="P57" s="551"/>
      <c r="Q57" s="553">
        <f t="shared" si="21"/>
        <v>500</v>
      </c>
      <c r="R57" s="553">
        <f t="shared" si="22"/>
        <v>60.75</v>
      </c>
      <c r="S57" s="553">
        <f t="shared" si="23"/>
        <v>41.666499999999992</v>
      </c>
      <c r="T57" s="553">
        <f t="shared" si="24"/>
        <v>39.166666666666664</v>
      </c>
      <c r="U57" s="553">
        <f t="shared" si="25"/>
        <v>41.666666666666664</v>
      </c>
      <c r="V57" s="553">
        <f t="shared" si="26"/>
        <v>683.2498333333333</v>
      </c>
      <c r="W57" s="554">
        <v>0</v>
      </c>
      <c r="X57" s="552">
        <f t="shared" si="27"/>
        <v>41.666499999999992</v>
      </c>
      <c r="Y57" s="552">
        <f t="shared" si="28"/>
        <v>41.666499999999992</v>
      </c>
      <c r="Z57" s="552">
        <f t="shared" si="29"/>
        <v>41.666499999999992</v>
      </c>
      <c r="AA57" s="552">
        <f t="shared" si="30"/>
        <v>41.666499999999992</v>
      </c>
      <c r="AB57" s="552">
        <f t="shared" si="31"/>
        <v>41.666499999999992</v>
      </c>
      <c r="AC57" s="552">
        <f t="shared" si="32"/>
        <v>41.666499999999992</v>
      </c>
      <c r="AD57" s="552">
        <f t="shared" si="33"/>
        <v>41.666499999999992</v>
      </c>
      <c r="AE57" s="552">
        <f t="shared" si="34"/>
        <v>41.666499999999992</v>
      </c>
      <c r="AF57" s="552">
        <f t="shared" si="35"/>
        <v>41.666499999999992</v>
      </c>
      <c r="AG57" s="552">
        <f t="shared" si="36"/>
        <v>41.666499999999992</v>
      </c>
      <c r="AH57" s="552">
        <f t="shared" si="37"/>
        <v>41.666499999999992</v>
      </c>
      <c r="AI57" s="552">
        <f t="shared" si="38"/>
        <v>41.666499999999992</v>
      </c>
      <c r="AJ57" s="551"/>
      <c r="AK57" s="551"/>
      <c r="AL57" s="543"/>
      <c r="AM57" s="543"/>
    </row>
    <row r="58" spans="1:39" s="538" customFormat="1" ht="12" customHeight="1" outlineLevel="1" collapsed="1" x14ac:dyDescent="0.25">
      <c r="A58" s="544">
        <v>48</v>
      </c>
      <c r="B58" s="556" t="str">
        <f t="shared" si="39"/>
        <v>QUITO</v>
      </c>
      <c r="C58" s="546" t="s">
        <v>1066</v>
      </c>
      <c r="D58" s="547" t="s">
        <v>1067</v>
      </c>
      <c r="E58" s="547" t="s">
        <v>1035</v>
      </c>
      <c r="F58" s="546" t="s">
        <v>1076</v>
      </c>
      <c r="G58" s="563"/>
      <c r="H58" s="557"/>
      <c r="I58" s="549">
        <v>45425</v>
      </c>
      <c r="J58" s="554">
        <v>700</v>
      </c>
      <c r="K58" s="564"/>
      <c r="L58" s="552">
        <f t="shared" si="20"/>
        <v>700</v>
      </c>
      <c r="M58" s="551"/>
      <c r="N58" s="551"/>
      <c r="O58" s="551"/>
      <c r="P58" s="564"/>
      <c r="Q58" s="553">
        <f t="shared" si="21"/>
        <v>700</v>
      </c>
      <c r="R58" s="553">
        <f t="shared" si="22"/>
        <v>85.05</v>
      </c>
      <c r="S58" s="553">
        <f t="shared" si="23"/>
        <v>38.888733333333327</v>
      </c>
      <c r="T58" s="553">
        <f t="shared" si="24"/>
        <v>39.166666666666664</v>
      </c>
      <c r="U58" s="553">
        <f t="shared" si="25"/>
        <v>58.333333333333336</v>
      </c>
      <c r="V58" s="553">
        <f t="shared" si="26"/>
        <v>921.43873333333329</v>
      </c>
      <c r="W58" s="554">
        <v>0</v>
      </c>
      <c r="X58" s="552">
        <f t="shared" si="27"/>
        <v>0</v>
      </c>
      <c r="Y58" s="552">
        <f t="shared" si="28"/>
        <v>0</v>
      </c>
      <c r="Z58" s="552">
        <f t="shared" si="29"/>
        <v>0</v>
      </c>
      <c r="AA58" s="552">
        <f t="shared" si="30"/>
        <v>0</v>
      </c>
      <c r="AB58" s="552">
        <f t="shared" si="31"/>
        <v>58.333099999999995</v>
      </c>
      <c r="AC58" s="552">
        <f t="shared" si="32"/>
        <v>58.333099999999995</v>
      </c>
      <c r="AD58" s="552">
        <f t="shared" si="33"/>
        <v>58.333099999999995</v>
      </c>
      <c r="AE58" s="552">
        <f t="shared" si="34"/>
        <v>58.333099999999995</v>
      </c>
      <c r="AF58" s="552">
        <f t="shared" si="35"/>
        <v>58.333099999999995</v>
      </c>
      <c r="AG58" s="552">
        <f t="shared" si="36"/>
        <v>58.333099999999995</v>
      </c>
      <c r="AH58" s="552">
        <f t="shared" si="37"/>
        <v>58.333099999999995</v>
      </c>
      <c r="AI58" s="552">
        <f t="shared" si="38"/>
        <v>58.333099999999995</v>
      </c>
      <c r="AJ58" s="551"/>
      <c r="AK58" s="551"/>
      <c r="AL58" s="543"/>
      <c r="AM58" s="543"/>
    </row>
    <row r="59" spans="1:39" s="558" customFormat="1" ht="12" customHeight="1" outlineLevel="1" collapsed="1" x14ac:dyDescent="0.25">
      <c r="A59" s="544">
        <v>49</v>
      </c>
      <c r="B59" s="556" t="str">
        <f t="shared" si="39"/>
        <v>QUITO</v>
      </c>
      <c r="C59" s="546" t="s">
        <v>1082</v>
      </c>
      <c r="D59" s="547" t="s">
        <v>1034</v>
      </c>
      <c r="E59" s="547" t="s">
        <v>1035</v>
      </c>
      <c r="F59" s="546" t="s">
        <v>1083</v>
      </c>
      <c r="G59" s="563"/>
      <c r="H59" s="557"/>
      <c r="I59" s="549">
        <v>45572</v>
      </c>
      <c r="J59" s="554">
        <v>600</v>
      </c>
      <c r="K59" s="564"/>
      <c r="L59" s="552">
        <f t="shared" si="20"/>
        <v>600</v>
      </c>
      <c r="M59" s="551"/>
      <c r="N59" s="551"/>
      <c r="O59" s="551"/>
      <c r="P59" s="564"/>
      <c r="Q59" s="553">
        <f t="shared" si="21"/>
        <v>600</v>
      </c>
      <c r="R59" s="553">
        <f t="shared" si="22"/>
        <v>72.899999999999991</v>
      </c>
      <c r="S59" s="553">
        <f t="shared" si="23"/>
        <v>12.499949999999998</v>
      </c>
      <c r="T59" s="553">
        <f t="shared" si="24"/>
        <v>39.166666666666664</v>
      </c>
      <c r="U59" s="553">
        <f t="shared" si="25"/>
        <v>50</v>
      </c>
      <c r="V59" s="553">
        <f t="shared" si="26"/>
        <v>774.56661666666662</v>
      </c>
      <c r="W59" s="554">
        <v>0</v>
      </c>
      <c r="X59" s="552">
        <f t="shared" si="27"/>
        <v>0</v>
      </c>
      <c r="Y59" s="552">
        <f t="shared" si="28"/>
        <v>0</v>
      </c>
      <c r="Z59" s="552">
        <f t="shared" si="29"/>
        <v>0</v>
      </c>
      <c r="AA59" s="552">
        <f t="shared" si="30"/>
        <v>0</v>
      </c>
      <c r="AB59" s="552">
        <f t="shared" si="31"/>
        <v>0</v>
      </c>
      <c r="AC59" s="552">
        <f t="shared" si="32"/>
        <v>0</v>
      </c>
      <c r="AD59" s="552">
        <f t="shared" si="33"/>
        <v>0</v>
      </c>
      <c r="AE59" s="552">
        <f t="shared" si="34"/>
        <v>0</v>
      </c>
      <c r="AF59" s="552">
        <f t="shared" si="35"/>
        <v>0</v>
      </c>
      <c r="AG59" s="552">
        <f t="shared" si="36"/>
        <v>49.999799999999993</v>
      </c>
      <c r="AH59" s="552">
        <f t="shared" si="37"/>
        <v>49.999799999999993</v>
      </c>
      <c r="AI59" s="552">
        <f t="shared" si="38"/>
        <v>49.999799999999993</v>
      </c>
      <c r="AJ59" s="551"/>
      <c r="AK59" s="551"/>
      <c r="AL59" s="559"/>
      <c r="AM59" s="559"/>
    </row>
    <row r="60" spans="1:39" s="538" customFormat="1" ht="12" customHeight="1" outlineLevel="1" collapsed="1" x14ac:dyDescent="0.25">
      <c r="A60" s="544">
        <v>50</v>
      </c>
      <c r="B60" s="556" t="str">
        <f t="shared" si="39"/>
        <v>QUITO</v>
      </c>
      <c r="C60" s="546" t="s">
        <v>1082</v>
      </c>
      <c r="D60" s="547" t="s">
        <v>1034</v>
      </c>
      <c r="E60" s="547" t="s">
        <v>1035</v>
      </c>
      <c r="F60" s="546" t="s">
        <v>1084</v>
      </c>
      <c r="G60" s="557"/>
      <c r="H60" s="557"/>
      <c r="I60" s="549">
        <v>42837</v>
      </c>
      <c r="J60" s="550">
        <v>750</v>
      </c>
      <c r="K60" s="551"/>
      <c r="L60" s="552">
        <f t="shared" si="20"/>
        <v>750</v>
      </c>
      <c r="M60" s="551"/>
      <c r="N60" s="551"/>
      <c r="O60" s="551"/>
      <c r="P60" s="551"/>
      <c r="Q60" s="553">
        <f t="shared" si="21"/>
        <v>750</v>
      </c>
      <c r="R60" s="553">
        <f t="shared" si="22"/>
        <v>91.125</v>
      </c>
      <c r="S60" s="553">
        <f t="shared" si="23"/>
        <v>62.499749999999985</v>
      </c>
      <c r="T60" s="553">
        <f t="shared" si="24"/>
        <v>39.166666666666664</v>
      </c>
      <c r="U60" s="553">
        <f t="shared" si="25"/>
        <v>62.5</v>
      </c>
      <c r="V60" s="553">
        <f t="shared" si="26"/>
        <v>1005.2914166666666</v>
      </c>
      <c r="W60" s="554">
        <v>0</v>
      </c>
      <c r="X60" s="552">
        <f t="shared" si="27"/>
        <v>62.499749999999992</v>
      </c>
      <c r="Y60" s="552">
        <f t="shared" si="28"/>
        <v>62.499749999999992</v>
      </c>
      <c r="Z60" s="552">
        <f t="shared" si="29"/>
        <v>62.499749999999992</v>
      </c>
      <c r="AA60" s="552">
        <f t="shared" si="30"/>
        <v>62.499749999999992</v>
      </c>
      <c r="AB60" s="552">
        <f t="shared" si="31"/>
        <v>62.499749999999992</v>
      </c>
      <c r="AC60" s="552">
        <f t="shared" si="32"/>
        <v>62.499749999999992</v>
      </c>
      <c r="AD60" s="552">
        <f t="shared" si="33"/>
        <v>62.499749999999992</v>
      </c>
      <c r="AE60" s="552">
        <f t="shared" si="34"/>
        <v>62.499749999999992</v>
      </c>
      <c r="AF60" s="552">
        <f t="shared" si="35"/>
        <v>62.499749999999992</v>
      </c>
      <c r="AG60" s="552">
        <f t="shared" si="36"/>
        <v>62.499749999999992</v>
      </c>
      <c r="AH60" s="552">
        <f t="shared" si="37"/>
        <v>62.499749999999992</v>
      </c>
      <c r="AI60" s="552">
        <f t="shared" si="38"/>
        <v>62.499749999999992</v>
      </c>
      <c r="AJ60" s="551"/>
      <c r="AK60" s="551"/>
      <c r="AL60" s="543"/>
      <c r="AM60" s="543"/>
    </row>
    <row r="61" spans="1:39" s="538" customFormat="1" ht="12" customHeight="1" outlineLevel="1" collapsed="1" x14ac:dyDescent="0.25">
      <c r="A61" s="544">
        <v>51</v>
      </c>
      <c r="B61" s="556" t="str">
        <f t="shared" si="39"/>
        <v>QUITO</v>
      </c>
      <c r="C61" s="546" t="s">
        <v>1046</v>
      </c>
      <c r="D61" s="547" t="s">
        <v>1047</v>
      </c>
      <c r="E61" s="547" t="s">
        <v>1035</v>
      </c>
      <c r="F61" s="546" t="s">
        <v>1050</v>
      </c>
      <c r="G61" s="557"/>
      <c r="H61" s="557"/>
      <c r="I61" s="549">
        <v>45621</v>
      </c>
      <c r="J61" s="550">
        <v>1000</v>
      </c>
      <c r="K61" s="551"/>
      <c r="L61" s="552">
        <f t="shared" si="20"/>
        <v>1000</v>
      </c>
      <c r="M61" s="551"/>
      <c r="N61" s="551"/>
      <c r="O61" s="551"/>
      <c r="P61" s="551"/>
      <c r="Q61" s="553">
        <f t="shared" si="21"/>
        <v>1000</v>
      </c>
      <c r="R61" s="553">
        <f t="shared" si="22"/>
        <v>121.5</v>
      </c>
      <c r="S61" s="553">
        <f t="shared" si="23"/>
        <v>13.888833333333331</v>
      </c>
      <c r="T61" s="553">
        <f t="shared" si="24"/>
        <v>39.166666666666664</v>
      </c>
      <c r="U61" s="553">
        <f t="shared" si="25"/>
        <v>83.333333333333329</v>
      </c>
      <c r="V61" s="553">
        <f t="shared" si="26"/>
        <v>1257.8888333333334</v>
      </c>
      <c r="W61" s="554">
        <v>0</v>
      </c>
      <c r="X61" s="552">
        <f t="shared" si="27"/>
        <v>0</v>
      </c>
      <c r="Y61" s="552">
        <f t="shared" si="28"/>
        <v>0</v>
      </c>
      <c r="Z61" s="552">
        <f t="shared" si="29"/>
        <v>0</v>
      </c>
      <c r="AA61" s="552">
        <f t="shared" si="30"/>
        <v>0</v>
      </c>
      <c r="AB61" s="552">
        <f t="shared" si="31"/>
        <v>0</v>
      </c>
      <c r="AC61" s="552">
        <f t="shared" si="32"/>
        <v>0</v>
      </c>
      <c r="AD61" s="552">
        <f t="shared" si="33"/>
        <v>0</v>
      </c>
      <c r="AE61" s="552">
        <f t="shared" si="34"/>
        <v>0</v>
      </c>
      <c r="AF61" s="552">
        <f t="shared" si="35"/>
        <v>0</v>
      </c>
      <c r="AG61" s="552">
        <f t="shared" si="36"/>
        <v>0</v>
      </c>
      <c r="AH61" s="552">
        <f t="shared" si="37"/>
        <v>83.332999999999984</v>
      </c>
      <c r="AI61" s="552">
        <f t="shared" si="38"/>
        <v>83.332999999999984</v>
      </c>
      <c r="AJ61" s="551"/>
      <c r="AK61" s="551"/>
      <c r="AL61" s="543"/>
      <c r="AM61" s="543"/>
    </row>
    <row r="62" spans="1:39" s="538" customFormat="1" ht="12" customHeight="1" outlineLevel="1" collapsed="1" x14ac:dyDescent="0.25">
      <c r="A62" s="544">
        <v>52</v>
      </c>
      <c r="B62" s="556" t="str">
        <f t="shared" si="39"/>
        <v>IBARRA</v>
      </c>
      <c r="C62" s="546" t="s">
        <v>1052</v>
      </c>
      <c r="D62" s="547" t="s">
        <v>1053</v>
      </c>
      <c r="E62" s="547" t="s">
        <v>1044</v>
      </c>
      <c r="F62" s="546" t="s">
        <v>1054</v>
      </c>
      <c r="G62" s="557"/>
      <c r="H62" s="557"/>
      <c r="I62" s="549">
        <v>45355</v>
      </c>
      <c r="J62" s="550">
        <v>232.5</v>
      </c>
      <c r="K62" s="551"/>
      <c r="L62" s="550">
        <v>232.5</v>
      </c>
      <c r="M62" s="551"/>
      <c r="N62" s="551"/>
      <c r="O62" s="551"/>
      <c r="P62" s="551"/>
      <c r="Q62" s="553">
        <f t="shared" si="21"/>
        <v>232.5</v>
      </c>
      <c r="R62" s="553">
        <f t="shared" si="22"/>
        <v>28.248749999999998</v>
      </c>
      <c r="S62" s="553">
        <f t="shared" si="23"/>
        <v>16.145768749999998</v>
      </c>
      <c r="T62" s="553">
        <f t="shared" si="24"/>
        <v>39.166666666666664</v>
      </c>
      <c r="U62" s="553">
        <f t="shared" si="25"/>
        <v>19.375</v>
      </c>
      <c r="V62" s="553">
        <f t="shared" si="26"/>
        <v>335.43618541666666</v>
      </c>
      <c r="W62" s="554">
        <v>0</v>
      </c>
      <c r="X62" s="552">
        <f t="shared" si="27"/>
        <v>0</v>
      </c>
      <c r="Y62" s="552">
        <f t="shared" si="28"/>
        <v>0</v>
      </c>
      <c r="Z62" s="552">
        <f t="shared" si="29"/>
        <v>19.374922499999997</v>
      </c>
      <c r="AA62" s="552">
        <f t="shared" si="30"/>
        <v>19.374922499999997</v>
      </c>
      <c r="AB62" s="552">
        <f t="shared" si="31"/>
        <v>19.374922499999997</v>
      </c>
      <c r="AC62" s="552">
        <f t="shared" si="32"/>
        <v>19.374922499999997</v>
      </c>
      <c r="AD62" s="552">
        <f t="shared" si="33"/>
        <v>19.374922499999997</v>
      </c>
      <c r="AE62" s="552">
        <f t="shared" si="34"/>
        <v>19.374922499999997</v>
      </c>
      <c r="AF62" s="552">
        <f t="shared" si="35"/>
        <v>19.374922499999997</v>
      </c>
      <c r="AG62" s="552">
        <f t="shared" si="36"/>
        <v>19.374922499999997</v>
      </c>
      <c r="AH62" s="552">
        <f t="shared" si="37"/>
        <v>19.374922499999997</v>
      </c>
      <c r="AI62" s="552">
        <f t="shared" si="38"/>
        <v>19.374922499999997</v>
      </c>
      <c r="AJ62" s="551"/>
      <c r="AK62" s="551"/>
      <c r="AL62" s="543"/>
      <c r="AM62" s="543"/>
    </row>
    <row r="63" spans="1:39" s="538" customFormat="1" ht="12" customHeight="1" outlineLevel="1" collapsed="1" x14ac:dyDescent="0.25">
      <c r="A63" s="544">
        <v>53</v>
      </c>
      <c r="B63" s="556" t="str">
        <f t="shared" si="39"/>
        <v>QUITO</v>
      </c>
      <c r="C63" s="546" t="s">
        <v>1041</v>
      </c>
      <c r="D63" s="547" t="s">
        <v>1042</v>
      </c>
      <c r="E63" s="547" t="s">
        <v>1035</v>
      </c>
      <c r="F63" s="546" t="s">
        <v>1085</v>
      </c>
      <c r="G63" s="557"/>
      <c r="H63" s="557"/>
      <c r="I63" s="549">
        <v>45063</v>
      </c>
      <c r="J63" s="550">
        <v>500</v>
      </c>
      <c r="K63" s="551"/>
      <c r="L63" s="550">
        <v>500</v>
      </c>
      <c r="M63" s="551"/>
      <c r="N63" s="551"/>
      <c r="O63" s="551"/>
      <c r="P63" s="551"/>
      <c r="Q63" s="553">
        <f t="shared" si="21"/>
        <v>500</v>
      </c>
      <c r="R63" s="553">
        <f t="shared" si="22"/>
        <v>60.75</v>
      </c>
      <c r="S63" s="553">
        <f t="shared" si="23"/>
        <v>41.666499999999992</v>
      </c>
      <c r="T63" s="553">
        <f t="shared" si="24"/>
        <v>39.166666666666664</v>
      </c>
      <c r="U63" s="553">
        <f t="shared" si="25"/>
        <v>41.666666666666664</v>
      </c>
      <c r="V63" s="553">
        <f t="shared" si="26"/>
        <v>683.2498333333333</v>
      </c>
      <c r="W63" s="554">
        <v>0</v>
      </c>
      <c r="X63" s="552">
        <f t="shared" si="27"/>
        <v>41.666499999999992</v>
      </c>
      <c r="Y63" s="552">
        <f t="shared" si="28"/>
        <v>41.666499999999992</v>
      </c>
      <c r="Z63" s="552">
        <f t="shared" si="29"/>
        <v>41.666499999999992</v>
      </c>
      <c r="AA63" s="552">
        <f t="shared" si="30"/>
        <v>41.666499999999992</v>
      </c>
      <c r="AB63" s="552">
        <f t="shared" si="31"/>
        <v>41.666499999999992</v>
      </c>
      <c r="AC63" s="552">
        <f t="shared" si="32"/>
        <v>41.666499999999992</v>
      </c>
      <c r="AD63" s="552">
        <f t="shared" si="33"/>
        <v>41.666499999999992</v>
      </c>
      <c r="AE63" s="552">
        <f t="shared" si="34"/>
        <v>41.666499999999992</v>
      </c>
      <c r="AF63" s="552">
        <f t="shared" si="35"/>
        <v>41.666499999999992</v>
      </c>
      <c r="AG63" s="552">
        <f t="shared" si="36"/>
        <v>41.666499999999992</v>
      </c>
      <c r="AH63" s="552">
        <f t="shared" si="37"/>
        <v>41.666499999999992</v>
      </c>
      <c r="AI63" s="552">
        <f t="shared" si="38"/>
        <v>41.666499999999992</v>
      </c>
      <c r="AJ63" s="551"/>
      <c r="AK63" s="551"/>
      <c r="AL63" s="543"/>
      <c r="AM63" s="543"/>
    </row>
    <row r="64" spans="1:39" s="538" customFormat="1" ht="12" customHeight="1" outlineLevel="1" collapsed="1" x14ac:dyDescent="0.25">
      <c r="A64" s="544">
        <v>75</v>
      </c>
      <c r="B64" s="556" t="str">
        <f t="shared" si="39"/>
        <v>GUAYAQUIL</v>
      </c>
      <c r="C64" s="546" t="s">
        <v>1046</v>
      </c>
      <c r="D64" s="547" t="s">
        <v>1047</v>
      </c>
      <c r="E64" s="547" t="s">
        <v>1049</v>
      </c>
      <c r="F64" s="546" t="s">
        <v>1051</v>
      </c>
      <c r="G64" s="557"/>
      <c r="H64" s="557"/>
      <c r="I64" s="549">
        <v>45526</v>
      </c>
      <c r="J64" s="550">
        <v>800</v>
      </c>
      <c r="K64" s="551"/>
      <c r="L64" s="552">
        <f>J64+K64</f>
        <v>800</v>
      </c>
      <c r="M64" s="551"/>
      <c r="N64" s="551"/>
      <c r="O64" s="551"/>
      <c r="P64" s="551"/>
      <c r="Q64" s="553">
        <f t="shared" si="21"/>
        <v>800</v>
      </c>
      <c r="R64" s="553">
        <f t="shared" si="22"/>
        <v>97.2</v>
      </c>
      <c r="S64" s="553">
        <f t="shared" si="23"/>
        <v>27.777666666666665</v>
      </c>
      <c r="T64" s="553">
        <f t="shared" si="24"/>
        <v>39.166666666666664</v>
      </c>
      <c r="U64" s="553">
        <f t="shared" si="25"/>
        <v>66.666666666666671</v>
      </c>
      <c r="V64" s="553">
        <f t="shared" si="26"/>
        <v>1030.8109999999999</v>
      </c>
      <c r="W64" s="554">
        <v>0</v>
      </c>
      <c r="X64" s="552">
        <f t="shared" si="27"/>
        <v>0</v>
      </c>
      <c r="Y64" s="552">
        <f t="shared" si="28"/>
        <v>0</v>
      </c>
      <c r="Z64" s="552">
        <f t="shared" si="29"/>
        <v>0</v>
      </c>
      <c r="AA64" s="552">
        <f t="shared" si="30"/>
        <v>0</v>
      </c>
      <c r="AB64" s="552">
        <f t="shared" si="31"/>
        <v>0</v>
      </c>
      <c r="AC64" s="552">
        <f t="shared" si="32"/>
        <v>0</v>
      </c>
      <c r="AD64" s="552">
        <f t="shared" si="33"/>
        <v>0</v>
      </c>
      <c r="AE64" s="552">
        <f t="shared" si="34"/>
        <v>66.666399999999996</v>
      </c>
      <c r="AF64" s="552">
        <f t="shared" si="35"/>
        <v>66.666399999999996</v>
      </c>
      <c r="AG64" s="552">
        <f t="shared" si="36"/>
        <v>66.666399999999996</v>
      </c>
      <c r="AH64" s="552">
        <f t="shared" si="37"/>
        <v>66.666399999999996</v>
      </c>
      <c r="AI64" s="552">
        <f t="shared" si="38"/>
        <v>66.666399999999996</v>
      </c>
      <c r="AJ64" s="551"/>
      <c r="AK64" s="551"/>
      <c r="AL64" s="543"/>
      <c r="AM64" s="543"/>
    </row>
    <row r="65" spans="1:39" s="538" customFormat="1" ht="12" customHeight="1" outlineLevel="1" collapsed="1" x14ac:dyDescent="0.25">
      <c r="A65" s="544">
        <v>54</v>
      </c>
      <c r="B65" s="556" t="str">
        <f t="shared" si="39"/>
        <v>QUITO</v>
      </c>
      <c r="C65" s="546" t="s">
        <v>1074</v>
      </c>
      <c r="D65" s="547" t="s">
        <v>1047</v>
      </c>
      <c r="E65" s="547" t="s">
        <v>1035</v>
      </c>
      <c r="F65" s="546" t="s">
        <v>1075</v>
      </c>
      <c r="G65" s="557"/>
      <c r="H65" s="557"/>
      <c r="I65" s="549">
        <v>44760</v>
      </c>
      <c r="J65" s="550">
        <v>1500</v>
      </c>
      <c r="K65" s="551"/>
      <c r="L65" s="550">
        <v>1500</v>
      </c>
      <c r="M65" s="551"/>
      <c r="N65" s="551"/>
      <c r="O65" s="552">
        <f>L65*$O$7</f>
        <v>600</v>
      </c>
      <c r="P65" s="551"/>
      <c r="Q65" s="553">
        <f t="shared" si="21"/>
        <v>2100</v>
      </c>
      <c r="R65" s="553">
        <f t="shared" si="22"/>
        <v>255.15</v>
      </c>
      <c r="S65" s="553">
        <f t="shared" si="23"/>
        <v>174.99929999999998</v>
      </c>
      <c r="T65" s="553">
        <f t="shared" si="24"/>
        <v>39.166666666666664</v>
      </c>
      <c r="U65" s="553">
        <f t="shared" si="25"/>
        <v>175</v>
      </c>
      <c r="V65" s="553">
        <f t="shared" si="26"/>
        <v>2744.3159666666666</v>
      </c>
      <c r="W65" s="554">
        <v>0</v>
      </c>
      <c r="X65" s="552">
        <f t="shared" si="27"/>
        <v>174.99929999999998</v>
      </c>
      <c r="Y65" s="552">
        <f t="shared" si="28"/>
        <v>174.99929999999998</v>
      </c>
      <c r="Z65" s="552">
        <f t="shared" si="29"/>
        <v>174.99929999999998</v>
      </c>
      <c r="AA65" s="552">
        <f t="shared" si="30"/>
        <v>174.99929999999998</v>
      </c>
      <c r="AB65" s="552">
        <f t="shared" si="31"/>
        <v>174.99929999999998</v>
      </c>
      <c r="AC65" s="552">
        <f t="shared" si="32"/>
        <v>174.99929999999998</v>
      </c>
      <c r="AD65" s="552">
        <f t="shared" si="33"/>
        <v>174.99929999999998</v>
      </c>
      <c r="AE65" s="552">
        <f t="shared" si="34"/>
        <v>174.99929999999998</v>
      </c>
      <c r="AF65" s="552">
        <f t="shared" si="35"/>
        <v>174.99929999999998</v>
      </c>
      <c r="AG65" s="552">
        <f t="shared" si="36"/>
        <v>174.99929999999998</v>
      </c>
      <c r="AH65" s="552">
        <f t="shared" si="37"/>
        <v>174.99929999999998</v>
      </c>
      <c r="AI65" s="552">
        <f t="shared" si="38"/>
        <v>174.99929999999998</v>
      </c>
      <c r="AJ65" s="551"/>
      <c r="AK65" s="551"/>
      <c r="AL65" s="543"/>
      <c r="AM65" s="543"/>
    </row>
    <row r="66" spans="1:39" s="538" customFormat="1" ht="12" customHeight="1" outlineLevel="1" collapsed="1" x14ac:dyDescent="0.25">
      <c r="A66" s="544">
        <v>55</v>
      </c>
      <c r="B66" s="556" t="str">
        <f t="shared" si="39"/>
        <v>QUITO</v>
      </c>
      <c r="C66" s="546" t="s">
        <v>1033</v>
      </c>
      <c r="D66" s="547" t="s">
        <v>1034</v>
      </c>
      <c r="E66" s="547" t="s">
        <v>1035</v>
      </c>
      <c r="F66" s="546" t="s">
        <v>1086</v>
      </c>
      <c r="G66" s="557"/>
      <c r="H66" s="557"/>
      <c r="I66" s="549">
        <v>43537</v>
      </c>
      <c r="J66" s="550">
        <v>700</v>
      </c>
      <c r="K66" s="551"/>
      <c r="L66" s="550">
        <v>700</v>
      </c>
      <c r="M66" s="551"/>
      <c r="N66" s="551"/>
      <c r="O66" s="551"/>
      <c r="P66" s="551"/>
      <c r="Q66" s="553">
        <f t="shared" si="21"/>
        <v>700</v>
      </c>
      <c r="R66" s="553">
        <f t="shared" si="22"/>
        <v>85.05</v>
      </c>
      <c r="S66" s="553">
        <f t="shared" si="23"/>
        <v>58.33309999999998</v>
      </c>
      <c r="T66" s="553">
        <f t="shared" si="24"/>
        <v>39.166666666666664</v>
      </c>
      <c r="U66" s="553">
        <f t="shared" si="25"/>
        <v>58.333333333333336</v>
      </c>
      <c r="V66" s="553">
        <f t="shared" si="26"/>
        <v>940.8830999999999</v>
      </c>
      <c r="W66" s="554">
        <v>0</v>
      </c>
      <c r="X66" s="552">
        <f t="shared" si="27"/>
        <v>58.333099999999995</v>
      </c>
      <c r="Y66" s="552">
        <f t="shared" si="28"/>
        <v>58.333099999999995</v>
      </c>
      <c r="Z66" s="552">
        <f t="shared" si="29"/>
        <v>58.333099999999995</v>
      </c>
      <c r="AA66" s="552">
        <f t="shared" si="30"/>
        <v>58.333099999999995</v>
      </c>
      <c r="AB66" s="552">
        <f t="shared" si="31"/>
        <v>58.333099999999995</v>
      </c>
      <c r="AC66" s="552">
        <f t="shared" si="32"/>
        <v>58.333099999999995</v>
      </c>
      <c r="AD66" s="552">
        <f t="shared" si="33"/>
        <v>58.333099999999995</v>
      </c>
      <c r="AE66" s="552">
        <f t="shared" si="34"/>
        <v>58.333099999999995</v>
      </c>
      <c r="AF66" s="552">
        <f t="shared" si="35"/>
        <v>58.333099999999995</v>
      </c>
      <c r="AG66" s="552">
        <f t="shared" si="36"/>
        <v>58.333099999999995</v>
      </c>
      <c r="AH66" s="552">
        <f t="shared" si="37"/>
        <v>58.333099999999995</v>
      </c>
      <c r="AI66" s="552">
        <f t="shared" si="38"/>
        <v>58.333099999999995</v>
      </c>
      <c r="AJ66" s="551"/>
      <c r="AK66" s="551"/>
      <c r="AL66" s="543"/>
      <c r="AM66" s="543"/>
    </row>
    <row r="67" spans="1:39" s="538" customFormat="1" ht="12" customHeight="1" outlineLevel="1" collapsed="1" x14ac:dyDescent="0.25">
      <c r="A67" s="544">
        <v>56</v>
      </c>
      <c r="B67" s="556" t="str">
        <f t="shared" si="39"/>
        <v>QUITO</v>
      </c>
      <c r="C67" s="546" t="s">
        <v>1041</v>
      </c>
      <c r="D67" s="547" t="s">
        <v>1042</v>
      </c>
      <c r="E67" s="547" t="s">
        <v>1035</v>
      </c>
      <c r="F67" s="546" t="s">
        <v>1087</v>
      </c>
      <c r="G67" s="557"/>
      <c r="H67" s="557"/>
      <c r="I67" s="549">
        <v>44718</v>
      </c>
      <c r="J67" s="550">
        <v>3000</v>
      </c>
      <c r="K67" s="551"/>
      <c r="L67" s="552">
        <f>J67+K67</f>
        <v>3000</v>
      </c>
      <c r="M67" s="551"/>
      <c r="N67" s="551"/>
      <c r="O67" s="552">
        <f>L67*$O$7</f>
        <v>1200</v>
      </c>
      <c r="P67" s="551"/>
      <c r="Q67" s="553">
        <f t="shared" si="21"/>
        <v>4200</v>
      </c>
      <c r="R67" s="553">
        <f t="shared" si="22"/>
        <v>510.3</v>
      </c>
      <c r="S67" s="553">
        <f t="shared" si="23"/>
        <v>349.99859999999995</v>
      </c>
      <c r="T67" s="553">
        <f t="shared" si="24"/>
        <v>39.166666666666664</v>
      </c>
      <c r="U67" s="553">
        <f t="shared" si="25"/>
        <v>350</v>
      </c>
      <c r="V67" s="553">
        <f t="shared" si="26"/>
        <v>5449.465266666667</v>
      </c>
      <c r="W67" s="554">
        <v>0</v>
      </c>
      <c r="X67" s="552">
        <f t="shared" si="27"/>
        <v>349.99859999999995</v>
      </c>
      <c r="Y67" s="552">
        <f t="shared" si="28"/>
        <v>349.99859999999995</v>
      </c>
      <c r="Z67" s="552">
        <f t="shared" si="29"/>
        <v>349.99859999999995</v>
      </c>
      <c r="AA67" s="552">
        <f t="shared" si="30"/>
        <v>349.99859999999995</v>
      </c>
      <c r="AB67" s="552">
        <f t="shared" si="31"/>
        <v>349.99859999999995</v>
      </c>
      <c r="AC67" s="552">
        <f t="shared" si="32"/>
        <v>349.99859999999995</v>
      </c>
      <c r="AD67" s="552">
        <f t="shared" si="33"/>
        <v>349.99859999999995</v>
      </c>
      <c r="AE67" s="552">
        <f t="shared" si="34"/>
        <v>349.99859999999995</v>
      </c>
      <c r="AF67" s="552">
        <f t="shared" si="35"/>
        <v>349.99859999999995</v>
      </c>
      <c r="AG67" s="552">
        <f t="shared" si="36"/>
        <v>349.99859999999995</v>
      </c>
      <c r="AH67" s="552">
        <f t="shared" si="37"/>
        <v>349.99859999999995</v>
      </c>
      <c r="AI67" s="552">
        <f t="shared" si="38"/>
        <v>349.99859999999995</v>
      </c>
      <c r="AJ67" s="551"/>
      <c r="AK67" s="551"/>
      <c r="AL67" s="543"/>
      <c r="AM67" s="543"/>
    </row>
    <row r="68" spans="1:39" s="538" customFormat="1" ht="12" customHeight="1" outlineLevel="1" collapsed="1" x14ac:dyDescent="0.25">
      <c r="A68" s="544">
        <v>57</v>
      </c>
      <c r="B68" s="556" t="str">
        <f t="shared" si="39"/>
        <v>QUITO</v>
      </c>
      <c r="C68" s="546" t="s">
        <v>1052</v>
      </c>
      <c r="D68" s="547" t="s">
        <v>1053</v>
      </c>
      <c r="E68" s="547" t="s">
        <v>1035</v>
      </c>
      <c r="F68" s="546" t="s">
        <v>1054</v>
      </c>
      <c r="G68" s="557"/>
      <c r="H68" s="557"/>
      <c r="I68" s="549">
        <v>45418</v>
      </c>
      <c r="J68" s="550">
        <v>465</v>
      </c>
      <c r="K68" s="551"/>
      <c r="L68" s="552">
        <f>J68+K68</f>
        <v>465</v>
      </c>
      <c r="M68" s="551"/>
      <c r="N68" s="551"/>
      <c r="O68" s="551"/>
      <c r="P68" s="551"/>
      <c r="Q68" s="553">
        <f t="shared" si="21"/>
        <v>465</v>
      </c>
      <c r="R68" s="553">
        <f t="shared" si="22"/>
        <v>56.497499999999995</v>
      </c>
      <c r="S68" s="553">
        <f t="shared" si="23"/>
        <v>25.833229999999997</v>
      </c>
      <c r="T68" s="553">
        <f t="shared" si="24"/>
        <v>39.166666666666664</v>
      </c>
      <c r="U68" s="553">
        <f t="shared" si="25"/>
        <v>38.75</v>
      </c>
      <c r="V68" s="553">
        <f t="shared" si="26"/>
        <v>625.24739666666653</v>
      </c>
      <c r="W68" s="554">
        <v>0</v>
      </c>
      <c r="X68" s="552">
        <f t="shared" si="27"/>
        <v>0</v>
      </c>
      <c r="Y68" s="552">
        <f t="shared" si="28"/>
        <v>0</v>
      </c>
      <c r="Z68" s="552">
        <f t="shared" si="29"/>
        <v>0</v>
      </c>
      <c r="AA68" s="552">
        <f t="shared" si="30"/>
        <v>0</v>
      </c>
      <c r="AB68" s="552">
        <f t="shared" si="31"/>
        <v>38.749844999999993</v>
      </c>
      <c r="AC68" s="552">
        <f t="shared" si="32"/>
        <v>38.749844999999993</v>
      </c>
      <c r="AD68" s="552">
        <f t="shared" si="33"/>
        <v>38.749844999999993</v>
      </c>
      <c r="AE68" s="552">
        <f t="shared" si="34"/>
        <v>38.749844999999993</v>
      </c>
      <c r="AF68" s="552">
        <f t="shared" si="35"/>
        <v>38.749844999999993</v>
      </c>
      <c r="AG68" s="552">
        <f t="shared" si="36"/>
        <v>38.749844999999993</v>
      </c>
      <c r="AH68" s="552">
        <f t="shared" si="37"/>
        <v>38.749844999999993</v>
      </c>
      <c r="AI68" s="552">
        <f t="shared" si="38"/>
        <v>38.749844999999993</v>
      </c>
      <c r="AJ68" s="551"/>
      <c r="AK68" s="551"/>
      <c r="AL68" s="543"/>
      <c r="AM68" s="543"/>
    </row>
    <row r="69" spans="1:39" s="538" customFormat="1" ht="12" customHeight="1" outlineLevel="1" collapsed="1" x14ac:dyDescent="0.25">
      <c r="A69" s="544">
        <v>58</v>
      </c>
      <c r="B69" s="556" t="str">
        <f t="shared" si="39"/>
        <v>QUITO</v>
      </c>
      <c r="C69" s="546" t="s">
        <v>1041</v>
      </c>
      <c r="D69" s="547" t="s">
        <v>1042</v>
      </c>
      <c r="E69" s="547" t="s">
        <v>1035</v>
      </c>
      <c r="F69" s="546" t="s">
        <v>1043</v>
      </c>
      <c r="G69" s="557"/>
      <c r="H69" s="557"/>
      <c r="I69" s="549">
        <v>42562</v>
      </c>
      <c r="J69" s="550">
        <v>650</v>
      </c>
      <c r="K69" s="551"/>
      <c r="L69" s="550">
        <v>650</v>
      </c>
      <c r="M69" s="551"/>
      <c r="N69" s="551"/>
      <c r="O69" s="552">
        <f>L69*$O$7</f>
        <v>260</v>
      </c>
      <c r="P69" s="551"/>
      <c r="Q69" s="553">
        <f t="shared" si="21"/>
        <v>910</v>
      </c>
      <c r="R69" s="553">
        <f t="shared" si="22"/>
        <v>110.565</v>
      </c>
      <c r="S69" s="553">
        <f t="shared" si="23"/>
        <v>75.833029999999994</v>
      </c>
      <c r="T69" s="553">
        <f t="shared" si="24"/>
        <v>39.166666666666664</v>
      </c>
      <c r="U69" s="553">
        <f t="shared" si="25"/>
        <v>75.833333333333329</v>
      </c>
      <c r="V69" s="553">
        <f t="shared" si="26"/>
        <v>1211.3980300000001</v>
      </c>
      <c r="W69" s="554">
        <v>0</v>
      </c>
      <c r="X69" s="552">
        <f t="shared" si="27"/>
        <v>75.833029999999994</v>
      </c>
      <c r="Y69" s="552">
        <f t="shared" si="28"/>
        <v>75.833029999999994</v>
      </c>
      <c r="Z69" s="552">
        <f t="shared" si="29"/>
        <v>75.833029999999994</v>
      </c>
      <c r="AA69" s="552">
        <f t="shared" si="30"/>
        <v>75.833029999999994</v>
      </c>
      <c r="AB69" s="552">
        <f t="shared" si="31"/>
        <v>75.833029999999994</v>
      </c>
      <c r="AC69" s="552">
        <f t="shared" si="32"/>
        <v>75.833029999999994</v>
      </c>
      <c r="AD69" s="552">
        <f t="shared" si="33"/>
        <v>75.833029999999994</v>
      </c>
      <c r="AE69" s="552">
        <f t="shared" si="34"/>
        <v>75.833029999999994</v>
      </c>
      <c r="AF69" s="552">
        <f t="shared" si="35"/>
        <v>75.833029999999994</v>
      </c>
      <c r="AG69" s="552">
        <f t="shared" si="36"/>
        <v>75.833029999999994</v>
      </c>
      <c r="AH69" s="552">
        <f t="shared" si="37"/>
        <v>75.833029999999994</v>
      </c>
      <c r="AI69" s="552">
        <f t="shared" si="38"/>
        <v>75.833029999999994</v>
      </c>
      <c r="AJ69" s="551"/>
      <c r="AK69" s="551"/>
      <c r="AL69" s="543"/>
      <c r="AM69" s="543"/>
    </row>
    <row r="70" spans="1:39" s="538" customFormat="1" ht="12" customHeight="1" outlineLevel="1" collapsed="1" x14ac:dyDescent="0.25">
      <c r="A70" s="544">
        <v>59</v>
      </c>
      <c r="B70" s="556" t="str">
        <f t="shared" si="39"/>
        <v>GUAYAQUIL</v>
      </c>
      <c r="C70" s="546" t="s">
        <v>1046</v>
      </c>
      <c r="D70" s="547" t="s">
        <v>1047</v>
      </c>
      <c r="E70" s="547" t="s">
        <v>1049</v>
      </c>
      <c r="F70" s="546" t="s">
        <v>1048</v>
      </c>
      <c r="G70" s="557"/>
      <c r="H70" s="557"/>
      <c r="I70" s="549">
        <v>45215</v>
      </c>
      <c r="J70" s="550">
        <v>1000</v>
      </c>
      <c r="K70" s="551"/>
      <c r="L70" s="550">
        <v>1000</v>
      </c>
      <c r="M70" s="551"/>
      <c r="N70" s="551"/>
      <c r="O70" s="552">
        <f>L70*$O$7</f>
        <v>400</v>
      </c>
      <c r="P70" s="551"/>
      <c r="Q70" s="553">
        <f t="shared" si="21"/>
        <v>1400</v>
      </c>
      <c r="R70" s="553">
        <f t="shared" si="22"/>
        <v>170.1</v>
      </c>
      <c r="S70" s="553">
        <f t="shared" si="23"/>
        <v>116.66619999999996</v>
      </c>
      <c r="T70" s="553">
        <f t="shared" si="24"/>
        <v>39.166666666666664</v>
      </c>
      <c r="U70" s="553">
        <f t="shared" si="25"/>
        <v>116.66666666666667</v>
      </c>
      <c r="V70" s="553">
        <f t="shared" si="26"/>
        <v>1842.5995333333333</v>
      </c>
      <c r="W70" s="554">
        <v>0</v>
      </c>
      <c r="X70" s="552">
        <f t="shared" si="27"/>
        <v>116.66619999999999</v>
      </c>
      <c r="Y70" s="552">
        <f t="shared" si="28"/>
        <v>116.66619999999999</v>
      </c>
      <c r="Z70" s="552">
        <f t="shared" si="29"/>
        <v>116.66619999999999</v>
      </c>
      <c r="AA70" s="552">
        <f t="shared" si="30"/>
        <v>116.66619999999999</v>
      </c>
      <c r="AB70" s="552">
        <f t="shared" si="31"/>
        <v>116.66619999999999</v>
      </c>
      <c r="AC70" s="552">
        <f t="shared" si="32"/>
        <v>116.66619999999999</v>
      </c>
      <c r="AD70" s="552">
        <f t="shared" si="33"/>
        <v>116.66619999999999</v>
      </c>
      <c r="AE70" s="552">
        <f t="shared" si="34"/>
        <v>116.66619999999999</v>
      </c>
      <c r="AF70" s="552">
        <f t="shared" si="35"/>
        <v>116.66619999999999</v>
      </c>
      <c r="AG70" s="552">
        <f t="shared" si="36"/>
        <v>116.66619999999999</v>
      </c>
      <c r="AH70" s="552">
        <f t="shared" si="37"/>
        <v>116.66619999999999</v>
      </c>
      <c r="AI70" s="552">
        <f t="shared" si="38"/>
        <v>116.66619999999999</v>
      </c>
      <c r="AJ70" s="551"/>
      <c r="AK70" s="551"/>
      <c r="AL70" s="543"/>
      <c r="AM70" s="543"/>
    </row>
    <row r="71" spans="1:39" s="538" customFormat="1" ht="12" customHeight="1" outlineLevel="1" collapsed="1" x14ac:dyDescent="0.25">
      <c r="A71" s="544">
        <v>60</v>
      </c>
      <c r="B71" s="556" t="str">
        <f t="shared" si="39"/>
        <v>QUITO</v>
      </c>
      <c r="C71" s="546" t="s">
        <v>1033</v>
      </c>
      <c r="D71" s="547" t="s">
        <v>1034</v>
      </c>
      <c r="E71" s="547" t="s">
        <v>1035</v>
      </c>
      <c r="F71" s="546" t="s">
        <v>1078</v>
      </c>
      <c r="G71" s="557"/>
      <c r="H71" s="557"/>
      <c r="I71" s="549">
        <v>44774</v>
      </c>
      <c r="J71" s="550">
        <v>700</v>
      </c>
      <c r="K71" s="551"/>
      <c r="L71" s="552">
        <f t="shared" ref="L71:L77" si="40">J71+K71</f>
        <v>700</v>
      </c>
      <c r="M71" s="551"/>
      <c r="N71" s="551"/>
      <c r="O71" s="551"/>
      <c r="P71" s="551"/>
      <c r="Q71" s="553">
        <f t="shared" si="21"/>
        <v>700</v>
      </c>
      <c r="R71" s="553">
        <f t="shared" si="22"/>
        <v>85.05</v>
      </c>
      <c r="S71" s="553">
        <f t="shared" si="23"/>
        <v>58.33309999999998</v>
      </c>
      <c r="T71" s="553">
        <f t="shared" si="24"/>
        <v>39.166666666666664</v>
      </c>
      <c r="U71" s="553">
        <f t="shared" si="25"/>
        <v>58.333333333333336</v>
      </c>
      <c r="V71" s="553">
        <f t="shared" si="26"/>
        <v>940.8830999999999</v>
      </c>
      <c r="W71" s="554">
        <v>0</v>
      </c>
      <c r="X71" s="552">
        <f t="shared" si="27"/>
        <v>58.333099999999995</v>
      </c>
      <c r="Y71" s="552">
        <f t="shared" si="28"/>
        <v>58.333099999999995</v>
      </c>
      <c r="Z71" s="552">
        <f t="shared" si="29"/>
        <v>58.333099999999995</v>
      </c>
      <c r="AA71" s="552">
        <f t="shared" si="30"/>
        <v>58.333099999999995</v>
      </c>
      <c r="AB71" s="552">
        <f t="shared" si="31"/>
        <v>58.333099999999995</v>
      </c>
      <c r="AC71" s="552">
        <f t="shared" si="32"/>
        <v>58.333099999999995</v>
      </c>
      <c r="AD71" s="552">
        <f t="shared" si="33"/>
        <v>58.333099999999995</v>
      </c>
      <c r="AE71" s="552">
        <f t="shared" si="34"/>
        <v>58.333099999999995</v>
      </c>
      <c r="AF71" s="552">
        <f t="shared" si="35"/>
        <v>58.333099999999995</v>
      </c>
      <c r="AG71" s="552">
        <f t="shared" si="36"/>
        <v>58.333099999999995</v>
      </c>
      <c r="AH71" s="552">
        <f t="shared" si="37"/>
        <v>58.333099999999995</v>
      </c>
      <c r="AI71" s="552">
        <f t="shared" si="38"/>
        <v>58.333099999999995</v>
      </c>
      <c r="AJ71" s="551"/>
      <c r="AK71" s="551"/>
      <c r="AL71" s="543"/>
      <c r="AM71" s="543"/>
    </row>
    <row r="72" spans="1:39" s="538" customFormat="1" ht="12" customHeight="1" outlineLevel="1" collapsed="1" x14ac:dyDescent="0.25">
      <c r="A72" s="544">
        <v>76</v>
      </c>
      <c r="B72" s="556" t="str">
        <f t="shared" si="39"/>
        <v>QUITO</v>
      </c>
      <c r="C72" s="546" t="s">
        <v>1033</v>
      </c>
      <c r="D72" s="547" t="s">
        <v>1034</v>
      </c>
      <c r="E72" s="547" t="s">
        <v>1035</v>
      </c>
      <c r="F72" s="546" t="s">
        <v>1088</v>
      </c>
      <c r="G72" s="557"/>
      <c r="H72" s="557"/>
      <c r="I72" s="549">
        <v>45547</v>
      </c>
      <c r="J72" s="550">
        <v>600</v>
      </c>
      <c r="K72" s="551"/>
      <c r="L72" s="552">
        <f t="shared" si="40"/>
        <v>600</v>
      </c>
      <c r="M72" s="551"/>
      <c r="N72" s="551"/>
      <c r="O72" s="551"/>
      <c r="P72" s="551"/>
      <c r="Q72" s="553">
        <f t="shared" si="21"/>
        <v>600</v>
      </c>
      <c r="R72" s="553">
        <f t="shared" si="22"/>
        <v>72.899999999999991</v>
      </c>
      <c r="S72" s="553">
        <f t="shared" si="23"/>
        <v>16.666599999999999</v>
      </c>
      <c r="T72" s="553">
        <f t="shared" si="24"/>
        <v>39.166666666666664</v>
      </c>
      <c r="U72" s="553">
        <f t="shared" si="25"/>
        <v>50</v>
      </c>
      <c r="V72" s="553">
        <f t="shared" si="26"/>
        <v>778.73326666666662</v>
      </c>
      <c r="W72" s="554">
        <v>0</v>
      </c>
      <c r="X72" s="552">
        <f t="shared" si="27"/>
        <v>0</v>
      </c>
      <c r="Y72" s="552">
        <f t="shared" si="28"/>
        <v>0</v>
      </c>
      <c r="Z72" s="552">
        <f t="shared" si="29"/>
        <v>0</v>
      </c>
      <c r="AA72" s="552">
        <f t="shared" si="30"/>
        <v>0</v>
      </c>
      <c r="AB72" s="552">
        <f t="shared" si="31"/>
        <v>0</v>
      </c>
      <c r="AC72" s="552">
        <f t="shared" si="32"/>
        <v>0</v>
      </c>
      <c r="AD72" s="552">
        <f t="shared" si="33"/>
        <v>0</v>
      </c>
      <c r="AE72" s="552">
        <f t="shared" si="34"/>
        <v>0</v>
      </c>
      <c r="AF72" s="552">
        <f t="shared" si="35"/>
        <v>49.999799999999993</v>
      </c>
      <c r="AG72" s="552">
        <f t="shared" si="36"/>
        <v>49.999799999999993</v>
      </c>
      <c r="AH72" s="552">
        <f t="shared" si="37"/>
        <v>49.999799999999993</v>
      </c>
      <c r="AI72" s="552">
        <f t="shared" si="38"/>
        <v>49.999799999999993</v>
      </c>
      <c r="AJ72" s="551"/>
      <c r="AK72" s="551"/>
      <c r="AL72" s="543"/>
      <c r="AM72" s="543"/>
    </row>
    <row r="73" spans="1:39" s="538" customFormat="1" ht="12" customHeight="1" outlineLevel="1" collapsed="1" x14ac:dyDescent="0.25">
      <c r="A73" s="544">
        <v>61</v>
      </c>
      <c r="B73" s="556" t="str">
        <f t="shared" si="39"/>
        <v>GUAYAQUIL</v>
      </c>
      <c r="C73" s="546" t="s">
        <v>1033</v>
      </c>
      <c r="D73" s="547" t="s">
        <v>1034</v>
      </c>
      <c r="E73" s="547" t="s">
        <v>1049</v>
      </c>
      <c r="F73" s="546" t="s">
        <v>1089</v>
      </c>
      <c r="G73" s="557"/>
      <c r="H73" s="557"/>
      <c r="I73" s="549">
        <v>44410</v>
      </c>
      <c r="J73" s="550">
        <v>700</v>
      </c>
      <c r="K73" s="551"/>
      <c r="L73" s="552">
        <f t="shared" si="40"/>
        <v>700</v>
      </c>
      <c r="M73" s="551"/>
      <c r="N73" s="551"/>
      <c r="O73" s="551"/>
      <c r="P73" s="551"/>
      <c r="Q73" s="553">
        <f t="shared" ref="Q73:Q94" si="41">+SUM(L73:P73)</f>
        <v>700</v>
      </c>
      <c r="R73" s="553">
        <f t="shared" ref="R73:R94" si="42">Q73*12.15%</f>
        <v>85.05</v>
      </c>
      <c r="S73" s="553">
        <f t="shared" ref="S73:S94" si="43">SUM(X73:AI73)/12</f>
        <v>58.33309999999998</v>
      </c>
      <c r="T73" s="553">
        <f t="shared" ref="T73:T94" si="44">IF(I73=0,0,IF($T$7+365-I73&gt;365,$C$6,($T$7+365-I73)*($C$6/365)))/12</f>
        <v>39.166666666666664</v>
      </c>
      <c r="U73" s="553">
        <f t="shared" ref="U73:U94" si="45">IF(I73=0,0,IF($U$7+365-I73&gt;364,Q73,($U$7+365-I73)*(Q73/365)))/12</f>
        <v>58.333333333333336</v>
      </c>
      <c r="V73" s="553">
        <f t="shared" ref="V73:V94" si="46">+SUM(Q73:U73)</f>
        <v>940.8830999999999</v>
      </c>
      <c r="W73" s="554">
        <v>0</v>
      </c>
      <c r="X73" s="552">
        <f t="shared" ref="X73:X94" si="47">IF(I73=0,0,IF($X$7-I73&gt;365,Q73*8.3333%,0))</f>
        <v>58.333099999999995</v>
      </c>
      <c r="Y73" s="552">
        <f t="shared" ref="Y73:Y94" si="48">IF(I73=0,0,IF($Y$7-I73&gt;365,Q73*8.3333%,0))</f>
        <v>58.333099999999995</v>
      </c>
      <c r="Z73" s="552">
        <f t="shared" ref="Z73:Z94" si="49">IF(I73=0,0,IF($Z$7-I73&gt;365,Q73*8.3333%,0))</f>
        <v>58.333099999999995</v>
      </c>
      <c r="AA73" s="552">
        <f t="shared" ref="AA73:AA94" si="50">IF(I73=0,0,IF($AA$7-I73&gt;365,Q73*8.3333%,0))</f>
        <v>58.333099999999995</v>
      </c>
      <c r="AB73" s="552">
        <f t="shared" ref="AB73:AB94" si="51">IF(I73=0,0,IF($AB$7-I73&gt;365,Q73*8.3333%,0))</f>
        <v>58.333099999999995</v>
      </c>
      <c r="AC73" s="552">
        <f t="shared" ref="AC73:AC94" si="52">IF(I73=0,0,IF($AC$7-I73&gt;365,Q73*8.3333%,0))</f>
        <v>58.333099999999995</v>
      </c>
      <c r="AD73" s="552">
        <f t="shared" ref="AD73:AD94" si="53">IF(I73=0,0,IF($AD$7-I73&gt;365,Q73*8.3333%,0))</f>
        <v>58.333099999999995</v>
      </c>
      <c r="AE73" s="552">
        <f t="shared" ref="AE73:AE94" si="54">IF(I73=0,0,IF($AE$7-I73&gt;365,Q73*8.3333%,0))</f>
        <v>58.333099999999995</v>
      </c>
      <c r="AF73" s="552">
        <f t="shared" ref="AF73:AF94" si="55">IF(I73=0,0,IF($AF$7-I73&gt;365,Q73*8.3333%,0))</f>
        <v>58.333099999999995</v>
      </c>
      <c r="AG73" s="552">
        <f t="shared" ref="AG73:AG94" si="56">IF(I73=0,0,IF($AG$7-I73&gt;365,Q73*8.3333%,0))</f>
        <v>58.333099999999995</v>
      </c>
      <c r="AH73" s="552">
        <f t="shared" ref="AH73:AH94" si="57">IF(I73=0,0,IF($AH$7-I73&gt;365,Q73*8.3333%,0))</f>
        <v>58.333099999999995</v>
      </c>
      <c r="AI73" s="552">
        <f t="shared" ref="AI73:AI94" si="58">IF(I73=0,0,IF($AI$7-I73&gt;365,Q73*8.3333%,0))</f>
        <v>58.333099999999995</v>
      </c>
      <c r="AJ73" s="551"/>
      <c r="AK73" s="551"/>
      <c r="AL73" s="543"/>
      <c r="AM73" s="543"/>
    </row>
    <row r="74" spans="1:39" s="538" customFormat="1" ht="12" customHeight="1" outlineLevel="1" collapsed="1" x14ac:dyDescent="0.25">
      <c r="A74" s="544">
        <v>77</v>
      </c>
      <c r="B74" s="556" t="str">
        <f t="shared" ref="B74:B94" si="59">IF(E74="UIO","QUITO",IF(E74="GYE","GUAYAQUIL",IF(E74="IBA","IBARRA")))</f>
        <v>QUITO</v>
      </c>
      <c r="C74" s="546" t="s">
        <v>1033</v>
      </c>
      <c r="D74" s="547" t="s">
        <v>1034</v>
      </c>
      <c r="E74" s="547" t="s">
        <v>1035</v>
      </c>
      <c r="F74" s="546" t="s">
        <v>1064</v>
      </c>
      <c r="G74" s="557"/>
      <c r="H74" s="557"/>
      <c r="I74" s="549">
        <v>45607</v>
      </c>
      <c r="J74" s="550">
        <v>600</v>
      </c>
      <c r="K74" s="551"/>
      <c r="L74" s="552">
        <f t="shared" si="40"/>
        <v>600</v>
      </c>
      <c r="M74" s="551"/>
      <c r="N74" s="551"/>
      <c r="O74" s="551"/>
      <c r="P74" s="551"/>
      <c r="Q74" s="553">
        <f t="shared" si="41"/>
        <v>600</v>
      </c>
      <c r="R74" s="553">
        <f t="shared" si="42"/>
        <v>72.899999999999991</v>
      </c>
      <c r="S74" s="553">
        <f t="shared" si="43"/>
        <v>8.3332999999999995</v>
      </c>
      <c r="T74" s="553">
        <f t="shared" si="44"/>
        <v>39.166666666666664</v>
      </c>
      <c r="U74" s="553">
        <f t="shared" si="45"/>
        <v>50</v>
      </c>
      <c r="V74" s="553">
        <f t="shared" si="46"/>
        <v>770.39996666666661</v>
      </c>
      <c r="W74" s="554">
        <v>0</v>
      </c>
      <c r="X74" s="552">
        <f t="shared" si="47"/>
        <v>0</v>
      </c>
      <c r="Y74" s="552">
        <f t="shared" si="48"/>
        <v>0</v>
      </c>
      <c r="Z74" s="552">
        <f t="shared" si="49"/>
        <v>0</v>
      </c>
      <c r="AA74" s="552">
        <f t="shared" si="50"/>
        <v>0</v>
      </c>
      <c r="AB74" s="552">
        <f t="shared" si="51"/>
        <v>0</v>
      </c>
      <c r="AC74" s="552">
        <f t="shared" si="52"/>
        <v>0</v>
      </c>
      <c r="AD74" s="552">
        <f t="shared" si="53"/>
        <v>0</v>
      </c>
      <c r="AE74" s="552">
        <f t="shared" si="54"/>
        <v>0</v>
      </c>
      <c r="AF74" s="552">
        <f t="shared" si="55"/>
        <v>0</v>
      </c>
      <c r="AG74" s="552">
        <f t="shared" si="56"/>
        <v>0</v>
      </c>
      <c r="AH74" s="552">
        <f t="shared" si="57"/>
        <v>49.999799999999993</v>
      </c>
      <c r="AI74" s="552">
        <f t="shared" si="58"/>
        <v>49.999799999999993</v>
      </c>
      <c r="AJ74" s="551"/>
      <c r="AK74" s="551"/>
      <c r="AL74" s="543"/>
      <c r="AM74" s="543"/>
    </row>
    <row r="75" spans="1:39" s="538" customFormat="1" ht="12" customHeight="1" outlineLevel="1" collapsed="1" x14ac:dyDescent="0.25">
      <c r="A75" s="544">
        <v>78</v>
      </c>
      <c r="B75" s="556" t="str">
        <f t="shared" si="59"/>
        <v>QUITO</v>
      </c>
      <c r="C75" s="546" t="s">
        <v>1033</v>
      </c>
      <c r="D75" s="547" t="s">
        <v>1034</v>
      </c>
      <c r="E75" s="547" t="s">
        <v>1035</v>
      </c>
      <c r="F75" s="546" t="s">
        <v>1036</v>
      </c>
      <c r="G75" s="557"/>
      <c r="H75" s="557"/>
      <c r="I75" s="549">
        <v>45607</v>
      </c>
      <c r="J75" s="550">
        <v>900</v>
      </c>
      <c r="K75" s="551"/>
      <c r="L75" s="552">
        <f t="shared" si="40"/>
        <v>900</v>
      </c>
      <c r="M75" s="551"/>
      <c r="N75" s="551"/>
      <c r="O75" s="551"/>
      <c r="P75" s="551"/>
      <c r="Q75" s="553">
        <f t="shared" si="41"/>
        <v>900</v>
      </c>
      <c r="R75" s="553">
        <f t="shared" si="42"/>
        <v>109.35</v>
      </c>
      <c r="S75" s="553">
        <f t="shared" si="43"/>
        <v>12.499949999999998</v>
      </c>
      <c r="T75" s="553">
        <f t="shared" si="44"/>
        <v>39.166666666666664</v>
      </c>
      <c r="U75" s="553">
        <f t="shared" si="45"/>
        <v>75</v>
      </c>
      <c r="V75" s="553">
        <f t="shared" si="46"/>
        <v>1136.0166166666668</v>
      </c>
      <c r="W75" s="554">
        <v>0</v>
      </c>
      <c r="X75" s="552">
        <f t="shared" si="47"/>
        <v>0</v>
      </c>
      <c r="Y75" s="552">
        <f t="shared" si="48"/>
        <v>0</v>
      </c>
      <c r="Z75" s="552">
        <f t="shared" si="49"/>
        <v>0</v>
      </c>
      <c r="AA75" s="552">
        <f t="shared" si="50"/>
        <v>0</v>
      </c>
      <c r="AB75" s="552">
        <f t="shared" si="51"/>
        <v>0</v>
      </c>
      <c r="AC75" s="552">
        <f t="shared" si="52"/>
        <v>0</v>
      </c>
      <c r="AD75" s="552">
        <f t="shared" si="53"/>
        <v>0</v>
      </c>
      <c r="AE75" s="552">
        <f t="shared" si="54"/>
        <v>0</v>
      </c>
      <c r="AF75" s="552">
        <f t="shared" si="55"/>
        <v>0</v>
      </c>
      <c r="AG75" s="552">
        <f t="shared" si="56"/>
        <v>0</v>
      </c>
      <c r="AH75" s="552">
        <f t="shared" si="57"/>
        <v>74.99969999999999</v>
      </c>
      <c r="AI75" s="552">
        <f t="shared" si="58"/>
        <v>74.99969999999999</v>
      </c>
      <c r="AJ75" s="551"/>
      <c r="AK75" s="551"/>
      <c r="AL75" s="543"/>
      <c r="AM75" s="543"/>
    </row>
    <row r="76" spans="1:39" s="558" customFormat="1" ht="12" customHeight="1" outlineLevel="1" collapsed="1" x14ac:dyDescent="0.25">
      <c r="A76" s="544">
        <v>62</v>
      </c>
      <c r="B76" s="556" t="str">
        <f t="shared" si="59"/>
        <v>GUAYAQUIL</v>
      </c>
      <c r="C76" s="546" t="s">
        <v>1046</v>
      </c>
      <c r="D76" s="547" t="s">
        <v>1047</v>
      </c>
      <c r="E76" s="547" t="s">
        <v>1049</v>
      </c>
      <c r="F76" s="546" t="s">
        <v>1075</v>
      </c>
      <c r="G76" s="557"/>
      <c r="H76" s="557"/>
      <c r="I76" s="549">
        <v>45103</v>
      </c>
      <c r="J76" s="550">
        <v>1200</v>
      </c>
      <c r="K76" s="551"/>
      <c r="L76" s="552">
        <f t="shared" si="40"/>
        <v>1200</v>
      </c>
      <c r="M76" s="551"/>
      <c r="N76" s="551"/>
      <c r="O76" s="552">
        <f>L76*$O$7</f>
        <v>480</v>
      </c>
      <c r="P76" s="551"/>
      <c r="Q76" s="553">
        <f t="shared" si="41"/>
        <v>1680</v>
      </c>
      <c r="R76" s="553">
        <f t="shared" si="42"/>
        <v>204.12</v>
      </c>
      <c r="S76" s="553">
        <f t="shared" si="43"/>
        <v>139.99944000000002</v>
      </c>
      <c r="T76" s="553">
        <f t="shared" si="44"/>
        <v>39.166666666666664</v>
      </c>
      <c r="U76" s="553">
        <f t="shared" si="45"/>
        <v>140</v>
      </c>
      <c r="V76" s="553">
        <f t="shared" si="46"/>
        <v>2203.2861066666665</v>
      </c>
      <c r="W76" s="554">
        <v>0</v>
      </c>
      <c r="X76" s="552">
        <f t="shared" si="47"/>
        <v>139.99943999999999</v>
      </c>
      <c r="Y76" s="552">
        <f t="shared" si="48"/>
        <v>139.99943999999999</v>
      </c>
      <c r="Z76" s="552">
        <f t="shared" si="49"/>
        <v>139.99943999999999</v>
      </c>
      <c r="AA76" s="552">
        <f t="shared" si="50"/>
        <v>139.99943999999999</v>
      </c>
      <c r="AB76" s="552">
        <f t="shared" si="51"/>
        <v>139.99943999999999</v>
      </c>
      <c r="AC76" s="552">
        <f t="shared" si="52"/>
        <v>139.99943999999999</v>
      </c>
      <c r="AD76" s="552">
        <f t="shared" si="53"/>
        <v>139.99943999999999</v>
      </c>
      <c r="AE76" s="552">
        <f t="shared" si="54"/>
        <v>139.99943999999999</v>
      </c>
      <c r="AF76" s="552">
        <f t="shared" si="55"/>
        <v>139.99943999999999</v>
      </c>
      <c r="AG76" s="552">
        <f t="shared" si="56"/>
        <v>139.99943999999999</v>
      </c>
      <c r="AH76" s="552">
        <f t="shared" si="57"/>
        <v>139.99943999999999</v>
      </c>
      <c r="AI76" s="552">
        <f t="shared" si="58"/>
        <v>139.99943999999999</v>
      </c>
      <c r="AJ76" s="551"/>
      <c r="AK76" s="551"/>
      <c r="AL76" s="559"/>
      <c r="AM76" s="559"/>
    </row>
    <row r="77" spans="1:39" s="538" customFormat="1" ht="12" customHeight="1" outlineLevel="1" collapsed="1" x14ac:dyDescent="0.25">
      <c r="A77" s="544">
        <v>79</v>
      </c>
      <c r="B77" s="556" t="str">
        <f t="shared" si="59"/>
        <v>QUITO</v>
      </c>
      <c r="C77" s="546" t="s">
        <v>1041</v>
      </c>
      <c r="D77" s="547" t="s">
        <v>1042</v>
      </c>
      <c r="E77" s="547" t="s">
        <v>1035</v>
      </c>
      <c r="F77" s="546" t="s">
        <v>1090</v>
      </c>
      <c r="G77" s="557"/>
      <c r="H77" s="557"/>
      <c r="I77" s="549">
        <v>45558</v>
      </c>
      <c r="J77" s="550">
        <v>700</v>
      </c>
      <c r="K77" s="551"/>
      <c r="L77" s="552">
        <f t="shared" si="40"/>
        <v>700</v>
      </c>
      <c r="M77" s="551"/>
      <c r="N77" s="551"/>
      <c r="O77" s="551"/>
      <c r="P77" s="551"/>
      <c r="Q77" s="553">
        <f t="shared" si="41"/>
        <v>700</v>
      </c>
      <c r="R77" s="553">
        <f t="shared" si="42"/>
        <v>85.05</v>
      </c>
      <c r="S77" s="553">
        <f t="shared" si="43"/>
        <v>19.444366666666664</v>
      </c>
      <c r="T77" s="553">
        <f t="shared" si="44"/>
        <v>39.166666666666664</v>
      </c>
      <c r="U77" s="553">
        <f t="shared" si="45"/>
        <v>58.333333333333336</v>
      </c>
      <c r="V77" s="553">
        <f t="shared" si="46"/>
        <v>901.99436666666656</v>
      </c>
      <c r="W77" s="554">
        <v>0</v>
      </c>
      <c r="X77" s="552">
        <f t="shared" si="47"/>
        <v>0</v>
      </c>
      <c r="Y77" s="552">
        <f t="shared" si="48"/>
        <v>0</v>
      </c>
      <c r="Z77" s="552">
        <f t="shared" si="49"/>
        <v>0</v>
      </c>
      <c r="AA77" s="552">
        <f t="shared" si="50"/>
        <v>0</v>
      </c>
      <c r="AB77" s="552">
        <f t="shared" si="51"/>
        <v>0</v>
      </c>
      <c r="AC77" s="552">
        <f t="shared" si="52"/>
        <v>0</v>
      </c>
      <c r="AD77" s="552">
        <f t="shared" si="53"/>
        <v>0</v>
      </c>
      <c r="AE77" s="552">
        <f t="shared" si="54"/>
        <v>0</v>
      </c>
      <c r="AF77" s="552">
        <f t="shared" si="55"/>
        <v>58.333099999999995</v>
      </c>
      <c r="AG77" s="552">
        <f t="shared" si="56"/>
        <v>58.333099999999995</v>
      </c>
      <c r="AH77" s="552">
        <f t="shared" si="57"/>
        <v>58.333099999999995</v>
      </c>
      <c r="AI77" s="552">
        <f t="shared" si="58"/>
        <v>58.333099999999995</v>
      </c>
      <c r="AJ77" s="551"/>
      <c r="AK77" s="551"/>
      <c r="AL77" s="543"/>
      <c r="AM77" s="543"/>
    </row>
    <row r="78" spans="1:39" s="538" customFormat="1" ht="12" customHeight="1" outlineLevel="1" collapsed="1" x14ac:dyDescent="0.25">
      <c r="A78" s="544">
        <v>63</v>
      </c>
      <c r="B78" s="556" t="str">
        <f t="shared" si="59"/>
        <v>QUITO</v>
      </c>
      <c r="C78" s="546" t="s">
        <v>1041</v>
      </c>
      <c r="D78" s="547" t="s">
        <v>1042</v>
      </c>
      <c r="E78" s="547" t="s">
        <v>1035</v>
      </c>
      <c r="F78" s="546" t="s">
        <v>1043</v>
      </c>
      <c r="G78" s="557"/>
      <c r="H78" s="557"/>
      <c r="I78" s="549">
        <v>44354</v>
      </c>
      <c r="J78" s="550">
        <v>700</v>
      </c>
      <c r="K78" s="551"/>
      <c r="L78" s="550">
        <v>700</v>
      </c>
      <c r="M78" s="551"/>
      <c r="N78" s="551"/>
      <c r="O78" s="552">
        <f>L78*$O$7</f>
        <v>280</v>
      </c>
      <c r="P78" s="551"/>
      <c r="Q78" s="553">
        <f t="shared" si="41"/>
        <v>980</v>
      </c>
      <c r="R78" s="553">
        <f t="shared" si="42"/>
        <v>119.07</v>
      </c>
      <c r="S78" s="553">
        <f t="shared" si="43"/>
        <v>81.666339999999991</v>
      </c>
      <c r="T78" s="553">
        <f t="shared" si="44"/>
        <v>39.166666666666664</v>
      </c>
      <c r="U78" s="553">
        <f t="shared" si="45"/>
        <v>81.666666666666671</v>
      </c>
      <c r="V78" s="553">
        <f t="shared" si="46"/>
        <v>1301.5696733333334</v>
      </c>
      <c r="W78" s="554">
        <v>0</v>
      </c>
      <c r="X78" s="552">
        <f t="shared" si="47"/>
        <v>81.666339999999991</v>
      </c>
      <c r="Y78" s="552">
        <f t="shared" si="48"/>
        <v>81.666339999999991</v>
      </c>
      <c r="Z78" s="552">
        <f t="shared" si="49"/>
        <v>81.666339999999991</v>
      </c>
      <c r="AA78" s="552">
        <f t="shared" si="50"/>
        <v>81.666339999999991</v>
      </c>
      <c r="AB78" s="552">
        <f t="shared" si="51"/>
        <v>81.666339999999991</v>
      </c>
      <c r="AC78" s="552">
        <f t="shared" si="52"/>
        <v>81.666339999999991</v>
      </c>
      <c r="AD78" s="552">
        <f t="shared" si="53"/>
        <v>81.666339999999991</v>
      </c>
      <c r="AE78" s="552">
        <f t="shared" si="54"/>
        <v>81.666339999999991</v>
      </c>
      <c r="AF78" s="552">
        <f t="shared" si="55"/>
        <v>81.666339999999991</v>
      </c>
      <c r="AG78" s="552">
        <f t="shared" si="56"/>
        <v>81.666339999999991</v>
      </c>
      <c r="AH78" s="552">
        <f t="shared" si="57"/>
        <v>81.666339999999991</v>
      </c>
      <c r="AI78" s="552">
        <f t="shared" si="58"/>
        <v>81.666339999999991</v>
      </c>
      <c r="AJ78" s="551"/>
      <c r="AK78" s="551"/>
      <c r="AL78" s="543"/>
      <c r="AM78" s="543"/>
    </row>
    <row r="79" spans="1:39" s="538" customFormat="1" ht="12" customHeight="1" outlineLevel="1" collapsed="1" x14ac:dyDescent="0.25">
      <c r="A79" s="544">
        <v>64</v>
      </c>
      <c r="B79" s="556" t="str">
        <f t="shared" si="59"/>
        <v>QUITO</v>
      </c>
      <c r="C79" s="546" t="s">
        <v>1066</v>
      </c>
      <c r="D79" s="547" t="s">
        <v>1067</v>
      </c>
      <c r="E79" s="547" t="s">
        <v>1035</v>
      </c>
      <c r="F79" s="546" t="s">
        <v>1091</v>
      </c>
      <c r="G79" s="557"/>
      <c r="H79" s="557"/>
      <c r="I79" s="549">
        <v>39234</v>
      </c>
      <c r="J79" s="550">
        <v>1250</v>
      </c>
      <c r="K79" s="551"/>
      <c r="L79" s="552">
        <f>J79+K79</f>
        <v>1250</v>
      </c>
      <c r="M79" s="551"/>
      <c r="N79" s="551"/>
      <c r="O79" s="551"/>
      <c r="P79" s="551"/>
      <c r="Q79" s="553">
        <f t="shared" si="41"/>
        <v>1250</v>
      </c>
      <c r="R79" s="553">
        <f t="shared" si="42"/>
        <v>151.875</v>
      </c>
      <c r="S79" s="553">
        <f t="shared" si="43"/>
        <v>104.16624999999999</v>
      </c>
      <c r="T79" s="553">
        <f t="shared" si="44"/>
        <v>39.166666666666664</v>
      </c>
      <c r="U79" s="553">
        <f t="shared" si="45"/>
        <v>104.16666666666667</v>
      </c>
      <c r="V79" s="553">
        <f t="shared" si="46"/>
        <v>1649.3745833333335</v>
      </c>
      <c r="W79" s="554">
        <v>0</v>
      </c>
      <c r="X79" s="552">
        <f t="shared" si="47"/>
        <v>104.16624999999999</v>
      </c>
      <c r="Y79" s="552">
        <f t="shared" si="48"/>
        <v>104.16624999999999</v>
      </c>
      <c r="Z79" s="552">
        <f t="shared" si="49"/>
        <v>104.16624999999999</v>
      </c>
      <c r="AA79" s="552">
        <f t="shared" si="50"/>
        <v>104.16624999999999</v>
      </c>
      <c r="AB79" s="552">
        <f t="shared" si="51"/>
        <v>104.16624999999999</v>
      </c>
      <c r="AC79" s="552">
        <f t="shared" si="52"/>
        <v>104.16624999999999</v>
      </c>
      <c r="AD79" s="552">
        <f t="shared" si="53"/>
        <v>104.16624999999999</v>
      </c>
      <c r="AE79" s="552">
        <f t="shared" si="54"/>
        <v>104.16624999999999</v>
      </c>
      <c r="AF79" s="552">
        <f t="shared" si="55"/>
        <v>104.16624999999999</v>
      </c>
      <c r="AG79" s="552">
        <f t="shared" si="56"/>
        <v>104.16624999999999</v>
      </c>
      <c r="AH79" s="552">
        <f t="shared" si="57"/>
        <v>104.16624999999999</v>
      </c>
      <c r="AI79" s="552">
        <f t="shared" si="58"/>
        <v>104.16624999999999</v>
      </c>
      <c r="AJ79" s="551"/>
      <c r="AK79" s="551"/>
      <c r="AL79" s="543"/>
      <c r="AM79" s="543"/>
    </row>
    <row r="80" spans="1:39" s="538" customFormat="1" ht="12" customHeight="1" outlineLevel="1" collapsed="1" x14ac:dyDescent="0.25">
      <c r="A80" s="544">
        <v>65</v>
      </c>
      <c r="B80" s="556" t="str">
        <f t="shared" si="59"/>
        <v>IBARRA</v>
      </c>
      <c r="C80" s="546" t="s">
        <v>1033</v>
      </c>
      <c r="D80" s="547" t="s">
        <v>1034</v>
      </c>
      <c r="E80" s="547" t="s">
        <v>1044</v>
      </c>
      <c r="F80" s="546" t="s">
        <v>1045</v>
      </c>
      <c r="G80" s="557"/>
      <c r="H80" s="557"/>
      <c r="I80" s="549">
        <v>38869</v>
      </c>
      <c r="J80" s="550">
        <v>480</v>
      </c>
      <c r="K80" s="551"/>
      <c r="L80" s="552">
        <f>J80+K80</f>
        <v>480</v>
      </c>
      <c r="M80" s="551"/>
      <c r="N80" s="551"/>
      <c r="O80" s="551"/>
      <c r="P80" s="551"/>
      <c r="Q80" s="553">
        <f t="shared" si="41"/>
        <v>480</v>
      </c>
      <c r="R80" s="553">
        <f t="shared" si="42"/>
        <v>58.32</v>
      </c>
      <c r="S80" s="553">
        <f t="shared" si="43"/>
        <v>39.999839999999999</v>
      </c>
      <c r="T80" s="553">
        <f t="shared" si="44"/>
        <v>39.166666666666664</v>
      </c>
      <c r="U80" s="553">
        <f t="shared" si="45"/>
        <v>40</v>
      </c>
      <c r="V80" s="553">
        <f t="shared" si="46"/>
        <v>657.48650666666663</v>
      </c>
      <c r="W80" s="554">
        <v>0</v>
      </c>
      <c r="X80" s="552">
        <f t="shared" si="47"/>
        <v>39.999839999999992</v>
      </c>
      <c r="Y80" s="552">
        <f t="shared" si="48"/>
        <v>39.999839999999992</v>
      </c>
      <c r="Z80" s="552">
        <f t="shared" si="49"/>
        <v>39.999839999999992</v>
      </c>
      <c r="AA80" s="552">
        <f t="shared" si="50"/>
        <v>39.999839999999992</v>
      </c>
      <c r="AB80" s="552">
        <f t="shared" si="51"/>
        <v>39.999839999999992</v>
      </c>
      <c r="AC80" s="552">
        <f t="shared" si="52"/>
        <v>39.999839999999992</v>
      </c>
      <c r="AD80" s="552">
        <f t="shared" si="53"/>
        <v>39.999839999999992</v>
      </c>
      <c r="AE80" s="552">
        <f t="shared" si="54"/>
        <v>39.999839999999992</v>
      </c>
      <c r="AF80" s="552">
        <f t="shared" si="55"/>
        <v>39.999839999999992</v>
      </c>
      <c r="AG80" s="552">
        <f t="shared" si="56"/>
        <v>39.999839999999992</v>
      </c>
      <c r="AH80" s="552">
        <f t="shared" si="57"/>
        <v>39.999839999999992</v>
      </c>
      <c r="AI80" s="552">
        <f t="shared" si="58"/>
        <v>39.999839999999992</v>
      </c>
      <c r="AJ80" s="551"/>
      <c r="AK80" s="551"/>
      <c r="AL80" s="543"/>
      <c r="AM80" s="543"/>
    </row>
    <row r="81" spans="1:39" s="538" customFormat="1" ht="12" customHeight="1" outlineLevel="1" collapsed="1" x14ac:dyDescent="0.25">
      <c r="A81" s="544">
        <v>66</v>
      </c>
      <c r="B81" s="556" t="str">
        <f t="shared" si="59"/>
        <v>QUITO</v>
      </c>
      <c r="C81" s="546" t="s">
        <v>1041</v>
      </c>
      <c r="D81" s="547" t="s">
        <v>1042</v>
      </c>
      <c r="E81" s="547" t="s">
        <v>1035</v>
      </c>
      <c r="F81" s="546" t="s">
        <v>1062</v>
      </c>
      <c r="G81" s="557"/>
      <c r="H81" s="557"/>
      <c r="I81" s="549">
        <v>45078</v>
      </c>
      <c r="J81" s="550">
        <v>600</v>
      </c>
      <c r="K81" s="551"/>
      <c r="L81" s="550">
        <v>600</v>
      </c>
      <c r="M81" s="551"/>
      <c r="N81" s="551"/>
      <c r="O81" s="551"/>
      <c r="P81" s="551"/>
      <c r="Q81" s="553">
        <f t="shared" si="41"/>
        <v>600</v>
      </c>
      <c r="R81" s="553">
        <f t="shared" si="42"/>
        <v>72.899999999999991</v>
      </c>
      <c r="S81" s="553">
        <f t="shared" si="43"/>
        <v>49.999799999999993</v>
      </c>
      <c r="T81" s="553">
        <f t="shared" si="44"/>
        <v>39.166666666666664</v>
      </c>
      <c r="U81" s="553">
        <f t="shared" si="45"/>
        <v>50</v>
      </c>
      <c r="V81" s="553">
        <f t="shared" si="46"/>
        <v>812.06646666666654</v>
      </c>
      <c r="W81" s="554">
        <v>0</v>
      </c>
      <c r="X81" s="552">
        <f t="shared" si="47"/>
        <v>49.999799999999993</v>
      </c>
      <c r="Y81" s="552">
        <f t="shared" si="48"/>
        <v>49.999799999999993</v>
      </c>
      <c r="Z81" s="552">
        <f t="shared" si="49"/>
        <v>49.999799999999993</v>
      </c>
      <c r="AA81" s="552">
        <f t="shared" si="50"/>
        <v>49.999799999999993</v>
      </c>
      <c r="AB81" s="552">
        <f t="shared" si="51"/>
        <v>49.999799999999993</v>
      </c>
      <c r="AC81" s="552">
        <f t="shared" si="52"/>
        <v>49.999799999999993</v>
      </c>
      <c r="AD81" s="552">
        <f t="shared" si="53"/>
        <v>49.999799999999993</v>
      </c>
      <c r="AE81" s="552">
        <f t="shared" si="54"/>
        <v>49.999799999999993</v>
      </c>
      <c r="AF81" s="552">
        <f t="shared" si="55"/>
        <v>49.999799999999993</v>
      </c>
      <c r="AG81" s="552">
        <f t="shared" si="56"/>
        <v>49.999799999999993</v>
      </c>
      <c r="AH81" s="552">
        <f t="shared" si="57"/>
        <v>49.999799999999993</v>
      </c>
      <c r="AI81" s="552">
        <f t="shared" si="58"/>
        <v>49.999799999999993</v>
      </c>
      <c r="AJ81" s="551"/>
      <c r="AK81" s="551"/>
      <c r="AL81" s="543"/>
      <c r="AM81" s="543"/>
    </row>
    <row r="82" spans="1:39" s="538" customFormat="1" ht="12" customHeight="1" outlineLevel="1" collapsed="1" x14ac:dyDescent="0.25">
      <c r="A82" s="544">
        <v>67</v>
      </c>
      <c r="B82" s="556" t="str">
        <f t="shared" si="59"/>
        <v>QUITO</v>
      </c>
      <c r="C82" s="546" t="s">
        <v>1066</v>
      </c>
      <c r="D82" s="547" t="s">
        <v>1067</v>
      </c>
      <c r="E82" s="547" t="s">
        <v>1035</v>
      </c>
      <c r="F82" s="546" t="s">
        <v>1091</v>
      </c>
      <c r="G82" s="557"/>
      <c r="H82" s="557"/>
      <c r="I82" s="549">
        <v>41338</v>
      </c>
      <c r="J82" s="550">
        <v>1128.04</v>
      </c>
      <c r="K82" s="551"/>
      <c r="L82" s="552">
        <f>J82+K82</f>
        <v>1128.04</v>
      </c>
      <c r="M82" s="551"/>
      <c r="N82" s="551"/>
      <c r="O82" s="551"/>
      <c r="P82" s="551"/>
      <c r="Q82" s="553">
        <f t="shared" si="41"/>
        <v>1128.04</v>
      </c>
      <c r="R82" s="553">
        <f t="shared" si="42"/>
        <v>137.05686</v>
      </c>
      <c r="S82" s="553">
        <f t="shared" si="43"/>
        <v>94.002957319999965</v>
      </c>
      <c r="T82" s="553">
        <f t="shared" si="44"/>
        <v>39.166666666666664</v>
      </c>
      <c r="U82" s="553">
        <f t="shared" si="45"/>
        <v>94.00333333333333</v>
      </c>
      <c r="V82" s="553">
        <f t="shared" si="46"/>
        <v>1492.2698173199999</v>
      </c>
      <c r="W82" s="554">
        <v>0</v>
      </c>
      <c r="X82" s="552">
        <f t="shared" si="47"/>
        <v>94.002957319999993</v>
      </c>
      <c r="Y82" s="552">
        <f t="shared" si="48"/>
        <v>94.002957319999993</v>
      </c>
      <c r="Z82" s="552">
        <f t="shared" si="49"/>
        <v>94.002957319999993</v>
      </c>
      <c r="AA82" s="552">
        <f t="shared" si="50"/>
        <v>94.002957319999993</v>
      </c>
      <c r="AB82" s="552">
        <f t="shared" si="51"/>
        <v>94.002957319999993</v>
      </c>
      <c r="AC82" s="552">
        <f t="shared" si="52"/>
        <v>94.002957319999993</v>
      </c>
      <c r="AD82" s="552">
        <f t="shared" si="53"/>
        <v>94.002957319999993</v>
      </c>
      <c r="AE82" s="552">
        <f t="shared" si="54"/>
        <v>94.002957319999993</v>
      </c>
      <c r="AF82" s="552">
        <f t="shared" si="55"/>
        <v>94.002957319999993</v>
      </c>
      <c r="AG82" s="552">
        <f t="shared" si="56"/>
        <v>94.002957319999993</v>
      </c>
      <c r="AH82" s="552">
        <f t="shared" si="57"/>
        <v>94.002957319999993</v>
      </c>
      <c r="AI82" s="552">
        <f t="shared" si="58"/>
        <v>94.002957319999993</v>
      </c>
      <c r="AJ82" s="551"/>
      <c r="AK82" s="551"/>
      <c r="AL82" s="543"/>
      <c r="AM82" s="543"/>
    </row>
    <row r="83" spans="1:39" s="538" customFormat="1" ht="12" customHeight="1" outlineLevel="1" collapsed="1" x14ac:dyDescent="0.25">
      <c r="A83" s="544">
        <v>68</v>
      </c>
      <c r="B83" s="556" t="str">
        <f t="shared" si="59"/>
        <v>QUITO</v>
      </c>
      <c r="C83" s="546" t="s">
        <v>1092</v>
      </c>
      <c r="D83" s="547" t="s">
        <v>1057</v>
      </c>
      <c r="E83" s="547" t="s">
        <v>1035</v>
      </c>
      <c r="F83" s="546" t="s">
        <v>1093</v>
      </c>
      <c r="G83" s="557"/>
      <c r="H83" s="557"/>
      <c r="I83" s="549">
        <v>43224</v>
      </c>
      <c r="J83" s="550">
        <v>1100</v>
      </c>
      <c r="K83" s="551"/>
      <c r="L83" s="552">
        <f>J83+K83</f>
        <v>1100</v>
      </c>
      <c r="M83" s="551"/>
      <c r="N83" s="551"/>
      <c r="O83" s="551"/>
      <c r="P83" s="551"/>
      <c r="Q83" s="553">
        <f t="shared" si="41"/>
        <v>1100</v>
      </c>
      <c r="R83" s="553">
        <f t="shared" si="42"/>
        <v>133.65</v>
      </c>
      <c r="S83" s="553">
        <f t="shared" si="43"/>
        <v>91.666299999999993</v>
      </c>
      <c r="T83" s="553">
        <f t="shared" si="44"/>
        <v>39.166666666666664</v>
      </c>
      <c r="U83" s="553">
        <f t="shared" si="45"/>
        <v>91.666666666666671</v>
      </c>
      <c r="V83" s="553">
        <f t="shared" si="46"/>
        <v>1456.1496333333337</v>
      </c>
      <c r="W83" s="554">
        <v>0</v>
      </c>
      <c r="X83" s="552">
        <f t="shared" si="47"/>
        <v>91.666299999999993</v>
      </c>
      <c r="Y83" s="552">
        <f t="shared" si="48"/>
        <v>91.666299999999993</v>
      </c>
      <c r="Z83" s="552">
        <f t="shared" si="49"/>
        <v>91.666299999999993</v>
      </c>
      <c r="AA83" s="552">
        <f t="shared" si="50"/>
        <v>91.666299999999993</v>
      </c>
      <c r="AB83" s="552">
        <f t="shared" si="51"/>
        <v>91.666299999999993</v>
      </c>
      <c r="AC83" s="552">
        <f t="shared" si="52"/>
        <v>91.666299999999993</v>
      </c>
      <c r="AD83" s="552">
        <f t="shared" si="53"/>
        <v>91.666299999999993</v>
      </c>
      <c r="AE83" s="552">
        <f t="shared" si="54"/>
        <v>91.666299999999993</v>
      </c>
      <c r="AF83" s="552">
        <f t="shared" si="55"/>
        <v>91.666299999999993</v>
      </c>
      <c r="AG83" s="552">
        <f t="shared" si="56"/>
        <v>91.666299999999993</v>
      </c>
      <c r="AH83" s="552">
        <f t="shared" si="57"/>
        <v>91.666299999999993</v>
      </c>
      <c r="AI83" s="552">
        <f t="shared" si="58"/>
        <v>91.666299999999993</v>
      </c>
      <c r="AJ83" s="551"/>
      <c r="AK83" s="551"/>
      <c r="AL83" s="543"/>
      <c r="AM83" s="543"/>
    </row>
    <row r="84" spans="1:39" s="538" customFormat="1" ht="12" customHeight="1" outlineLevel="1" collapsed="1" x14ac:dyDescent="0.25">
      <c r="A84" s="544">
        <v>69</v>
      </c>
      <c r="B84" s="556" t="str">
        <f t="shared" si="59"/>
        <v>QUITO</v>
      </c>
      <c r="C84" s="546" t="s">
        <v>1066</v>
      </c>
      <c r="D84" s="547" t="s">
        <v>1067</v>
      </c>
      <c r="E84" s="547" t="s">
        <v>1035</v>
      </c>
      <c r="F84" s="546" t="s">
        <v>1094</v>
      </c>
      <c r="G84" s="557"/>
      <c r="H84" s="557"/>
      <c r="I84" s="549">
        <v>38698</v>
      </c>
      <c r="J84" s="550">
        <v>2500</v>
      </c>
      <c r="K84" s="551"/>
      <c r="L84" s="552">
        <f>J84+K84</f>
        <v>2500</v>
      </c>
      <c r="M84" s="551"/>
      <c r="N84" s="551"/>
      <c r="O84" s="551"/>
      <c r="P84" s="551"/>
      <c r="Q84" s="553">
        <f t="shared" si="41"/>
        <v>2500</v>
      </c>
      <c r="R84" s="553">
        <f t="shared" si="42"/>
        <v>303.75</v>
      </c>
      <c r="S84" s="553">
        <f t="shared" si="43"/>
        <v>208.33249999999998</v>
      </c>
      <c r="T84" s="553">
        <f t="shared" si="44"/>
        <v>39.166666666666664</v>
      </c>
      <c r="U84" s="553">
        <f t="shared" si="45"/>
        <v>208.33333333333334</v>
      </c>
      <c r="V84" s="553">
        <f t="shared" si="46"/>
        <v>3259.5825</v>
      </c>
      <c r="W84" s="554">
        <v>0</v>
      </c>
      <c r="X84" s="552">
        <f t="shared" si="47"/>
        <v>208.33249999999998</v>
      </c>
      <c r="Y84" s="552">
        <f t="shared" si="48"/>
        <v>208.33249999999998</v>
      </c>
      <c r="Z84" s="552">
        <f t="shared" si="49"/>
        <v>208.33249999999998</v>
      </c>
      <c r="AA84" s="552">
        <f t="shared" si="50"/>
        <v>208.33249999999998</v>
      </c>
      <c r="AB84" s="552">
        <f t="shared" si="51"/>
        <v>208.33249999999998</v>
      </c>
      <c r="AC84" s="552">
        <f t="shared" si="52"/>
        <v>208.33249999999998</v>
      </c>
      <c r="AD84" s="552">
        <f t="shared" si="53"/>
        <v>208.33249999999998</v>
      </c>
      <c r="AE84" s="552">
        <f t="shared" si="54"/>
        <v>208.33249999999998</v>
      </c>
      <c r="AF84" s="552">
        <f t="shared" si="55"/>
        <v>208.33249999999998</v>
      </c>
      <c r="AG84" s="552">
        <f t="shared" si="56"/>
        <v>208.33249999999998</v>
      </c>
      <c r="AH84" s="552">
        <f t="shared" si="57"/>
        <v>208.33249999999998</v>
      </c>
      <c r="AI84" s="552">
        <f t="shared" si="58"/>
        <v>208.33249999999998</v>
      </c>
      <c r="AJ84" s="551"/>
      <c r="AK84" s="551"/>
      <c r="AL84" s="543"/>
      <c r="AM84" s="543"/>
    </row>
    <row r="85" spans="1:39" s="538" customFormat="1" ht="12" customHeight="1" outlineLevel="1" collapsed="1" x14ac:dyDescent="0.25">
      <c r="A85" s="544">
        <v>80</v>
      </c>
      <c r="B85" s="556" t="str">
        <f t="shared" si="59"/>
        <v>QUITO</v>
      </c>
      <c r="C85" s="546" t="s">
        <v>1041</v>
      </c>
      <c r="D85" s="547" t="s">
        <v>1042</v>
      </c>
      <c r="E85" s="547" t="s">
        <v>1035</v>
      </c>
      <c r="F85" s="546" t="s">
        <v>1061</v>
      </c>
      <c r="G85" s="557"/>
      <c r="H85" s="557"/>
      <c r="I85" s="549">
        <v>45615</v>
      </c>
      <c r="J85" s="550">
        <v>500</v>
      </c>
      <c r="K85" s="551"/>
      <c r="L85" s="552">
        <f>J85+K85</f>
        <v>500</v>
      </c>
      <c r="M85" s="551"/>
      <c r="N85" s="551"/>
      <c r="O85" s="551"/>
      <c r="P85" s="551"/>
      <c r="Q85" s="553">
        <f t="shared" si="41"/>
        <v>500</v>
      </c>
      <c r="R85" s="553">
        <f t="shared" si="42"/>
        <v>60.75</v>
      </c>
      <c r="S85" s="553">
        <f t="shared" si="43"/>
        <v>6.9444166666666653</v>
      </c>
      <c r="T85" s="553">
        <f t="shared" si="44"/>
        <v>39.166666666666664</v>
      </c>
      <c r="U85" s="553">
        <f t="shared" si="45"/>
        <v>41.666666666666664</v>
      </c>
      <c r="V85" s="553">
        <f t="shared" si="46"/>
        <v>648.52774999999997</v>
      </c>
      <c r="W85" s="554">
        <v>0</v>
      </c>
      <c r="X85" s="552">
        <f t="shared" si="47"/>
        <v>0</v>
      </c>
      <c r="Y85" s="552">
        <f t="shared" si="48"/>
        <v>0</v>
      </c>
      <c r="Z85" s="552">
        <f t="shared" si="49"/>
        <v>0</v>
      </c>
      <c r="AA85" s="552">
        <f t="shared" si="50"/>
        <v>0</v>
      </c>
      <c r="AB85" s="552">
        <f t="shared" si="51"/>
        <v>0</v>
      </c>
      <c r="AC85" s="552">
        <f t="shared" si="52"/>
        <v>0</v>
      </c>
      <c r="AD85" s="552">
        <f t="shared" si="53"/>
        <v>0</v>
      </c>
      <c r="AE85" s="552">
        <f t="shared" si="54"/>
        <v>0</v>
      </c>
      <c r="AF85" s="552">
        <f t="shared" si="55"/>
        <v>0</v>
      </c>
      <c r="AG85" s="552">
        <f t="shared" si="56"/>
        <v>0</v>
      </c>
      <c r="AH85" s="552">
        <f t="shared" si="57"/>
        <v>41.666499999999992</v>
      </c>
      <c r="AI85" s="552">
        <f t="shared" si="58"/>
        <v>41.666499999999992</v>
      </c>
      <c r="AJ85" s="551"/>
      <c r="AK85" s="551"/>
      <c r="AL85" s="543"/>
      <c r="AM85" s="543"/>
    </row>
    <row r="86" spans="1:39" s="538" customFormat="1" ht="12" customHeight="1" outlineLevel="1" collapsed="1" x14ac:dyDescent="0.25">
      <c r="A86" s="544">
        <v>81</v>
      </c>
      <c r="B86" s="556" t="str">
        <f t="shared" si="59"/>
        <v>QUITO</v>
      </c>
      <c r="C86" s="546" t="s">
        <v>1041</v>
      </c>
      <c r="D86" s="547" t="s">
        <v>1042</v>
      </c>
      <c r="E86" s="547" t="s">
        <v>1035</v>
      </c>
      <c r="F86" s="546" t="s">
        <v>1095</v>
      </c>
      <c r="G86" s="557"/>
      <c r="H86" s="557"/>
      <c r="I86" s="549">
        <v>45615</v>
      </c>
      <c r="J86" s="550">
        <v>800</v>
      </c>
      <c r="K86" s="551"/>
      <c r="L86" s="552">
        <f>J86+K86</f>
        <v>800</v>
      </c>
      <c r="M86" s="551"/>
      <c r="N86" s="551"/>
      <c r="O86" s="551"/>
      <c r="P86" s="551"/>
      <c r="Q86" s="553">
        <f t="shared" si="41"/>
        <v>800</v>
      </c>
      <c r="R86" s="553">
        <f t="shared" si="42"/>
        <v>97.2</v>
      </c>
      <c r="S86" s="553">
        <f t="shared" si="43"/>
        <v>11.111066666666666</v>
      </c>
      <c r="T86" s="553">
        <f t="shared" si="44"/>
        <v>39.166666666666664</v>
      </c>
      <c r="U86" s="553">
        <f t="shared" si="45"/>
        <v>66.666666666666671</v>
      </c>
      <c r="V86" s="553">
        <f t="shared" si="46"/>
        <v>1014.1444</v>
      </c>
      <c r="W86" s="554">
        <v>0</v>
      </c>
      <c r="X86" s="552">
        <f t="shared" si="47"/>
        <v>0</v>
      </c>
      <c r="Y86" s="552">
        <f t="shared" si="48"/>
        <v>0</v>
      </c>
      <c r="Z86" s="552">
        <f t="shared" si="49"/>
        <v>0</v>
      </c>
      <c r="AA86" s="552">
        <f t="shared" si="50"/>
        <v>0</v>
      </c>
      <c r="AB86" s="552">
        <f t="shared" si="51"/>
        <v>0</v>
      </c>
      <c r="AC86" s="552">
        <f t="shared" si="52"/>
        <v>0</v>
      </c>
      <c r="AD86" s="552">
        <f t="shared" si="53"/>
        <v>0</v>
      </c>
      <c r="AE86" s="552">
        <f t="shared" si="54"/>
        <v>0</v>
      </c>
      <c r="AF86" s="552">
        <f t="shared" si="55"/>
        <v>0</v>
      </c>
      <c r="AG86" s="552">
        <f t="shared" si="56"/>
        <v>0</v>
      </c>
      <c r="AH86" s="552">
        <f t="shared" si="57"/>
        <v>66.666399999999996</v>
      </c>
      <c r="AI86" s="552">
        <f t="shared" si="58"/>
        <v>66.666399999999996</v>
      </c>
      <c r="AJ86" s="551"/>
      <c r="AK86" s="551"/>
      <c r="AL86" s="543"/>
      <c r="AM86" s="543"/>
    </row>
    <row r="87" spans="1:39" s="538" customFormat="1" ht="12" customHeight="1" outlineLevel="1" collapsed="1" x14ac:dyDescent="0.25">
      <c r="A87" s="544">
        <v>70</v>
      </c>
      <c r="B87" s="556" t="str">
        <f t="shared" si="59"/>
        <v>QUITO</v>
      </c>
      <c r="C87" s="546" t="s">
        <v>1033</v>
      </c>
      <c r="D87" s="547" t="s">
        <v>1034</v>
      </c>
      <c r="E87" s="547" t="s">
        <v>1035</v>
      </c>
      <c r="F87" s="546" t="s">
        <v>1096</v>
      </c>
      <c r="G87" s="557"/>
      <c r="H87" s="557"/>
      <c r="I87" s="549">
        <v>43661</v>
      </c>
      <c r="J87" s="550">
        <v>1100</v>
      </c>
      <c r="K87" s="551"/>
      <c r="L87" s="550">
        <v>1100</v>
      </c>
      <c r="M87" s="551"/>
      <c r="N87" s="551"/>
      <c r="O87" s="551"/>
      <c r="P87" s="551"/>
      <c r="Q87" s="553">
        <f t="shared" si="41"/>
        <v>1100</v>
      </c>
      <c r="R87" s="553">
        <f t="shared" si="42"/>
        <v>133.65</v>
      </c>
      <c r="S87" s="553">
        <f t="shared" si="43"/>
        <v>91.666299999999993</v>
      </c>
      <c r="T87" s="553">
        <f t="shared" si="44"/>
        <v>39.166666666666664</v>
      </c>
      <c r="U87" s="553">
        <f t="shared" si="45"/>
        <v>91.666666666666671</v>
      </c>
      <c r="V87" s="553">
        <f t="shared" si="46"/>
        <v>1456.1496333333337</v>
      </c>
      <c r="W87" s="554">
        <v>0</v>
      </c>
      <c r="X87" s="552">
        <f t="shared" si="47"/>
        <v>91.666299999999993</v>
      </c>
      <c r="Y87" s="552">
        <f t="shared" si="48"/>
        <v>91.666299999999993</v>
      </c>
      <c r="Z87" s="552">
        <f t="shared" si="49"/>
        <v>91.666299999999993</v>
      </c>
      <c r="AA87" s="552">
        <f t="shared" si="50"/>
        <v>91.666299999999993</v>
      </c>
      <c r="AB87" s="552">
        <f t="shared" si="51"/>
        <v>91.666299999999993</v>
      </c>
      <c r="AC87" s="552">
        <f t="shared" si="52"/>
        <v>91.666299999999993</v>
      </c>
      <c r="AD87" s="552">
        <f t="shared" si="53"/>
        <v>91.666299999999993</v>
      </c>
      <c r="AE87" s="552">
        <f t="shared" si="54"/>
        <v>91.666299999999993</v>
      </c>
      <c r="AF87" s="552">
        <f t="shared" si="55"/>
        <v>91.666299999999993</v>
      </c>
      <c r="AG87" s="552">
        <f t="shared" si="56"/>
        <v>91.666299999999993</v>
      </c>
      <c r="AH87" s="552">
        <f t="shared" si="57"/>
        <v>91.666299999999993</v>
      </c>
      <c r="AI87" s="552">
        <f t="shared" si="58"/>
        <v>91.666299999999993</v>
      </c>
      <c r="AJ87" s="551"/>
      <c r="AK87" s="551"/>
      <c r="AL87" s="543"/>
      <c r="AM87" s="543"/>
    </row>
    <row r="88" spans="1:39" s="538" customFormat="1" ht="12" customHeight="1" outlineLevel="1" collapsed="1" x14ac:dyDescent="0.25">
      <c r="A88" s="544">
        <v>71</v>
      </c>
      <c r="B88" s="556" t="str">
        <f t="shared" si="59"/>
        <v>IBARRA</v>
      </c>
      <c r="C88" s="546" t="s">
        <v>1069</v>
      </c>
      <c r="D88" s="547" t="s">
        <v>1070</v>
      </c>
      <c r="E88" s="547" t="s">
        <v>1044</v>
      </c>
      <c r="F88" s="546" t="s">
        <v>1071</v>
      </c>
      <c r="G88" s="557"/>
      <c r="H88" s="557"/>
      <c r="I88" s="549">
        <v>34731</v>
      </c>
      <c r="J88" s="550">
        <v>1000</v>
      </c>
      <c r="K88" s="551"/>
      <c r="L88" s="552">
        <f t="shared" ref="L88:L94" si="60">J88+K88</f>
        <v>1000</v>
      </c>
      <c r="M88" s="551"/>
      <c r="N88" s="551"/>
      <c r="O88" s="551"/>
      <c r="P88" s="551"/>
      <c r="Q88" s="553">
        <f t="shared" si="41"/>
        <v>1000</v>
      </c>
      <c r="R88" s="553">
        <f t="shared" si="42"/>
        <v>121.5</v>
      </c>
      <c r="S88" s="553">
        <f t="shared" si="43"/>
        <v>83.332999999999984</v>
      </c>
      <c r="T88" s="553">
        <f t="shared" si="44"/>
        <v>39.166666666666664</v>
      </c>
      <c r="U88" s="553">
        <f t="shared" si="45"/>
        <v>83.333333333333329</v>
      </c>
      <c r="V88" s="553">
        <f t="shared" si="46"/>
        <v>1327.3330000000001</v>
      </c>
      <c r="W88" s="554">
        <v>0</v>
      </c>
      <c r="X88" s="552">
        <f t="shared" si="47"/>
        <v>83.332999999999984</v>
      </c>
      <c r="Y88" s="552">
        <f t="shared" si="48"/>
        <v>83.332999999999984</v>
      </c>
      <c r="Z88" s="552">
        <f t="shared" si="49"/>
        <v>83.332999999999984</v>
      </c>
      <c r="AA88" s="552">
        <f t="shared" si="50"/>
        <v>83.332999999999984</v>
      </c>
      <c r="AB88" s="552">
        <f t="shared" si="51"/>
        <v>83.332999999999984</v>
      </c>
      <c r="AC88" s="552">
        <f t="shared" si="52"/>
        <v>83.332999999999984</v>
      </c>
      <c r="AD88" s="552">
        <f t="shared" si="53"/>
        <v>83.332999999999984</v>
      </c>
      <c r="AE88" s="552">
        <f t="shared" si="54"/>
        <v>83.332999999999984</v>
      </c>
      <c r="AF88" s="552">
        <f t="shared" si="55"/>
        <v>83.332999999999984</v>
      </c>
      <c r="AG88" s="552">
        <f t="shared" si="56"/>
        <v>83.332999999999984</v>
      </c>
      <c r="AH88" s="552">
        <f t="shared" si="57"/>
        <v>83.332999999999984</v>
      </c>
      <c r="AI88" s="552">
        <f t="shared" si="58"/>
        <v>83.332999999999984</v>
      </c>
      <c r="AJ88" s="551"/>
      <c r="AK88" s="551"/>
      <c r="AL88" s="543"/>
      <c r="AM88" s="543"/>
    </row>
    <row r="89" spans="1:39" s="538" customFormat="1" ht="12" customHeight="1" outlineLevel="1" collapsed="1" x14ac:dyDescent="0.25">
      <c r="A89" s="544">
        <v>84</v>
      </c>
      <c r="B89" s="556" t="str">
        <f t="shared" si="59"/>
        <v>IBARRA</v>
      </c>
      <c r="C89" s="546" t="s">
        <v>1046</v>
      </c>
      <c r="D89" s="547" t="s">
        <v>1047</v>
      </c>
      <c r="E89" s="547" t="s">
        <v>1044</v>
      </c>
      <c r="F89" s="546" t="s">
        <v>1048</v>
      </c>
      <c r="G89" s="557"/>
      <c r="H89" s="557"/>
      <c r="I89" s="549">
        <v>45432</v>
      </c>
      <c r="J89" s="550">
        <v>900</v>
      </c>
      <c r="K89" s="551"/>
      <c r="L89" s="552">
        <f t="shared" si="60"/>
        <v>900</v>
      </c>
      <c r="M89" s="551"/>
      <c r="N89" s="551"/>
      <c r="O89" s="552">
        <f>L89*$O$7</f>
        <v>360</v>
      </c>
      <c r="P89" s="551"/>
      <c r="Q89" s="553">
        <f t="shared" si="41"/>
        <v>1260</v>
      </c>
      <c r="R89" s="553">
        <f t="shared" si="42"/>
        <v>153.09</v>
      </c>
      <c r="S89" s="553">
        <f t="shared" si="43"/>
        <v>69.999720000000011</v>
      </c>
      <c r="T89" s="553">
        <f t="shared" si="44"/>
        <v>39.166666666666664</v>
      </c>
      <c r="U89" s="553">
        <f t="shared" si="45"/>
        <v>105</v>
      </c>
      <c r="V89" s="553">
        <f t="shared" si="46"/>
        <v>1627.2563866666667</v>
      </c>
      <c r="W89" s="554">
        <v>0</v>
      </c>
      <c r="X89" s="552">
        <f t="shared" si="47"/>
        <v>0</v>
      </c>
      <c r="Y89" s="552">
        <f t="shared" si="48"/>
        <v>0</v>
      </c>
      <c r="Z89" s="552">
        <f t="shared" si="49"/>
        <v>0</v>
      </c>
      <c r="AA89" s="552">
        <f t="shared" si="50"/>
        <v>0</v>
      </c>
      <c r="AB89" s="552">
        <f t="shared" si="51"/>
        <v>104.99957999999999</v>
      </c>
      <c r="AC89" s="552">
        <f t="shared" si="52"/>
        <v>104.99957999999999</v>
      </c>
      <c r="AD89" s="552">
        <f t="shared" si="53"/>
        <v>104.99957999999999</v>
      </c>
      <c r="AE89" s="552">
        <f t="shared" si="54"/>
        <v>104.99957999999999</v>
      </c>
      <c r="AF89" s="552">
        <f t="shared" si="55"/>
        <v>104.99957999999999</v>
      </c>
      <c r="AG89" s="552">
        <f t="shared" si="56"/>
        <v>104.99957999999999</v>
      </c>
      <c r="AH89" s="552">
        <f t="shared" si="57"/>
        <v>104.99957999999999</v>
      </c>
      <c r="AI89" s="552">
        <f t="shared" si="58"/>
        <v>104.99957999999999</v>
      </c>
      <c r="AJ89" s="551"/>
      <c r="AK89" s="551"/>
      <c r="AL89" s="543"/>
      <c r="AM89" s="543"/>
    </row>
    <row r="90" spans="1:39" s="538" customFormat="1" ht="12" customHeight="1" outlineLevel="1" collapsed="1" x14ac:dyDescent="0.25">
      <c r="A90" s="544">
        <v>82</v>
      </c>
      <c r="B90" s="556" t="str">
        <f t="shared" si="59"/>
        <v>QUITO</v>
      </c>
      <c r="C90" s="546" t="s">
        <v>1097</v>
      </c>
      <c r="D90" s="547" t="s">
        <v>1070</v>
      </c>
      <c r="E90" s="547" t="s">
        <v>1035</v>
      </c>
      <c r="F90" s="546" t="s">
        <v>1098</v>
      </c>
      <c r="G90" s="557"/>
      <c r="H90" s="557"/>
      <c r="I90" s="549">
        <v>45593</v>
      </c>
      <c r="J90" s="550">
        <v>4000</v>
      </c>
      <c r="K90" s="551"/>
      <c r="L90" s="552">
        <f t="shared" si="60"/>
        <v>4000</v>
      </c>
      <c r="M90" s="551"/>
      <c r="N90" s="551"/>
      <c r="O90" s="551"/>
      <c r="P90" s="551"/>
      <c r="Q90" s="553">
        <f t="shared" si="41"/>
        <v>4000</v>
      </c>
      <c r="R90" s="553">
        <f t="shared" si="42"/>
        <v>486</v>
      </c>
      <c r="S90" s="553">
        <f t="shared" si="43"/>
        <v>83.332999999999984</v>
      </c>
      <c r="T90" s="553">
        <f t="shared" si="44"/>
        <v>39.166666666666664</v>
      </c>
      <c r="U90" s="553">
        <f t="shared" si="45"/>
        <v>333.33333333333331</v>
      </c>
      <c r="V90" s="553">
        <f t="shared" si="46"/>
        <v>4941.8329999999996</v>
      </c>
      <c r="W90" s="554">
        <v>0</v>
      </c>
      <c r="X90" s="552">
        <f t="shared" si="47"/>
        <v>0</v>
      </c>
      <c r="Y90" s="552">
        <f t="shared" si="48"/>
        <v>0</v>
      </c>
      <c r="Z90" s="552">
        <f t="shared" si="49"/>
        <v>0</v>
      </c>
      <c r="AA90" s="552">
        <f t="shared" si="50"/>
        <v>0</v>
      </c>
      <c r="AB90" s="552">
        <f t="shared" si="51"/>
        <v>0</v>
      </c>
      <c r="AC90" s="552">
        <f t="shared" si="52"/>
        <v>0</v>
      </c>
      <c r="AD90" s="552">
        <f t="shared" si="53"/>
        <v>0</v>
      </c>
      <c r="AE90" s="552">
        <f t="shared" si="54"/>
        <v>0</v>
      </c>
      <c r="AF90" s="552">
        <f t="shared" si="55"/>
        <v>0</v>
      </c>
      <c r="AG90" s="552">
        <f t="shared" si="56"/>
        <v>333.33199999999994</v>
      </c>
      <c r="AH90" s="552">
        <f t="shared" si="57"/>
        <v>333.33199999999994</v>
      </c>
      <c r="AI90" s="552">
        <f t="shared" si="58"/>
        <v>333.33199999999994</v>
      </c>
      <c r="AJ90" s="551"/>
      <c r="AK90" s="551"/>
      <c r="AL90" s="543"/>
      <c r="AM90" s="543"/>
    </row>
    <row r="91" spans="1:39" s="538" customFormat="1" ht="12" customHeight="1" outlineLevel="1" collapsed="1" x14ac:dyDescent="0.25">
      <c r="A91" s="544">
        <v>83</v>
      </c>
      <c r="B91" s="556" t="str">
        <f t="shared" si="59"/>
        <v>GUAYAQUIL</v>
      </c>
      <c r="C91" s="546" t="s">
        <v>1046</v>
      </c>
      <c r="D91" s="547" t="s">
        <v>1047</v>
      </c>
      <c r="E91" s="547" t="s">
        <v>1049</v>
      </c>
      <c r="F91" s="546" t="s">
        <v>1099</v>
      </c>
      <c r="G91" s="557"/>
      <c r="H91" s="557"/>
      <c r="I91" s="549">
        <v>45537</v>
      </c>
      <c r="J91" s="550">
        <v>2000</v>
      </c>
      <c r="K91" s="551"/>
      <c r="L91" s="552">
        <f t="shared" si="60"/>
        <v>2000</v>
      </c>
      <c r="M91" s="551"/>
      <c r="N91" s="551"/>
      <c r="O91" s="551"/>
      <c r="P91" s="551"/>
      <c r="Q91" s="553">
        <f t="shared" si="41"/>
        <v>2000</v>
      </c>
      <c r="R91" s="553">
        <f t="shared" si="42"/>
        <v>243</v>
      </c>
      <c r="S91" s="553">
        <f t="shared" si="43"/>
        <v>55.555333333333323</v>
      </c>
      <c r="T91" s="553">
        <f t="shared" si="44"/>
        <v>39.166666666666664</v>
      </c>
      <c r="U91" s="553">
        <f t="shared" si="45"/>
        <v>166.66666666666666</v>
      </c>
      <c r="V91" s="553">
        <f t="shared" si="46"/>
        <v>2504.3886666666663</v>
      </c>
      <c r="W91" s="554">
        <v>0</v>
      </c>
      <c r="X91" s="552">
        <f t="shared" si="47"/>
        <v>0</v>
      </c>
      <c r="Y91" s="552">
        <f t="shared" si="48"/>
        <v>0</v>
      </c>
      <c r="Z91" s="552">
        <f t="shared" si="49"/>
        <v>0</v>
      </c>
      <c r="AA91" s="552">
        <f t="shared" si="50"/>
        <v>0</v>
      </c>
      <c r="AB91" s="552">
        <f t="shared" si="51"/>
        <v>0</v>
      </c>
      <c r="AC91" s="552">
        <f t="shared" si="52"/>
        <v>0</v>
      </c>
      <c r="AD91" s="552">
        <f t="shared" si="53"/>
        <v>0</v>
      </c>
      <c r="AE91" s="552">
        <f t="shared" si="54"/>
        <v>0</v>
      </c>
      <c r="AF91" s="552">
        <f t="shared" si="55"/>
        <v>166.66599999999997</v>
      </c>
      <c r="AG91" s="552">
        <f t="shared" si="56"/>
        <v>166.66599999999997</v>
      </c>
      <c r="AH91" s="552">
        <f t="shared" si="57"/>
        <v>166.66599999999997</v>
      </c>
      <c r="AI91" s="552">
        <f t="shared" si="58"/>
        <v>166.66599999999997</v>
      </c>
      <c r="AJ91" s="551"/>
      <c r="AK91" s="551"/>
      <c r="AL91" s="543"/>
      <c r="AM91" s="543"/>
    </row>
    <row r="92" spans="1:39" s="538" customFormat="1" ht="12" customHeight="1" outlineLevel="1" collapsed="1" x14ac:dyDescent="0.25">
      <c r="A92" s="544">
        <v>85</v>
      </c>
      <c r="B92" s="556" t="str">
        <f t="shared" si="59"/>
        <v>QUITO</v>
      </c>
      <c r="C92" s="546" t="s">
        <v>1046</v>
      </c>
      <c r="D92" s="547" t="s">
        <v>1047</v>
      </c>
      <c r="E92" s="547" t="s">
        <v>1035</v>
      </c>
      <c r="F92" s="546" t="s">
        <v>1048</v>
      </c>
      <c r="G92" s="557"/>
      <c r="H92" s="557"/>
      <c r="I92" s="549">
        <v>45454</v>
      </c>
      <c r="J92" s="550">
        <v>700</v>
      </c>
      <c r="K92" s="551"/>
      <c r="L92" s="552">
        <f t="shared" si="60"/>
        <v>700</v>
      </c>
      <c r="M92" s="551"/>
      <c r="N92" s="551"/>
      <c r="O92" s="552">
        <f>L92*$O$7</f>
        <v>280</v>
      </c>
      <c r="P92" s="551"/>
      <c r="Q92" s="553">
        <f t="shared" si="41"/>
        <v>980</v>
      </c>
      <c r="R92" s="553">
        <f t="shared" si="42"/>
        <v>119.07</v>
      </c>
      <c r="S92" s="553">
        <f t="shared" si="43"/>
        <v>47.63869833333333</v>
      </c>
      <c r="T92" s="553">
        <f t="shared" si="44"/>
        <v>39.166666666666664</v>
      </c>
      <c r="U92" s="553">
        <f t="shared" si="45"/>
        <v>81.666666666666671</v>
      </c>
      <c r="V92" s="553">
        <f t="shared" si="46"/>
        <v>1267.5420316666668</v>
      </c>
      <c r="W92" s="554">
        <v>0</v>
      </c>
      <c r="X92" s="552">
        <f t="shared" si="47"/>
        <v>0</v>
      </c>
      <c r="Y92" s="552">
        <f t="shared" si="48"/>
        <v>0</v>
      </c>
      <c r="Z92" s="552">
        <f t="shared" si="49"/>
        <v>0</v>
      </c>
      <c r="AA92" s="552">
        <f t="shared" si="50"/>
        <v>0</v>
      </c>
      <c r="AB92" s="552">
        <f t="shared" si="51"/>
        <v>0</v>
      </c>
      <c r="AC92" s="552">
        <f t="shared" si="52"/>
        <v>81.666339999999991</v>
      </c>
      <c r="AD92" s="552">
        <f t="shared" si="53"/>
        <v>81.666339999999991</v>
      </c>
      <c r="AE92" s="552">
        <f t="shared" si="54"/>
        <v>81.666339999999991</v>
      </c>
      <c r="AF92" s="552">
        <f t="shared" si="55"/>
        <v>81.666339999999991</v>
      </c>
      <c r="AG92" s="552">
        <f t="shared" si="56"/>
        <v>81.666339999999991</v>
      </c>
      <c r="AH92" s="552">
        <f t="shared" si="57"/>
        <v>81.666339999999991</v>
      </c>
      <c r="AI92" s="552">
        <f t="shared" si="58"/>
        <v>81.666339999999991</v>
      </c>
      <c r="AJ92" s="551"/>
      <c r="AK92" s="551"/>
    </row>
    <row r="93" spans="1:39" s="558" customFormat="1" ht="12" customHeight="1" outlineLevel="1" collapsed="1" x14ac:dyDescent="0.25">
      <c r="A93" s="544">
        <v>86</v>
      </c>
      <c r="B93" s="556" t="str">
        <f t="shared" si="59"/>
        <v>QUITO</v>
      </c>
      <c r="C93" s="546" t="s">
        <v>1100</v>
      </c>
      <c r="D93" s="547" t="s">
        <v>1101</v>
      </c>
      <c r="E93" s="547" t="s">
        <v>1035</v>
      </c>
      <c r="F93" s="565" t="s">
        <v>1102</v>
      </c>
      <c r="G93" s="557"/>
      <c r="H93" s="557"/>
      <c r="I93" s="549">
        <v>42822</v>
      </c>
      <c r="J93" s="550">
        <v>1100</v>
      </c>
      <c r="K93" s="551"/>
      <c r="L93" s="552">
        <f t="shared" si="60"/>
        <v>1100</v>
      </c>
      <c r="M93" s="551"/>
      <c r="N93" s="551"/>
      <c r="O93" s="551"/>
      <c r="P93" s="551"/>
      <c r="Q93" s="553">
        <f t="shared" si="41"/>
        <v>1100</v>
      </c>
      <c r="R93" s="553">
        <f t="shared" si="42"/>
        <v>133.65</v>
      </c>
      <c r="S93" s="553">
        <f t="shared" si="43"/>
        <v>91.666299999999993</v>
      </c>
      <c r="T93" s="553">
        <f t="shared" si="44"/>
        <v>39.166666666666664</v>
      </c>
      <c r="U93" s="553">
        <f t="shared" si="45"/>
        <v>91.666666666666671</v>
      </c>
      <c r="V93" s="553">
        <f t="shared" si="46"/>
        <v>1456.1496333333337</v>
      </c>
      <c r="W93" s="554">
        <v>0</v>
      </c>
      <c r="X93" s="552">
        <f t="shared" si="47"/>
        <v>91.666299999999993</v>
      </c>
      <c r="Y93" s="552">
        <f t="shared" si="48"/>
        <v>91.666299999999993</v>
      </c>
      <c r="Z93" s="552">
        <f t="shared" si="49"/>
        <v>91.666299999999993</v>
      </c>
      <c r="AA93" s="552">
        <f t="shared" si="50"/>
        <v>91.666299999999993</v>
      </c>
      <c r="AB93" s="552">
        <f t="shared" si="51"/>
        <v>91.666299999999993</v>
      </c>
      <c r="AC93" s="552">
        <f t="shared" si="52"/>
        <v>91.666299999999993</v>
      </c>
      <c r="AD93" s="552">
        <f t="shared" si="53"/>
        <v>91.666299999999993</v>
      </c>
      <c r="AE93" s="552">
        <f t="shared" si="54"/>
        <v>91.666299999999993</v>
      </c>
      <c r="AF93" s="552">
        <f t="shared" si="55"/>
        <v>91.666299999999993</v>
      </c>
      <c r="AG93" s="552">
        <f t="shared" si="56"/>
        <v>91.666299999999993</v>
      </c>
      <c r="AH93" s="552">
        <f t="shared" si="57"/>
        <v>91.666299999999993</v>
      </c>
      <c r="AI93" s="552">
        <f t="shared" si="58"/>
        <v>91.666299999999993</v>
      </c>
      <c r="AJ93" s="551"/>
      <c r="AK93" s="551"/>
    </row>
    <row r="94" spans="1:39" s="538" customFormat="1" ht="12" customHeight="1" outlineLevel="1" collapsed="1" x14ac:dyDescent="0.25">
      <c r="A94" s="544">
        <v>87</v>
      </c>
      <c r="B94" s="556" t="str">
        <f t="shared" si="59"/>
        <v>QUITO</v>
      </c>
      <c r="C94" s="546" t="s">
        <v>1069</v>
      </c>
      <c r="D94" s="547" t="s">
        <v>1070</v>
      </c>
      <c r="E94" s="547" t="s">
        <v>1035</v>
      </c>
      <c r="F94" s="546" t="s">
        <v>1103</v>
      </c>
      <c r="G94" s="557" t="s">
        <v>1104</v>
      </c>
      <c r="H94" s="557" t="s">
        <v>1105</v>
      </c>
      <c r="I94" s="549">
        <v>34162</v>
      </c>
      <c r="J94" s="550">
        <v>3000</v>
      </c>
      <c r="K94" s="551"/>
      <c r="L94" s="552">
        <f t="shared" si="60"/>
        <v>3000</v>
      </c>
      <c r="M94" s="551"/>
      <c r="N94" s="551"/>
      <c r="O94" s="551"/>
      <c r="P94" s="551"/>
      <c r="Q94" s="553">
        <f t="shared" si="41"/>
        <v>3000</v>
      </c>
      <c r="R94" s="553">
        <f t="shared" si="42"/>
        <v>364.5</v>
      </c>
      <c r="S94" s="553">
        <f t="shared" si="43"/>
        <v>249.99899999999994</v>
      </c>
      <c r="T94" s="553">
        <f t="shared" si="44"/>
        <v>39.166666666666664</v>
      </c>
      <c r="U94" s="553">
        <f t="shared" si="45"/>
        <v>250</v>
      </c>
      <c r="V94" s="553">
        <f t="shared" si="46"/>
        <v>3903.6656666666663</v>
      </c>
      <c r="W94" s="554">
        <v>0</v>
      </c>
      <c r="X94" s="552">
        <f t="shared" si="47"/>
        <v>249.99899999999997</v>
      </c>
      <c r="Y94" s="552">
        <f t="shared" si="48"/>
        <v>249.99899999999997</v>
      </c>
      <c r="Z94" s="552">
        <f t="shared" si="49"/>
        <v>249.99899999999997</v>
      </c>
      <c r="AA94" s="552">
        <f t="shared" si="50"/>
        <v>249.99899999999997</v>
      </c>
      <c r="AB94" s="552">
        <f t="shared" si="51"/>
        <v>249.99899999999997</v>
      </c>
      <c r="AC94" s="552">
        <f t="shared" si="52"/>
        <v>249.99899999999997</v>
      </c>
      <c r="AD94" s="552">
        <f t="shared" si="53"/>
        <v>249.99899999999997</v>
      </c>
      <c r="AE94" s="552">
        <f t="shared" si="54"/>
        <v>249.99899999999997</v>
      </c>
      <c r="AF94" s="552">
        <f t="shared" si="55"/>
        <v>249.99899999999997</v>
      </c>
      <c r="AG94" s="552">
        <f t="shared" si="56"/>
        <v>249.99899999999997</v>
      </c>
      <c r="AH94" s="552">
        <f t="shared" si="57"/>
        <v>249.99899999999997</v>
      </c>
      <c r="AI94" s="552">
        <f t="shared" si="58"/>
        <v>249.99899999999997</v>
      </c>
      <c r="AJ94" s="551"/>
      <c r="AK94" s="551"/>
    </row>
    <row r="95" spans="1:39" s="538" customFormat="1" ht="12" customHeight="1" x14ac:dyDescent="0.25">
      <c r="A95" s="562"/>
      <c r="B95" s="545"/>
      <c r="C95" s="546"/>
      <c r="D95" s="547"/>
      <c r="E95" s="547"/>
      <c r="F95" s="566"/>
      <c r="G95" s="567"/>
      <c r="H95" s="567"/>
      <c r="I95" s="549"/>
      <c r="J95" s="551"/>
      <c r="K95" s="551"/>
      <c r="L95" s="551"/>
      <c r="M95" s="551"/>
      <c r="N95" s="551"/>
      <c r="O95" s="551"/>
      <c r="P95" s="551"/>
      <c r="Q95" s="564"/>
      <c r="R95" s="564"/>
      <c r="S95" s="564"/>
      <c r="T95" s="564"/>
      <c r="U95" s="564"/>
      <c r="V95" s="564"/>
      <c r="W95" s="564"/>
      <c r="X95" s="551"/>
      <c r="Y95" s="551"/>
      <c r="Z95" s="551"/>
      <c r="AA95" s="551"/>
      <c r="AB95" s="551"/>
      <c r="AC95" s="551"/>
      <c r="AD95" s="551"/>
      <c r="AE95" s="551"/>
      <c r="AF95" s="551"/>
      <c r="AG95" s="551"/>
      <c r="AH95" s="551"/>
      <c r="AI95" s="551"/>
      <c r="AJ95" s="551"/>
      <c r="AK95" s="551"/>
    </row>
    <row r="96" spans="1:39" s="538" customFormat="1" ht="12" customHeight="1" x14ac:dyDescent="0.25">
      <c r="A96" s="562"/>
      <c r="B96" s="545"/>
      <c r="C96" s="546"/>
      <c r="D96" s="547"/>
      <c r="E96" s="547"/>
      <c r="F96" s="546"/>
      <c r="G96" s="557"/>
      <c r="H96" s="557"/>
      <c r="I96" s="549"/>
      <c r="J96" s="551"/>
      <c r="K96" s="551"/>
      <c r="L96" s="551"/>
      <c r="M96" s="551"/>
      <c r="N96" s="551"/>
      <c r="O96" s="551"/>
      <c r="P96" s="551"/>
      <c r="Q96" s="564"/>
      <c r="R96" s="564"/>
      <c r="S96" s="564"/>
      <c r="T96" s="564"/>
      <c r="U96" s="564"/>
      <c r="V96" s="564"/>
      <c r="W96" s="564"/>
      <c r="X96" s="551"/>
      <c r="Y96" s="551"/>
      <c r="Z96" s="551"/>
      <c r="AA96" s="551"/>
      <c r="AB96" s="551"/>
      <c r="AC96" s="551"/>
      <c r="AD96" s="551"/>
      <c r="AE96" s="551"/>
      <c r="AF96" s="551"/>
      <c r="AG96" s="551"/>
      <c r="AH96" s="551"/>
      <c r="AI96" s="551"/>
      <c r="AJ96" s="551"/>
      <c r="AK96" s="551"/>
    </row>
    <row r="97" spans="1:37" s="538" customFormat="1" ht="12" customHeight="1" x14ac:dyDescent="0.25">
      <c r="A97" s="562"/>
      <c r="B97" s="545"/>
      <c r="C97" s="546"/>
      <c r="D97" s="547"/>
      <c r="E97" s="547"/>
      <c r="F97" s="546"/>
      <c r="G97" s="557"/>
      <c r="H97" s="557"/>
      <c r="I97" s="549"/>
      <c r="J97" s="551"/>
      <c r="K97" s="551"/>
      <c r="L97" s="551"/>
      <c r="M97" s="551"/>
      <c r="N97" s="551"/>
      <c r="O97" s="551"/>
      <c r="P97" s="551"/>
      <c r="Q97" s="564"/>
      <c r="R97" s="564"/>
      <c r="S97" s="564"/>
      <c r="T97" s="564"/>
      <c r="U97" s="564"/>
      <c r="V97" s="564"/>
      <c r="W97" s="564"/>
      <c r="X97" s="551"/>
      <c r="Y97" s="551"/>
      <c r="Z97" s="551"/>
      <c r="AA97" s="551"/>
      <c r="AB97" s="551"/>
      <c r="AC97" s="551"/>
      <c r="AD97" s="551"/>
      <c r="AE97" s="551"/>
      <c r="AF97" s="551"/>
      <c r="AG97" s="551"/>
      <c r="AH97" s="551"/>
      <c r="AI97" s="551"/>
      <c r="AJ97" s="551"/>
      <c r="AK97" s="551"/>
    </row>
    <row r="98" spans="1:37" s="538" customFormat="1" ht="12" customHeight="1" x14ac:dyDescent="0.25">
      <c r="A98" s="562"/>
      <c r="B98" s="545"/>
      <c r="C98" s="546"/>
      <c r="D98" s="547"/>
      <c r="E98" s="547"/>
      <c r="F98" s="546"/>
      <c r="G98" s="557"/>
      <c r="H98" s="557"/>
      <c r="I98" s="549"/>
      <c r="J98" s="551"/>
      <c r="K98" s="551"/>
      <c r="L98" s="551"/>
      <c r="M98" s="551"/>
      <c r="N98" s="551"/>
      <c r="O98" s="551"/>
      <c r="P98" s="551"/>
      <c r="Q98" s="564"/>
      <c r="R98" s="564"/>
      <c r="S98" s="564"/>
      <c r="T98" s="564"/>
      <c r="U98" s="564"/>
      <c r="V98" s="564"/>
      <c r="W98" s="564"/>
      <c r="X98" s="551"/>
      <c r="Y98" s="551"/>
      <c r="Z98" s="551"/>
      <c r="AA98" s="551"/>
      <c r="AB98" s="551"/>
      <c r="AC98" s="551"/>
      <c r="AD98" s="551"/>
      <c r="AE98" s="551"/>
      <c r="AF98" s="551"/>
      <c r="AG98" s="551"/>
      <c r="AH98" s="551"/>
      <c r="AI98" s="551"/>
      <c r="AJ98" s="551"/>
      <c r="AK98" s="551"/>
    </row>
    <row r="99" spans="1:37" s="538" customFormat="1" ht="12" customHeight="1" x14ac:dyDescent="0.25">
      <c r="A99" s="562"/>
      <c r="B99" s="545"/>
      <c r="C99" s="546"/>
      <c r="D99" s="547"/>
      <c r="E99" s="547"/>
      <c r="F99" s="546"/>
      <c r="G99" s="557"/>
      <c r="H99" s="557"/>
      <c r="I99" s="549"/>
      <c r="J99" s="551"/>
      <c r="K99" s="551"/>
      <c r="L99" s="551"/>
      <c r="M99" s="551"/>
      <c r="N99" s="551"/>
      <c r="O99" s="551"/>
      <c r="P99" s="551"/>
      <c r="Q99" s="564"/>
      <c r="R99" s="564"/>
      <c r="S99" s="564"/>
      <c r="T99" s="564"/>
      <c r="U99" s="564"/>
      <c r="V99" s="564"/>
      <c r="W99" s="564"/>
      <c r="X99" s="551"/>
      <c r="Y99" s="551"/>
      <c r="Z99" s="551"/>
      <c r="AA99" s="551"/>
      <c r="AB99" s="551"/>
      <c r="AC99" s="551"/>
      <c r="AD99" s="551"/>
      <c r="AE99" s="551"/>
      <c r="AF99" s="551"/>
      <c r="AG99" s="551"/>
      <c r="AH99" s="551"/>
      <c r="AI99" s="551"/>
      <c r="AJ99" s="551"/>
      <c r="AK99" s="551"/>
    </row>
    <row r="100" spans="1:37" s="568" customFormat="1" ht="12" customHeight="1" x14ac:dyDescent="0.25">
      <c r="A100" s="569"/>
      <c r="B100" s="570"/>
      <c r="C100" s="571"/>
      <c r="D100" s="570"/>
      <c r="E100" s="570"/>
      <c r="F100" s="571"/>
      <c r="G100" s="571"/>
      <c r="H100" s="571" t="s">
        <v>62</v>
      </c>
      <c r="I100" s="572">
        <f>SUM(I101:I103)</f>
        <v>85</v>
      </c>
      <c r="J100" s="573">
        <f>SUM(J9:J99)</f>
        <v>83963.540000000008</v>
      </c>
      <c r="K100" s="573">
        <f t="shared" ref="K100:AI100" si="61">SUM(K9:K99)</f>
        <v>0</v>
      </c>
      <c r="L100" s="573">
        <f t="shared" si="61"/>
        <v>83963.540000000008</v>
      </c>
      <c r="M100" s="573">
        <f t="shared" si="61"/>
        <v>0</v>
      </c>
      <c r="N100" s="573">
        <f t="shared" si="61"/>
        <v>0</v>
      </c>
      <c r="O100" s="573">
        <f t="shared" si="61"/>
        <v>9360</v>
      </c>
      <c r="P100" s="573">
        <f t="shared" si="61"/>
        <v>0</v>
      </c>
      <c r="Q100" s="573">
        <f t="shared" si="61"/>
        <v>93323.54</v>
      </c>
      <c r="R100" s="573">
        <f t="shared" si="61"/>
        <v>11338.810109999999</v>
      </c>
      <c r="S100" s="573">
        <f t="shared" si="61"/>
        <v>5981.4655184866624</v>
      </c>
      <c r="T100" s="573">
        <f t="shared" si="61"/>
        <v>3368.3333333333298</v>
      </c>
      <c r="U100" s="573">
        <f t="shared" si="61"/>
        <v>7776.961666666667</v>
      </c>
      <c r="V100" s="573">
        <f t="shared" si="61"/>
        <v>121789.11062848667</v>
      </c>
      <c r="W100" s="573">
        <f t="shared" si="61"/>
        <v>0</v>
      </c>
      <c r="X100" s="573">
        <f t="shared" si="61"/>
        <v>5085.1496593199981</v>
      </c>
      <c r="Y100" s="573">
        <f t="shared" si="61"/>
        <v>5085.1496593199981</v>
      </c>
      <c r="Z100" s="573">
        <f t="shared" si="61"/>
        <v>5104.5245818199974</v>
      </c>
      <c r="AA100" s="573">
        <f t="shared" si="61"/>
        <v>5104.5245818199974</v>
      </c>
      <c r="AB100" s="573">
        <f t="shared" si="61"/>
        <v>5423.2733068199968</v>
      </c>
      <c r="AC100" s="573">
        <f t="shared" si="61"/>
        <v>5504.9396468199966</v>
      </c>
      <c r="AD100" s="573">
        <f t="shared" si="61"/>
        <v>5504.9396468199966</v>
      </c>
      <c r="AE100" s="573">
        <f t="shared" si="61"/>
        <v>5974.1044368199955</v>
      </c>
      <c r="AF100" s="573">
        <f t="shared" si="61"/>
        <v>6299.1031368199965</v>
      </c>
      <c r="AG100" s="573">
        <f t="shared" si="61"/>
        <v>7138.0164478199949</v>
      </c>
      <c r="AH100" s="573">
        <f t="shared" si="61"/>
        <v>7776.9305588199959</v>
      </c>
      <c r="AI100" s="573">
        <f t="shared" si="61"/>
        <v>7776.9305588199959</v>
      </c>
      <c r="AJ100" s="573">
        <f>SUM(AJ10:AJ94)</f>
        <v>0</v>
      </c>
      <c r="AK100" s="573">
        <f>SUM(AK10:AK94)</f>
        <v>0</v>
      </c>
    </row>
    <row r="101" spans="1:37" s="568" customFormat="1" ht="12" customHeight="1" x14ac:dyDescent="0.25">
      <c r="A101" s="562"/>
      <c r="B101" s="571"/>
      <c r="C101" s="571"/>
      <c r="D101" s="570"/>
      <c r="E101" s="570"/>
      <c r="F101" s="571"/>
      <c r="G101" s="571" t="s">
        <v>1032</v>
      </c>
      <c r="H101" s="571" t="s">
        <v>1106</v>
      </c>
      <c r="I101" s="572">
        <f>COUNTIF(B10:B100,"QUITO")</f>
        <v>63</v>
      </c>
      <c r="J101" s="573">
        <f>+SUMIF($B$9:$B$99,$G101,J$9:J$99)</f>
        <v>62767.040000000001</v>
      </c>
      <c r="K101" s="573">
        <f t="shared" ref="K101:AI103" si="62">+SUMIF($B$9:$B$99,$G101,K$9:K$99)</f>
        <v>0</v>
      </c>
      <c r="L101" s="573">
        <f t="shared" si="62"/>
        <v>62767.040000000001</v>
      </c>
      <c r="M101" s="573">
        <f t="shared" si="62"/>
        <v>0</v>
      </c>
      <c r="N101" s="573">
        <f t="shared" si="62"/>
        <v>0</v>
      </c>
      <c r="O101" s="573">
        <f t="shared" si="62"/>
        <v>5020</v>
      </c>
      <c r="P101" s="573">
        <f t="shared" si="62"/>
        <v>0</v>
      </c>
      <c r="Q101" s="573">
        <f t="shared" si="62"/>
        <v>67787.040000000008</v>
      </c>
      <c r="R101" s="573">
        <f t="shared" si="62"/>
        <v>8236.1253599999982</v>
      </c>
      <c r="S101" s="573">
        <f t="shared" si="62"/>
        <v>4286.194521819999</v>
      </c>
      <c r="T101" s="573">
        <f t="shared" si="62"/>
        <v>2506.6666666666665</v>
      </c>
      <c r="U101" s="573">
        <f t="shared" si="62"/>
        <v>5648.9200000000019</v>
      </c>
      <c r="V101" s="573">
        <f t="shared" si="62"/>
        <v>88464.946548486667</v>
      </c>
      <c r="W101" s="573">
        <f t="shared" si="62"/>
        <v>0</v>
      </c>
      <c r="X101" s="573">
        <f t="shared" si="62"/>
        <v>3697.9052083199995</v>
      </c>
      <c r="Y101" s="573">
        <f t="shared" si="62"/>
        <v>3697.9052083199995</v>
      </c>
      <c r="Z101" s="573">
        <f t="shared" si="62"/>
        <v>3697.9052083199995</v>
      </c>
      <c r="AA101" s="573">
        <f t="shared" si="62"/>
        <v>3697.9052083199995</v>
      </c>
      <c r="AB101" s="573">
        <f t="shared" si="62"/>
        <v>3911.6543533199983</v>
      </c>
      <c r="AC101" s="573">
        <f t="shared" si="62"/>
        <v>3993.3206933199981</v>
      </c>
      <c r="AD101" s="573">
        <f t="shared" si="62"/>
        <v>3993.3206933199981</v>
      </c>
      <c r="AE101" s="573">
        <f t="shared" si="62"/>
        <v>4109.9868933199978</v>
      </c>
      <c r="AF101" s="573">
        <f t="shared" si="62"/>
        <v>4268.3195933199977</v>
      </c>
      <c r="AG101" s="573">
        <f t="shared" si="62"/>
        <v>5068.3163933199976</v>
      </c>
      <c r="AH101" s="573">
        <f t="shared" si="62"/>
        <v>5648.8974043199969</v>
      </c>
      <c r="AI101" s="573">
        <f t="shared" si="62"/>
        <v>5648.8974043199969</v>
      </c>
      <c r="AJ101" s="574"/>
      <c r="AK101" s="574"/>
    </row>
    <row r="102" spans="1:37" s="568" customFormat="1" ht="12" customHeight="1" x14ac:dyDescent="0.25">
      <c r="A102" s="562"/>
      <c r="B102" s="571"/>
      <c r="C102" s="571"/>
      <c r="D102" s="570"/>
      <c r="E102" s="570"/>
      <c r="F102" s="571"/>
      <c r="G102" s="571" t="s">
        <v>1107</v>
      </c>
      <c r="H102" s="571" t="s">
        <v>1108</v>
      </c>
      <c r="I102" s="572">
        <f>COUNTIF(B10:B100,"IBARRA")</f>
        <v>11</v>
      </c>
      <c r="J102" s="573">
        <f>+SUMIF($B$9:$B$99,$G102,J$9:J$99)</f>
        <v>11412.5</v>
      </c>
      <c r="K102" s="573">
        <f t="shared" si="62"/>
        <v>0</v>
      </c>
      <c r="L102" s="573">
        <f t="shared" si="62"/>
        <v>11412.5</v>
      </c>
      <c r="M102" s="573">
        <f t="shared" si="62"/>
        <v>0</v>
      </c>
      <c r="N102" s="573">
        <f t="shared" si="62"/>
        <v>0</v>
      </c>
      <c r="O102" s="573">
        <f t="shared" si="62"/>
        <v>2800</v>
      </c>
      <c r="P102" s="573">
        <f t="shared" si="62"/>
        <v>0</v>
      </c>
      <c r="Q102" s="573">
        <f t="shared" si="62"/>
        <v>14212.5</v>
      </c>
      <c r="R102" s="573">
        <f t="shared" si="62"/>
        <v>1726.8187499999999</v>
      </c>
      <c r="S102" s="573">
        <f t="shared" si="62"/>
        <v>1091.697022083333</v>
      </c>
      <c r="T102" s="573">
        <f t="shared" si="62"/>
        <v>430.83333333333337</v>
      </c>
      <c r="U102" s="573">
        <f t="shared" si="62"/>
        <v>1184.375</v>
      </c>
      <c r="V102" s="573">
        <f t="shared" si="62"/>
        <v>18646.224105416666</v>
      </c>
      <c r="W102" s="573">
        <f t="shared" si="62"/>
        <v>0</v>
      </c>
      <c r="X102" s="573">
        <f t="shared" si="62"/>
        <v>966.66279999999983</v>
      </c>
      <c r="Y102" s="573">
        <f t="shared" si="62"/>
        <v>966.66279999999983</v>
      </c>
      <c r="Z102" s="573">
        <f t="shared" si="62"/>
        <v>986.03772249999986</v>
      </c>
      <c r="AA102" s="573">
        <f t="shared" si="62"/>
        <v>986.03772249999986</v>
      </c>
      <c r="AB102" s="573">
        <f t="shared" si="62"/>
        <v>1091.0373024999999</v>
      </c>
      <c r="AC102" s="573">
        <f t="shared" si="62"/>
        <v>1091.0373024999999</v>
      </c>
      <c r="AD102" s="573">
        <f t="shared" si="62"/>
        <v>1091.0373024999999</v>
      </c>
      <c r="AE102" s="573">
        <f t="shared" si="62"/>
        <v>1184.3702624999996</v>
      </c>
      <c r="AF102" s="573">
        <f t="shared" si="62"/>
        <v>1184.3702624999996</v>
      </c>
      <c r="AG102" s="573">
        <f t="shared" si="62"/>
        <v>1184.3702624999996</v>
      </c>
      <c r="AH102" s="573">
        <f t="shared" si="62"/>
        <v>1184.3702624999996</v>
      </c>
      <c r="AI102" s="573">
        <f t="shared" si="62"/>
        <v>1184.3702624999996</v>
      </c>
      <c r="AJ102" s="574"/>
      <c r="AK102" s="574"/>
    </row>
    <row r="103" spans="1:37" s="568" customFormat="1" ht="12" customHeight="1" x14ac:dyDescent="0.25">
      <c r="A103" s="562"/>
      <c r="B103" s="571"/>
      <c r="C103" s="571"/>
      <c r="D103" s="570"/>
      <c r="E103" s="570"/>
      <c r="F103" s="571"/>
      <c r="G103" s="571" t="s">
        <v>1109</v>
      </c>
      <c r="H103" s="571" t="s">
        <v>1110</v>
      </c>
      <c r="I103" s="572">
        <f>COUNTIF(B10:B100,"GUAYAQUIL")</f>
        <v>11</v>
      </c>
      <c r="J103" s="573">
        <f>+SUMIF($B$9:$B$99,$G103,J$9:J$99)</f>
        <v>9784</v>
      </c>
      <c r="K103" s="573">
        <f t="shared" si="62"/>
        <v>0</v>
      </c>
      <c r="L103" s="573">
        <f t="shared" si="62"/>
        <v>9784</v>
      </c>
      <c r="M103" s="573">
        <f t="shared" si="62"/>
        <v>0</v>
      </c>
      <c r="N103" s="573">
        <f t="shared" si="62"/>
        <v>0</v>
      </c>
      <c r="O103" s="573">
        <f t="shared" si="62"/>
        <v>1540</v>
      </c>
      <c r="P103" s="573">
        <f t="shared" si="62"/>
        <v>0</v>
      </c>
      <c r="Q103" s="573">
        <f t="shared" si="62"/>
        <v>11324</v>
      </c>
      <c r="R103" s="573">
        <f t="shared" si="62"/>
        <v>1375.866</v>
      </c>
      <c r="S103" s="573">
        <f t="shared" si="62"/>
        <v>603.57397458333332</v>
      </c>
      <c r="T103" s="573">
        <f t="shared" si="62"/>
        <v>430.83333333333337</v>
      </c>
      <c r="U103" s="573">
        <f t="shared" si="62"/>
        <v>943.66666666666674</v>
      </c>
      <c r="V103" s="573">
        <f t="shared" si="62"/>
        <v>14677.939974583331</v>
      </c>
      <c r="W103" s="573">
        <f t="shared" si="62"/>
        <v>0</v>
      </c>
      <c r="X103" s="573">
        <f t="shared" si="62"/>
        <v>420.58165099999997</v>
      </c>
      <c r="Y103" s="573">
        <f t="shared" si="62"/>
        <v>420.58165099999997</v>
      </c>
      <c r="Z103" s="573">
        <f t="shared" si="62"/>
        <v>420.58165099999997</v>
      </c>
      <c r="AA103" s="573">
        <f t="shared" si="62"/>
        <v>420.58165099999997</v>
      </c>
      <c r="AB103" s="573">
        <f t="shared" si="62"/>
        <v>420.58165099999997</v>
      </c>
      <c r="AC103" s="573">
        <f t="shared" si="62"/>
        <v>420.58165099999997</v>
      </c>
      <c r="AD103" s="573">
        <f t="shared" si="62"/>
        <v>420.58165099999997</v>
      </c>
      <c r="AE103" s="573">
        <f t="shared" si="62"/>
        <v>679.74728099999993</v>
      </c>
      <c r="AF103" s="573">
        <f t="shared" si="62"/>
        <v>846.41328099999987</v>
      </c>
      <c r="AG103" s="573">
        <f t="shared" si="62"/>
        <v>885.32979199999977</v>
      </c>
      <c r="AH103" s="573">
        <f t="shared" si="62"/>
        <v>943.66289199999983</v>
      </c>
      <c r="AI103" s="573">
        <f t="shared" si="62"/>
        <v>943.66289199999983</v>
      </c>
      <c r="AJ103" s="574"/>
      <c r="AK103" s="574"/>
    </row>
    <row r="104" spans="1:37" s="568" customFormat="1" ht="12" customHeight="1" x14ac:dyDescent="0.25">
      <c r="A104" s="569"/>
      <c r="B104" s="570"/>
      <c r="C104" s="571"/>
      <c r="D104" s="570"/>
      <c r="E104" s="570"/>
      <c r="F104" s="571"/>
      <c r="G104" s="571"/>
      <c r="H104" s="571" t="s">
        <v>62</v>
      </c>
      <c r="I104" s="572">
        <f>SUM(I101:I103)</f>
        <v>85</v>
      </c>
      <c r="J104" s="573">
        <f>SUM(J101:J103)</f>
        <v>83963.540000000008</v>
      </c>
      <c r="K104" s="573">
        <f t="shared" ref="K104:AI104" si="63">SUM(K101:K103)</f>
        <v>0</v>
      </c>
      <c r="L104" s="573">
        <f t="shared" si="63"/>
        <v>83963.540000000008</v>
      </c>
      <c r="M104" s="573">
        <f t="shared" si="63"/>
        <v>0</v>
      </c>
      <c r="N104" s="573">
        <f t="shared" si="63"/>
        <v>0</v>
      </c>
      <c r="O104" s="573">
        <f t="shared" si="63"/>
        <v>9360</v>
      </c>
      <c r="P104" s="573">
        <f t="shared" si="63"/>
        <v>0</v>
      </c>
      <c r="Q104" s="573">
        <f t="shared" si="63"/>
        <v>93323.540000000008</v>
      </c>
      <c r="R104" s="573">
        <f t="shared" si="63"/>
        <v>11338.810109999999</v>
      </c>
      <c r="S104" s="573">
        <f t="shared" si="63"/>
        <v>5981.4655184866651</v>
      </c>
      <c r="T104" s="573">
        <f t="shared" si="63"/>
        <v>3368.3333333333335</v>
      </c>
      <c r="U104" s="573">
        <f t="shared" si="63"/>
        <v>7776.9616666666689</v>
      </c>
      <c r="V104" s="573">
        <f t="shared" si="63"/>
        <v>121789.11062848667</v>
      </c>
      <c r="W104" s="573">
        <f t="shared" si="63"/>
        <v>0</v>
      </c>
      <c r="X104" s="573">
        <f t="shared" si="63"/>
        <v>5085.149659319999</v>
      </c>
      <c r="Y104" s="573">
        <f t="shared" si="63"/>
        <v>5085.149659319999</v>
      </c>
      <c r="Z104" s="573">
        <f t="shared" si="63"/>
        <v>5104.5245818200001</v>
      </c>
      <c r="AA104" s="573">
        <f t="shared" si="63"/>
        <v>5104.5245818200001</v>
      </c>
      <c r="AB104" s="573">
        <f t="shared" si="63"/>
        <v>5423.2733068199977</v>
      </c>
      <c r="AC104" s="573">
        <f t="shared" si="63"/>
        <v>5504.9396468199975</v>
      </c>
      <c r="AD104" s="573">
        <f t="shared" si="63"/>
        <v>5504.9396468199975</v>
      </c>
      <c r="AE104" s="573">
        <f t="shared" si="63"/>
        <v>5974.1044368199973</v>
      </c>
      <c r="AF104" s="573">
        <f t="shared" si="63"/>
        <v>6299.1031368199974</v>
      </c>
      <c r="AG104" s="573">
        <f t="shared" si="63"/>
        <v>7138.0164478199968</v>
      </c>
      <c r="AH104" s="573">
        <f t="shared" si="63"/>
        <v>7776.9305588199968</v>
      </c>
      <c r="AI104" s="573">
        <f t="shared" si="63"/>
        <v>7776.9305588199968</v>
      </c>
      <c r="AJ104" s="574"/>
      <c r="AK104" s="574"/>
    </row>
    <row r="105" spans="1:37" s="538" customFormat="1" ht="12.75" customHeight="1" x14ac:dyDescent="0.25">
      <c r="A105" s="562"/>
      <c r="B105" s="562"/>
      <c r="C105" s="575" t="s">
        <v>1111</v>
      </c>
      <c r="D105" s="539"/>
      <c r="E105" s="539"/>
      <c r="F105" s="539"/>
      <c r="G105" s="562"/>
      <c r="H105" s="562"/>
      <c r="I105" s="576"/>
      <c r="J105" s="577">
        <f>+J100-J104</f>
        <v>0</v>
      </c>
      <c r="K105" s="577">
        <f t="shared" ref="K105:AI105" si="64">+K100-K104</f>
        <v>0</v>
      </c>
      <c r="L105" s="577">
        <f t="shared" si="64"/>
        <v>0</v>
      </c>
      <c r="M105" s="577">
        <f t="shared" si="64"/>
        <v>0</v>
      </c>
      <c r="N105" s="577">
        <f t="shared" si="64"/>
        <v>0</v>
      </c>
      <c r="O105" s="577">
        <f t="shared" si="64"/>
        <v>0</v>
      </c>
      <c r="P105" s="577">
        <f t="shared" si="64"/>
        <v>0</v>
      </c>
      <c r="Q105" s="577">
        <f t="shared" si="64"/>
        <v>0</v>
      </c>
      <c r="R105" s="577">
        <f t="shared" si="64"/>
        <v>0</v>
      </c>
      <c r="S105" s="577">
        <f t="shared" si="64"/>
        <v>0</v>
      </c>
      <c r="T105" s="577">
        <f t="shared" si="64"/>
        <v>-3.637978807091713E-12</v>
      </c>
      <c r="U105" s="577">
        <f t="shared" si="64"/>
        <v>0</v>
      </c>
      <c r="V105" s="577">
        <f t="shared" si="64"/>
        <v>0</v>
      </c>
      <c r="W105" s="577">
        <f t="shared" si="64"/>
        <v>0</v>
      </c>
      <c r="X105" s="577">
        <f t="shared" si="64"/>
        <v>0</v>
      </c>
      <c r="Y105" s="577">
        <f t="shared" si="64"/>
        <v>0</v>
      </c>
      <c r="Z105" s="577">
        <f t="shared" si="64"/>
        <v>0</v>
      </c>
      <c r="AA105" s="577">
        <f t="shared" si="64"/>
        <v>0</v>
      </c>
      <c r="AB105" s="577">
        <f t="shared" si="64"/>
        <v>0</v>
      </c>
      <c r="AC105" s="577">
        <f t="shared" si="64"/>
        <v>0</v>
      </c>
      <c r="AD105" s="577">
        <f t="shared" si="64"/>
        <v>0</v>
      </c>
      <c r="AE105" s="577">
        <f t="shared" si="64"/>
        <v>0</v>
      </c>
      <c r="AF105" s="577">
        <f t="shared" si="64"/>
        <v>0</v>
      </c>
      <c r="AG105" s="577">
        <f t="shared" si="64"/>
        <v>0</v>
      </c>
      <c r="AH105" s="577">
        <f t="shared" si="64"/>
        <v>0</v>
      </c>
      <c r="AI105" s="577">
        <f t="shared" si="64"/>
        <v>0</v>
      </c>
      <c r="AJ105" s="562"/>
      <c r="AK105" s="562"/>
    </row>
    <row r="106" spans="1:37" s="538" customFormat="1" ht="12" customHeight="1" x14ac:dyDescent="0.25">
      <c r="A106" s="544">
        <v>1</v>
      </c>
      <c r="B106" s="556" t="str">
        <f t="shared" ref="B106:B108" si="65">IF(E106="UIO","QUITO",IF(E106="GYE","GUAYAQUIL",IF(E106="IBA","IBARRA")))</f>
        <v>QUITO</v>
      </c>
      <c r="C106" s="557" t="s">
        <v>1046</v>
      </c>
      <c r="D106" s="545" t="s">
        <v>1047</v>
      </c>
      <c r="E106" s="545" t="s">
        <v>1035</v>
      </c>
      <c r="F106" s="557" t="s">
        <v>1112</v>
      </c>
      <c r="G106" s="557" t="s">
        <v>1113</v>
      </c>
      <c r="H106" s="557"/>
      <c r="I106" s="578"/>
      <c r="J106" s="564"/>
      <c r="K106" s="551"/>
      <c r="L106" s="552">
        <f t="shared" ref="L106:L118" si="66">J106</f>
        <v>0</v>
      </c>
      <c r="M106" s="551"/>
      <c r="N106" s="551"/>
      <c r="O106" s="551"/>
      <c r="P106" s="551"/>
      <c r="Q106" s="553">
        <f t="shared" ref="Q106:Q118" si="67">+SUM(L106:P106)</f>
        <v>0</v>
      </c>
      <c r="R106" s="553">
        <f t="shared" ref="R106:R118" si="68">Q106*12.15%</f>
        <v>0</v>
      </c>
      <c r="S106" s="553">
        <f t="shared" ref="S106:S127" si="69">SUM(X106:AI106)/12</f>
        <v>0</v>
      </c>
      <c r="T106" s="553">
        <f t="shared" ref="T106:T118" si="70">IF(I106=0,0,IF($T$7+365-I106&gt;365,$C$6,($T$7+365-I106)*($C$6/365)))/12</f>
        <v>0</v>
      </c>
      <c r="U106" s="553">
        <f t="shared" ref="U106:U118" si="71">IF(I106=0,0,IF($U$7+365-I106&gt;364,Q106,($U$7+365-I106)*(Q106/365)))/12</f>
        <v>0</v>
      </c>
      <c r="V106" s="553">
        <f t="shared" ref="V106:V118" si="72">+SUM(Q106:U106)</f>
        <v>0</v>
      </c>
      <c r="W106" s="564"/>
      <c r="X106" s="552">
        <f t="shared" ref="X106:X118" si="73">IF(I106=0,0,IF($X$7-I106&gt;365,Q106*8.3333%,0))</f>
        <v>0</v>
      </c>
      <c r="Y106" s="552">
        <f t="shared" ref="Y106:Y118" si="74">IF(I106=0,0,IF($Y$7-I106&gt;365,Q106*8.3333%,0))</f>
        <v>0</v>
      </c>
      <c r="Z106" s="552">
        <f t="shared" ref="Z106:Z118" si="75">IF(I106=0,0,IF($Z$7-I106&gt;365,Q106*8.3333%,0))</f>
        <v>0</v>
      </c>
      <c r="AA106" s="552">
        <f t="shared" ref="AA106:AA118" si="76">IF(I106=0,0,IF($AA$7-I106&gt;365,Q106*8.3333%,0))</f>
        <v>0</v>
      </c>
      <c r="AB106" s="552">
        <f t="shared" ref="AB106:AB118" si="77">IF(I106=0,0,IF($AB$7-I106&gt;365,Q106*8.3333%,0))</f>
        <v>0</v>
      </c>
      <c r="AC106" s="552">
        <f t="shared" ref="AC106:AC118" si="78">IF(I106=0,0,IF($AC$7-I106&gt;365,Q106*8.3333%,0))</f>
        <v>0</v>
      </c>
      <c r="AD106" s="552">
        <f t="shared" ref="AD106:AD118" si="79">IF(I106=0,0,IF($AD$7-I106&gt;365,Q106*8.3333%,0))</f>
        <v>0</v>
      </c>
      <c r="AE106" s="552">
        <f t="shared" ref="AE106:AE118" si="80">IF(I106=0,0,IF($AE$7-I106&gt;365,Q106*8.3333%,0))</f>
        <v>0</v>
      </c>
      <c r="AF106" s="552">
        <f t="shared" ref="AF106:AF118" si="81">IF(I106=0,0,IF($AF$7-I106&gt;365,Q106*8.3333%,0))</f>
        <v>0</v>
      </c>
      <c r="AG106" s="552">
        <f t="shared" ref="AG106:AG118" si="82">IF(I106=0,0,IF($AG$7-I106&gt;365,Q106*8.3333%,0))</f>
        <v>0</v>
      </c>
      <c r="AH106" s="552">
        <f t="shared" ref="AH106:AH118" si="83">IF(I106=0,0,IF($AH$7-I106&gt;365,Q106*8.3333%,0))</f>
        <v>0</v>
      </c>
      <c r="AI106" s="552">
        <f t="shared" ref="AI106:AI118" si="84">IF(I106=0,0,IF($AI$7-I106&gt;365,Q106*8.3333%,0))</f>
        <v>0</v>
      </c>
      <c r="AJ106" s="574"/>
      <c r="AK106" s="574"/>
    </row>
    <row r="107" spans="1:37" s="538" customFormat="1" ht="12" customHeight="1" x14ac:dyDescent="0.25">
      <c r="A107" s="544">
        <v>2</v>
      </c>
      <c r="B107" s="556" t="str">
        <f t="shared" ref="B107" si="85">IF(E107="UIO","QUITO",IF(E107="GYE","GUAYAQUIL",IF(E107="IBA","IBARRA")))</f>
        <v>QUITO</v>
      </c>
      <c r="C107" s="557" t="s">
        <v>1100</v>
      </c>
      <c r="D107" s="545" t="s">
        <v>1101</v>
      </c>
      <c r="E107" s="545" t="s">
        <v>1035</v>
      </c>
      <c r="F107" s="557" t="s">
        <v>1114</v>
      </c>
      <c r="G107" s="557" t="s">
        <v>1113</v>
      </c>
      <c r="H107" s="579">
        <v>2800</v>
      </c>
      <c r="I107" s="578">
        <v>45689</v>
      </c>
      <c r="J107" s="564"/>
      <c r="K107" s="551"/>
      <c r="L107" s="552">
        <f t="shared" si="66"/>
        <v>0</v>
      </c>
      <c r="M107" s="551"/>
      <c r="N107" s="551"/>
      <c r="O107" s="551"/>
      <c r="P107" s="551"/>
      <c r="Q107" s="553">
        <f t="shared" si="67"/>
        <v>0</v>
      </c>
      <c r="R107" s="553">
        <f t="shared" si="68"/>
        <v>0</v>
      </c>
      <c r="S107" s="553">
        <f t="shared" ref="S107" si="86">SUM(X107:AI107)/12</f>
        <v>0</v>
      </c>
      <c r="T107" s="553">
        <f t="shared" si="70"/>
        <v>39.166666666666664</v>
      </c>
      <c r="U107" s="553">
        <f t="shared" si="71"/>
        <v>0</v>
      </c>
      <c r="V107" s="553">
        <f t="shared" si="72"/>
        <v>39.166666666666664</v>
      </c>
      <c r="W107" s="564"/>
      <c r="X107" s="552">
        <f t="shared" si="73"/>
        <v>0</v>
      </c>
      <c r="Y107" s="552">
        <f t="shared" si="74"/>
        <v>0</v>
      </c>
      <c r="Z107" s="552">
        <f t="shared" si="75"/>
        <v>0</v>
      </c>
      <c r="AA107" s="552">
        <f t="shared" si="76"/>
        <v>0</v>
      </c>
      <c r="AB107" s="552">
        <f t="shared" si="77"/>
        <v>0</v>
      </c>
      <c r="AC107" s="552">
        <f t="shared" si="78"/>
        <v>0</v>
      </c>
      <c r="AD107" s="552">
        <f t="shared" si="79"/>
        <v>0</v>
      </c>
      <c r="AE107" s="552">
        <f t="shared" si="80"/>
        <v>0</v>
      </c>
      <c r="AF107" s="552">
        <f t="shared" si="81"/>
        <v>0</v>
      </c>
      <c r="AG107" s="552">
        <f t="shared" si="82"/>
        <v>0</v>
      </c>
      <c r="AH107" s="552">
        <f t="shared" si="83"/>
        <v>0</v>
      </c>
      <c r="AI107" s="552">
        <f t="shared" si="84"/>
        <v>0</v>
      </c>
      <c r="AJ107" s="574"/>
      <c r="AK107" s="574"/>
    </row>
    <row r="108" spans="1:37" s="538" customFormat="1" ht="12" customHeight="1" x14ac:dyDescent="0.25">
      <c r="A108" s="544">
        <v>3</v>
      </c>
      <c r="B108" s="556" t="str">
        <f t="shared" si="65"/>
        <v>QUITO</v>
      </c>
      <c r="C108" s="557" t="s">
        <v>1046</v>
      </c>
      <c r="D108" s="545" t="s">
        <v>1047</v>
      </c>
      <c r="E108" s="545" t="s">
        <v>1035</v>
      </c>
      <c r="F108" s="557" t="s">
        <v>1115</v>
      </c>
      <c r="G108" s="557" t="s">
        <v>1113</v>
      </c>
      <c r="H108" s="579">
        <v>900</v>
      </c>
      <c r="I108" s="578">
        <v>45689</v>
      </c>
      <c r="J108" s="564"/>
      <c r="K108" s="551"/>
      <c r="L108" s="552">
        <f t="shared" si="66"/>
        <v>0</v>
      </c>
      <c r="M108" s="551"/>
      <c r="N108" s="551"/>
      <c r="O108" s="552">
        <f t="shared" ref="O108:O114" si="87">L108*$O$7</f>
        <v>0</v>
      </c>
      <c r="P108" s="551"/>
      <c r="Q108" s="553">
        <f t="shared" si="67"/>
        <v>0</v>
      </c>
      <c r="R108" s="553">
        <f t="shared" si="68"/>
        <v>0</v>
      </c>
      <c r="S108" s="553">
        <f t="shared" si="69"/>
        <v>0</v>
      </c>
      <c r="T108" s="553">
        <f t="shared" si="70"/>
        <v>39.166666666666664</v>
      </c>
      <c r="U108" s="553">
        <f t="shared" si="71"/>
        <v>0</v>
      </c>
      <c r="V108" s="553">
        <f t="shared" si="72"/>
        <v>39.166666666666664</v>
      </c>
      <c r="W108" s="564"/>
      <c r="X108" s="552">
        <f t="shared" si="73"/>
        <v>0</v>
      </c>
      <c r="Y108" s="552">
        <f t="shared" si="74"/>
        <v>0</v>
      </c>
      <c r="Z108" s="552">
        <f t="shared" si="75"/>
        <v>0</v>
      </c>
      <c r="AA108" s="552">
        <f t="shared" si="76"/>
        <v>0</v>
      </c>
      <c r="AB108" s="552">
        <f t="shared" si="77"/>
        <v>0</v>
      </c>
      <c r="AC108" s="552">
        <f t="shared" si="78"/>
        <v>0</v>
      </c>
      <c r="AD108" s="552">
        <f t="shared" si="79"/>
        <v>0</v>
      </c>
      <c r="AE108" s="552">
        <f t="shared" si="80"/>
        <v>0</v>
      </c>
      <c r="AF108" s="552">
        <f t="shared" si="81"/>
        <v>0</v>
      </c>
      <c r="AG108" s="552">
        <f t="shared" si="82"/>
        <v>0</v>
      </c>
      <c r="AH108" s="552">
        <f t="shared" si="83"/>
        <v>0</v>
      </c>
      <c r="AI108" s="552">
        <f t="shared" si="84"/>
        <v>0</v>
      </c>
      <c r="AJ108" s="551"/>
      <c r="AK108" s="551"/>
    </row>
    <row r="109" spans="1:37" s="538" customFormat="1" ht="12" customHeight="1" x14ac:dyDescent="0.25">
      <c r="A109" s="544">
        <v>4</v>
      </c>
      <c r="B109" s="556" t="str">
        <f t="shared" ref="B109" si="88">IF(E109="UIO","QUITO",IF(E109="GYE","GUAYAQUIL",IF(E109="IBA","IBARRA")))</f>
        <v>GUAYAQUIL</v>
      </c>
      <c r="C109" s="557" t="s">
        <v>1046</v>
      </c>
      <c r="D109" s="545" t="s">
        <v>1047</v>
      </c>
      <c r="E109" s="545" t="s">
        <v>1049</v>
      </c>
      <c r="F109" s="557" t="s">
        <v>1115</v>
      </c>
      <c r="G109" s="557" t="s">
        <v>1113</v>
      </c>
      <c r="H109" s="579">
        <v>900</v>
      </c>
      <c r="I109" s="578">
        <v>45689</v>
      </c>
      <c r="J109" s="564"/>
      <c r="K109" s="551"/>
      <c r="L109" s="552">
        <f t="shared" si="66"/>
        <v>0</v>
      </c>
      <c r="M109" s="551"/>
      <c r="N109" s="551"/>
      <c r="O109" s="552">
        <f t="shared" si="87"/>
        <v>0</v>
      </c>
      <c r="P109" s="551"/>
      <c r="Q109" s="553">
        <f t="shared" si="67"/>
        <v>0</v>
      </c>
      <c r="R109" s="553">
        <f t="shared" si="68"/>
        <v>0</v>
      </c>
      <c r="S109" s="553">
        <f t="shared" si="69"/>
        <v>0</v>
      </c>
      <c r="T109" s="553">
        <f t="shared" si="70"/>
        <v>39.166666666666664</v>
      </c>
      <c r="U109" s="553">
        <f t="shared" si="71"/>
        <v>0</v>
      </c>
      <c r="V109" s="553">
        <f t="shared" si="72"/>
        <v>39.166666666666664</v>
      </c>
      <c r="W109" s="564"/>
      <c r="X109" s="552">
        <f t="shared" si="73"/>
        <v>0</v>
      </c>
      <c r="Y109" s="552">
        <f t="shared" si="74"/>
        <v>0</v>
      </c>
      <c r="Z109" s="552">
        <f t="shared" si="75"/>
        <v>0</v>
      </c>
      <c r="AA109" s="552">
        <f t="shared" si="76"/>
        <v>0</v>
      </c>
      <c r="AB109" s="552">
        <f t="shared" si="77"/>
        <v>0</v>
      </c>
      <c r="AC109" s="552">
        <f t="shared" si="78"/>
        <v>0</v>
      </c>
      <c r="AD109" s="552">
        <f t="shared" si="79"/>
        <v>0</v>
      </c>
      <c r="AE109" s="552">
        <f t="shared" si="80"/>
        <v>0</v>
      </c>
      <c r="AF109" s="552">
        <f t="shared" si="81"/>
        <v>0</v>
      </c>
      <c r="AG109" s="552">
        <f t="shared" si="82"/>
        <v>0</v>
      </c>
      <c r="AH109" s="552">
        <f t="shared" si="83"/>
        <v>0</v>
      </c>
      <c r="AI109" s="552">
        <f t="shared" si="84"/>
        <v>0</v>
      </c>
      <c r="AJ109" s="551"/>
      <c r="AK109" s="551"/>
    </row>
    <row r="110" spans="1:37" s="538" customFormat="1" ht="12" customHeight="1" x14ac:dyDescent="0.25">
      <c r="A110" s="544">
        <v>5</v>
      </c>
      <c r="B110" s="556" t="str">
        <f t="shared" ref="B110:B120" si="89">IF(E110="UIO","QUITO",IF(E110="GYE","GUAYAQUIL",IF(E110="IBA","IBARRA")))</f>
        <v>GUAYAQUIL</v>
      </c>
      <c r="C110" s="557" t="s">
        <v>1046</v>
      </c>
      <c r="D110" s="545" t="s">
        <v>1047</v>
      </c>
      <c r="E110" s="545" t="s">
        <v>1049</v>
      </c>
      <c r="F110" s="557" t="s">
        <v>1115</v>
      </c>
      <c r="G110" s="557" t="s">
        <v>1113</v>
      </c>
      <c r="H110" s="579">
        <v>900</v>
      </c>
      <c r="I110" s="578">
        <v>45689</v>
      </c>
      <c r="J110" s="564"/>
      <c r="K110" s="551"/>
      <c r="L110" s="552">
        <f t="shared" si="66"/>
        <v>0</v>
      </c>
      <c r="M110" s="551"/>
      <c r="N110" s="551"/>
      <c r="O110" s="552">
        <f t="shared" si="87"/>
        <v>0</v>
      </c>
      <c r="P110" s="551"/>
      <c r="Q110" s="553">
        <f t="shared" si="67"/>
        <v>0</v>
      </c>
      <c r="R110" s="553">
        <f t="shared" si="68"/>
        <v>0</v>
      </c>
      <c r="S110" s="553">
        <f t="shared" si="69"/>
        <v>0</v>
      </c>
      <c r="T110" s="553">
        <f t="shared" si="70"/>
        <v>39.166666666666664</v>
      </c>
      <c r="U110" s="553">
        <f t="shared" si="71"/>
        <v>0</v>
      </c>
      <c r="V110" s="553">
        <f t="shared" si="72"/>
        <v>39.166666666666664</v>
      </c>
      <c r="W110" s="564"/>
      <c r="X110" s="552">
        <f t="shared" si="73"/>
        <v>0</v>
      </c>
      <c r="Y110" s="552">
        <f t="shared" si="74"/>
        <v>0</v>
      </c>
      <c r="Z110" s="552">
        <f t="shared" si="75"/>
        <v>0</v>
      </c>
      <c r="AA110" s="552">
        <f t="shared" si="76"/>
        <v>0</v>
      </c>
      <c r="AB110" s="552">
        <f t="shared" si="77"/>
        <v>0</v>
      </c>
      <c r="AC110" s="552">
        <f t="shared" si="78"/>
        <v>0</v>
      </c>
      <c r="AD110" s="552">
        <f t="shared" si="79"/>
        <v>0</v>
      </c>
      <c r="AE110" s="552">
        <f t="shared" si="80"/>
        <v>0</v>
      </c>
      <c r="AF110" s="552">
        <f t="shared" si="81"/>
        <v>0</v>
      </c>
      <c r="AG110" s="552">
        <f t="shared" si="82"/>
        <v>0</v>
      </c>
      <c r="AH110" s="552">
        <f t="shared" si="83"/>
        <v>0</v>
      </c>
      <c r="AI110" s="552">
        <f t="shared" si="84"/>
        <v>0</v>
      </c>
      <c r="AJ110" s="551"/>
      <c r="AK110" s="551"/>
    </row>
    <row r="111" spans="1:37" s="538" customFormat="1" ht="12" customHeight="1" x14ac:dyDescent="0.25">
      <c r="A111" s="544">
        <v>6</v>
      </c>
      <c r="B111" s="556" t="str">
        <f t="shared" ref="B111:B112" si="90">IF(E111="UIO","QUITO",IF(E111="GYE","GUAYAQUIL",IF(E111="IBA","IBARRA")))</f>
        <v>QUITO</v>
      </c>
      <c r="C111" s="557" t="s">
        <v>1046</v>
      </c>
      <c r="D111" s="545" t="s">
        <v>1047</v>
      </c>
      <c r="E111" s="545" t="s">
        <v>1035</v>
      </c>
      <c r="F111" s="557" t="s">
        <v>1115</v>
      </c>
      <c r="G111" s="557" t="s">
        <v>1113</v>
      </c>
      <c r="H111" s="579">
        <v>900</v>
      </c>
      <c r="I111" s="578">
        <v>45689</v>
      </c>
      <c r="J111" s="564"/>
      <c r="K111" s="551"/>
      <c r="L111" s="552">
        <f t="shared" ref="L111:L112" si="91">J111</f>
        <v>0</v>
      </c>
      <c r="M111" s="551"/>
      <c r="N111" s="551"/>
      <c r="O111" s="552">
        <f t="shared" si="87"/>
        <v>0</v>
      </c>
      <c r="P111" s="551"/>
      <c r="Q111" s="553">
        <f t="shared" si="67"/>
        <v>0</v>
      </c>
      <c r="R111" s="553">
        <f t="shared" ref="R111:R112" si="92">Q111*12.15%</f>
        <v>0</v>
      </c>
      <c r="S111" s="553">
        <f t="shared" ref="S111:S112" si="93">SUM(X111:AI111)/12</f>
        <v>0</v>
      </c>
      <c r="T111" s="553">
        <f t="shared" si="70"/>
        <v>39.166666666666664</v>
      </c>
      <c r="U111" s="553">
        <f t="shared" si="71"/>
        <v>0</v>
      </c>
      <c r="V111" s="553">
        <f t="shared" ref="V111:V112" si="94">+SUM(Q111:U111)</f>
        <v>39.166666666666664</v>
      </c>
      <c r="W111" s="564"/>
      <c r="X111" s="552">
        <f t="shared" si="73"/>
        <v>0</v>
      </c>
      <c r="Y111" s="552">
        <f t="shared" si="74"/>
        <v>0</v>
      </c>
      <c r="Z111" s="552">
        <f t="shared" si="75"/>
        <v>0</v>
      </c>
      <c r="AA111" s="552">
        <f t="shared" si="76"/>
        <v>0</v>
      </c>
      <c r="AB111" s="552">
        <f t="shared" si="77"/>
        <v>0</v>
      </c>
      <c r="AC111" s="552">
        <f t="shared" si="78"/>
        <v>0</v>
      </c>
      <c r="AD111" s="552">
        <f t="shared" si="79"/>
        <v>0</v>
      </c>
      <c r="AE111" s="552">
        <f t="shared" si="80"/>
        <v>0</v>
      </c>
      <c r="AF111" s="552">
        <f t="shared" si="81"/>
        <v>0</v>
      </c>
      <c r="AG111" s="552">
        <f t="shared" si="82"/>
        <v>0</v>
      </c>
      <c r="AH111" s="552">
        <f t="shared" si="83"/>
        <v>0</v>
      </c>
      <c r="AI111" s="552">
        <f t="shared" si="84"/>
        <v>0</v>
      </c>
      <c r="AJ111" s="551"/>
      <c r="AK111" s="551"/>
    </row>
    <row r="112" spans="1:37" s="538" customFormat="1" ht="12" customHeight="1" x14ac:dyDescent="0.25">
      <c r="A112" s="544">
        <v>7</v>
      </c>
      <c r="B112" s="556" t="str">
        <f t="shared" si="90"/>
        <v>GUAYAQUIL</v>
      </c>
      <c r="C112" s="557" t="s">
        <v>1046</v>
      </c>
      <c r="D112" s="545" t="s">
        <v>1047</v>
      </c>
      <c r="E112" s="545" t="s">
        <v>1049</v>
      </c>
      <c r="F112" s="557" t="s">
        <v>1115</v>
      </c>
      <c r="G112" s="557" t="s">
        <v>1113</v>
      </c>
      <c r="H112" s="579">
        <v>900</v>
      </c>
      <c r="I112" s="578">
        <v>45689</v>
      </c>
      <c r="J112" s="564"/>
      <c r="K112" s="551"/>
      <c r="L112" s="552">
        <f t="shared" si="91"/>
        <v>0</v>
      </c>
      <c r="M112" s="551"/>
      <c r="N112" s="551"/>
      <c r="O112" s="552">
        <f t="shared" si="87"/>
        <v>0</v>
      </c>
      <c r="P112" s="551"/>
      <c r="Q112" s="553">
        <f t="shared" si="67"/>
        <v>0</v>
      </c>
      <c r="R112" s="553">
        <f t="shared" si="92"/>
        <v>0</v>
      </c>
      <c r="S112" s="553">
        <f t="shared" si="93"/>
        <v>0</v>
      </c>
      <c r="T112" s="553">
        <f t="shared" si="70"/>
        <v>39.166666666666664</v>
      </c>
      <c r="U112" s="553">
        <f t="shared" si="71"/>
        <v>0</v>
      </c>
      <c r="V112" s="553">
        <f t="shared" si="94"/>
        <v>39.166666666666664</v>
      </c>
      <c r="W112" s="564"/>
      <c r="X112" s="552">
        <f t="shared" si="73"/>
        <v>0</v>
      </c>
      <c r="Y112" s="552">
        <f t="shared" si="74"/>
        <v>0</v>
      </c>
      <c r="Z112" s="552">
        <f t="shared" si="75"/>
        <v>0</v>
      </c>
      <c r="AA112" s="552">
        <f t="shared" si="76"/>
        <v>0</v>
      </c>
      <c r="AB112" s="552">
        <f t="shared" si="77"/>
        <v>0</v>
      </c>
      <c r="AC112" s="552">
        <f t="shared" si="78"/>
        <v>0</v>
      </c>
      <c r="AD112" s="552">
        <f t="shared" si="79"/>
        <v>0</v>
      </c>
      <c r="AE112" s="552">
        <f t="shared" si="80"/>
        <v>0</v>
      </c>
      <c r="AF112" s="552">
        <f t="shared" si="81"/>
        <v>0</v>
      </c>
      <c r="AG112" s="552">
        <f t="shared" si="82"/>
        <v>0</v>
      </c>
      <c r="AH112" s="552">
        <f t="shared" si="83"/>
        <v>0</v>
      </c>
      <c r="AI112" s="552">
        <f t="shared" si="84"/>
        <v>0</v>
      </c>
      <c r="AJ112" s="551"/>
      <c r="AK112" s="551"/>
    </row>
    <row r="113" spans="1:37" s="538" customFormat="1" ht="12" customHeight="1" x14ac:dyDescent="0.25">
      <c r="A113" s="544">
        <v>8</v>
      </c>
      <c r="B113" s="556" t="str">
        <f t="shared" ref="B113" si="95">IF(E113="UIO","QUITO",IF(E113="GYE","GUAYAQUIL",IF(E113="IBA","IBARRA")))</f>
        <v>GUAYAQUIL</v>
      </c>
      <c r="C113" s="557" t="s">
        <v>1046</v>
      </c>
      <c r="D113" s="545" t="s">
        <v>1047</v>
      </c>
      <c r="E113" s="545" t="s">
        <v>1049</v>
      </c>
      <c r="F113" s="557" t="s">
        <v>1116</v>
      </c>
      <c r="G113" s="557" t="s">
        <v>1113</v>
      </c>
      <c r="H113" s="579">
        <v>1100</v>
      </c>
      <c r="I113" s="578">
        <v>45689</v>
      </c>
      <c r="J113" s="564"/>
      <c r="K113" s="551"/>
      <c r="L113" s="552">
        <f t="shared" ref="L113" si="96">J113</f>
        <v>0</v>
      </c>
      <c r="M113" s="551"/>
      <c r="N113" s="551"/>
      <c r="O113" s="552">
        <f t="shared" si="87"/>
        <v>0</v>
      </c>
      <c r="P113" s="551"/>
      <c r="Q113" s="553">
        <f t="shared" si="67"/>
        <v>0</v>
      </c>
      <c r="R113" s="553">
        <f t="shared" ref="R113" si="97">Q113*12.15%</f>
        <v>0</v>
      </c>
      <c r="S113" s="553">
        <f t="shared" ref="S113" si="98">SUM(X113:AI113)/12</f>
        <v>0</v>
      </c>
      <c r="T113" s="553">
        <f t="shared" si="70"/>
        <v>39.166666666666664</v>
      </c>
      <c r="U113" s="553">
        <f t="shared" si="71"/>
        <v>0</v>
      </c>
      <c r="V113" s="553">
        <f t="shared" ref="V113" si="99">+SUM(Q113:U113)</f>
        <v>39.166666666666664</v>
      </c>
      <c r="W113" s="564"/>
      <c r="X113" s="552">
        <f t="shared" si="73"/>
        <v>0</v>
      </c>
      <c r="Y113" s="552">
        <f t="shared" si="74"/>
        <v>0</v>
      </c>
      <c r="Z113" s="552">
        <f t="shared" si="75"/>
        <v>0</v>
      </c>
      <c r="AA113" s="552">
        <f t="shared" si="76"/>
        <v>0</v>
      </c>
      <c r="AB113" s="552">
        <f t="shared" si="77"/>
        <v>0</v>
      </c>
      <c r="AC113" s="552">
        <f t="shared" si="78"/>
        <v>0</v>
      </c>
      <c r="AD113" s="552">
        <f t="shared" si="79"/>
        <v>0</v>
      </c>
      <c r="AE113" s="552">
        <f t="shared" si="80"/>
        <v>0</v>
      </c>
      <c r="AF113" s="552">
        <f t="shared" si="81"/>
        <v>0</v>
      </c>
      <c r="AG113" s="552">
        <f t="shared" si="82"/>
        <v>0</v>
      </c>
      <c r="AH113" s="552">
        <f t="shared" si="83"/>
        <v>0</v>
      </c>
      <c r="AI113" s="552">
        <f t="shared" si="84"/>
        <v>0</v>
      </c>
      <c r="AJ113" s="551"/>
      <c r="AK113" s="551"/>
    </row>
    <row r="114" spans="1:37" s="538" customFormat="1" ht="12" customHeight="1" x14ac:dyDescent="0.25">
      <c r="A114" s="544">
        <v>9</v>
      </c>
      <c r="B114" s="556" t="str">
        <f t="shared" ref="B114:B115" si="100">IF(E114="UIO","QUITO",IF(E114="GYE","GUAYAQUIL",IF(E114="IBA","IBARRA")))</f>
        <v>GUAYAQUIL</v>
      </c>
      <c r="C114" s="557" t="s">
        <v>1046</v>
      </c>
      <c r="D114" s="545" t="s">
        <v>1047</v>
      </c>
      <c r="E114" s="545" t="s">
        <v>1049</v>
      </c>
      <c r="F114" s="557" t="s">
        <v>1116</v>
      </c>
      <c r="G114" s="557" t="s">
        <v>1113</v>
      </c>
      <c r="H114" s="579">
        <v>1100</v>
      </c>
      <c r="I114" s="578">
        <v>45689</v>
      </c>
      <c r="J114" s="564"/>
      <c r="K114" s="551"/>
      <c r="L114" s="552">
        <f t="shared" ref="L114:L115" si="101">J114</f>
        <v>0</v>
      </c>
      <c r="M114" s="551"/>
      <c r="N114" s="551"/>
      <c r="O114" s="552">
        <f t="shared" si="87"/>
        <v>0</v>
      </c>
      <c r="P114" s="551"/>
      <c r="Q114" s="553">
        <f t="shared" si="67"/>
        <v>0</v>
      </c>
      <c r="R114" s="553">
        <f t="shared" ref="R114:R115" si="102">Q114*12.15%</f>
        <v>0</v>
      </c>
      <c r="S114" s="553">
        <f t="shared" ref="S114:S115" si="103">SUM(X114:AI114)/12</f>
        <v>0</v>
      </c>
      <c r="T114" s="553">
        <f t="shared" si="70"/>
        <v>39.166666666666664</v>
      </c>
      <c r="U114" s="553">
        <f t="shared" si="71"/>
        <v>0</v>
      </c>
      <c r="V114" s="553">
        <f t="shared" ref="V114" si="104">+SUM(Q114:U114)</f>
        <v>39.166666666666664</v>
      </c>
      <c r="W114" s="564"/>
      <c r="X114" s="552">
        <f t="shared" si="73"/>
        <v>0</v>
      </c>
      <c r="Y114" s="552">
        <f t="shared" si="74"/>
        <v>0</v>
      </c>
      <c r="Z114" s="552">
        <f t="shared" si="75"/>
        <v>0</v>
      </c>
      <c r="AA114" s="552">
        <f t="shared" si="76"/>
        <v>0</v>
      </c>
      <c r="AB114" s="552">
        <f t="shared" si="77"/>
        <v>0</v>
      </c>
      <c r="AC114" s="552">
        <f t="shared" si="78"/>
        <v>0</v>
      </c>
      <c r="AD114" s="552">
        <f t="shared" si="79"/>
        <v>0</v>
      </c>
      <c r="AE114" s="552">
        <f t="shared" si="80"/>
        <v>0</v>
      </c>
      <c r="AF114" s="552">
        <f t="shared" si="81"/>
        <v>0</v>
      </c>
      <c r="AG114" s="552">
        <f t="shared" si="82"/>
        <v>0</v>
      </c>
      <c r="AH114" s="552">
        <f t="shared" si="83"/>
        <v>0</v>
      </c>
      <c r="AI114" s="552">
        <f t="shared" si="84"/>
        <v>0</v>
      </c>
      <c r="AJ114" s="551"/>
      <c r="AK114" s="551"/>
    </row>
    <row r="115" spans="1:37" s="580" customFormat="1" ht="12" customHeight="1" x14ac:dyDescent="0.25">
      <c r="A115" s="581">
        <v>10</v>
      </c>
      <c r="B115" s="582" t="str">
        <f t="shared" si="100"/>
        <v>QUITO</v>
      </c>
      <c r="C115" s="561" t="s">
        <v>1033</v>
      </c>
      <c r="D115" s="583" t="s">
        <v>1034</v>
      </c>
      <c r="E115" s="583" t="s">
        <v>1035</v>
      </c>
      <c r="F115" s="561" t="s">
        <v>1096</v>
      </c>
      <c r="G115" s="557" t="s">
        <v>1113</v>
      </c>
      <c r="H115" s="584">
        <v>700</v>
      </c>
      <c r="I115" s="578">
        <v>45689</v>
      </c>
      <c r="J115" s="585"/>
      <c r="K115" s="585"/>
      <c r="L115" s="586">
        <f t="shared" si="101"/>
        <v>0</v>
      </c>
      <c r="M115" s="585"/>
      <c r="N115" s="585"/>
      <c r="O115" s="585"/>
      <c r="P115" s="585"/>
      <c r="Q115" s="587">
        <f t="shared" si="67"/>
        <v>0</v>
      </c>
      <c r="R115" s="587">
        <f t="shared" si="102"/>
        <v>0</v>
      </c>
      <c r="S115" s="553">
        <f t="shared" si="103"/>
        <v>0</v>
      </c>
      <c r="T115" s="587">
        <f t="shared" si="70"/>
        <v>39.166666666666664</v>
      </c>
      <c r="U115" s="587">
        <f t="shared" si="71"/>
        <v>0</v>
      </c>
      <c r="V115" s="587">
        <f t="shared" ref="V115" si="105">+SUM(Q115:U115)</f>
        <v>39.166666666666664</v>
      </c>
      <c r="W115" s="588">
        <v>0</v>
      </c>
      <c r="X115" s="586">
        <f t="shared" si="73"/>
        <v>0</v>
      </c>
      <c r="Y115" s="586">
        <f t="shared" si="74"/>
        <v>0</v>
      </c>
      <c r="Z115" s="586">
        <f t="shared" si="75"/>
        <v>0</v>
      </c>
      <c r="AA115" s="586">
        <f t="shared" si="76"/>
        <v>0</v>
      </c>
      <c r="AB115" s="586">
        <f t="shared" si="77"/>
        <v>0</v>
      </c>
      <c r="AC115" s="586">
        <f t="shared" si="78"/>
        <v>0</v>
      </c>
      <c r="AD115" s="586">
        <f t="shared" si="79"/>
        <v>0</v>
      </c>
      <c r="AE115" s="586">
        <f t="shared" si="80"/>
        <v>0</v>
      </c>
      <c r="AF115" s="586">
        <f t="shared" si="81"/>
        <v>0</v>
      </c>
      <c r="AG115" s="586">
        <f t="shared" si="82"/>
        <v>0</v>
      </c>
      <c r="AH115" s="586">
        <f t="shared" si="83"/>
        <v>0</v>
      </c>
      <c r="AI115" s="586">
        <f t="shared" si="84"/>
        <v>0</v>
      </c>
      <c r="AJ115" s="585"/>
      <c r="AK115" s="585"/>
    </row>
    <row r="116" spans="1:37" s="580" customFormat="1" ht="12" customHeight="1" x14ac:dyDescent="0.25">
      <c r="A116" s="589"/>
      <c r="B116" s="582" t="str">
        <f t="shared" ref="B116" si="106">IF(E116="UIO","QUITO",IF(E116="GYE","GUAYAQUIL",IF(E116="IBA","IBARRA")))</f>
        <v>QUITO</v>
      </c>
      <c r="C116" s="561" t="s">
        <v>1033</v>
      </c>
      <c r="D116" s="583" t="s">
        <v>1034</v>
      </c>
      <c r="E116" s="583" t="s">
        <v>1035</v>
      </c>
      <c r="F116" s="561" t="s">
        <v>1096</v>
      </c>
      <c r="G116" s="557" t="s">
        <v>1113</v>
      </c>
      <c r="H116" s="584">
        <v>900</v>
      </c>
      <c r="I116" s="578">
        <v>45689</v>
      </c>
      <c r="J116" s="585"/>
      <c r="K116" s="585"/>
      <c r="L116" s="585"/>
      <c r="M116" s="585"/>
      <c r="N116" s="585"/>
      <c r="O116" s="585"/>
      <c r="P116" s="585"/>
      <c r="Q116" s="590"/>
      <c r="R116" s="590"/>
      <c r="S116" s="564"/>
      <c r="T116" s="590"/>
      <c r="U116" s="590"/>
      <c r="V116" s="590"/>
      <c r="W116" s="590"/>
      <c r="X116" s="585"/>
      <c r="Y116" s="585"/>
      <c r="Z116" s="585"/>
      <c r="AA116" s="585"/>
      <c r="AB116" s="585"/>
      <c r="AC116" s="585"/>
      <c r="AD116" s="585"/>
      <c r="AE116" s="585"/>
      <c r="AF116" s="585"/>
      <c r="AG116" s="585"/>
      <c r="AH116" s="585"/>
      <c r="AI116" s="585"/>
      <c r="AJ116" s="585"/>
      <c r="AK116" s="585"/>
    </row>
    <row r="117" spans="1:37" s="538" customFormat="1" ht="12" customHeight="1" x14ac:dyDescent="0.25">
      <c r="A117" s="544">
        <v>11</v>
      </c>
      <c r="B117" s="556" t="str">
        <f t="shared" ref="B117" si="107">IF(E117="UIO","QUITO",IF(E117="GYE","GUAYAQUIL",IF(E117="IBA","IBARRA")))</f>
        <v>QUITO</v>
      </c>
      <c r="C117" s="557" t="s">
        <v>1046</v>
      </c>
      <c r="D117" s="545" t="s">
        <v>1047</v>
      </c>
      <c r="E117" s="545" t="s">
        <v>1035</v>
      </c>
      <c r="F117" s="557" t="s">
        <v>1117</v>
      </c>
      <c r="G117" s="557" t="s">
        <v>1113</v>
      </c>
      <c r="H117" s="579">
        <v>1500</v>
      </c>
      <c r="I117" s="578">
        <v>45689</v>
      </c>
      <c r="J117" s="564"/>
      <c r="K117" s="551"/>
      <c r="L117" s="552">
        <f t="shared" ref="L117" si="108">J117</f>
        <v>0</v>
      </c>
      <c r="M117" s="551"/>
      <c r="N117" s="551"/>
      <c r="O117" s="552">
        <f>L117*$O$7</f>
        <v>0</v>
      </c>
      <c r="P117" s="551"/>
      <c r="Q117" s="553">
        <f t="shared" si="67"/>
        <v>0</v>
      </c>
      <c r="R117" s="553">
        <f t="shared" ref="R117" si="109">Q117*12.15%</f>
        <v>0</v>
      </c>
      <c r="S117" s="553">
        <f t="shared" ref="S117" si="110">SUM(X117:AI117)/12</f>
        <v>0</v>
      </c>
      <c r="T117" s="553">
        <f t="shared" si="70"/>
        <v>39.166666666666664</v>
      </c>
      <c r="U117" s="553">
        <f t="shared" si="71"/>
        <v>0</v>
      </c>
      <c r="V117" s="553">
        <f t="shared" ref="V117" si="111">+SUM(Q117:U117)</f>
        <v>39.166666666666664</v>
      </c>
      <c r="W117" s="564"/>
      <c r="X117" s="552">
        <f t="shared" si="73"/>
        <v>0</v>
      </c>
      <c r="Y117" s="552">
        <f t="shared" si="74"/>
        <v>0</v>
      </c>
      <c r="Z117" s="552">
        <f t="shared" si="75"/>
        <v>0</v>
      </c>
      <c r="AA117" s="552">
        <f t="shared" si="76"/>
        <v>0</v>
      </c>
      <c r="AB117" s="552">
        <f t="shared" si="77"/>
        <v>0</v>
      </c>
      <c r="AC117" s="552">
        <f t="shared" si="78"/>
        <v>0</v>
      </c>
      <c r="AD117" s="552">
        <f t="shared" si="79"/>
        <v>0</v>
      </c>
      <c r="AE117" s="552">
        <f t="shared" si="80"/>
        <v>0</v>
      </c>
      <c r="AF117" s="552">
        <f t="shared" si="81"/>
        <v>0</v>
      </c>
      <c r="AG117" s="552">
        <f t="shared" si="82"/>
        <v>0</v>
      </c>
      <c r="AH117" s="552">
        <f t="shared" si="83"/>
        <v>0</v>
      </c>
      <c r="AI117" s="552">
        <f t="shared" si="84"/>
        <v>0</v>
      </c>
      <c r="AJ117" s="551"/>
      <c r="AK117" s="551"/>
    </row>
    <row r="118" spans="1:37" s="538" customFormat="1" ht="12" customHeight="1" x14ac:dyDescent="0.25">
      <c r="A118" s="544">
        <v>12</v>
      </c>
      <c r="B118" s="556" t="str">
        <f t="shared" si="89"/>
        <v>IBARRA</v>
      </c>
      <c r="C118" s="557" t="s">
        <v>1046</v>
      </c>
      <c r="D118" s="545" t="s">
        <v>1047</v>
      </c>
      <c r="E118" s="545" t="s">
        <v>1044</v>
      </c>
      <c r="F118" s="557" t="s">
        <v>1099</v>
      </c>
      <c r="G118" s="557" t="s">
        <v>1113</v>
      </c>
      <c r="H118" s="579">
        <v>1800</v>
      </c>
      <c r="I118" s="578">
        <v>45689</v>
      </c>
      <c r="J118" s="564"/>
      <c r="K118" s="551"/>
      <c r="L118" s="552">
        <f t="shared" si="66"/>
        <v>0</v>
      </c>
      <c r="M118" s="551"/>
      <c r="N118" s="551"/>
      <c r="O118" s="552">
        <f>L118*$O$7</f>
        <v>0</v>
      </c>
      <c r="P118" s="551"/>
      <c r="Q118" s="553">
        <f t="shared" si="67"/>
        <v>0</v>
      </c>
      <c r="R118" s="553">
        <f t="shared" si="68"/>
        <v>0</v>
      </c>
      <c r="S118" s="553">
        <f t="shared" si="69"/>
        <v>0</v>
      </c>
      <c r="T118" s="553">
        <f t="shared" si="70"/>
        <v>39.166666666666664</v>
      </c>
      <c r="U118" s="553">
        <f t="shared" si="71"/>
        <v>0</v>
      </c>
      <c r="V118" s="553">
        <f t="shared" si="72"/>
        <v>39.166666666666664</v>
      </c>
      <c r="W118" s="564"/>
      <c r="X118" s="552">
        <f t="shared" si="73"/>
        <v>0</v>
      </c>
      <c r="Y118" s="552">
        <f t="shared" si="74"/>
        <v>0</v>
      </c>
      <c r="Z118" s="552">
        <f t="shared" si="75"/>
        <v>0</v>
      </c>
      <c r="AA118" s="552">
        <f t="shared" si="76"/>
        <v>0</v>
      </c>
      <c r="AB118" s="552">
        <f t="shared" si="77"/>
        <v>0</v>
      </c>
      <c r="AC118" s="552">
        <f t="shared" si="78"/>
        <v>0</v>
      </c>
      <c r="AD118" s="552">
        <f t="shared" si="79"/>
        <v>0</v>
      </c>
      <c r="AE118" s="552">
        <f t="shared" si="80"/>
        <v>0</v>
      </c>
      <c r="AF118" s="552">
        <f t="shared" si="81"/>
        <v>0</v>
      </c>
      <c r="AG118" s="552">
        <f t="shared" si="82"/>
        <v>0</v>
      </c>
      <c r="AH118" s="552">
        <f t="shared" si="83"/>
        <v>0</v>
      </c>
      <c r="AI118" s="552">
        <f t="shared" si="84"/>
        <v>0</v>
      </c>
      <c r="AJ118" s="574"/>
      <c r="AK118" s="574"/>
    </row>
    <row r="119" spans="1:37" s="568" customFormat="1" ht="12" customHeight="1" x14ac:dyDescent="0.25">
      <c r="A119" s="569"/>
      <c r="B119" s="570" t="s">
        <v>1118</v>
      </c>
      <c r="C119" s="571"/>
      <c r="D119" s="570"/>
      <c r="E119" s="570"/>
      <c r="F119" s="571"/>
      <c r="G119" s="571"/>
      <c r="H119" s="571"/>
      <c r="I119" s="591"/>
      <c r="J119" s="592">
        <f t="shared" ref="J119:AI119" si="112">SUM(J106:J118)</f>
        <v>0</v>
      </c>
      <c r="K119" s="592">
        <f t="shared" si="112"/>
        <v>0</v>
      </c>
      <c r="L119" s="592">
        <f t="shared" si="112"/>
        <v>0</v>
      </c>
      <c r="M119" s="592">
        <f t="shared" si="112"/>
        <v>0</v>
      </c>
      <c r="N119" s="592">
        <f t="shared" si="112"/>
        <v>0</v>
      </c>
      <c r="O119" s="592">
        <f t="shared" si="112"/>
        <v>0</v>
      </c>
      <c r="P119" s="592">
        <f t="shared" si="112"/>
        <v>0</v>
      </c>
      <c r="Q119" s="592">
        <f t="shared" si="112"/>
        <v>0</v>
      </c>
      <c r="R119" s="592">
        <f t="shared" si="112"/>
        <v>0</v>
      </c>
      <c r="S119" s="592">
        <f t="shared" si="112"/>
        <v>0</v>
      </c>
      <c r="T119" s="592">
        <f t="shared" si="112"/>
        <v>430.83333333333337</v>
      </c>
      <c r="U119" s="592">
        <f t="shared" si="112"/>
        <v>0</v>
      </c>
      <c r="V119" s="592">
        <f t="shared" si="112"/>
        <v>430.83333333333337</v>
      </c>
      <c r="W119" s="592">
        <f t="shared" si="112"/>
        <v>0</v>
      </c>
      <c r="X119" s="592">
        <f t="shared" si="112"/>
        <v>0</v>
      </c>
      <c r="Y119" s="592">
        <f t="shared" si="112"/>
        <v>0</v>
      </c>
      <c r="Z119" s="592">
        <f t="shared" si="112"/>
        <v>0</v>
      </c>
      <c r="AA119" s="592">
        <f t="shared" si="112"/>
        <v>0</v>
      </c>
      <c r="AB119" s="592">
        <f t="shared" si="112"/>
        <v>0</v>
      </c>
      <c r="AC119" s="592">
        <f t="shared" si="112"/>
        <v>0</v>
      </c>
      <c r="AD119" s="592">
        <f t="shared" si="112"/>
        <v>0</v>
      </c>
      <c r="AE119" s="592">
        <f t="shared" si="112"/>
        <v>0</v>
      </c>
      <c r="AF119" s="592">
        <f t="shared" si="112"/>
        <v>0</v>
      </c>
      <c r="AG119" s="592">
        <f t="shared" si="112"/>
        <v>0</v>
      </c>
      <c r="AH119" s="592">
        <f t="shared" si="112"/>
        <v>0</v>
      </c>
      <c r="AI119" s="592">
        <f t="shared" si="112"/>
        <v>0</v>
      </c>
      <c r="AJ119" s="574"/>
      <c r="AK119" s="574"/>
    </row>
    <row r="120" spans="1:37" s="580" customFormat="1" ht="12" customHeight="1" x14ac:dyDescent="0.25">
      <c r="A120" s="581">
        <v>13</v>
      </c>
      <c r="B120" s="582" t="str">
        <f t="shared" si="89"/>
        <v>QUITO</v>
      </c>
      <c r="C120" s="546" t="s">
        <v>1041</v>
      </c>
      <c r="D120" s="547" t="s">
        <v>1042</v>
      </c>
      <c r="E120" s="583" t="s">
        <v>1035</v>
      </c>
      <c r="F120" s="561" t="s">
        <v>1119</v>
      </c>
      <c r="G120" s="557" t="s">
        <v>1113</v>
      </c>
      <c r="H120" s="584">
        <v>1000</v>
      </c>
      <c r="I120" s="578">
        <v>45689</v>
      </c>
      <c r="J120" s="585"/>
      <c r="K120" s="585"/>
      <c r="L120" s="586">
        <f t="shared" ref="L120" si="113">J120</f>
        <v>0</v>
      </c>
      <c r="M120" s="585"/>
      <c r="N120" s="585"/>
      <c r="O120" s="585"/>
      <c r="P120" s="585"/>
      <c r="Q120" s="587">
        <f>+SUM(L120:P120)</f>
        <v>0</v>
      </c>
      <c r="R120" s="587">
        <f t="shared" ref="R120" si="114">Q120*12.15%</f>
        <v>0</v>
      </c>
      <c r="S120" s="553">
        <f t="shared" si="69"/>
        <v>0</v>
      </c>
      <c r="T120" s="587">
        <f>IF(I120=0,0,IF($T$7+365-I120&gt;365,$C$6,($T$7+365-I120)*($C$6/365)))/12</f>
        <v>39.166666666666664</v>
      </c>
      <c r="U120" s="587">
        <f>IF(I120=0,0,IF($U$7+365-I120&gt;364,Q120,($U$7+365-I120)*(Q120/365)))/12</f>
        <v>0</v>
      </c>
      <c r="V120" s="587">
        <f t="shared" ref="V120" si="115">+SUM(Q120:U120)</f>
        <v>39.166666666666664</v>
      </c>
      <c r="W120" s="588">
        <v>0</v>
      </c>
      <c r="X120" s="586">
        <f>IF(I120=0,0,IF($X$7-I120&gt;365,Q120*8.3333%,0))</f>
        <v>0</v>
      </c>
      <c r="Y120" s="586">
        <f>IF(I120=0,0,IF($Y$7-I120&gt;365,Q120*8.3333%,0))</f>
        <v>0</v>
      </c>
      <c r="Z120" s="586">
        <f>IF(I120=0,0,IF($Z$7-I120&gt;365,Q120*8.3333%,0))</f>
        <v>0</v>
      </c>
      <c r="AA120" s="586">
        <f>IF(I120=0,0,IF($AA$7-I120&gt;365,Q120*8.3333%,0))</f>
        <v>0</v>
      </c>
      <c r="AB120" s="586">
        <f>IF(I120=0,0,IF($AB$7-I120&gt;365,Q120*8.3333%,0))</f>
        <v>0</v>
      </c>
      <c r="AC120" s="586">
        <f>IF(I120=0,0,IF($AC$7-I120&gt;365,Q120*8.3333%,0))</f>
        <v>0</v>
      </c>
      <c r="AD120" s="586">
        <f>IF(I120=0,0,IF($AD$7-I120&gt;365,Q120*8.3333%,0))</f>
        <v>0</v>
      </c>
      <c r="AE120" s="586">
        <f>IF(I120=0,0,IF($AE$7-I120&gt;365,Q120*8.3333%,0))</f>
        <v>0</v>
      </c>
      <c r="AF120" s="586">
        <f>IF(I120=0,0,IF($AF$7-I120&gt;365,Q120*8.3333%,0))</f>
        <v>0</v>
      </c>
      <c r="AG120" s="586">
        <f>IF(I120=0,0,IF($AG$7-I120&gt;365,Q120*8.3333%,0))</f>
        <v>0</v>
      </c>
      <c r="AH120" s="586">
        <f>IF(I120=0,0,IF($AH$7-I120&gt;365,Q120*8.3333%,0))</f>
        <v>0</v>
      </c>
      <c r="AI120" s="586">
        <f>IF(I120=0,0,IF($AI$7-I120&gt;365,Q120*8.3333%,0))</f>
        <v>0</v>
      </c>
      <c r="AJ120" s="585"/>
      <c r="AK120" s="585"/>
    </row>
    <row r="121" spans="1:37" s="538" customFormat="1" ht="12" customHeight="1" x14ac:dyDescent="0.25">
      <c r="A121" s="544">
        <v>14</v>
      </c>
      <c r="B121" s="556" t="str">
        <f t="shared" ref="B121" si="116">IF(E121="UIO","QUITO",IF(E121="GYE","GUAYAQUIL",IF(E121="IBA","IBARRA")))</f>
        <v>QUITO</v>
      </c>
      <c r="C121" s="546" t="s">
        <v>1041</v>
      </c>
      <c r="D121" s="547" t="s">
        <v>1042</v>
      </c>
      <c r="E121" s="545" t="s">
        <v>1035</v>
      </c>
      <c r="F121" s="557" t="s">
        <v>1120</v>
      </c>
      <c r="G121" s="557" t="s">
        <v>1113</v>
      </c>
      <c r="H121" s="579">
        <v>470</v>
      </c>
      <c r="I121" s="578">
        <v>45689</v>
      </c>
      <c r="J121" s="564"/>
      <c r="K121" s="551"/>
      <c r="L121" s="552">
        <f t="shared" ref="L121:L127" si="117">J121</f>
        <v>0</v>
      </c>
      <c r="M121" s="551"/>
      <c r="N121" s="551"/>
      <c r="O121" s="552">
        <f>L121*$O$7</f>
        <v>0</v>
      </c>
      <c r="P121" s="551"/>
      <c r="Q121" s="553">
        <f>+SUM(L121:P121)</f>
        <v>0</v>
      </c>
      <c r="R121" s="553">
        <f t="shared" ref="R121:R127" si="118">Q121*12.15%</f>
        <v>0</v>
      </c>
      <c r="S121" s="553">
        <f t="shared" si="69"/>
        <v>0</v>
      </c>
      <c r="T121" s="553">
        <f>IF(I121=0,0,IF($T$7+365-I121&gt;365,$C$6,($T$7+365-I121)*($C$6/365)))/12</f>
        <v>39.166666666666664</v>
      </c>
      <c r="U121" s="553">
        <f>IF(I121=0,0,IF($U$7+365-I121&gt;364,Q121,($U$7+365-I121)*(Q121/365)))/12</f>
        <v>0</v>
      </c>
      <c r="V121" s="553">
        <f t="shared" ref="V121:V127" si="119">+SUM(Q121:U121)</f>
        <v>39.166666666666664</v>
      </c>
      <c r="W121" s="564"/>
      <c r="X121" s="552">
        <f>IF(I121=0,0,IF($X$7-I121&gt;365,Q121*8.3333%,0))</f>
        <v>0</v>
      </c>
      <c r="Y121" s="552">
        <f>IF(I121=0,0,IF($Y$7-I121&gt;365,Q121*8.3333%,0))</f>
        <v>0</v>
      </c>
      <c r="Z121" s="552">
        <f>IF(I121=0,0,IF($Z$7-I121&gt;365,Q121*8.3333%,0))</f>
        <v>0</v>
      </c>
      <c r="AA121" s="552">
        <f>IF(I121=0,0,IF($AA$7-I121&gt;365,Q121*8.3333%,0))</f>
        <v>0</v>
      </c>
      <c r="AB121" s="552">
        <f>IF(I121=0,0,IF($AB$7-I121&gt;365,Q121*8.3333%,0))</f>
        <v>0</v>
      </c>
      <c r="AC121" s="552">
        <f>IF(I121=0,0,IF($AC$7-I121&gt;365,Q121*8.3333%,0))</f>
        <v>0</v>
      </c>
      <c r="AD121" s="552">
        <f>IF(I121=0,0,IF($AD$7-I121&gt;365,Q121*8.3333%,0))</f>
        <v>0</v>
      </c>
      <c r="AE121" s="552">
        <f>IF(I121=0,0,IF($AE$7-I121&gt;365,Q121*8.3333%,0))</f>
        <v>0</v>
      </c>
      <c r="AF121" s="552">
        <f>IF(I121=0,0,IF($AF$7-I121&gt;365,Q121*8.3333%,0))</f>
        <v>0</v>
      </c>
      <c r="AG121" s="552">
        <f>IF(I121=0,0,IF($AG$7-I121&gt;365,Q121*8.3333%,0))</f>
        <v>0</v>
      </c>
      <c r="AH121" s="552">
        <f>IF(I121=0,0,IF($AH$7-I121&gt;365,Q121*8.3333%,0))</f>
        <v>0</v>
      </c>
      <c r="AI121" s="552">
        <f>IF(I121=0,0,IF($AI$7-I121&gt;365,Q121*8.3333%,0))</f>
        <v>0</v>
      </c>
      <c r="AJ121" s="574"/>
      <c r="AK121" s="574"/>
    </row>
    <row r="122" spans="1:37" s="538" customFormat="1" ht="12" customHeight="1" x14ac:dyDescent="0.25">
      <c r="A122" s="544">
        <v>15</v>
      </c>
      <c r="B122" s="556" t="str">
        <f t="shared" ref="B122:B125" si="120">IF(E122="UIO","QUITO",IF(E122="GYE","GUAYAQUIL",IF(E122="IBA","IBARRA")))</f>
        <v>QUITO</v>
      </c>
      <c r="C122" s="557" t="s">
        <v>1121</v>
      </c>
      <c r="D122" s="545" t="s">
        <v>1047</v>
      </c>
      <c r="E122" s="545" t="s">
        <v>1122</v>
      </c>
      <c r="F122" s="557" t="s">
        <v>1116</v>
      </c>
      <c r="G122" s="557" t="s">
        <v>1113</v>
      </c>
      <c r="H122" s="579">
        <v>1800</v>
      </c>
      <c r="I122" s="578">
        <v>45717</v>
      </c>
      <c r="J122" s="564"/>
      <c r="K122" s="551"/>
      <c r="L122" s="552">
        <f t="shared" si="117"/>
        <v>0</v>
      </c>
      <c r="M122" s="551"/>
      <c r="N122" s="551"/>
      <c r="O122" s="552">
        <f>L122*$O$7</f>
        <v>0</v>
      </c>
      <c r="P122" s="551"/>
      <c r="Q122" s="553">
        <f>+SUM(L122:P122)</f>
        <v>0</v>
      </c>
      <c r="R122" s="553">
        <f t="shared" si="118"/>
        <v>0</v>
      </c>
      <c r="S122" s="553">
        <f t="shared" si="69"/>
        <v>0</v>
      </c>
      <c r="T122" s="553">
        <f>IF(I122=0,0,IF($T$7+365-I122&gt;365,$C$6,($T$7+365-I122)*($C$6/365)))/12</f>
        <v>39.166666666666664</v>
      </c>
      <c r="U122" s="553">
        <f>IF(I122=0,0,IF($U$7+365-I122&gt;364,Q122,($U$7+365-I122)*(Q122/365)))/12</f>
        <v>0</v>
      </c>
      <c r="V122" s="553">
        <f t="shared" si="119"/>
        <v>39.166666666666664</v>
      </c>
      <c r="W122" s="564"/>
      <c r="X122" s="552">
        <f>IF(I122=0,0,IF($X$7-I122&gt;365,Q122*8.3333%,0))</f>
        <v>0</v>
      </c>
      <c r="Y122" s="552">
        <f>IF(I122=0,0,IF($Y$7-I122&gt;365,Q122*8.3333%,0))</f>
        <v>0</v>
      </c>
      <c r="Z122" s="552">
        <f>IF(I122=0,0,IF($Z$7-I122&gt;365,Q122*8.3333%,0))</f>
        <v>0</v>
      </c>
      <c r="AA122" s="552">
        <f>IF(I122=0,0,IF($AA$7-I122&gt;365,Q122*8.3333%,0))</f>
        <v>0</v>
      </c>
      <c r="AB122" s="552">
        <f>IF(I122=0,0,IF($AB$7-I122&gt;365,Q122*8.3333%,0))</f>
        <v>0</v>
      </c>
      <c r="AC122" s="552">
        <f>IF(I122=0,0,IF($AC$7-I122&gt;365,Q122*8.3333%,0))</f>
        <v>0</v>
      </c>
      <c r="AD122" s="552">
        <f>IF(I122=0,0,IF($AD$7-I122&gt;365,Q122*8.3333%,0))</f>
        <v>0</v>
      </c>
      <c r="AE122" s="552">
        <f>IF(I122=0,0,IF($AE$7-I122&gt;365,Q122*8.3333%,0))</f>
        <v>0</v>
      </c>
      <c r="AF122" s="552">
        <f>IF(I122=0,0,IF($AF$7-I122&gt;365,Q122*8.3333%,0))</f>
        <v>0</v>
      </c>
      <c r="AG122" s="552">
        <f>IF(I122=0,0,IF($AG$7-I122&gt;365,Q122*8.3333%,0))</f>
        <v>0</v>
      </c>
      <c r="AH122" s="552">
        <f>IF(I122=0,0,IF($AH$7-I122&gt;365,Q122*8.3333%,0))</f>
        <v>0</v>
      </c>
      <c r="AI122" s="552">
        <f>IF(I122=0,0,IF($AI$7-I122&gt;365,Q122*8.3333%,0))</f>
        <v>0</v>
      </c>
      <c r="AJ122" s="574"/>
      <c r="AK122" s="574"/>
    </row>
    <row r="123" spans="1:37" s="568" customFormat="1" ht="12" customHeight="1" x14ac:dyDescent="0.25">
      <c r="A123" s="569"/>
      <c r="B123" s="570" t="s">
        <v>1118</v>
      </c>
      <c r="C123" s="571"/>
      <c r="D123" s="570"/>
      <c r="E123" s="570"/>
      <c r="F123" s="571"/>
      <c r="G123" s="571"/>
      <c r="H123" s="571"/>
      <c r="I123" s="591"/>
      <c r="J123" s="592">
        <f>SUM(J120:J122)</f>
        <v>0</v>
      </c>
      <c r="K123" s="592">
        <f t="shared" ref="K123:AI123" si="121">SUM(K120:K122)</f>
        <v>0</v>
      </c>
      <c r="L123" s="592">
        <f t="shared" si="121"/>
        <v>0</v>
      </c>
      <c r="M123" s="592">
        <f t="shared" si="121"/>
        <v>0</v>
      </c>
      <c r="N123" s="592">
        <f t="shared" si="121"/>
        <v>0</v>
      </c>
      <c r="O123" s="592">
        <f t="shared" si="121"/>
        <v>0</v>
      </c>
      <c r="P123" s="592">
        <f t="shared" si="121"/>
        <v>0</v>
      </c>
      <c r="Q123" s="592">
        <f t="shared" si="121"/>
        <v>0</v>
      </c>
      <c r="R123" s="592">
        <f t="shared" si="121"/>
        <v>0</v>
      </c>
      <c r="S123" s="592">
        <f t="shared" si="121"/>
        <v>0</v>
      </c>
      <c r="T123" s="592">
        <f t="shared" si="121"/>
        <v>117.5</v>
      </c>
      <c r="U123" s="592">
        <f t="shared" si="121"/>
        <v>0</v>
      </c>
      <c r="V123" s="592">
        <f t="shared" si="121"/>
        <v>117.5</v>
      </c>
      <c r="W123" s="592">
        <f t="shared" si="121"/>
        <v>0</v>
      </c>
      <c r="X123" s="592">
        <f t="shared" si="121"/>
        <v>0</v>
      </c>
      <c r="Y123" s="592">
        <f t="shared" si="121"/>
        <v>0</v>
      </c>
      <c r="Z123" s="592">
        <f t="shared" si="121"/>
        <v>0</v>
      </c>
      <c r="AA123" s="592">
        <f t="shared" si="121"/>
        <v>0</v>
      </c>
      <c r="AB123" s="592">
        <f t="shared" si="121"/>
        <v>0</v>
      </c>
      <c r="AC123" s="592">
        <f t="shared" si="121"/>
        <v>0</v>
      </c>
      <c r="AD123" s="592">
        <f t="shared" si="121"/>
        <v>0</v>
      </c>
      <c r="AE123" s="592">
        <f t="shared" si="121"/>
        <v>0</v>
      </c>
      <c r="AF123" s="592">
        <f t="shared" si="121"/>
        <v>0</v>
      </c>
      <c r="AG123" s="592">
        <f t="shared" si="121"/>
        <v>0</v>
      </c>
      <c r="AH123" s="592">
        <f t="shared" si="121"/>
        <v>0</v>
      </c>
      <c r="AI123" s="592">
        <f t="shared" si="121"/>
        <v>0</v>
      </c>
      <c r="AJ123" s="574"/>
      <c r="AK123" s="574"/>
    </row>
    <row r="124" spans="1:37" s="538" customFormat="1" ht="12" customHeight="1" x14ac:dyDescent="0.25">
      <c r="A124" s="544">
        <v>16</v>
      </c>
      <c r="B124" s="556" t="str">
        <f t="shared" si="120"/>
        <v>IBARRA</v>
      </c>
      <c r="C124" s="557" t="s">
        <v>1046</v>
      </c>
      <c r="D124" s="545" t="s">
        <v>1047</v>
      </c>
      <c r="E124" s="545" t="s">
        <v>1044</v>
      </c>
      <c r="F124" s="557" t="s">
        <v>1123</v>
      </c>
      <c r="G124" s="557" t="s">
        <v>1113</v>
      </c>
      <c r="H124" s="557"/>
      <c r="I124" s="578"/>
      <c r="J124" s="564"/>
      <c r="K124" s="551"/>
      <c r="L124" s="552">
        <f t="shared" si="117"/>
        <v>0</v>
      </c>
      <c r="M124" s="551"/>
      <c r="N124" s="551"/>
      <c r="O124" s="552">
        <f>L124*$O$7</f>
        <v>0</v>
      </c>
      <c r="P124" s="551"/>
      <c r="Q124" s="553">
        <f>+SUM(L124:P124)</f>
        <v>0</v>
      </c>
      <c r="R124" s="553">
        <f t="shared" si="118"/>
        <v>0</v>
      </c>
      <c r="S124" s="553">
        <f t="shared" si="69"/>
        <v>0</v>
      </c>
      <c r="T124" s="553">
        <f>IF(I124=0,0,IF($T$7+365-I124&gt;365,$C$6,($T$7+365-I124)*($C$6/365)))/12</f>
        <v>0</v>
      </c>
      <c r="U124" s="553">
        <f>IF(I124=0,0,IF($U$7+365-I124&gt;364,Q124,($U$7+365-I124)*(Q124/365)))/12</f>
        <v>0</v>
      </c>
      <c r="V124" s="553">
        <f t="shared" si="119"/>
        <v>0</v>
      </c>
      <c r="W124" s="564"/>
      <c r="X124" s="552">
        <f>IF(I124=0,0,IF($X$7-I124&gt;365,Q124*8.3333%,0))</f>
        <v>0</v>
      </c>
      <c r="Y124" s="552">
        <f>IF(I124=0,0,IF($Y$7-I124&gt;365,Q124*8.3333%,0))</f>
        <v>0</v>
      </c>
      <c r="Z124" s="552">
        <f>IF(I124=0,0,IF($Z$7-I124&gt;365,Q124*8.3333%,0))</f>
        <v>0</v>
      </c>
      <c r="AA124" s="552">
        <f>IF(I124=0,0,IF($AA$7-I124&gt;365,Q124*8.3333%,0))</f>
        <v>0</v>
      </c>
      <c r="AB124" s="552">
        <f>IF(I124=0,0,IF($AB$7-I124&gt;365,Q124*8.3333%,0))</f>
        <v>0</v>
      </c>
      <c r="AC124" s="552">
        <f>IF(I124=0,0,IF($AC$7-I124&gt;365,Q124*8.3333%,0))</f>
        <v>0</v>
      </c>
      <c r="AD124" s="552">
        <f>IF(I124=0,0,IF($AD$7-I124&gt;365,Q124*8.3333%,0))</f>
        <v>0</v>
      </c>
      <c r="AE124" s="552">
        <f>IF(I124=0,0,IF($AE$7-I124&gt;365,Q124*8.3333%,0))</f>
        <v>0</v>
      </c>
      <c r="AF124" s="552">
        <f>IF(I124=0,0,IF($AF$7-I124&gt;365,Q124*8.3333%,0))</f>
        <v>0</v>
      </c>
      <c r="AG124" s="552">
        <f>IF(I124=0,0,IF($AG$7-I124&gt;365,Q124*8.3333%,0))</f>
        <v>0</v>
      </c>
      <c r="AH124" s="552">
        <f>IF(I124=0,0,IF($AH$7-I124&gt;365,Q124*8.3333%,0))</f>
        <v>0</v>
      </c>
      <c r="AI124" s="552">
        <f>IF(I124=0,0,IF($AI$7-I124&gt;365,Q124*8.3333%,0))</f>
        <v>0</v>
      </c>
      <c r="AJ124" s="574"/>
      <c r="AK124" s="574"/>
    </row>
    <row r="125" spans="1:37" s="538" customFormat="1" ht="12" customHeight="1" x14ac:dyDescent="0.25">
      <c r="A125" s="544">
        <v>17</v>
      </c>
      <c r="B125" s="556" t="str">
        <f t="shared" si="120"/>
        <v>GUAYAQUIL</v>
      </c>
      <c r="C125" s="557" t="s">
        <v>1046</v>
      </c>
      <c r="D125" s="545" t="s">
        <v>1047</v>
      </c>
      <c r="E125" s="545" t="s">
        <v>1049</v>
      </c>
      <c r="F125" s="557" t="s">
        <v>1124</v>
      </c>
      <c r="G125" s="557" t="s">
        <v>1113</v>
      </c>
      <c r="H125" s="557"/>
      <c r="I125" s="578"/>
      <c r="J125" s="564"/>
      <c r="K125" s="551"/>
      <c r="L125" s="552">
        <f t="shared" si="117"/>
        <v>0</v>
      </c>
      <c r="M125" s="551"/>
      <c r="N125" s="551"/>
      <c r="O125" s="552">
        <f>L125*$O$7</f>
        <v>0</v>
      </c>
      <c r="P125" s="551"/>
      <c r="Q125" s="553">
        <f>+SUM(L125:P125)</f>
        <v>0</v>
      </c>
      <c r="R125" s="553">
        <f t="shared" si="118"/>
        <v>0</v>
      </c>
      <c r="S125" s="553">
        <f t="shared" si="69"/>
        <v>0</v>
      </c>
      <c r="T125" s="553">
        <f>IF(I125=0,0,IF($T$7+365-I125&gt;365,$C$6,($T$7+365-I125)*($C$6/365)))/12</f>
        <v>0</v>
      </c>
      <c r="U125" s="553">
        <f>IF(I125=0,0,IF($U$7+365-I125&gt;364,Q125,($U$7+365-I125)*(Q125/365)))/12</f>
        <v>0</v>
      </c>
      <c r="V125" s="553">
        <f t="shared" si="119"/>
        <v>0</v>
      </c>
      <c r="W125" s="564"/>
      <c r="X125" s="552">
        <f>IF(I125=0,0,IF($X$7-I125&gt;365,Q125*8.3333%,0))</f>
        <v>0</v>
      </c>
      <c r="Y125" s="552">
        <f>IF(I125=0,0,IF($Y$7-I125&gt;365,Q125*8.3333%,0))</f>
        <v>0</v>
      </c>
      <c r="Z125" s="552">
        <f>IF(I125=0,0,IF($Z$7-I125&gt;365,Q125*8.3333%,0))</f>
        <v>0</v>
      </c>
      <c r="AA125" s="552">
        <f>IF(I125=0,0,IF($AA$7-I125&gt;365,Q125*8.3333%,0))</f>
        <v>0</v>
      </c>
      <c r="AB125" s="552">
        <f>IF(I125=0,0,IF($AB$7-I125&gt;365,Q125*8.3333%,0))</f>
        <v>0</v>
      </c>
      <c r="AC125" s="552">
        <f>IF(I125=0,0,IF($AC$7-I125&gt;365,Q125*8.3333%,0))</f>
        <v>0</v>
      </c>
      <c r="AD125" s="552">
        <f>IF(I125=0,0,IF($AD$7-I125&gt;365,Q125*8.3333%,0))</f>
        <v>0</v>
      </c>
      <c r="AE125" s="552">
        <f>IF(I125=0,0,IF($AE$7-I125&gt;365,Q125*8.3333%,0))</f>
        <v>0</v>
      </c>
      <c r="AF125" s="552">
        <f>IF(I125=0,0,IF($AF$7-I125&gt;365,Q125*8.3333%,0))</f>
        <v>0</v>
      </c>
      <c r="AG125" s="552">
        <f>IF(I125=0,0,IF($AG$7-I125&gt;365,Q125*8.3333%,0))</f>
        <v>0</v>
      </c>
      <c r="AH125" s="552">
        <f>IF(I125=0,0,IF($AH$7-I125&gt;365,Q125*8.3333%,0))</f>
        <v>0</v>
      </c>
      <c r="AI125" s="552">
        <f>IF(I125=0,0,IF($AI$7-I125&gt;365,Q125*8.3333%,0))</f>
        <v>0</v>
      </c>
      <c r="AJ125" s="574"/>
      <c r="AK125" s="574"/>
    </row>
    <row r="126" spans="1:37" s="568" customFormat="1" ht="12" customHeight="1" x14ac:dyDescent="0.25">
      <c r="A126" s="569"/>
      <c r="B126" s="570" t="s">
        <v>1118</v>
      </c>
      <c r="C126" s="571"/>
      <c r="D126" s="570"/>
      <c r="E126" s="570"/>
      <c r="F126" s="571"/>
      <c r="G126" s="571"/>
      <c r="H126" s="571"/>
      <c r="I126" s="591"/>
      <c r="J126" s="592">
        <f>SUM(J124:J125)</f>
        <v>0</v>
      </c>
      <c r="K126" s="592">
        <f t="shared" ref="K126:AI126" si="122">SUM(K124:K125)</f>
        <v>0</v>
      </c>
      <c r="L126" s="592">
        <f t="shared" si="122"/>
        <v>0</v>
      </c>
      <c r="M126" s="592">
        <f t="shared" si="122"/>
        <v>0</v>
      </c>
      <c r="N126" s="592">
        <f t="shared" si="122"/>
        <v>0</v>
      </c>
      <c r="O126" s="592">
        <f t="shared" si="122"/>
        <v>0</v>
      </c>
      <c r="P126" s="592">
        <f t="shared" si="122"/>
        <v>0</v>
      </c>
      <c r="Q126" s="592">
        <f t="shared" si="122"/>
        <v>0</v>
      </c>
      <c r="R126" s="592">
        <f t="shared" si="122"/>
        <v>0</v>
      </c>
      <c r="S126" s="592">
        <f t="shared" si="122"/>
        <v>0</v>
      </c>
      <c r="T126" s="592">
        <f t="shared" si="122"/>
        <v>0</v>
      </c>
      <c r="U126" s="592">
        <f t="shared" si="122"/>
        <v>0</v>
      </c>
      <c r="V126" s="592">
        <f t="shared" si="122"/>
        <v>0</v>
      </c>
      <c r="W126" s="592">
        <f t="shared" si="122"/>
        <v>0</v>
      </c>
      <c r="X126" s="592">
        <f t="shared" si="122"/>
        <v>0</v>
      </c>
      <c r="Y126" s="592">
        <f t="shared" si="122"/>
        <v>0</v>
      </c>
      <c r="Z126" s="592">
        <f t="shared" si="122"/>
        <v>0</v>
      </c>
      <c r="AA126" s="592">
        <f t="shared" si="122"/>
        <v>0</v>
      </c>
      <c r="AB126" s="592">
        <f t="shared" si="122"/>
        <v>0</v>
      </c>
      <c r="AC126" s="592">
        <f t="shared" si="122"/>
        <v>0</v>
      </c>
      <c r="AD126" s="592">
        <f t="shared" si="122"/>
        <v>0</v>
      </c>
      <c r="AE126" s="592">
        <f t="shared" si="122"/>
        <v>0</v>
      </c>
      <c r="AF126" s="592">
        <f t="shared" si="122"/>
        <v>0</v>
      </c>
      <c r="AG126" s="592">
        <f t="shared" si="122"/>
        <v>0</v>
      </c>
      <c r="AH126" s="592">
        <f t="shared" si="122"/>
        <v>0</v>
      </c>
      <c r="AI126" s="592">
        <f t="shared" si="122"/>
        <v>0</v>
      </c>
      <c r="AJ126" s="574"/>
      <c r="AK126" s="574"/>
    </row>
    <row r="127" spans="1:37" s="538" customFormat="1" ht="12" customHeight="1" x14ac:dyDescent="0.25">
      <c r="A127" s="544">
        <v>18</v>
      </c>
      <c r="B127" s="556" t="str">
        <f t="shared" ref="B127" si="123">IF(E127="UIO","QUITO",IF(E127="GYE","GUAYAQUIL",IF(E127="IBA","IBARRA")))</f>
        <v>GUAYAQUIL</v>
      </c>
      <c r="C127" s="557" t="s">
        <v>1046</v>
      </c>
      <c r="D127" s="545" t="s">
        <v>1047</v>
      </c>
      <c r="E127" s="545" t="s">
        <v>1049</v>
      </c>
      <c r="F127" s="557" t="s">
        <v>1115</v>
      </c>
      <c r="G127" s="557" t="s">
        <v>1113</v>
      </c>
      <c r="H127" s="557"/>
      <c r="I127" s="578">
        <v>45597</v>
      </c>
      <c r="J127" s="564"/>
      <c r="K127" s="551"/>
      <c r="L127" s="552">
        <f t="shared" si="117"/>
        <v>0</v>
      </c>
      <c r="M127" s="551"/>
      <c r="N127" s="551"/>
      <c r="O127" s="552">
        <f>L127*$O$7</f>
        <v>0</v>
      </c>
      <c r="P127" s="551"/>
      <c r="Q127" s="553">
        <f>+SUM(L127:P127)</f>
        <v>0</v>
      </c>
      <c r="R127" s="553">
        <f t="shared" si="118"/>
        <v>0</v>
      </c>
      <c r="S127" s="553">
        <f t="shared" si="69"/>
        <v>0</v>
      </c>
      <c r="T127" s="553">
        <f>IF(I127=0,0,IF($T$7+365-I127&gt;365,$C$6,($T$7+365-I127)*($C$6/365)))/12</f>
        <v>39.166666666666664</v>
      </c>
      <c r="U127" s="553">
        <f>IF(I127=0,0,IF($U$7+365-I127&gt;364,Q127,($U$7+365-I127)*(Q127/365)))/12</f>
        <v>0</v>
      </c>
      <c r="V127" s="553">
        <f t="shared" si="119"/>
        <v>39.166666666666664</v>
      </c>
      <c r="W127" s="564"/>
      <c r="X127" s="552">
        <f>IF(I127=0,0,IF($X$7-I127&gt;365,Q127*8.3333%,0))</f>
        <v>0</v>
      </c>
      <c r="Y127" s="552">
        <f>IF(I127=0,0,IF($Y$7-I127&gt;365,Q127*8.3333%,0))</f>
        <v>0</v>
      </c>
      <c r="Z127" s="552">
        <f>IF(I127=0,0,IF($Z$7-I127&gt;365,Q127*8.3333%,0))</f>
        <v>0</v>
      </c>
      <c r="AA127" s="552">
        <f>IF(I127=0,0,IF($AA$7-I127&gt;365,Q127*8.3333%,0))</f>
        <v>0</v>
      </c>
      <c r="AB127" s="552">
        <f>IF(I127=0,0,IF($AB$7-I127&gt;365,Q127*8.3333%,0))</f>
        <v>0</v>
      </c>
      <c r="AC127" s="552">
        <f>IF(I127=0,0,IF($AC$7-I127&gt;365,Q127*8.3333%,0))</f>
        <v>0</v>
      </c>
      <c r="AD127" s="552">
        <f>IF(I127=0,0,IF($AD$7-I127&gt;365,Q127*8.3333%,0))</f>
        <v>0</v>
      </c>
      <c r="AE127" s="552">
        <f>IF(I127=0,0,IF($AE$7-I127&gt;365,Q127*8.3333%,0))</f>
        <v>0</v>
      </c>
      <c r="AF127" s="552">
        <f>IF(I127=0,0,IF($AF$7-I127&gt;365,Q127*8.3333%,0))</f>
        <v>0</v>
      </c>
      <c r="AG127" s="552">
        <f>IF(I127=0,0,IF($AG$7-I127&gt;365,Q127*8.3333%,0))</f>
        <v>0</v>
      </c>
      <c r="AH127" s="552">
        <f>IF(I127=0,0,IF($AH$7-I127&gt;365,Q127*8.3333%,0))</f>
        <v>0</v>
      </c>
      <c r="AI127" s="552">
        <f>IF(I127=0,0,IF($AI$7-I127&gt;365,Q127*8.3333%,0))</f>
        <v>0</v>
      </c>
      <c r="AJ127" s="574"/>
      <c r="AK127" s="574"/>
    </row>
    <row r="128" spans="1:37" s="568" customFormat="1" ht="12" customHeight="1" x14ac:dyDescent="0.25">
      <c r="A128" s="569"/>
      <c r="B128" s="570" t="s">
        <v>1118</v>
      </c>
      <c r="C128" s="571"/>
      <c r="D128" s="570"/>
      <c r="E128" s="570"/>
      <c r="F128" s="571"/>
      <c r="G128" s="571"/>
      <c r="H128" s="571"/>
      <c r="I128" s="591"/>
      <c r="J128" s="592">
        <f>SUM(J127)</f>
        <v>0</v>
      </c>
      <c r="K128" s="592">
        <f t="shared" ref="K128:AI128" si="124">SUM(K127)</f>
        <v>0</v>
      </c>
      <c r="L128" s="592">
        <f t="shared" si="124"/>
        <v>0</v>
      </c>
      <c r="M128" s="592">
        <f t="shared" si="124"/>
        <v>0</v>
      </c>
      <c r="N128" s="592">
        <f t="shared" si="124"/>
        <v>0</v>
      </c>
      <c r="O128" s="592">
        <f t="shared" si="124"/>
        <v>0</v>
      </c>
      <c r="P128" s="592">
        <f t="shared" si="124"/>
        <v>0</v>
      </c>
      <c r="Q128" s="592">
        <f t="shared" si="124"/>
        <v>0</v>
      </c>
      <c r="R128" s="592">
        <f t="shared" si="124"/>
        <v>0</v>
      </c>
      <c r="S128" s="592">
        <f t="shared" si="124"/>
        <v>0</v>
      </c>
      <c r="T128" s="592">
        <f t="shared" si="124"/>
        <v>39.166666666666664</v>
      </c>
      <c r="U128" s="592">
        <f t="shared" si="124"/>
        <v>0</v>
      </c>
      <c r="V128" s="592">
        <f t="shared" si="124"/>
        <v>39.166666666666664</v>
      </c>
      <c r="W128" s="592">
        <f t="shared" si="124"/>
        <v>0</v>
      </c>
      <c r="X128" s="592">
        <f t="shared" si="124"/>
        <v>0</v>
      </c>
      <c r="Y128" s="592">
        <f t="shared" si="124"/>
        <v>0</v>
      </c>
      <c r="Z128" s="592">
        <f t="shared" si="124"/>
        <v>0</v>
      </c>
      <c r="AA128" s="592">
        <f t="shared" si="124"/>
        <v>0</v>
      </c>
      <c r="AB128" s="592">
        <f t="shared" si="124"/>
        <v>0</v>
      </c>
      <c r="AC128" s="592">
        <f t="shared" si="124"/>
        <v>0</v>
      </c>
      <c r="AD128" s="592">
        <f t="shared" si="124"/>
        <v>0</v>
      </c>
      <c r="AE128" s="592">
        <f t="shared" si="124"/>
        <v>0</v>
      </c>
      <c r="AF128" s="592">
        <f t="shared" si="124"/>
        <v>0</v>
      </c>
      <c r="AG128" s="592">
        <f t="shared" si="124"/>
        <v>0</v>
      </c>
      <c r="AH128" s="592">
        <f t="shared" si="124"/>
        <v>0</v>
      </c>
      <c r="AI128" s="592">
        <f t="shared" si="124"/>
        <v>0</v>
      </c>
      <c r="AJ128" s="574"/>
      <c r="AK128" s="574"/>
    </row>
    <row r="129" spans="1:37" s="568" customFormat="1" ht="12" customHeight="1" x14ac:dyDescent="0.25">
      <c r="A129" s="543"/>
      <c r="B129" s="543"/>
      <c r="C129" s="543"/>
      <c r="D129" s="593"/>
      <c r="E129" s="593"/>
      <c r="F129" s="543"/>
      <c r="G129" s="543"/>
      <c r="H129" s="571" t="s">
        <v>62</v>
      </c>
      <c r="I129" s="572">
        <f>SUM(I130:I132)</f>
        <v>19</v>
      </c>
      <c r="J129" s="573">
        <f>J119+J123+J126+J128</f>
        <v>0</v>
      </c>
      <c r="K129" s="573">
        <f t="shared" ref="K129:AI129" si="125">K119+K123+K126+K128</f>
        <v>0</v>
      </c>
      <c r="L129" s="573">
        <f t="shared" si="125"/>
        <v>0</v>
      </c>
      <c r="M129" s="573">
        <f t="shared" si="125"/>
        <v>0</v>
      </c>
      <c r="N129" s="573">
        <f t="shared" si="125"/>
        <v>0</v>
      </c>
      <c r="O129" s="573">
        <f t="shared" si="125"/>
        <v>0</v>
      </c>
      <c r="P129" s="573">
        <f t="shared" si="125"/>
        <v>0</v>
      </c>
      <c r="Q129" s="573">
        <f t="shared" si="125"/>
        <v>0</v>
      </c>
      <c r="R129" s="573">
        <f t="shared" si="125"/>
        <v>0</v>
      </c>
      <c r="S129" s="573">
        <f t="shared" si="125"/>
        <v>0</v>
      </c>
      <c r="T129" s="573">
        <f t="shared" si="125"/>
        <v>587.5</v>
      </c>
      <c r="U129" s="573">
        <f t="shared" si="125"/>
        <v>0</v>
      </c>
      <c r="V129" s="573">
        <f t="shared" si="125"/>
        <v>587.5</v>
      </c>
      <c r="W129" s="573">
        <f t="shared" si="125"/>
        <v>0</v>
      </c>
      <c r="X129" s="573">
        <f t="shared" si="125"/>
        <v>0</v>
      </c>
      <c r="Y129" s="573">
        <f t="shared" si="125"/>
        <v>0</v>
      </c>
      <c r="Z129" s="573">
        <f t="shared" si="125"/>
        <v>0</v>
      </c>
      <c r="AA129" s="573">
        <f t="shared" si="125"/>
        <v>0</v>
      </c>
      <c r="AB129" s="573">
        <f t="shared" si="125"/>
        <v>0</v>
      </c>
      <c r="AC129" s="573">
        <f t="shared" si="125"/>
        <v>0</v>
      </c>
      <c r="AD129" s="573">
        <f t="shared" si="125"/>
        <v>0</v>
      </c>
      <c r="AE129" s="573">
        <f t="shared" si="125"/>
        <v>0</v>
      </c>
      <c r="AF129" s="573">
        <f t="shared" si="125"/>
        <v>0</v>
      </c>
      <c r="AG129" s="573">
        <f t="shared" si="125"/>
        <v>0</v>
      </c>
      <c r="AH129" s="573">
        <f t="shared" si="125"/>
        <v>0</v>
      </c>
      <c r="AI129" s="573">
        <f t="shared" si="125"/>
        <v>0</v>
      </c>
      <c r="AJ129" s="573">
        <f>SUM(AJ40:AJ127)</f>
        <v>0</v>
      </c>
      <c r="AK129" s="573">
        <f>SUM(AK40:AK127)</f>
        <v>0</v>
      </c>
    </row>
    <row r="130" spans="1:37" s="568" customFormat="1" ht="12" customHeight="1" x14ac:dyDescent="0.25">
      <c r="A130" s="543"/>
      <c r="B130" s="543"/>
      <c r="C130" s="543"/>
      <c r="D130" s="593"/>
      <c r="E130" s="594">
        <f t="shared" ref="E130:E138" si="126">COUNTIF($F$106:$F$127,F130)</f>
        <v>1</v>
      </c>
      <c r="F130" s="557" t="s">
        <v>1112</v>
      </c>
      <c r="G130" s="543"/>
      <c r="H130" s="571" t="s">
        <v>1106</v>
      </c>
      <c r="I130" s="572">
        <f>COUNTIF(B106:B127,"QUITO")</f>
        <v>10</v>
      </c>
      <c r="J130" s="573">
        <f t="shared" ref="J130:AI130" si="127">SUMIF($B$106:$B$127,"QUITO",J106:J127)</f>
        <v>0</v>
      </c>
      <c r="K130" s="573">
        <f t="shared" si="127"/>
        <v>0</v>
      </c>
      <c r="L130" s="573">
        <f t="shared" si="127"/>
        <v>0</v>
      </c>
      <c r="M130" s="573">
        <f t="shared" si="127"/>
        <v>0</v>
      </c>
      <c r="N130" s="573">
        <f t="shared" si="127"/>
        <v>0</v>
      </c>
      <c r="O130" s="573">
        <f t="shared" si="127"/>
        <v>0</v>
      </c>
      <c r="P130" s="573">
        <f t="shared" si="127"/>
        <v>0</v>
      </c>
      <c r="Q130" s="573">
        <f t="shared" si="127"/>
        <v>0</v>
      </c>
      <c r="R130" s="573">
        <f t="shared" si="127"/>
        <v>0</v>
      </c>
      <c r="S130" s="573">
        <f t="shared" si="127"/>
        <v>0</v>
      </c>
      <c r="T130" s="573">
        <f t="shared" si="127"/>
        <v>313.33333333333331</v>
      </c>
      <c r="U130" s="573">
        <f t="shared" si="127"/>
        <v>0</v>
      </c>
      <c r="V130" s="573">
        <f t="shared" si="127"/>
        <v>313.33333333333331</v>
      </c>
      <c r="W130" s="573">
        <f t="shared" si="127"/>
        <v>0</v>
      </c>
      <c r="X130" s="573">
        <f t="shared" si="127"/>
        <v>0</v>
      </c>
      <c r="Y130" s="573">
        <f t="shared" si="127"/>
        <v>0</v>
      </c>
      <c r="Z130" s="573">
        <f t="shared" si="127"/>
        <v>0</v>
      </c>
      <c r="AA130" s="573">
        <f t="shared" si="127"/>
        <v>0</v>
      </c>
      <c r="AB130" s="573">
        <f t="shared" si="127"/>
        <v>0</v>
      </c>
      <c r="AC130" s="573">
        <f t="shared" si="127"/>
        <v>0</v>
      </c>
      <c r="AD130" s="573">
        <f t="shared" si="127"/>
        <v>0</v>
      </c>
      <c r="AE130" s="573">
        <f t="shared" si="127"/>
        <v>0</v>
      </c>
      <c r="AF130" s="573">
        <f t="shared" si="127"/>
        <v>0</v>
      </c>
      <c r="AG130" s="573">
        <f t="shared" si="127"/>
        <v>0</v>
      </c>
      <c r="AH130" s="573">
        <f t="shared" si="127"/>
        <v>0</v>
      </c>
      <c r="AI130" s="573">
        <f t="shared" si="127"/>
        <v>0</v>
      </c>
      <c r="AJ130" s="574"/>
      <c r="AK130" s="574"/>
    </row>
    <row r="131" spans="1:37" s="568" customFormat="1" ht="12" customHeight="1" x14ac:dyDescent="0.25">
      <c r="A131" s="543"/>
      <c r="B131" s="543"/>
      <c r="C131" s="543"/>
      <c r="D131" s="593"/>
      <c r="E131" s="594">
        <f t="shared" si="126"/>
        <v>1</v>
      </c>
      <c r="F131" s="557" t="s">
        <v>1114</v>
      </c>
      <c r="G131" s="543"/>
      <c r="H131" s="571" t="s">
        <v>1108</v>
      </c>
      <c r="I131" s="572">
        <f>COUNTIF(B106:B127,"IBARRA")</f>
        <v>2</v>
      </c>
      <c r="J131" s="573">
        <f t="shared" ref="J131:AI131" si="128">SUMIF($B$106:$B$127,"IBARRA",J106:J127)</f>
        <v>0</v>
      </c>
      <c r="K131" s="573">
        <f t="shared" si="128"/>
        <v>0</v>
      </c>
      <c r="L131" s="573">
        <f t="shared" si="128"/>
        <v>0</v>
      </c>
      <c r="M131" s="573">
        <f t="shared" si="128"/>
        <v>0</v>
      </c>
      <c r="N131" s="573">
        <f t="shared" si="128"/>
        <v>0</v>
      </c>
      <c r="O131" s="573">
        <f t="shared" si="128"/>
        <v>0</v>
      </c>
      <c r="P131" s="573">
        <f t="shared" si="128"/>
        <v>0</v>
      </c>
      <c r="Q131" s="573">
        <f t="shared" si="128"/>
        <v>0</v>
      </c>
      <c r="R131" s="573">
        <f t="shared" si="128"/>
        <v>0</v>
      </c>
      <c r="S131" s="573">
        <f t="shared" si="128"/>
        <v>0</v>
      </c>
      <c r="T131" s="573">
        <f t="shared" si="128"/>
        <v>39.166666666666664</v>
      </c>
      <c r="U131" s="573">
        <f t="shared" si="128"/>
        <v>0</v>
      </c>
      <c r="V131" s="573">
        <f t="shared" si="128"/>
        <v>39.166666666666664</v>
      </c>
      <c r="W131" s="573">
        <f t="shared" si="128"/>
        <v>0</v>
      </c>
      <c r="X131" s="573">
        <f t="shared" si="128"/>
        <v>0</v>
      </c>
      <c r="Y131" s="573">
        <f t="shared" si="128"/>
        <v>0</v>
      </c>
      <c r="Z131" s="573">
        <f t="shared" si="128"/>
        <v>0</v>
      </c>
      <c r="AA131" s="573">
        <f t="shared" si="128"/>
        <v>0</v>
      </c>
      <c r="AB131" s="573">
        <f t="shared" si="128"/>
        <v>0</v>
      </c>
      <c r="AC131" s="573">
        <f t="shared" si="128"/>
        <v>0</v>
      </c>
      <c r="AD131" s="573">
        <f t="shared" si="128"/>
        <v>0</v>
      </c>
      <c r="AE131" s="573">
        <f t="shared" si="128"/>
        <v>0</v>
      </c>
      <c r="AF131" s="573">
        <f t="shared" si="128"/>
        <v>0</v>
      </c>
      <c r="AG131" s="573">
        <f t="shared" si="128"/>
        <v>0</v>
      </c>
      <c r="AH131" s="573">
        <f t="shared" si="128"/>
        <v>0</v>
      </c>
      <c r="AI131" s="573">
        <f t="shared" si="128"/>
        <v>0</v>
      </c>
      <c r="AJ131" s="574"/>
      <c r="AK131" s="574"/>
    </row>
    <row r="132" spans="1:37" s="568" customFormat="1" ht="12" customHeight="1" x14ac:dyDescent="0.25">
      <c r="A132" s="543"/>
      <c r="B132" s="543"/>
      <c r="C132" s="543"/>
      <c r="D132" s="593"/>
      <c r="E132" s="594">
        <f t="shared" si="126"/>
        <v>6</v>
      </c>
      <c r="F132" s="557" t="s">
        <v>1115</v>
      </c>
      <c r="G132" s="543"/>
      <c r="H132" s="571" t="s">
        <v>1110</v>
      </c>
      <c r="I132" s="572">
        <f>COUNTIF(B106:B127,"GUAYAQUIL")</f>
        <v>7</v>
      </c>
      <c r="J132" s="573">
        <f t="shared" ref="J132:AI132" si="129">SUMIF($B$106:$B$127,"GUAYAQUIL",J106:J127)</f>
        <v>0</v>
      </c>
      <c r="K132" s="573">
        <f t="shared" si="129"/>
        <v>0</v>
      </c>
      <c r="L132" s="573">
        <f t="shared" si="129"/>
        <v>0</v>
      </c>
      <c r="M132" s="573">
        <f t="shared" si="129"/>
        <v>0</v>
      </c>
      <c r="N132" s="573">
        <f t="shared" si="129"/>
        <v>0</v>
      </c>
      <c r="O132" s="573">
        <f t="shared" si="129"/>
        <v>0</v>
      </c>
      <c r="P132" s="573">
        <f t="shared" si="129"/>
        <v>0</v>
      </c>
      <c r="Q132" s="573">
        <f t="shared" si="129"/>
        <v>0</v>
      </c>
      <c r="R132" s="573">
        <f t="shared" si="129"/>
        <v>0</v>
      </c>
      <c r="S132" s="573">
        <f t="shared" si="129"/>
        <v>0</v>
      </c>
      <c r="T132" s="573">
        <f t="shared" si="129"/>
        <v>234.99999999999997</v>
      </c>
      <c r="U132" s="573">
        <f t="shared" si="129"/>
        <v>0</v>
      </c>
      <c r="V132" s="573">
        <f t="shared" si="129"/>
        <v>234.99999999999997</v>
      </c>
      <c r="W132" s="573">
        <f t="shared" si="129"/>
        <v>0</v>
      </c>
      <c r="X132" s="573">
        <f t="shared" si="129"/>
        <v>0</v>
      </c>
      <c r="Y132" s="573">
        <f t="shared" si="129"/>
        <v>0</v>
      </c>
      <c r="Z132" s="573">
        <f t="shared" si="129"/>
        <v>0</v>
      </c>
      <c r="AA132" s="573">
        <f t="shared" si="129"/>
        <v>0</v>
      </c>
      <c r="AB132" s="573">
        <f t="shared" si="129"/>
        <v>0</v>
      </c>
      <c r="AC132" s="573">
        <f t="shared" si="129"/>
        <v>0</v>
      </c>
      <c r="AD132" s="573">
        <f t="shared" si="129"/>
        <v>0</v>
      </c>
      <c r="AE132" s="573">
        <f t="shared" si="129"/>
        <v>0</v>
      </c>
      <c r="AF132" s="573">
        <f t="shared" si="129"/>
        <v>0</v>
      </c>
      <c r="AG132" s="573">
        <f t="shared" si="129"/>
        <v>0</v>
      </c>
      <c r="AH132" s="573">
        <f t="shared" si="129"/>
        <v>0</v>
      </c>
      <c r="AI132" s="573">
        <f t="shared" si="129"/>
        <v>0</v>
      </c>
      <c r="AJ132" s="574"/>
      <c r="AK132" s="574"/>
    </row>
    <row r="133" spans="1:37" s="568" customFormat="1" ht="12" customHeight="1" x14ac:dyDescent="0.25">
      <c r="A133" s="543"/>
      <c r="B133" s="543"/>
      <c r="C133" s="543"/>
      <c r="D133" s="593"/>
      <c r="E133" s="594">
        <f t="shared" si="126"/>
        <v>1</v>
      </c>
      <c r="F133" s="557" t="s">
        <v>1124</v>
      </c>
      <c r="G133" s="543"/>
      <c r="H133" s="571" t="s">
        <v>62</v>
      </c>
      <c r="I133" s="572">
        <f t="shared" ref="I133:AI133" si="130">SUM(I130:I132)</f>
        <v>19</v>
      </c>
      <c r="J133" s="573">
        <f t="shared" si="130"/>
        <v>0</v>
      </c>
      <c r="K133" s="573">
        <f t="shared" si="130"/>
        <v>0</v>
      </c>
      <c r="L133" s="573">
        <f t="shared" si="130"/>
        <v>0</v>
      </c>
      <c r="M133" s="573">
        <f t="shared" si="130"/>
        <v>0</v>
      </c>
      <c r="N133" s="573">
        <f t="shared" si="130"/>
        <v>0</v>
      </c>
      <c r="O133" s="573">
        <f t="shared" si="130"/>
        <v>0</v>
      </c>
      <c r="P133" s="573">
        <f t="shared" si="130"/>
        <v>0</v>
      </c>
      <c r="Q133" s="573">
        <f t="shared" si="130"/>
        <v>0</v>
      </c>
      <c r="R133" s="573">
        <f t="shared" si="130"/>
        <v>0</v>
      </c>
      <c r="S133" s="573">
        <f t="shared" si="130"/>
        <v>0</v>
      </c>
      <c r="T133" s="573">
        <f t="shared" si="130"/>
        <v>587.5</v>
      </c>
      <c r="U133" s="573">
        <f t="shared" si="130"/>
        <v>0</v>
      </c>
      <c r="V133" s="573">
        <f t="shared" si="130"/>
        <v>587.5</v>
      </c>
      <c r="W133" s="573">
        <f t="shared" si="130"/>
        <v>0</v>
      </c>
      <c r="X133" s="573">
        <f t="shared" si="130"/>
        <v>0</v>
      </c>
      <c r="Y133" s="573">
        <f t="shared" si="130"/>
        <v>0</v>
      </c>
      <c r="Z133" s="573">
        <f t="shared" si="130"/>
        <v>0</v>
      </c>
      <c r="AA133" s="573">
        <f t="shared" si="130"/>
        <v>0</v>
      </c>
      <c r="AB133" s="573">
        <f t="shared" si="130"/>
        <v>0</v>
      </c>
      <c r="AC133" s="573">
        <f t="shared" si="130"/>
        <v>0</v>
      </c>
      <c r="AD133" s="573">
        <f t="shared" si="130"/>
        <v>0</v>
      </c>
      <c r="AE133" s="573">
        <f t="shared" si="130"/>
        <v>0</v>
      </c>
      <c r="AF133" s="573">
        <f t="shared" si="130"/>
        <v>0</v>
      </c>
      <c r="AG133" s="573">
        <f t="shared" si="130"/>
        <v>0</v>
      </c>
      <c r="AH133" s="573">
        <f t="shared" si="130"/>
        <v>0</v>
      </c>
      <c r="AI133" s="573">
        <f t="shared" si="130"/>
        <v>0</v>
      </c>
      <c r="AJ133" s="574"/>
      <c r="AK133" s="574"/>
    </row>
    <row r="134" spans="1:37" s="568" customFormat="1" ht="12" customHeight="1" x14ac:dyDescent="0.25">
      <c r="A134" s="543"/>
      <c r="B134" s="543"/>
      <c r="C134" s="543"/>
      <c r="D134" s="593"/>
      <c r="E134" s="594">
        <f t="shared" si="126"/>
        <v>3</v>
      </c>
      <c r="F134" s="557" t="s">
        <v>1116</v>
      </c>
      <c r="G134" s="543"/>
    </row>
    <row r="135" spans="1:37" s="568" customFormat="1" ht="12" customHeight="1" x14ac:dyDescent="0.25">
      <c r="A135" s="543"/>
      <c r="B135" s="543"/>
      <c r="C135" s="543"/>
      <c r="D135" s="593"/>
      <c r="E135" s="594">
        <f t="shared" si="126"/>
        <v>1</v>
      </c>
      <c r="F135" s="557" t="s">
        <v>1123</v>
      </c>
      <c r="G135" s="543"/>
    </row>
    <row r="136" spans="1:37" s="538" customFormat="1" ht="12" customHeight="1" x14ac:dyDescent="0.25">
      <c r="A136" s="543"/>
      <c r="B136" s="543"/>
      <c r="C136" s="543"/>
      <c r="D136" s="593"/>
      <c r="E136" s="594">
        <f t="shared" si="126"/>
        <v>2</v>
      </c>
      <c r="F136" s="561" t="s">
        <v>1096</v>
      </c>
      <c r="G136" s="543"/>
      <c r="H136" s="543"/>
      <c r="I136" s="543"/>
      <c r="J136" s="543"/>
      <c r="K136" s="543"/>
      <c r="L136" s="543"/>
      <c r="M136" s="543"/>
      <c r="N136" s="543"/>
      <c r="O136" s="543"/>
      <c r="P136" s="543"/>
      <c r="Q136" s="543"/>
      <c r="R136" s="543"/>
      <c r="S136" s="543"/>
      <c r="T136" s="543"/>
      <c r="U136" s="543"/>
      <c r="V136" s="543"/>
      <c r="W136" s="543"/>
      <c r="X136" s="543"/>
      <c r="Y136" s="543"/>
      <c r="Z136" s="543"/>
      <c r="AA136" s="543"/>
      <c r="AB136" s="543"/>
      <c r="AC136" s="543"/>
      <c r="AD136" s="543"/>
      <c r="AE136" s="543"/>
      <c r="AF136" s="543"/>
      <c r="AG136" s="543"/>
      <c r="AH136" s="543"/>
      <c r="AI136" s="543"/>
      <c r="AJ136" s="543"/>
      <c r="AK136" s="543"/>
    </row>
    <row r="137" spans="1:37" s="538" customFormat="1" ht="12" customHeight="1" x14ac:dyDescent="0.25">
      <c r="A137" s="543"/>
      <c r="B137" s="543"/>
      <c r="C137" s="543"/>
      <c r="D137" s="593"/>
      <c r="E137" s="594">
        <f t="shared" si="126"/>
        <v>0</v>
      </c>
      <c r="F137" s="561" t="s">
        <v>1125</v>
      </c>
      <c r="G137" s="543"/>
      <c r="H137" s="543"/>
      <c r="I137" s="543"/>
      <c r="J137" s="543"/>
      <c r="K137" s="543"/>
      <c r="L137" s="543"/>
      <c r="M137" s="543"/>
      <c r="N137" s="543"/>
      <c r="O137" s="543"/>
      <c r="P137" s="543"/>
      <c r="Q137" s="543"/>
      <c r="R137" s="543"/>
      <c r="S137" s="543"/>
      <c r="T137" s="543"/>
      <c r="U137" s="543"/>
      <c r="V137" s="543"/>
      <c r="W137" s="543"/>
      <c r="X137" s="543"/>
      <c r="Y137" s="543"/>
      <c r="Z137" s="543"/>
      <c r="AA137" s="543"/>
      <c r="AB137" s="543"/>
      <c r="AC137" s="543"/>
      <c r="AD137" s="543"/>
      <c r="AE137" s="543"/>
      <c r="AF137" s="543"/>
      <c r="AG137" s="543"/>
      <c r="AH137" s="543"/>
      <c r="AI137" s="543"/>
      <c r="AJ137" s="543"/>
      <c r="AK137" s="543"/>
    </row>
    <row r="138" spans="1:37" s="538" customFormat="1" ht="12" customHeight="1" x14ac:dyDescent="0.25">
      <c r="A138" s="543"/>
      <c r="B138" s="543"/>
      <c r="C138" s="543"/>
      <c r="D138" s="593"/>
      <c r="E138" s="594">
        <f t="shared" si="126"/>
        <v>0</v>
      </c>
      <c r="F138" s="557" t="s">
        <v>1043</v>
      </c>
      <c r="G138" s="543"/>
      <c r="H138" s="543"/>
      <c r="I138" s="543"/>
      <c r="J138" s="543"/>
      <c r="L138" s="543"/>
      <c r="M138" s="543"/>
      <c r="N138" s="543"/>
      <c r="O138" s="543"/>
      <c r="P138" s="543"/>
      <c r="Q138" s="543"/>
      <c r="R138" s="543"/>
      <c r="S138" s="543"/>
      <c r="T138" s="543"/>
      <c r="U138" s="543"/>
      <c r="V138" s="543"/>
      <c r="W138" s="543"/>
      <c r="X138" s="543"/>
      <c r="Y138" s="543"/>
      <c r="Z138" s="543"/>
      <c r="AA138" s="543"/>
      <c r="AB138" s="543"/>
      <c r="AC138" s="543"/>
      <c r="AD138" s="543"/>
      <c r="AE138" s="543"/>
      <c r="AF138" s="543"/>
      <c r="AG138" s="543"/>
      <c r="AH138" s="543"/>
      <c r="AI138" s="543"/>
      <c r="AJ138" s="543"/>
      <c r="AK138" s="543"/>
    </row>
    <row r="139" spans="1:37" s="538" customFormat="1" ht="12" customHeight="1" x14ac:dyDescent="0.25">
      <c r="A139" s="543"/>
      <c r="B139" s="543"/>
      <c r="C139" s="543"/>
      <c r="D139" s="593"/>
      <c r="E139" s="594">
        <f>SUM(E130:E138)</f>
        <v>15</v>
      </c>
      <c r="F139" s="595"/>
      <c r="G139" s="543"/>
      <c r="H139" s="543"/>
      <c r="I139" s="543"/>
      <c r="J139" s="543"/>
      <c r="K139" s="596">
        <v>0.15</v>
      </c>
      <c r="L139" s="543"/>
      <c r="M139" s="543"/>
      <c r="N139" s="543"/>
      <c r="O139" s="543"/>
      <c r="P139" s="543"/>
      <c r="Q139" s="543"/>
      <c r="R139" s="543"/>
      <c r="S139" s="543"/>
      <c r="T139" s="543"/>
      <c r="U139" s="543"/>
      <c r="V139" s="543"/>
      <c r="W139" s="543"/>
      <c r="X139" s="543"/>
      <c r="Y139" s="543"/>
      <c r="Z139" s="543"/>
      <c r="AA139" s="543"/>
      <c r="AB139" s="543"/>
      <c r="AC139" s="543"/>
      <c r="AD139" s="543"/>
      <c r="AE139" s="543"/>
      <c r="AF139" s="543"/>
      <c r="AG139" s="543"/>
      <c r="AH139" s="543"/>
      <c r="AI139" s="543"/>
      <c r="AJ139" s="543"/>
      <c r="AK139" s="543"/>
    </row>
    <row r="140" spans="1:37" s="538" customFormat="1" ht="12" customHeight="1" x14ac:dyDescent="0.25">
      <c r="A140" s="543"/>
      <c r="B140" s="543"/>
      <c r="C140" s="543"/>
      <c r="D140" s="593"/>
      <c r="E140" s="593"/>
      <c r="F140" s="595"/>
      <c r="G140" s="543"/>
      <c r="H140" s="543"/>
      <c r="I140" s="543"/>
      <c r="J140" s="543"/>
      <c r="K140" s="597"/>
      <c r="L140" s="543"/>
      <c r="M140" s="543"/>
      <c r="N140" s="543"/>
      <c r="O140" s="543"/>
      <c r="P140" s="543"/>
      <c r="Q140" s="543"/>
      <c r="R140" s="543"/>
      <c r="S140" s="543"/>
      <c r="T140" s="543"/>
      <c r="U140" s="543"/>
      <c r="V140" s="543"/>
      <c r="W140" s="543"/>
      <c r="X140" s="543"/>
      <c r="Y140" s="543"/>
      <c r="Z140" s="543"/>
      <c r="AA140" s="543"/>
      <c r="AB140" s="543"/>
      <c r="AC140" s="543"/>
      <c r="AD140" s="543"/>
      <c r="AE140" s="543"/>
      <c r="AF140" s="543"/>
      <c r="AG140" s="543"/>
      <c r="AH140" s="543"/>
      <c r="AI140" s="543"/>
      <c r="AJ140" s="543"/>
      <c r="AK140" s="543"/>
    </row>
    <row r="141" spans="1:37" s="538" customFormat="1" ht="22.5" customHeight="1" x14ac:dyDescent="0.25">
      <c r="A141" s="543"/>
      <c r="C141" s="598" t="s">
        <v>1126</v>
      </c>
      <c r="D141" s="593"/>
      <c r="F141" s="543"/>
      <c r="G141" s="543"/>
      <c r="H141" s="543"/>
      <c r="I141" s="543"/>
      <c r="J141" s="540" t="s">
        <v>1127</v>
      </c>
      <c r="K141" s="540" t="s">
        <v>325</v>
      </c>
      <c r="L141" s="540" t="s">
        <v>1128</v>
      </c>
      <c r="M141" s="540" t="s">
        <v>1129</v>
      </c>
      <c r="N141" s="540" t="s">
        <v>325</v>
      </c>
      <c r="O141" s="540" t="s">
        <v>1130</v>
      </c>
      <c r="P141" s="543"/>
      <c r="Q141" s="543"/>
      <c r="R141" s="543"/>
      <c r="S141" s="543"/>
      <c r="T141" s="543"/>
      <c r="U141" s="543"/>
      <c r="V141" s="543"/>
      <c r="W141" s="543"/>
      <c r="X141" s="543"/>
      <c r="Y141" s="543"/>
      <c r="Z141" s="543"/>
      <c r="AA141" s="543"/>
      <c r="AB141" s="543"/>
      <c r="AC141" s="543"/>
      <c r="AD141" s="543"/>
      <c r="AE141" s="543"/>
      <c r="AF141" s="543"/>
      <c r="AG141" s="543"/>
      <c r="AH141" s="543"/>
      <c r="AI141" s="543"/>
      <c r="AJ141" s="543"/>
      <c r="AK141" s="543"/>
    </row>
    <row r="142" spans="1:37" s="538" customFormat="1" ht="12" customHeight="1" x14ac:dyDescent="0.25">
      <c r="A142" s="544">
        <v>1</v>
      </c>
      <c r="B142" s="556" t="str">
        <f t="shared" ref="B142:B150" si="131">IF(E142="UIO","QUITO",IF(E142="GYE","GUAYAQUIL",IF(E142="IBA","IBARRA")))</f>
        <v>QUITO</v>
      </c>
      <c r="C142" s="546" t="s">
        <v>1037</v>
      </c>
      <c r="D142" s="547" t="s">
        <v>1038</v>
      </c>
      <c r="E142" s="547" t="s">
        <v>1035</v>
      </c>
      <c r="F142" s="546" t="s">
        <v>1131</v>
      </c>
      <c r="G142" s="557" t="s">
        <v>1132</v>
      </c>
      <c r="H142" s="557" t="s">
        <v>1133</v>
      </c>
      <c r="I142" s="549"/>
      <c r="J142" s="550">
        <v>3500</v>
      </c>
      <c r="K142" s="552">
        <f t="shared" ref="K142:K149" si="132">J142*$K$139</f>
        <v>525</v>
      </c>
      <c r="L142" s="552">
        <f>J142+K142</f>
        <v>4025</v>
      </c>
      <c r="M142" s="551"/>
      <c r="N142" s="552">
        <f>M142*12%</f>
        <v>0</v>
      </c>
      <c r="O142" s="552">
        <f>M142+N142</f>
        <v>0</v>
      </c>
      <c r="P142" s="543"/>
      <c r="Q142" s="543"/>
      <c r="R142" s="543"/>
      <c r="S142" s="543"/>
      <c r="T142" s="543"/>
      <c r="U142" s="543"/>
      <c r="V142" s="543"/>
      <c r="W142" s="543"/>
      <c r="X142" s="543"/>
      <c r="Y142" s="543"/>
      <c r="Z142" s="543"/>
      <c r="AA142" s="543"/>
      <c r="AB142" s="543"/>
      <c r="AC142" s="543"/>
      <c r="AD142" s="543"/>
      <c r="AE142" s="543"/>
      <c r="AF142" s="543"/>
      <c r="AG142" s="543"/>
      <c r="AH142" s="543"/>
      <c r="AI142" s="543"/>
      <c r="AJ142" s="543"/>
      <c r="AK142" s="543"/>
    </row>
    <row r="143" spans="1:37" s="538" customFormat="1" ht="12" customHeight="1" x14ac:dyDescent="0.25">
      <c r="A143" s="544">
        <v>2</v>
      </c>
      <c r="B143" s="556" t="str">
        <f t="shared" si="131"/>
        <v>QUITO</v>
      </c>
      <c r="C143" s="546" t="s">
        <v>1097</v>
      </c>
      <c r="D143" s="547" t="s">
        <v>1070</v>
      </c>
      <c r="E143" s="547" t="s">
        <v>1035</v>
      </c>
      <c r="F143" s="546" t="s">
        <v>1134</v>
      </c>
      <c r="G143" s="557" t="s">
        <v>1135</v>
      </c>
      <c r="H143" s="557" t="s">
        <v>1136</v>
      </c>
      <c r="I143" s="549"/>
      <c r="J143" s="550">
        <v>3000</v>
      </c>
      <c r="K143" s="552">
        <f t="shared" si="132"/>
        <v>450</v>
      </c>
      <c r="L143" s="552">
        <f t="shared" ref="L143:L150" si="133">J143+K143</f>
        <v>3450</v>
      </c>
      <c r="M143" s="551"/>
      <c r="N143" s="552">
        <f>M143*12%</f>
        <v>0</v>
      </c>
      <c r="O143" s="552">
        <f>M143+N143</f>
        <v>0</v>
      </c>
      <c r="P143" s="543"/>
      <c r="Q143" s="543"/>
      <c r="R143" s="543"/>
      <c r="S143" s="543"/>
      <c r="T143" s="543"/>
      <c r="U143" s="543"/>
      <c r="V143" s="543"/>
      <c r="W143" s="543"/>
      <c r="X143" s="543"/>
      <c r="Y143" s="543"/>
      <c r="Z143" s="543"/>
      <c r="AA143" s="543"/>
      <c r="AB143" s="543"/>
      <c r="AC143" s="543"/>
      <c r="AD143" s="543"/>
      <c r="AE143" s="543"/>
      <c r="AF143" s="543"/>
      <c r="AG143" s="543"/>
      <c r="AH143" s="543"/>
      <c r="AI143" s="543"/>
      <c r="AJ143" s="543"/>
      <c r="AK143" s="543"/>
    </row>
    <row r="144" spans="1:37" s="538" customFormat="1" ht="12" customHeight="1" x14ac:dyDescent="0.25">
      <c r="A144" s="544">
        <v>3</v>
      </c>
      <c r="B144" s="556" t="str">
        <f t="shared" si="131"/>
        <v>QUITO</v>
      </c>
      <c r="C144" s="546" t="s">
        <v>1074</v>
      </c>
      <c r="D144" s="547" t="s">
        <v>1047</v>
      </c>
      <c r="E144" s="547" t="s">
        <v>1035</v>
      </c>
      <c r="F144" s="546" t="s">
        <v>1137</v>
      </c>
      <c r="G144" s="557" t="s">
        <v>1138</v>
      </c>
      <c r="H144" s="557" t="s">
        <v>1139</v>
      </c>
      <c r="I144" s="549"/>
      <c r="J144" s="550">
        <v>2000</v>
      </c>
      <c r="K144" s="552">
        <f t="shared" si="132"/>
        <v>300</v>
      </c>
      <c r="L144" s="552">
        <f t="shared" si="133"/>
        <v>2300</v>
      </c>
      <c r="M144" s="552">
        <f>J144*$O$7</f>
        <v>800</v>
      </c>
      <c r="N144" s="552">
        <f>M144*12%</f>
        <v>96</v>
      </c>
      <c r="O144" s="552">
        <f>M144+N144</f>
        <v>896</v>
      </c>
      <c r="P144" s="543"/>
      <c r="Q144" s="543"/>
      <c r="R144" s="543"/>
      <c r="S144" s="543"/>
      <c r="T144" s="543"/>
      <c r="U144" s="543"/>
      <c r="V144" s="543"/>
      <c r="W144" s="543"/>
      <c r="X144" s="543"/>
      <c r="Y144" s="543"/>
      <c r="Z144" s="543"/>
      <c r="AA144" s="543"/>
      <c r="AB144" s="543"/>
      <c r="AC144" s="543"/>
      <c r="AD144" s="543"/>
      <c r="AE144" s="543"/>
      <c r="AF144" s="543"/>
      <c r="AG144" s="543"/>
      <c r="AH144" s="543"/>
      <c r="AI144" s="543"/>
      <c r="AJ144" s="543"/>
      <c r="AK144" s="543"/>
    </row>
    <row r="145" spans="1:37" s="538" customFormat="1" ht="12" customHeight="1" x14ac:dyDescent="0.25">
      <c r="A145" s="544">
        <v>4</v>
      </c>
      <c r="B145" s="556" t="str">
        <f t="shared" si="131"/>
        <v>QUITO</v>
      </c>
      <c r="C145" s="546" t="s">
        <v>1140</v>
      </c>
      <c r="D145" s="547" t="s">
        <v>1070</v>
      </c>
      <c r="E145" s="547" t="s">
        <v>1035</v>
      </c>
      <c r="F145" s="546"/>
      <c r="G145" s="557" t="s">
        <v>1141</v>
      </c>
      <c r="H145" s="557" t="s">
        <v>1142</v>
      </c>
      <c r="I145" s="549"/>
      <c r="J145" s="550">
        <v>250</v>
      </c>
      <c r="K145" s="552">
        <f t="shared" si="132"/>
        <v>37.5</v>
      </c>
      <c r="L145" s="552">
        <f t="shared" ref="L145" si="134">J145+K145</f>
        <v>287.5</v>
      </c>
      <c r="M145" s="551"/>
      <c r="N145" s="552">
        <f>M145*12%</f>
        <v>0</v>
      </c>
      <c r="O145" s="552">
        <f>M145+N145</f>
        <v>0</v>
      </c>
      <c r="P145" s="543"/>
      <c r="Q145" s="543"/>
      <c r="R145" s="543"/>
      <c r="S145" s="543"/>
      <c r="T145" s="543"/>
      <c r="U145" s="543"/>
      <c r="V145" s="543"/>
      <c r="W145" s="543"/>
      <c r="X145" s="543"/>
      <c r="Y145" s="543"/>
      <c r="Z145" s="543"/>
      <c r="AA145" s="543"/>
      <c r="AB145" s="543"/>
      <c r="AC145" s="543"/>
      <c r="AD145" s="543"/>
      <c r="AE145" s="543"/>
      <c r="AF145" s="543"/>
      <c r="AG145" s="543"/>
      <c r="AH145" s="543"/>
      <c r="AI145" s="543"/>
      <c r="AJ145" s="543"/>
      <c r="AK145" s="543"/>
    </row>
    <row r="146" spans="1:37" s="538" customFormat="1" ht="12" customHeight="1" x14ac:dyDescent="0.25">
      <c r="A146" s="544">
        <v>5</v>
      </c>
      <c r="B146" s="556" t="str">
        <f t="shared" si="131"/>
        <v>QUITO</v>
      </c>
      <c r="C146" s="546" t="s">
        <v>1143</v>
      </c>
      <c r="D146" s="547" t="s">
        <v>1057</v>
      </c>
      <c r="E146" s="547" t="s">
        <v>1035</v>
      </c>
      <c r="F146" s="546" t="s">
        <v>1144</v>
      </c>
      <c r="G146" s="557" t="s">
        <v>1145</v>
      </c>
      <c r="H146" s="557" t="s">
        <v>1139</v>
      </c>
      <c r="I146" s="549"/>
      <c r="J146" s="550">
        <v>1100</v>
      </c>
      <c r="K146" s="552">
        <f t="shared" si="132"/>
        <v>165</v>
      </c>
      <c r="L146" s="552">
        <f t="shared" si="133"/>
        <v>1265</v>
      </c>
      <c r="M146" s="551"/>
      <c r="N146" s="552">
        <f>M146*12%</f>
        <v>0</v>
      </c>
      <c r="O146" s="552">
        <f>M146+N146</f>
        <v>0</v>
      </c>
      <c r="P146" s="543"/>
      <c r="Q146" s="543"/>
      <c r="R146" s="543"/>
      <c r="S146" s="543"/>
      <c r="T146" s="543"/>
      <c r="U146" s="543"/>
      <c r="V146" s="543"/>
      <c r="W146" s="543"/>
    </row>
    <row r="147" spans="1:37" s="538" customFormat="1" ht="12" customHeight="1" x14ac:dyDescent="0.25">
      <c r="A147" s="544">
        <v>6</v>
      </c>
      <c r="B147" s="556" t="str">
        <f t="shared" si="131"/>
        <v>QUITO</v>
      </c>
      <c r="C147" s="546" t="s">
        <v>1092</v>
      </c>
      <c r="D147" s="547" t="s">
        <v>1057</v>
      </c>
      <c r="E147" s="547" t="s">
        <v>1035</v>
      </c>
      <c r="F147" s="546" t="s">
        <v>1093</v>
      </c>
      <c r="G147" s="557" t="s">
        <v>1146</v>
      </c>
      <c r="H147" s="557" t="s">
        <v>1147</v>
      </c>
      <c r="I147" s="549"/>
      <c r="J147" s="550">
        <v>2000</v>
      </c>
      <c r="K147" s="552">
        <f t="shared" si="132"/>
        <v>300</v>
      </c>
      <c r="L147" s="552">
        <f t="shared" si="133"/>
        <v>2300</v>
      </c>
      <c r="M147" s="551"/>
      <c r="N147" s="551"/>
      <c r="O147" s="551"/>
      <c r="P147" s="543"/>
      <c r="Q147" s="543"/>
      <c r="R147" s="543"/>
      <c r="S147" s="543"/>
      <c r="T147" s="543"/>
      <c r="U147" s="543"/>
      <c r="V147" s="543"/>
      <c r="W147" s="543"/>
    </row>
    <row r="148" spans="1:37" s="538" customFormat="1" ht="12" customHeight="1" x14ac:dyDescent="0.25">
      <c r="A148" s="544">
        <v>7</v>
      </c>
      <c r="B148" s="556" t="str">
        <f t="shared" si="131"/>
        <v>QUITO</v>
      </c>
      <c r="C148" s="546" t="s">
        <v>1041</v>
      </c>
      <c r="D148" s="547" t="s">
        <v>1042</v>
      </c>
      <c r="E148" s="547" t="s">
        <v>1035</v>
      </c>
      <c r="F148" s="546"/>
      <c r="G148" s="557" t="s">
        <v>1148</v>
      </c>
      <c r="H148" s="557" t="s">
        <v>1149</v>
      </c>
      <c r="I148" s="549"/>
      <c r="J148" s="550">
        <v>460</v>
      </c>
      <c r="K148" s="552">
        <f t="shared" si="132"/>
        <v>69</v>
      </c>
      <c r="L148" s="552">
        <f t="shared" ref="L148" si="135">J148+K148</f>
        <v>529</v>
      </c>
      <c r="M148" s="551"/>
      <c r="N148" s="551"/>
      <c r="O148" s="551"/>
      <c r="P148" s="543"/>
      <c r="Q148" s="543"/>
      <c r="R148" s="543"/>
      <c r="S148" s="543"/>
      <c r="T148" s="543"/>
      <c r="U148" s="543"/>
      <c r="V148" s="543"/>
      <c r="W148" s="543"/>
    </row>
    <row r="149" spans="1:37" s="538" customFormat="1" ht="12" customHeight="1" x14ac:dyDescent="0.25">
      <c r="A149" s="544">
        <v>8</v>
      </c>
      <c r="B149" s="556" t="str">
        <f t="shared" si="131"/>
        <v>QUITO</v>
      </c>
      <c r="C149" s="546" t="s">
        <v>1150</v>
      </c>
      <c r="D149" s="547" t="s">
        <v>1038</v>
      </c>
      <c r="E149" s="547" t="s">
        <v>1035</v>
      </c>
      <c r="F149" s="546" t="s">
        <v>1065</v>
      </c>
      <c r="G149" s="557" t="s">
        <v>1151</v>
      </c>
      <c r="H149" s="557" t="s">
        <v>1152</v>
      </c>
      <c r="I149" s="549"/>
      <c r="J149" s="550">
        <v>2000</v>
      </c>
      <c r="K149" s="552">
        <f t="shared" si="132"/>
        <v>300</v>
      </c>
      <c r="L149" s="552">
        <f t="shared" si="133"/>
        <v>2300</v>
      </c>
      <c r="M149" s="551"/>
      <c r="N149" s="552">
        <f>M149*12%</f>
        <v>0</v>
      </c>
      <c r="O149" s="552">
        <f>M149+N149</f>
        <v>0</v>
      </c>
      <c r="P149" s="555"/>
      <c r="Q149" s="599"/>
      <c r="R149" s="599"/>
      <c r="S149" s="599"/>
      <c r="T149" s="599"/>
      <c r="U149" s="599"/>
      <c r="V149" s="599"/>
      <c r="W149" s="599"/>
    </row>
    <row r="150" spans="1:37" s="538" customFormat="1" ht="12" customHeight="1" x14ac:dyDescent="0.25">
      <c r="A150" s="544">
        <v>9</v>
      </c>
      <c r="B150" s="556" t="str">
        <f t="shared" si="131"/>
        <v>GUAYAQUIL</v>
      </c>
      <c r="C150" s="546" t="s">
        <v>1052</v>
      </c>
      <c r="D150" s="547" t="s">
        <v>1053</v>
      </c>
      <c r="E150" s="547" t="s">
        <v>1049</v>
      </c>
      <c r="F150" s="546" t="s">
        <v>1054</v>
      </c>
      <c r="G150" s="557" t="s">
        <v>1153</v>
      </c>
      <c r="H150" s="557" t="s">
        <v>1154</v>
      </c>
      <c r="I150" s="549"/>
      <c r="J150" s="550">
        <v>230</v>
      </c>
      <c r="K150" s="551"/>
      <c r="L150" s="552">
        <f t="shared" si="133"/>
        <v>230</v>
      </c>
      <c r="M150" s="551"/>
      <c r="N150" s="552">
        <f>M150*12%</f>
        <v>0</v>
      </c>
      <c r="O150" s="552">
        <f>M150+N150</f>
        <v>0</v>
      </c>
      <c r="P150" s="555"/>
      <c r="Q150" s="599"/>
      <c r="R150" s="599"/>
      <c r="S150" s="599"/>
      <c r="T150" s="599"/>
      <c r="U150" s="599"/>
      <c r="V150" s="599"/>
      <c r="W150" s="599"/>
    </row>
    <row r="151" spans="1:37" x14ac:dyDescent="0.25">
      <c r="A151" s="543"/>
      <c r="B151" s="600"/>
      <c r="C151" s="595"/>
      <c r="D151" s="601"/>
      <c r="E151" s="601"/>
      <c r="F151" s="595"/>
      <c r="G151" s="543"/>
      <c r="H151" s="602" t="s">
        <v>62</v>
      </c>
      <c r="I151" s="572">
        <f>SUM(I152:I154)</f>
        <v>9</v>
      </c>
      <c r="J151" s="573">
        <f t="shared" ref="J151:O151" si="136">SUBTOTAL(9,J142:J150)</f>
        <v>14540</v>
      </c>
      <c r="K151" s="573">
        <f t="shared" si="136"/>
        <v>2146.5</v>
      </c>
      <c r="L151" s="573">
        <f t="shared" si="136"/>
        <v>16686.5</v>
      </c>
      <c r="M151" s="573">
        <f t="shared" si="136"/>
        <v>800</v>
      </c>
      <c r="N151" s="573">
        <f t="shared" si="136"/>
        <v>96</v>
      </c>
      <c r="O151" s="573">
        <f t="shared" si="136"/>
        <v>896</v>
      </c>
      <c r="P151" s="543"/>
      <c r="Q151" s="543"/>
      <c r="R151" s="543"/>
      <c r="S151" s="543"/>
      <c r="T151" s="543"/>
      <c r="U151" s="543"/>
      <c r="V151" s="543"/>
      <c r="W151" s="543"/>
    </row>
    <row r="152" spans="1:37" x14ac:dyDescent="0.25">
      <c r="A152" s="543"/>
      <c r="B152" s="543"/>
      <c r="C152" s="543"/>
      <c r="D152" s="600"/>
      <c r="E152" s="600"/>
      <c r="F152" s="543"/>
      <c r="G152" s="543"/>
      <c r="H152" s="571" t="s">
        <v>1106</v>
      </c>
      <c r="I152" s="572">
        <f>COUNTIF(B142:B150,"QUITO")</f>
        <v>8</v>
      </c>
      <c r="J152" s="573">
        <f>SUMIF(B142:B150,"QUITO",J142:J150)</f>
        <v>14310</v>
      </c>
      <c r="K152" s="603"/>
      <c r="L152" s="573">
        <f>SUMIF(B142:B150,"QUITO",L142:L150)</f>
        <v>16456.5</v>
      </c>
      <c r="M152" s="543"/>
      <c r="N152" s="543"/>
      <c r="O152" s="552">
        <f>SUMIF(E10:E150,"UIO",O10:O150)</f>
        <v>5916</v>
      </c>
      <c r="Q152" s="543"/>
      <c r="R152" s="543"/>
      <c r="S152" s="543"/>
      <c r="T152" s="543"/>
      <c r="U152" s="543"/>
    </row>
    <row r="153" spans="1:37" x14ac:dyDescent="0.25">
      <c r="A153" s="543"/>
      <c r="B153" s="543" t="s">
        <v>1155</v>
      </c>
      <c r="D153" s="604">
        <f>COUNTIF(D10:D150,"GG")</f>
        <v>5</v>
      </c>
      <c r="E153" s="593"/>
      <c r="F153" s="543"/>
      <c r="G153" s="543"/>
      <c r="H153" s="571" t="s">
        <v>1156</v>
      </c>
      <c r="I153" s="572">
        <f>COUNTIF(B142:B150,"GUAYAQUIL")</f>
        <v>1</v>
      </c>
      <c r="J153" s="573">
        <f>SUMIF(B142:B150,"GUAYAQUIL",J142:J150)</f>
        <v>230</v>
      </c>
      <c r="K153" s="603"/>
      <c r="L153" s="573">
        <f>SUMIF(B142:B150,"GUAYAQUIL",L142:L150)</f>
        <v>230</v>
      </c>
      <c r="M153" s="543"/>
      <c r="N153" s="543"/>
      <c r="O153" s="552">
        <f>SUMIF(E10:E150,"GYE",O10:O150)</f>
        <v>1540</v>
      </c>
      <c r="Q153" s="543"/>
      <c r="R153" s="543"/>
      <c r="S153" s="543"/>
      <c r="T153" s="543"/>
      <c r="U153" s="543"/>
    </row>
    <row r="154" spans="1:37" x14ac:dyDescent="0.25">
      <c r="A154" s="543"/>
      <c r="B154" s="543" t="s">
        <v>1157</v>
      </c>
      <c r="D154" s="604">
        <f>COUNTIF(D10:D150,"GN")</f>
        <v>36</v>
      </c>
      <c r="E154" s="593"/>
      <c r="F154" s="543"/>
      <c r="G154" s="543"/>
      <c r="H154" s="571" t="s">
        <v>1108</v>
      </c>
      <c r="I154" s="572">
        <f>COUNTIF(B142:B150,"IBARRA")</f>
        <v>0</v>
      </c>
      <c r="J154" s="573">
        <f>SUMIF(B142:B150,"IBARRA",J142:J150)</f>
        <v>0</v>
      </c>
      <c r="K154" s="603"/>
      <c r="L154" s="573">
        <f>SUMIF(B142:B150,"IBARRA",L142:L150)</f>
        <v>0</v>
      </c>
      <c r="M154" s="543"/>
      <c r="N154" s="543"/>
      <c r="O154" s="552">
        <f>SUMIF(E10:E150,"IBA",O10:O150)</f>
        <v>2800</v>
      </c>
      <c r="Q154" s="543"/>
      <c r="R154" s="543"/>
      <c r="S154" s="543"/>
      <c r="T154" s="543"/>
      <c r="U154" s="543"/>
    </row>
    <row r="155" spans="1:37" x14ac:dyDescent="0.25">
      <c r="A155" s="543"/>
      <c r="B155" s="543" t="s">
        <v>1158</v>
      </c>
      <c r="D155" s="604">
        <f>COUNTIF(D10:D150,"O")</f>
        <v>26</v>
      </c>
      <c r="E155" s="593"/>
      <c r="F155" s="543"/>
      <c r="G155" s="543"/>
      <c r="H155" s="605" t="s">
        <v>62</v>
      </c>
      <c r="I155" s="572">
        <f>SUM(I152:I154)</f>
        <v>9</v>
      </c>
      <c r="J155" s="573">
        <f>SUM(J152:J154)</f>
        <v>14540</v>
      </c>
      <c r="K155" s="603"/>
      <c r="L155" s="573">
        <f>SUM(L152:L154)</f>
        <v>16686.5</v>
      </c>
      <c r="M155" s="543"/>
      <c r="N155" s="543"/>
      <c r="O155" s="573">
        <f>SUM(O152:O154)</f>
        <v>10256</v>
      </c>
      <c r="Q155" s="543"/>
      <c r="R155" s="543"/>
      <c r="S155" s="543"/>
      <c r="T155" s="543"/>
      <c r="U155" s="543"/>
    </row>
    <row r="156" spans="1:37" x14ac:dyDescent="0.25">
      <c r="A156" s="543"/>
      <c r="B156" s="543" t="s">
        <v>1159</v>
      </c>
      <c r="D156" s="604">
        <f>COUNTIF(D10:D150,"C&amp;R")</f>
        <v>18</v>
      </c>
      <c r="E156" s="593"/>
      <c r="F156" s="543"/>
      <c r="G156" s="543"/>
      <c r="H156" s="543"/>
      <c r="I156" s="543"/>
      <c r="J156" s="543"/>
      <c r="K156" s="543"/>
      <c r="L156" s="543"/>
      <c r="M156" s="543"/>
      <c r="N156" s="543"/>
      <c r="O156" s="543"/>
      <c r="Q156" s="543"/>
      <c r="R156" s="543"/>
      <c r="S156" s="543"/>
      <c r="T156" s="543"/>
      <c r="U156" s="543"/>
    </row>
    <row r="157" spans="1:37" x14ac:dyDescent="0.25">
      <c r="A157" s="543"/>
      <c r="B157" s="543" t="s">
        <v>1160</v>
      </c>
      <c r="D157" s="604">
        <f>COUNTIF(D10:D150,"A&amp;RRHH")</f>
        <v>8</v>
      </c>
      <c r="E157" s="593"/>
      <c r="F157" s="543"/>
      <c r="G157" s="543"/>
      <c r="H157" s="543"/>
      <c r="I157" s="543"/>
      <c r="K157" s="543"/>
      <c r="L157" s="543"/>
      <c r="M157" s="543"/>
      <c r="N157" s="569" t="s">
        <v>1161</v>
      </c>
      <c r="O157" s="577">
        <f>SUMIF(C10:C150,"BANCA PRIVADA",O10:O150)</f>
        <v>2696</v>
      </c>
      <c r="Q157" s="543"/>
      <c r="R157" s="543"/>
      <c r="S157" s="543"/>
      <c r="T157" s="543"/>
      <c r="U157" s="543"/>
    </row>
    <row r="158" spans="1:37" x14ac:dyDescent="0.25">
      <c r="A158" s="543"/>
      <c r="B158" s="543" t="s">
        <v>1162</v>
      </c>
      <c r="D158" s="604">
        <f>COUNTIF(D10:D150,"F")</f>
        <v>7</v>
      </c>
      <c r="E158" s="593"/>
      <c r="F158" s="543"/>
      <c r="G158" s="543"/>
      <c r="H158" s="543"/>
      <c r="I158" s="543"/>
      <c r="K158" s="543"/>
      <c r="L158" s="543"/>
      <c r="M158" s="543"/>
      <c r="N158" s="569" t="s">
        <v>1163</v>
      </c>
      <c r="O158" s="577">
        <f>SUMIF(C10:C150,"CARTERA Y RECUPERACIÓN",O10:O150)</f>
        <v>3020</v>
      </c>
      <c r="P158" s="543"/>
      <c r="Q158" s="543"/>
      <c r="R158" s="543"/>
      <c r="S158" s="543"/>
      <c r="T158" s="543"/>
      <c r="U158" s="543"/>
      <c r="V158" s="543"/>
      <c r="W158" s="543"/>
    </row>
    <row r="159" spans="1:37" x14ac:dyDescent="0.25">
      <c r="A159" s="543"/>
      <c r="B159" s="543" t="s">
        <v>1164</v>
      </c>
      <c r="D159" s="604">
        <f>COUNTIF(D10:D150,"R")</f>
        <v>2</v>
      </c>
      <c r="E159" s="593"/>
      <c r="F159" s="543"/>
      <c r="G159" s="543"/>
      <c r="H159" s="543"/>
      <c r="I159" s="543"/>
      <c r="K159" s="543"/>
      <c r="L159" s="543"/>
      <c r="M159" s="543"/>
      <c r="N159" s="569"/>
      <c r="O159" s="606"/>
      <c r="P159" s="543"/>
      <c r="Q159" s="543"/>
      <c r="R159" s="543"/>
      <c r="S159" s="543"/>
      <c r="T159" s="543"/>
      <c r="U159" s="543"/>
      <c r="V159" s="543"/>
      <c r="W159" s="543"/>
    </row>
    <row r="160" spans="1:37" x14ac:dyDescent="0.25">
      <c r="A160" s="543"/>
      <c r="B160" s="543" t="s">
        <v>1165</v>
      </c>
      <c r="D160" s="604">
        <f>COUNTIF(D10:D150,"A&amp;C")</f>
        <v>4</v>
      </c>
      <c r="E160" s="593"/>
      <c r="F160" s="543"/>
      <c r="G160" s="543"/>
      <c r="H160" s="543"/>
      <c r="I160" s="543"/>
      <c r="K160" s="543"/>
      <c r="L160" s="543"/>
      <c r="M160" s="543"/>
      <c r="N160" s="569"/>
      <c r="O160" s="606"/>
      <c r="P160" s="543"/>
      <c r="Q160" s="543"/>
      <c r="R160" s="543"/>
      <c r="S160" s="543"/>
      <c r="T160" s="543"/>
      <c r="U160" s="543"/>
      <c r="V160" s="543"/>
      <c r="W160" s="543"/>
    </row>
    <row r="161" spans="1:23" x14ac:dyDescent="0.25">
      <c r="A161" s="543"/>
      <c r="B161" s="543" t="s">
        <v>1166</v>
      </c>
      <c r="D161" s="604">
        <f>COUNTIF(D13:D151,"SI")</f>
        <v>1</v>
      </c>
      <c r="E161" s="593"/>
      <c r="F161" s="543"/>
      <c r="G161" s="543"/>
      <c r="H161" s="543"/>
      <c r="I161" s="543"/>
      <c r="K161" s="543"/>
      <c r="L161" s="543"/>
      <c r="M161" s="543"/>
      <c r="N161" s="569"/>
      <c r="O161" s="606"/>
      <c r="P161" s="543"/>
      <c r="Q161" s="543"/>
      <c r="R161" s="543"/>
      <c r="S161" s="543"/>
      <c r="T161" s="543"/>
      <c r="U161" s="543"/>
      <c r="V161" s="543"/>
      <c r="W161" s="543"/>
    </row>
    <row r="162" spans="1:23" x14ac:dyDescent="0.25">
      <c r="A162" s="543"/>
      <c r="B162" s="543" t="s">
        <v>1167</v>
      </c>
      <c r="D162" s="604">
        <f>COUNTIF(D10:D150,"S&amp;T")</f>
        <v>6</v>
      </c>
      <c r="E162" s="593"/>
      <c r="F162" s="543"/>
      <c r="G162" s="543"/>
      <c r="H162" s="543"/>
      <c r="I162" s="543"/>
      <c r="K162" s="543"/>
      <c r="L162" s="543"/>
      <c r="M162" s="543"/>
      <c r="N162" s="569" t="s">
        <v>1163</v>
      </c>
      <c r="O162" s="577">
        <f>SUMIF(C13:C151,"CARTERA Y RECUPERACIÓN",O13:O151)</f>
        <v>3020</v>
      </c>
      <c r="P162" s="543"/>
      <c r="Q162" s="543"/>
      <c r="R162" s="543"/>
      <c r="S162" s="543"/>
      <c r="T162" s="543"/>
      <c r="U162" s="543"/>
      <c r="V162" s="543"/>
      <c r="W162" s="543"/>
    </row>
    <row r="163" spans="1:23" s="521" customFormat="1" x14ac:dyDescent="0.25">
      <c r="A163" s="607"/>
      <c r="B163" s="607"/>
      <c r="C163" s="607" t="s">
        <v>1168</v>
      </c>
      <c r="D163" s="608">
        <f>SUM(D153:D162)</f>
        <v>113</v>
      </c>
      <c r="E163" s="609"/>
      <c r="F163" s="607"/>
      <c r="G163" s="607"/>
      <c r="H163" s="607"/>
      <c r="I163" s="607"/>
      <c r="K163" s="607"/>
      <c r="L163" s="607"/>
      <c r="M163" s="607"/>
      <c r="N163" s="569" t="s">
        <v>1169</v>
      </c>
      <c r="O163" s="577">
        <f>SUMIF(C10:C150,"NEGOCIOS",O10:O150)</f>
        <v>4540</v>
      </c>
      <c r="P163" s="607"/>
      <c r="Q163" s="607"/>
      <c r="R163" s="607"/>
      <c r="S163" s="607"/>
      <c r="T163" s="607"/>
      <c r="U163" s="607"/>
      <c r="V163" s="607"/>
      <c r="W163" s="607"/>
    </row>
    <row r="164" spans="1:23" x14ac:dyDescent="0.25">
      <c r="H164" s="543"/>
      <c r="N164" s="569" t="s">
        <v>66</v>
      </c>
      <c r="O164" s="610">
        <f>SUM(O157:O163)</f>
        <v>13276</v>
      </c>
    </row>
    <row r="165" spans="1:23" x14ac:dyDescent="0.25">
      <c r="H165" s="543"/>
    </row>
    <row r="166" spans="1:23" x14ac:dyDescent="0.25">
      <c r="H166" s="543"/>
    </row>
    <row r="167" spans="1:23" x14ac:dyDescent="0.25">
      <c r="H167" s="543"/>
    </row>
    <row r="168" spans="1:23" x14ac:dyDescent="0.25">
      <c r="H168" s="543"/>
    </row>
    <row r="169" spans="1:23" x14ac:dyDescent="0.25">
      <c r="H169" s="543"/>
    </row>
    <row r="170" spans="1:23" x14ac:dyDescent="0.25">
      <c r="H170" s="543"/>
    </row>
    <row r="171" spans="1:23" x14ac:dyDescent="0.25">
      <c r="H171" s="543"/>
    </row>
    <row r="172" spans="1:23" x14ac:dyDescent="0.25">
      <c r="H172" s="543"/>
    </row>
    <row r="173" spans="1:23" x14ac:dyDescent="0.25">
      <c r="H173" s="543"/>
    </row>
    <row r="174" spans="1:23" x14ac:dyDescent="0.25">
      <c r="H174" s="543"/>
    </row>
    <row r="175" spans="1:23" x14ac:dyDescent="0.25">
      <c r="H175" s="543"/>
    </row>
    <row r="176" spans="1:23" x14ac:dyDescent="0.25">
      <c r="H176" s="543"/>
    </row>
    <row r="177" spans="8:8" x14ac:dyDescent="0.25">
      <c r="H177" s="543"/>
    </row>
    <row r="178" spans="8:8" x14ac:dyDescent="0.25">
      <c r="H178" s="543"/>
    </row>
    <row r="179" spans="8:8" x14ac:dyDescent="0.25">
      <c r="H179" s="543"/>
    </row>
    <row r="180" spans="8:8" x14ac:dyDescent="0.25">
      <c r="H180" s="543"/>
    </row>
    <row r="181" spans="8:8" x14ac:dyDescent="0.25">
      <c r="H181" s="543"/>
    </row>
    <row r="182" spans="8:8" x14ac:dyDescent="0.25">
      <c r="H182" s="543"/>
    </row>
    <row r="183" spans="8:8" x14ac:dyDescent="0.25">
      <c r="H183" s="543"/>
    </row>
    <row r="184" spans="8:8" x14ac:dyDescent="0.25">
      <c r="H184" s="543"/>
    </row>
    <row r="185" spans="8:8" x14ac:dyDescent="0.25">
      <c r="H185" s="543"/>
    </row>
    <row r="186" spans="8:8" x14ac:dyDescent="0.25">
      <c r="H186" s="543"/>
    </row>
    <row r="187" spans="8:8" x14ac:dyDescent="0.25">
      <c r="H187" s="543"/>
    </row>
    <row r="188" spans="8:8" x14ac:dyDescent="0.25">
      <c r="H188" s="543"/>
    </row>
    <row r="189" spans="8:8" x14ac:dyDescent="0.25">
      <c r="H189" s="543"/>
    </row>
    <row r="190" spans="8:8" x14ac:dyDescent="0.25">
      <c r="H190" s="543"/>
    </row>
    <row r="191" spans="8:8" x14ac:dyDescent="0.25">
      <c r="H191" s="543"/>
    </row>
    <row r="192" spans="8:8" x14ac:dyDescent="0.25">
      <c r="H192" s="543"/>
    </row>
    <row r="193" spans="8:8" x14ac:dyDescent="0.25">
      <c r="H193" s="543"/>
    </row>
    <row r="194" spans="8:8" x14ac:dyDescent="0.25">
      <c r="H194" s="543"/>
    </row>
    <row r="195" spans="8:8" x14ac:dyDescent="0.25">
      <c r="H195" s="543"/>
    </row>
    <row r="196" spans="8:8" x14ac:dyDescent="0.25">
      <c r="H196" s="543"/>
    </row>
    <row r="197" spans="8:8" x14ac:dyDescent="0.25">
      <c r="H197" s="543"/>
    </row>
    <row r="198" spans="8:8" x14ac:dyDescent="0.25">
      <c r="H198" s="543"/>
    </row>
    <row r="199" spans="8:8" x14ac:dyDescent="0.25">
      <c r="H199" s="543"/>
    </row>
    <row r="200" spans="8:8" x14ac:dyDescent="0.25">
      <c r="H200" s="543"/>
    </row>
    <row r="201" spans="8:8" x14ac:dyDescent="0.25">
      <c r="H201" s="543"/>
    </row>
    <row r="202" spans="8:8" x14ac:dyDescent="0.25">
      <c r="H202" s="543"/>
    </row>
    <row r="203" spans="8:8" x14ac:dyDescent="0.25">
      <c r="H203" s="543"/>
    </row>
    <row r="204" spans="8:8" x14ac:dyDescent="0.25">
      <c r="H204" s="543"/>
    </row>
    <row r="205" spans="8:8" x14ac:dyDescent="0.25">
      <c r="H205" s="543"/>
    </row>
    <row r="206" spans="8:8" x14ac:dyDescent="0.25">
      <c r="H206" s="543"/>
    </row>
    <row r="207" spans="8:8" x14ac:dyDescent="0.25">
      <c r="H207" s="543"/>
    </row>
    <row r="208" spans="8:8" x14ac:dyDescent="0.25">
      <c r="H208" s="543"/>
    </row>
    <row r="209" spans="8:8" x14ac:dyDescent="0.25">
      <c r="H209" s="543"/>
    </row>
    <row r="210" spans="8:8" x14ac:dyDescent="0.25">
      <c r="H210" s="543"/>
    </row>
    <row r="211" spans="8:8" x14ac:dyDescent="0.25">
      <c r="H211" s="543"/>
    </row>
    <row r="212" spans="8:8" x14ac:dyDescent="0.25">
      <c r="H212" s="543"/>
    </row>
    <row r="213" spans="8:8" x14ac:dyDescent="0.25">
      <c r="H213" s="543"/>
    </row>
    <row r="214" spans="8:8" x14ac:dyDescent="0.25">
      <c r="H214" s="543"/>
    </row>
    <row r="215" spans="8:8" x14ac:dyDescent="0.25">
      <c r="H215" s="543"/>
    </row>
    <row r="216" spans="8:8" x14ac:dyDescent="0.25">
      <c r="H216" s="543"/>
    </row>
    <row r="217" spans="8:8" x14ac:dyDescent="0.25">
      <c r="H217" s="543"/>
    </row>
    <row r="218" spans="8:8" x14ac:dyDescent="0.25">
      <c r="H218" s="543"/>
    </row>
    <row r="219" spans="8:8" x14ac:dyDescent="0.25">
      <c r="H219" s="543"/>
    </row>
    <row r="220" spans="8:8" x14ac:dyDescent="0.25">
      <c r="H220" s="543"/>
    </row>
    <row r="221" spans="8:8" x14ac:dyDescent="0.25">
      <c r="H221" s="543"/>
    </row>
    <row r="222" spans="8:8" x14ac:dyDescent="0.25">
      <c r="H222" s="543"/>
    </row>
    <row r="223" spans="8:8" x14ac:dyDescent="0.25">
      <c r="H223" s="543"/>
    </row>
    <row r="224" spans="8:8" x14ac:dyDescent="0.25">
      <c r="H224" s="543"/>
    </row>
    <row r="225" spans="8:8" x14ac:dyDescent="0.25">
      <c r="H225" s="543"/>
    </row>
    <row r="226" spans="8:8" x14ac:dyDescent="0.25">
      <c r="H226" s="543"/>
    </row>
    <row r="227" spans="8:8" x14ac:dyDescent="0.25">
      <c r="H227" s="543"/>
    </row>
    <row r="228" spans="8:8" x14ac:dyDescent="0.25">
      <c r="H228" s="543"/>
    </row>
    <row r="229" spans="8:8" x14ac:dyDescent="0.25">
      <c r="H229" s="543"/>
    </row>
    <row r="230" spans="8:8" x14ac:dyDescent="0.25">
      <c r="H230" s="543"/>
    </row>
    <row r="231" spans="8:8" x14ac:dyDescent="0.25">
      <c r="H231" s="543"/>
    </row>
    <row r="232" spans="8:8" x14ac:dyDescent="0.25">
      <c r="H232" s="543"/>
    </row>
    <row r="233" spans="8:8" x14ac:dyDescent="0.25">
      <c r="H233" s="543"/>
    </row>
    <row r="234" spans="8:8" x14ac:dyDescent="0.25">
      <c r="H234" s="543"/>
    </row>
    <row r="235" spans="8:8" x14ac:dyDescent="0.25">
      <c r="H235" s="543"/>
    </row>
    <row r="236" spans="8:8" x14ac:dyDescent="0.25">
      <c r="H236" s="543"/>
    </row>
    <row r="237" spans="8:8" x14ac:dyDescent="0.25">
      <c r="H237" s="543"/>
    </row>
    <row r="238" spans="8:8" x14ac:dyDescent="0.25">
      <c r="H238" s="543"/>
    </row>
    <row r="239" spans="8:8" x14ac:dyDescent="0.25">
      <c r="H239" s="543"/>
    </row>
    <row r="240" spans="8:8" x14ac:dyDescent="0.25">
      <c r="H240" s="543"/>
    </row>
    <row r="241" spans="8:8" x14ac:dyDescent="0.25">
      <c r="H241" s="543"/>
    </row>
    <row r="242" spans="8:8" x14ac:dyDescent="0.25">
      <c r="H242" s="543"/>
    </row>
    <row r="243" spans="8:8" x14ac:dyDescent="0.25">
      <c r="H243" s="543"/>
    </row>
    <row r="244" spans="8:8" x14ac:dyDescent="0.25">
      <c r="H244" s="543"/>
    </row>
    <row r="245" spans="8:8" x14ac:dyDescent="0.25">
      <c r="H245" s="543"/>
    </row>
    <row r="246" spans="8:8" x14ac:dyDescent="0.25">
      <c r="H246" s="543"/>
    </row>
    <row r="247" spans="8:8" x14ac:dyDescent="0.25">
      <c r="H247" s="543"/>
    </row>
    <row r="248" spans="8:8" x14ac:dyDescent="0.25">
      <c r="H248" s="543"/>
    </row>
    <row r="249" spans="8:8" x14ac:dyDescent="0.25">
      <c r="H249" s="543"/>
    </row>
    <row r="250" spans="8:8" x14ac:dyDescent="0.25">
      <c r="H250" s="543"/>
    </row>
    <row r="251" spans="8:8" x14ac:dyDescent="0.25">
      <c r="H251" s="543"/>
    </row>
    <row r="252" spans="8:8" x14ac:dyDescent="0.25">
      <c r="H252" s="543"/>
    </row>
    <row r="253" spans="8:8" x14ac:dyDescent="0.25">
      <c r="H253" s="543"/>
    </row>
    <row r="254" spans="8:8" x14ac:dyDescent="0.25">
      <c r="H254" s="543"/>
    </row>
    <row r="255" spans="8:8" x14ac:dyDescent="0.25">
      <c r="H255" s="543"/>
    </row>
    <row r="256" spans="8:8" x14ac:dyDescent="0.25">
      <c r="H256" s="543"/>
    </row>
    <row r="257" spans="8:8" x14ac:dyDescent="0.25">
      <c r="H257" s="543"/>
    </row>
    <row r="258" spans="8:8" x14ac:dyDescent="0.25">
      <c r="H258" s="543"/>
    </row>
    <row r="259" spans="8:8" x14ac:dyDescent="0.25">
      <c r="H259" s="543"/>
    </row>
    <row r="260" spans="8:8" x14ac:dyDescent="0.25">
      <c r="H260" s="543"/>
    </row>
    <row r="261" spans="8:8" x14ac:dyDescent="0.25">
      <c r="H261" s="543"/>
    </row>
    <row r="262" spans="8:8" x14ac:dyDescent="0.25">
      <c r="H262" s="543"/>
    </row>
    <row r="263" spans="8:8" x14ac:dyDescent="0.25">
      <c r="H263" s="543"/>
    </row>
    <row r="264" spans="8:8" x14ac:dyDescent="0.25">
      <c r="H264" s="543"/>
    </row>
    <row r="265" spans="8:8" x14ac:dyDescent="0.25">
      <c r="H265" s="543"/>
    </row>
    <row r="266" spans="8:8" x14ac:dyDescent="0.25">
      <c r="H266" s="543"/>
    </row>
    <row r="267" spans="8:8" x14ac:dyDescent="0.25">
      <c r="H267" s="543"/>
    </row>
    <row r="268" spans="8:8" x14ac:dyDescent="0.25">
      <c r="H268" s="543"/>
    </row>
    <row r="269" spans="8:8" x14ac:dyDescent="0.25">
      <c r="H269" s="543"/>
    </row>
    <row r="270" spans="8:8" x14ac:dyDescent="0.25">
      <c r="H270" s="543"/>
    </row>
    <row r="271" spans="8:8" x14ac:dyDescent="0.25">
      <c r="H271" s="543"/>
    </row>
    <row r="272" spans="8:8" x14ac:dyDescent="0.25">
      <c r="H272" s="543"/>
    </row>
    <row r="273" spans="8:8" x14ac:dyDescent="0.25">
      <c r="H273" s="543"/>
    </row>
    <row r="274" spans="8:8" x14ac:dyDescent="0.25">
      <c r="H274" s="543"/>
    </row>
    <row r="275" spans="8:8" x14ac:dyDescent="0.25">
      <c r="H275" s="543"/>
    </row>
    <row r="276" spans="8:8" x14ac:dyDescent="0.25">
      <c r="H276" s="543"/>
    </row>
    <row r="277" spans="8:8" x14ac:dyDescent="0.25">
      <c r="H277" s="543"/>
    </row>
    <row r="278" spans="8:8" x14ac:dyDescent="0.25">
      <c r="H278" s="543"/>
    </row>
    <row r="279" spans="8:8" x14ac:dyDescent="0.25">
      <c r="H279" s="543"/>
    </row>
    <row r="280" spans="8:8" x14ac:dyDescent="0.25">
      <c r="H280" s="543"/>
    </row>
    <row r="281" spans="8:8" x14ac:dyDescent="0.25">
      <c r="H281" s="543"/>
    </row>
    <row r="282" spans="8:8" x14ac:dyDescent="0.25">
      <c r="H282" s="543"/>
    </row>
    <row r="283" spans="8:8" x14ac:dyDescent="0.25">
      <c r="H283" s="543"/>
    </row>
    <row r="284" spans="8:8" x14ac:dyDescent="0.25">
      <c r="H284" s="543"/>
    </row>
    <row r="285" spans="8:8" x14ac:dyDescent="0.25">
      <c r="H285" s="543"/>
    </row>
    <row r="286" spans="8:8" x14ac:dyDescent="0.25">
      <c r="H286" s="543"/>
    </row>
    <row r="287" spans="8:8" x14ac:dyDescent="0.25">
      <c r="H287" s="543"/>
    </row>
    <row r="288" spans="8:8" x14ac:dyDescent="0.25">
      <c r="H288" s="543"/>
    </row>
    <row r="289" spans="8:8" x14ac:dyDescent="0.25">
      <c r="H289" s="543"/>
    </row>
    <row r="290" spans="8:8" x14ac:dyDescent="0.25">
      <c r="H290" s="543"/>
    </row>
    <row r="291" spans="8:8" x14ac:dyDescent="0.25">
      <c r="H291" s="543"/>
    </row>
    <row r="292" spans="8:8" x14ac:dyDescent="0.25">
      <c r="H292" s="543"/>
    </row>
    <row r="293" spans="8:8" x14ac:dyDescent="0.25">
      <c r="H293" s="543"/>
    </row>
    <row r="294" spans="8:8" x14ac:dyDescent="0.25">
      <c r="H294" s="543"/>
    </row>
    <row r="295" spans="8:8" x14ac:dyDescent="0.25">
      <c r="H295" s="543"/>
    </row>
    <row r="296" spans="8:8" x14ac:dyDescent="0.25">
      <c r="H296" s="543"/>
    </row>
    <row r="297" spans="8:8" x14ac:dyDescent="0.25">
      <c r="H297" s="543"/>
    </row>
    <row r="298" spans="8:8" x14ac:dyDescent="0.25">
      <c r="H298" s="543"/>
    </row>
    <row r="299" spans="8:8" x14ac:dyDescent="0.25">
      <c r="H299" s="543"/>
    </row>
    <row r="300" spans="8:8" x14ac:dyDescent="0.25">
      <c r="H300" s="543"/>
    </row>
    <row r="301" spans="8:8" x14ac:dyDescent="0.25">
      <c r="H301" s="543"/>
    </row>
    <row r="302" spans="8:8" x14ac:dyDescent="0.25">
      <c r="H302" s="543"/>
    </row>
    <row r="303" spans="8:8" x14ac:dyDescent="0.25">
      <c r="H303" s="543"/>
    </row>
    <row r="304" spans="8:8" x14ac:dyDescent="0.25">
      <c r="H304" s="543"/>
    </row>
    <row r="305" spans="8:8" x14ac:dyDescent="0.25">
      <c r="H305" s="543"/>
    </row>
    <row r="306" spans="8:8" x14ac:dyDescent="0.25">
      <c r="H306" s="543"/>
    </row>
    <row r="307" spans="8:8" x14ac:dyDescent="0.25">
      <c r="H307" s="543"/>
    </row>
    <row r="308" spans="8:8" x14ac:dyDescent="0.25">
      <c r="H308" s="543"/>
    </row>
    <row r="309" spans="8:8" x14ac:dyDescent="0.25">
      <c r="H309" s="543"/>
    </row>
    <row r="310" spans="8:8" x14ac:dyDescent="0.25">
      <c r="H310" s="543"/>
    </row>
    <row r="311" spans="8:8" x14ac:dyDescent="0.25">
      <c r="H311" s="543"/>
    </row>
    <row r="312" spans="8:8" x14ac:dyDescent="0.25">
      <c r="H312" s="543"/>
    </row>
    <row r="313" spans="8:8" x14ac:dyDescent="0.25">
      <c r="H313" s="543"/>
    </row>
    <row r="314" spans="8:8" x14ac:dyDescent="0.25">
      <c r="H314" s="543"/>
    </row>
    <row r="315" spans="8:8" x14ac:dyDescent="0.25">
      <c r="H315" s="543"/>
    </row>
    <row r="316" spans="8:8" x14ac:dyDescent="0.25">
      <c r="H316" s="543"/>
    </row>
    <row r="317" spans="8:8" x14ac:dyDescent="0.25">
      <c r="H317" s="543"/>
    </row>
    <row r="318" spans="8:8" x14ac:dyDescent="0.25">
      <c r="H318" s="543"/>
    </row>
    <row r="319" spans="8:8" x14ac:dyDescent="0.25">
      <c r="H319" s="543"/>
    </row>
    <row r="320" spans="8:8" x14ac:dyDescent="0.25">
      <c r="H320" s="543"/>
    </row>
    <row r="321" spans="8:8" x14ac:dyDescent="0.25">
      <c r="H321" s="543"/>
    </row>
    <row r="322" spans="8:8" x14ac:dyDescent="0.25">
      <c r="H322" s="543"/>
    </row>
    <row r="323" spans="8:8" x14ac:dyDescent="0.25">
      <c r="H323" s="543"/>
    </row>
    <row r="324" spans="8:8" x14ac:dyDescent="0.25">
      <c r="H324" s="543"/>
    </row>
    <row r="325" spans="8:8" x14ac:dyDescent="0.25">
      <c r="H325" s="543"/>
    </row>
    <row r="326" spans="8:8" x14ac:dyDescent="0.25">
      <c r="H326" s="543"/>
    </row>
    <row r="327" spans="8:8" x14ac:dyDescent="0.25">
      <c r="H327" s="543"/>
    </row>
    <row r="328" spans="8:8" x14ac:dyDescent="0.25">
      <c r="H328" s="543"/>
    </row>
    <row r="329" spans="8:8" x14ac:dyDescent="0.25">
      <c r="H329" s="543"/>
    </row>
    <row r="330" spans="8:8" x14ac:dyDescent="0.25">
      <c r="H330" s="543"/>
    </row>
    <row r="331" spans="8:8" x14ac:dyDescent="0.25">
      <c r="H331" s="543"/>
    </row>
  </sheetData>
  <autoFilter ref="A8:AN134" xr:uid="{00000000-0009-0000-0000-00000B000000}"/>
  <mergeCells count="3">
    <mergeCell ref="I4:J4"/>
    <mergeCell ref="I5:J5"/>
    <mergeCell ref="I6:J6"/>
  </mergeCells>
  <printOptions horizontalCentered="1"/>
  <pageMargins left="1.1811023622047245" right="0.78740157480314965" top="1.9685039370078741" bottom="1.1811023622047245" header="0.31496062992125984" footer="0.31496062992125984"/>
  <pageSetup paperSize="9" scale="28" orientation="landscape" useFirstPageNumber="1" horizontalDpi="4294967295" verticalDpi="4294967295"/>
  <headerFooter>
    <oddFooter>Página &amp;P de &amp;F</oddFooter>
  </headerFooter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  <pageSetUpPr fitToPage="1"/>
  </sheetPr>
  <dimension ref="A1:AK152"/>
  <sheetViews>
    <sheetView showGridLines="0" zoomScale="115" zoomScaleNormal="115" workbookViewId="0">
      <pane xSplit="1" ySplit="5" topLeftCell="B99" activePane="bottomRight" state="frozen"/>
      <selection pane="topRight"/>
      <selection pane="bottomLeft"/>
      <selection pane="bottomRight" activeCell="C109" sqref="C109"/>
    </sheetView>
  </sheetViews>
  <sheetFormatPr baseColWidth="10" defaultColWidth="0" defaultRowHeight="0" customHeight="1" zeroHeight="1" x14ac:dyDescent="0.25"/>
  <cols>
    <col min="1" max="1" width="26.5703125" style="2" customWidth="1"/>
    <col min="2" max="4" width="11.140625" style="1" customWidth="1"/>
    <col min="5" max="5" width="11.140625" style="1" bestFit="1" customWidth="1"/>
    <col min="6" max="8" width="10.85546875" style="1" customWidth="1"/>
    <col min="9" max="14" width="11.140625" style="1" customWidth="1"/>
    <col min="15" max="15" width="11.85546875" style="1" customWidth="1"/>
    <col min="16" max="16" width="9.85546875" style="1" customWidth="1"/>
    <col min="17" max="37" width="0" style="1" hidden="1" customWidth="1"/>
    <col min="38" max="38" width="11.42578125" style="1" hidden="1" customWidth="1"/>
    <col min="39" max="16384" width="11.42578125" style="1" hidden="1"/>
  </cols>
  <sheetData>
    <row r="1" spans="1:17" ht="21" customHeight="1" x14ac:dyDescent="0.25">
      <c r="A1" s="611" t="s">
        <v>1170</v>
      </c>
      <c r="Q1" s="612">
        <v>53642.670000000006</v>
      </c>
    </row>
    <row r="2" spans="1:17" ht="18.75" customHeight="1" x14ac:dyDescent="0.25">
      <c r="A2" s="613" t="s">
        <v>1171</v>
      </c>
      <c r="B2" s="614"/>
      <c r="C2" s="613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</row>
    <row r="3" spans="1:17" ht="15" customHeight="1" x14ac:dyDescent="0.25">
      <c r="A3" s="613"/>
      <c r="B3" s="615" t="s">
        <v>1172</v>
      </c>
      <c r="C3" s="615" t="s">
        <v>705</v>
      </c>
      <c r="D3" s="615" t="s">
        <v>706</v>
      </c>
      <c r="E3" s="615" t="s">
        <v>707</v>
      </c>
      <c r="F3" s="615" t="s">
        <v>708</v>
      </c>
      <c r="G3" s="615" t="s">
        <v>709</v>
      </c>
      <c r="H3" s="615" t="s">
        <v>710</v>
      </c>
      <c r="I3" s="615" t="s">
        <v>711</v>
      </c>
      <c r="J3" s="615" t="s">
        <v>712</v>
      </c>
      <c r="K3" s="615" t="s">
        <v>713</v>
      </c>
      <c r="L3" s="615" t="s">
        <v>696</v>
      </c>
      <c r="M3" s="615" t="s">
        <v>1173</v>
      </c>
      <c r="N3" s="615" t="s">
        <v>1174</v>
      </c>
      <c r="O3" s="614" t="s">
        <v>1175</v>
      </c>
    </row>
    <row r="4" spans="1:17" ht="15" customHeight="1" x14ac:dyDescent="0.25">
      <c r="A4" s="616" t="s">
        <v>1176</v>
      </c>
      <c r="B4" s="105">
        <v>12</v>
      </c>
      <c r="C4" s="105">
        <v>1</v>
      </c>
      <c r="D4" s="105">
        <v>2</v>
      </c>
      <c r="E4" s="105">
        <v>3</v>
      </c>
      <c r="F4" s="105">
        <v>4</v>
      </c>
      <c r="G4" s="105">
        <v>5</v>
      </c>
      <c r="H4" s="105">
        <v>6</v>
      </c>
      <c r="I4" s="105">
        <v>7</v>
      </c>
      <c r="J4" s="105">
        <v>8</v>
      </c>
      <c r="K4" s="105">
        <v>9</v>
      </c>
      <c r="L4" s="105">
        <v>10</v>
      </c>
      <c r="M4" s="105">
        <v>11</v>
      </c>
      <c r="N4" s="105">
        <v>12</v>
      </c>
      <c r="O4" s="617">
        <v>2025</v>
      </c>
    </row>
    <row r="5" spans="1:17" s="618" customFormat="1" ht="12.75" customHeight="1" x14ac:dyDescent="0.25">
      <c r="A5" s="619" t="s">
        <v>1177</v>
      </c>
      <c r="B5" s="620" t="s">
        <v>846</v>
      </c>
      <c r="C5" s="620" t="s">
        <v>835</v>
      </c>
      <c r="D5" s="620" t="s">
        <v>836</v>
      </c>
      <c r="E5" s="620" t="s">
        <v>837</v>
      </c>
      <c r="F5" s="620" t="s">
        <v>838</v>
      </c>
      <c r="G5" s="620" t="s">
        <v>839</v>
      </c>
      <c r="H5" s="620" t="s">
        <v>840</v>
      </c>
      <c r="I5" s="621" t="s">
        <v>841</v>
      </c>
      <c r="J5" s="621" t="s">
        <v>842</v>
      </c>
      <c r="K5" s="621" t="s">
        <v>843</v>
      </c>
      <c r="L5" s="621" t="s">
        <v>844</v>
      </c>
      <c r="M5" s="621" t="s">
        <v>845</v>
      </c>
      <c r="N5" s="621" t="s">
        <v>846</v>
      </c>
      <c r="O5" s="621" t="s">
        <v>62</v>
      </c>
    </row>
    <row r="6" spans="1:17" s="622" customFormat="1" ht="12" customHeight="1" x14ac:dyDescent="0.25">
      <c r="A6" s="623" t="s">
        <v>6</v>
      </c>
      <c r="B6" s="624">
        <f t="shared" ref="B6" si="0">B7+B8+B9</f>
        <v>0</v>
      </c>
      <c r="C6" s="624">
        <f>C7+C8+C9</f>
        <v>19473.36</v>
      </c>
      <c r="D6" s="624">
        <f t="shared" ref="D6:N6" si="1">D7+D8+D9</f>
        <v>18116.990000000002</v>
      </c>
      <c r="E6" s="624">
        <f t="shared" si="1"/>
        <v>18265.32</v>
      </c>
      <c r="F6" s="624">
        <f t="shared" si="1"/>
        <v>17659.989999999998</v>
      </c>
      <c r="G6" s="624">
        <f t="shared" si="1"/>
        <v>16530.439999999999</v>
      </c>
      <c r="H6" s="624">
        <f t="shared" si="1"/>
        <v>15995.75</v>
      </c>
      <c r="I6" s="624">
        <f t="shared" si="1"/>
        <v>14358.439999999999</v>
      </c>
      <c r="J6" s="624">
        <f t="shared" si="1"/>
        <v>13837.789999999999</v>
      </c>
      <c r="K6" s="624">
        <f t="shared" si="1"/>
        <v>13510.349999999999</v>
      </c>
      <c r="L6" s="624">
        <f t="shared" si="1"/>
        <v>11861.15</v>
      </c>
      <c r="M6" s="624">
        <f t="shared" si="1"/>
        <v>10861.98</v>
      </c>
      <c r="N6" s="624">
        <f t="shared" si="1"/>
        <v>12204.62</v>
      </c>
      <c r="O6" s="624">
        <f>SUM(C6:N6)</f>
        <v>182676.18000000002</v>
      </c>
    </row>
    <row r="7" spans="1:17" s="618" customFormat="1" ht="12" customHeight="1" x14ac:dyDescent="0.25">
      <c r="A7" s="625" t="s">
        <v>1178</v>
      </c>
      <c r="B7" s="626"/>
      <c r="C7" s="626"/>
      <c r="D7" s="626"/>
      <c r="E7" s="626"/>
      <c r="F7" s="626"/>
      <c r="G7" s="626"/>
      <c r="H7" s="626"/>
      <c r="I7" s="626"/>
      <c r="J7" s="626"/>
      <c r="K7" s="626"/>
      <c r="L7" s="626"/>
      <c r="M7" s="626"/>
      <c r="N7" s="626"/>
      <c r="O7" s="627">
        <f>SUM(C7:N7)</f>
        <v>0</v>
      </c>
    </row>
    <row r="8" spans="1:17" s="618" customFormat="1" ht="12" customHeight="1" x14ac:dyDescent="0.25">
      <c r="A8" s="625" t="s">
        <v>1179</v>
      </c>
      <c r="B8" s="626"/>
      <c r="C8" s="628">
        <v>3028.63</v>
      </c>
      <c r="D8" s="628">
        <v>3057.96</v>
      </c>
      <c r="E8" s="628">
        <v>3206.2899999999995</v>
      </c>
      <c r="F8" s="628">
        <v>3118.6400000000003</v>
      </c>
      <c r="G8" s="628">
        <v>3186.4399999999996</v>
      </c>
      <c r="H8" s="628">
        <v>3179.71</v>
      </c>
      <c r="I8" s="628">
        <v>2246.12</v>
      </c>
      <c r="J8" s="628">
        <v>2241.98</v>
      </c>
      <c r="K8" s="628">
        <v>2273.39</v>
      </c>
      <c r="L8" s="628">
        <v>2337.6799999999998</v>
      </c>
      <c r="M8" s="628">
        <v>2337.46</v>
      </c>
      <c r="N8" s="628">
        <v>1400.27</v>
      </c>
      <c r="O8" s="627">
        <f>SUM(C8:N8)</f>
        <v>31614.569999999996</v>
      </c>
    </row>
    <row r="9" spans="1:17" s="618" customFormat="1" ht="12" customHeight="1" x14ac:dyDescent="0.25">
      <c r="A9" s="625" t="s">
        <v>1180</v>
      </c>
      <c r="B9" s="626"/>
      <c r="C9" s="628">
        <v>16444.73</v>
      </c>
      <c r="D9" s="628">
        <v>15059.03</v>
      </c>
      <c r="E9" s="628">
        <v>15059.03</v>
      </c>
      <c r="F9" s="628">
        <v>14541.349999999999</v>
      </c>
      <c r="G9" s="628">
        <v>13344</v>
      </c>
      <c r="H9" s="628">
        <v>12816.04</v>
      </c>
      <c r="I9" s="628">
        <v>12112.32</v>
      </c>
      <c r="J9" s="628">
        <v>11595.81</v>
      </c>
      <c r="K9" s="628">
        <v>11236.96</v>
      </c>
      <c r="L9" s="628">
        <v>9523.4699999999993</v>
      </c>
      <c r="M9" s="628">
        <v>8524.52</v>
      </c>
      <c r="N9" s="628">
        <v>10804.35</v>
      </c>
      <c r="O9" s="627">
        <f>SUM(C9:N9)</f>
        <v>151061.60999999999</v>
      </c>
    </row>
    <row r="10" spans="1:17" s="622" customFormat="1" ht="12" customHeight="1" x14ac:dyDescent="0.25">
      <c r="A10" s="623" t="s">
        <v>8</v>
      </c>
      <c r="B10" s="629"/>
      <c r="C10" s="630">
        <v>505492.49999999983</v>
      </c>
      <c r="D10" s="630">
        <v>506987.67999999912</v>
      </c>
      <c r="E10" s="630">
        <v>558097.24999999895</v>
      </c>
      <c r="F10" s="630">
        <v>828439.46</v>
      </c>
      <c r="G10" s="630">
        <v>552397.34999999951</v>
      </c>
      <c r="H10" s="630">
        <v>527156.02000000037</v>
      </c>
      <c r="I10" s="630">
        <v>522183.84999999945</v>
      </c>
      <c r="J10" s="630">
        <v>511744.03999999969</v>
      </c>
      <c r="K10" s="630">
        <v>499898.72000000003</v>
      </c>
      <c r="L10" s="630">
        <v>503054.56999999966</v>
      </c>
      <c r="M10" s="630">
        <v>485042.46999999991</v>
      </c>
      <c r="N10" s="630">
        <v>488189.97999999934</v>
      </c>
      <c r="O10" s="624">
        <f>SUM(C10:N10)</f>
        <v>6488683.8899999959</v>
      </c>
    </row>
    <row r="11" spans="1:17" s="622" customFormat="1" ht="12" customHeight="1" x14ac:dyDescent="0.25">
      <c r="A11" s="623" t="s">
        <v>9</v>
      </c>
      <c r="B11" s="624">
        <f t="shared" ref="B11" si="2">B12+B13+B14</f>
        <v>0</v>
      </c>
      <c r="C11" s="624">
        <f t="shared" ref="C11:M11" si="3">C12+C13+C14</f>
        <v>107301.42999999998</v>
      </c>
      <c r="D11" s="624">
        <f t="shared" si="3"/>
        <v>111312.71</v>
      </c>
      <c r="E11" s="624">
        <f t="shared" si="3"/>
        <v>117665.88999999998</v>
      </c>
      <c r="F11" s="624">
        <f t="shared" si="3"/>
        <v>115994.26000000004</v>
      </c>
      <c r="G11" s="624">
        <f t="shared" si="3"/>
        <v>117668.33000000005</v>
      </c>
      <c r="H11" s="624">
        <f t="shared" si="3"/>
        <v>106122.4</v>
      </c>
      <c r="I11" s="624">
        <f t="shared" si="3"/>
        <v>108338.83000000003</v>
      </c>
      <c r="J11" s="624">
        <f t="shared" si="3"/>
        <v>107680.49999999997</v>
      </c>
      <c r="K11" s="624">
        <f t="shared" si="3"/>
        <v>108152.54000000007</v>
      </c>
      <c r="L11" s="624">
        <f t="shared" si="3"/>
        <v>110710.40000000001</v>
      </c>
      <c r="M11" s="624">
        <f t="shared" si="3"/>
        <v>109553.07000000005</v>
      </c>
      <c r="N11" s="624">
        <f>N12+N13+N14</f>
        <v>111689.57999999996</v>
      </c>
      <c r="O11" s="624">
        <f t="shared" ref="O11" si="4">SUM(C11:N11)</f>
        <v>1332189.9400000004</v>
      </c>
    </row>
    <row r="12" spans="1:17" s="618" customFormat="1" ht="12" customHeight="1" x14ac:dyDescent="0.25">
      <c r="A12" s="625" t="s">
        <v>1181</v>
      </c>
      <c r="B12" s="626"/>
      <c r="C12" s="628">
        <v>84736.099999999991</v>
      </c>
      <c r="D12" s="628">
        <v>85424.210000000021</v>
      </c>
      <c r="E12" s="628">
        <v>89385.049999999974</v>
      </c>
      <c r="F12" s="628">
        <v>86175.830000000045</v>
      </c>
      <c r="G12" s="628">
        <v>86471.820000000051</v>
      </c>
      <c r="H12" s="628">
        <v>75441.38</v>
      </c>
      <c r="I12" s="628">
        <v>76443.250000000015</v>
      </c>
      <c r="J12" s="628">
        <v>76266.439999999959</v>
      </c>
      <c r="K12" s="628">
        <v>76291.040000000066</v>
      </c>
      <c r="L12" s="628">
        <v>77512.690000000017</v>
      </c>
      <c r="M12" s="628">
        <v>76771.850000000049</v>
      </c>
      <c r="N12" s="628">
        <v>77588.749999999942</v>
      </c>
      <c r="O12" s="627">
        <f>SUM(C12:N12)</f>
        <v>968508.41000000015</v>
      </c>
    </row>
    <row r="13" spans="1:17" s="618" customFormat="1" ht="12" customHeight="1" x14ac:dyDescent="0.25">
      <c r="A13" s="625" t="s">
        <v>1182</v>
      </c>
      <c r="B13" s="626"/>
      <c r="C13" s="628">
        <v>20095.159999999996</v>
      </c>
      <c r="D13" s="628">
        <v>21984.529999999988</v>
      </c>
      <c r="E13" s="628">
        <v>23418.46</v>
      </c>
      <c r="F13" s="628">
        <v>25333.419999999995</v>
      </c>
      <c r="G13" s="628">
        <v>26497.480000000003</v>
      </c>
      <c r="H13" s="628">
        <v>26059.869999999995</v>
      </c>
      <c r="I13" s="628">
        <v>27062.820000000022</v>
      </c>
      <c r="J13" s="628">
        <v>26652.650000000009</v>
      </c>
      <c r="K13" s="628">
        <v>27029.52</v>
      </c>
      <c r="L13" s="628">
        <v>28157.809999999994</v>
      </c>
      <c r="M13" s="628">
        <v>27802.680000000004</v>
      </c>
      <c r="N13" s="628">
        <v>28917.010000000009</v>
      </c>
      <c r="O13" s="627">
        <f>SUM(C13:N13)</f>
        <v>309011.41000000003</v>
      </c>
    </row>
    <row r="14" spans="1:17" s="618" customFormat="1" ht="12" customHeight="1" x14ac:dyDescent="0.25">
      <c r="A14" s="625" t="s">
        <v>1183</v>
      </c>
      <c r="B14" s="626"/>
      <c r="C14" s="628">
        <v>2470.1700000000005</v>
      </c>
      <c r="D14" s="628">
        <v>3903.9700000000003</v>
      </c>
      <c r="E14" s="628">
        <v>4862.38</v>
      </c>
      <c r="F14" s="628">
        <v>4485.0099999999993</v>
      </c>
      <c r="G14" s="628">
        <v>4699.0300000000007</v>
      </c>
      <c r="H14" s="628">
        <v>4621.1499999999996</v>
      </c>
      <c r="I14" s="628">
        <v>4832.76</v>
      </c>
      <c r="J14" s="628">
        <v>4761.41</v>
      </c>
      <c r="K14" s="628">
        <v>4831.9800000000014</v>
      </c>
      <c r="L14" s="628">
        <v>5039.9000000000005</v>
      </c>
      <c r="M14" s="628">
        <v>4978.54</v>
      </c>
      <c r="N14" s="628">
        <v>5183.82</v>
      </c>
      <c r="O14" s="627">
        <f>SUM(C14:N14)</f>
        <v>54670.12000000001</v>
      </c>
    </row>
    <row r="15" spans="1:17" s="622" customFormat="1" ht="12" customHeight="1" x14ac:dyDescent="0.25">
      <c r="A15" s="623" t="s">
        <v>10</v>
      </c>
      <c r="B15" s="624">
        <f t="shared" ref="B15" si="5">B16+B17</f>
        <v>0</v>
      </c>
      <c r="C15" s="624">
        <f t="shared" ref="C15:N15" si="6">C16+C17</f>
        <v>10890.83</v>
      </c>
      <c r="D15" s="624">
        <f t="shared" si="6"/>
        <v>7273.3599999999988</v>
      </c>
      <c r="E15" s="624">
        <f t="shared" si="6"/>
        <v>8479.4700000000012</v>
      </c>
      <c r="F15" s="624">
        <f t="shared" si="6"/>
        <v>7694.7100000000009</v>
      </c>
      <c r="G15" s="624">
        <f t="shared" si="6"/>
        <v>7966.04</v>
      </c>
      <c r="H15" s="624">
        <f t="shared" si="6"/>
        <v>7907.44</v>
      </c>
      <c r="I15" s="624">
        <f t="shared" si="6"/>
        <v>8174.74</v>
      </c>
      <c r="J15" s="624">
        <f t="shared" si="6"/>
        <v>8125.9900000000007</v>
      </c>
      <c r="K15" s="624">
        <f t="shared" si="6"/>
        <v>8236.3900000000012</v>
      </c>
      <c r="L15" s="624">
        <f t="shared" si="6"/>
        <v>8497.39</v>
      </c>
      <c r="M15" s="624">
        <f t="shared" si="6"/>
        <v>8241.86</v>
      </c>
      <c r="N15" s="624">
        <f t="shared" si="6"/>
        <v>8495.67</v>
      </c>
      <c r="O15" s="624">
        <f>SUM(C15:N15)</f>
        <v>99983.89</v>
      </c>
    </row>
    <row r="16" spans="1:17" s="618" customFormat="1" ht="12" customHeight="1" x14ac:dyDescent="0.25">
      <c r="A16" s="625" t="s">
        <v>1184</v>
      </c>
      <c r="B16" s="626"/>
      <c r="C16" s="628">
        <v>9513.61</v>
      </c>
      <c r="D16" s="628">
        <v>4388.329999999999</v>
      </c>
      <c r="E16" s="628">
        <v>4654.7700000000004</v>
      </c>
      <c r="F16" s="628">
        <v>4101.3900000000003</v>
      </c>
      <c r="G16" s="628">
        <v>4229.79</v>
      </c>
      <c r="H16" s="628">
        <v>4213.32</v>
      </c>
      <c r="I16" s="628">
        <v>4339.58</v>
      </c>
      <c r="J16" s="628">
        <v>4328.3</v>
      </c>
      <c r="K16" s="628">
        <v>4386.4600000000009</v>
      </c>
      <c r="L16" s="628">
        <v>4509.3499999999995</v>
      </c>
      <c r="M16" s="628">
        <v>4284.09</v>
      </c>
      <c r="N16" s="628">
        <v>4401.8100000000004</v>
      </c>
      <c r="O16" s="627">
        <f t="shared" ref="O16:O23" si="7">SUM(C16:N16)</f>
        <v>57350.8</v>
      </c>
    </row>
    <row r="17" spans="1:15" s="618" customFormat="1" ht="12" customHeight="1" x14ac:dyDescent="0.25">
      <c r="A17" s="625" t="s">
        <v>448</v>
      </c>
      <c r="B17" s="626"/>
      <c r="C17" s="627">
        <f t="shared" ref="C17:I17" si="8">SUM(C18:C20)</f>
        <v>1377.2199999999998</v>
      </c>
      <c r="D17" s="627">
        <f t="shared" si="8"/>
        <v>2885.0299999999997</v>
      </c>
      <c r="E17" s="627">
        <f t="shared" si="8"/>
        <v>3824.7</v>
      </c>
      <c r="F17" s="627">
        <f t="shared" si="8"/>
        <v>3593.3200000000006</v>
      </c>
      <c r="G17" s="627">
        <f t="shared" si="8"/>
        <v>3736.25</v>
      </c>
      <c r="H17" s="627">
        <f t="shared" si="8"/>
        <v>3694.12</v>
      </c>
      <c r="I17" s="627">
        <f t="shared" si="8"/>
        <v>3835.1599999999994</v>
      </c>
      <c r="J17" s="627">
        <f t="shared" ref="J17:N17" si="9">SUM(J18:J20)</f>
        <v>3797.6900000000005</v>
      </c>
      <c r="K17" s="627">
        <f t="shared" si="9"/>
        <v>3849.9300000000003</v>
      </c>
      <c r="L17" s="627">
        <f t="shared" si="9"/>
        <v>3988.04</v>
      </c>
      <c r="M17" s="627">
        <f t="shared" si="9"/>
        <v>3957.7699999999995</v>
      </c>
      <c r="N17" s="627">
        <f t="shared" si="9"/>
        <v>4093.86</v>
      </c>
      <c r="O17" s="627">
        <f t="shared" si="7"/>
        <v>42633.09</v>
      </c>
    </row>
    <row r="18" spans="1:15" s="618" customFormat="1" ht="12" customHeight="1" x14ac:dyDescent="0.25">
      <c r="A18" s="625" t="s">
        <v>1181</v>
      </c>
      <c r="B18" s="626"/>
      <c r="C18" s="628">
        <v>308.95</v>
      </c>
      <c r="D18" s="628">
        <v>313.25</v>
      </c>
      <c r="E18" s="628">
        <v>355.78</v>
      </c>
      <c r="F18" s="628">
        <v>322.58999999999997</v>
      </c>
      <c r="G18" s="628">
        <v>339.5</v>
      </c>
      <c r="H18" s="628">
        <v>331.82</v>
      </c>
      <c r="I18" s="628">
        <v>348.56</v>
      </c>
      <c r="J18" s="628">
        <v>341.31</v>
      </c>
      <c r="K18" s="628">
        <v>346.07000000000005</v>
      </c>
      <c r="L18" s="628">
        <v>362.54</v>
      </c>
      <c r="M18" s="628">
        <v>355.95000000000005</v>
      </c>
      <c r="N18" s="628">
        <v>372.25</v>
      </c>
      <c r="O18" s="627">
        <f t="shared" si="7"/>
        <v>4098.57</v>
      </c>
    </row>
    <row r="19" spans="1:15" s="618" customFormat="1" ht="12" customHeight="1" x14ac:dyDescent="0.25">
      <c r="A19" s="625" t="s">
        <v>1182</v>
      </c>
      <c r="B19" s="626"/>
      <c r="C19" s="628">
        <v>673.94999999999993</v>
      </c>
      <c r="D19" s="628">
        <v>951.92</v>
      </c>
      <c r="E19" s="628">
        <v>1375.9</v>
      </c>
      <c r="F19" s="628">
        <v>1260.2600000000002</v>
      </c>
      <c r="G19" s="628">
        <v>1321.03</v>
      </c>
      <c r="H19" s="628">
        <v>1295.3999999999999</v>
      </c>
      <c r="I19" s="628">
        <v>1355.5099999999998</v>
      </c>
      <c r="J19" s="628">
        <v>1331.49</v>
      </c>
      <c r="K19" s="628">
        <v>1349.63</v>
      </c>
      <c r="L19" s="628">
        <v>1408.7199999999998</v>
      </c>
      <c r="M19" s="628">
        <v>1387.19</v>
      </c>
      <c r="N19" s="628">
        <v>1445.58</v>
      </c>
      <c r="O19" s="627">
        <f t="shared" si="7"/>
        <v>15156.58</v>
      </c>
    </row>
    <row r="20" spans="1:15" s="618" customFormat="1" ht="12" customHeight="1" x14ac:dyDescent="0.25">
      <c r="A20" s="625" t="s">
        <v>1185</v>
      </c>
      <c r="B20" s="626"/>
      <c r="C20" s="628">
        <v>394.32</v>
      </c>
      <c r="D20" s="628">
        <v>1619.86</v>
      </c>
      <c r="E20" s="628">
        <v>2093.02</v>
      </c>
      <c r="F20" s="628">
        <v>2010.4700000000003</v>
      </c>
      <c r="G20" s="628">
        <v>2075.7199999999998</v>
      </c>
      <c r="H20" s="628">
        <v>2066.9</v>
      </c>
      <c r="I20" s="628">
        <v>2131.0899999999997</v>
      </c>
      <c r="J20" s="628">
        <v>2124.8900000000003</v>
      </c>
      <c r="K20" s="628">
        <v>2154.23</v>
      </c>
      <c r="L20" s="628">
        <v>2216.7800000000002</v>
      </c>
      <c r="M20" s="628">
        <v>2214.6299999999997</v>
      </c>
      <c r="N20" s="628">
        <v>2276.0300000000002</v>
      </c>
      <c r="O20" s="627">
        <f t="shared" si="7"/>
        <v>23377.94</v>
      </c>
    </row>
    <row r="21" spans="1:15" s="622" customFormat="1" ht="12" customHeight="1" x14ac:dyDescent="0.25">
      <c r="A21" s="623" t="s">
        <v>11</v>
      </c>
      <c r="B21" s="624">
        <f t="shared" ref="B21" si="10">B22+B23</f>
        <v>0</v>
      </c>
      <c r="C21" s="624">
        <f t="shared" ref="C21:N21" si="11">C22+C23</f>
        <v>10136.530000000001</v>
      </c>
      <c r="D21" s="624">
        <f t="shared" si="11"/>
        <v>10808.780000000002</v>
      </c>
      <c r="E21" s="624">
        <f t="shared" si="11"/>
        <v>11802.5</v>
      </c>
      <c r="F21" s="624">
        <f t="shared" si="11"/>
        <v>11564.509999999997</v>
      </c>
      <c r="G21" s="624">
        <f t="shared" si="11"/>
        <v>11856.620000000003</v>
      </c>
      <c r="H21" s="624">
        <f t="shared" si="11"/>
        <v>11530.539999999999</v>
      </c>
      <c r="I21" s="624">
        <f t="shared" si="11"/>
        <v>11817.84</v>
      </c>
      <c r="J21" s="624">
        <f t="shared" si="11"/>
        <v>11833.960000000001</v>
      </c>
      <c r="K21" s="624">
        <f t="shared" si="11"/>
        <v>11706.559999999998</v>
      </c>
      <c r="L21" s="624">
        <f t="shared" si="11"/>
        <v>11989.039999999999</v>
      </c>
      <c r="M21" s="624">
        <f t="shared" si="11"/>
        <v>11484.629999999997</v>
      </c>
      <c r="N21" s="624">
        <f t="shared" si="11"/>
        <v>11759.01</v>
      </c>
      <c r="O21" s="624">
        <f t="shared" si="7"/>
        <v>138290.51999999999</v>
      </c>
    </row>
    <row r="22" spans="1:15" s="618" customFormat="1" ht="12" customHeight="1" x14ac:dyDescent="0.25">
      <c r="A22" s="625" t="s">
        <v>1184</v>
      </c>
      <c r="B22" s="626"/>
      <c r="C22" s="628">
        <v>7844.7300000000005</v>
      </c>
      <c r="D22" s="628">
        <v>8350.0600000000013</v>
      </c>
      <c r="E22" s="628">
        <v>9039.11</v>
      </c>
      <c r="F22" s="628">
        <v>8956.2299999999959</v>
      </c>
      <c r="G22" s="628">
        <v>9135.0700000000015</v>
      </c>
      <c r="H22" s="628">
        <v>8840.5299999999988</v>
      </c>
      <c r="I22" s="628">
        <v>9016.01</v>
      </c>
      <c r="J22" s="628">
        <v>9059.77</v>
      </c>
      <c r="K22" s="628">
        <v>8889.8599999999988</v>
      </c>
      <c r="L22" s="628">
        <v>9062.6999999999989</v>
      </c>
      <c r="M22" s="628">
        <v>8579.5699999999979</v>
      </c>
      <c r="N22" s="628">
        <v>8746.16</v>
      </c>
      <c r="O22" s="627">
        <f t="shared" si="7"/>
        <v>105519.79999999999</v>
      </c>
    </row>
    <row r="23" spans="1:15" s="618" customFormat="1" ht="12" customHeight="1" x14ac:dyDescent="0.25">
      <c r="A23" s="625" t="s">
        <v>448</v>
      </c>
      <c r="B23" s="626"/>
      <c r="C23" s="627">
        <f>C24+C25+C26</f>
        <v>2291.8000000000002</v>
      </c>
      <c r="D23" s="627">
        <f t="shared" ref="D23:N23" si="12">D24+D25+D26</f>
        <v>2458.7200000000003</v>
      </c>
      <c r="E23" s="627">
        <f t="shared" si="12"/>
        <v>2763.3900000000003</v>
      </c>
      <c r="F23" s="627">
        <f t="shared" si="12"/>
        <v>2608.2800000000002</v>
      </c>
      <c r="G23" s="627">
        <f t="shared" si="12"/>
        <v>2721.55</v>
      </c>
      <c r="H23" s="627">
        <f t="shared" si="12"/>
        <v>2690.01</v>
      </c>
      <c r="I23" s="627">
        <f t="shared" si="12"/>
        <v>2801.8300000000004</v>
      </c>
      <c r="J23" s="627">
        <f t="shared" si="12"/>
        <v>2774.19</v>
      </c>
      <c r="K23" s="627">
        <f t="shared" si="12"/>
        <v>2816.7</v>
      </c>
      <c r="L23" s="627">
        <f t="shared" si="12"/>
        <v>2926.34</v>
      </c>
      <c r="M23" s="627">
        <f t="shared" si="12"/>
        <v>2905.06</v>
      </c>
      <c r="N23" s="627">
        <f t="shared" si="12"/>
        <v>3012.85</v>
      </c>
      <c r="O23" s="627">
        <f t="shared" si="7"/>
        <v>32770.720000000001</v>
      </c>
    </row>
    <row r="24" spans="1:15" s="618" customFormat="1" ht="12" customHeight="1" x14ac:dyDescent="0.25">
      <c r="A24" s="625" t="s">
        <v>1181</v>
      </c>
      <c r="B24" s="626"/>
      <c r="C24" s="628">
        <v>1134.29</v>
      </c>
      <c r="D24" s="628">
        <v>1151.68</v>
      </c>
      <c r="E24" s="628">
        <v>1232.81</v>
      </c>
      <c r="F24" s="628">
        <v>1188.22</v>
      </c>
      <c r="G24" s="628">
        <v>1226.4000000000001</v>
      </c>
      <c r="H24" s="628">
        <v>1225.25</v>
      </c>
      <c r="I24" s="628">
        <v>1262.78</v>
      </c>
      <c r="J24" s="628">
        <v>1263.3900000000001</v>
      </c>
      <c r="K24" s="628">
        <v>1282.76</v>
      </c>
      <c r="L24" s="628">
        <v>1319.29</v>
      </c>
      <c r="M24" s="628">
        <v>1322.95</v>
      </c>
      <c r="N24" s="628">
        <v>1358.4799999999998</v>
      </c>
      <c r="O24" s="627">
        <f t="shared" ref="O24:O26" si="13">SUM(C24:N24)</f>
        <v>14968.3</v>
      </c>
    </row>
    <row r="25" spans="1:15" s="618" customFormat="1" ht="12" customHeight="1" x14ac:dyDescent="0.25">
      <c r="A25" s="625" t="s">
        <v>1182</v>
      </c>
      <c r="B25" s="626"/>
      <c r="C25" s="628">
        <v>906.34</v>
      </c>
      <c r="D25" s="628">
        <v>1052.05</v>
      </c>
      <c r="E25" s="628">
        <v>1229.74</v>
      </c>
      <c r="F25" s="628">
        <v>1156.58</v>
      </c>
      <c r="G25" s="628">
        <v>1213.94</v>
      </c>
      <c r="H25" s="628">
        <v>1192.97</v>
      </c>
      <c r="I25" s="628">
        <v>1249.69</v>
      </c>
      <c r="J25" s="628">
        <v>1230.45</v>
      </c>
      <c r="K25" s="628">
        <v>1249.3200000000002</v>
      </c>
      <c r="L25" s="628">
        <v>1305.08</v>
      </c>
      <c r="M25" s="628">
        <v>1288.54</v>
      </c>
      <c r="N25" s="628">
        <v>1343.6000000000001</v>
      </c>
      <c r="O25" s="627">
        <f t="shared" si="13"/>
        <v>14418.300000000001</v>
      </c>
    </row>
    <row r="26" spans="1:15" s="618" customFormat="1" ht="12.75" customHeight="1" x14ac:dyDescent="0.25">
      <c r="A26" s="625" t="s">
        <v>1185</v>
      </c>
      <c r="B26" s="626"/>
      <c r="C26" s="628">
        <v>251.17</v>
      </c>
      <c r="D26" s="628">
        <v>254.99</v>
      </c>
      <c r="E26" s="628">
        <v>300.84000000000003</v>
      </c>
      <c r="F26" s="628">
        <v>263.48</v>
      </c>
      <c r="G26" s="628">
        <v>281.20999999999998</v>
      </c>
      <c r="H26" s="628">
        <v>271.78999999999996</v>
      </c>
      <c r="I26" s="628">
        <v>289.36</v>
      </c>
      <c r="J26" s="628">
        <v>280.35000000000002</v>
      </c>
      <c r="K26" s="628">
        <v>284.62</v>
      </c>
      <c r="L26" s="628">
        <v>301.97000000000003</v>
      </c>
      <c r="M26" s="628">
        <v>293.57000000000005</v>
      </c>
      <c r="N26" s="628">
        <v>310.77</v>
      </c>
      <c r="O26" s="627">
        <f t="shared" si="13"/>
        <v>3384.12</v>
      </c>
    </row>
    <row r="27" spans="1:15" s="618" customFormat="1" ht="12.75" customHeight="1" x14ac:dyDescent="0.25">
      <c r="A27" s="631" t="s">
        <v>66</v>
      </c>
      <c r="B27" s="632">
        <f t="shared" ref="B27" si="14">B6+B10+B11+B15+B21</f>
        <v>0</v>
      </c>
      <c r="C27" s="632">
        <f t="shared" ref="C27:O27" si="15">C6+C10+C11+C15+C21</f>
        <v>653294.64999999979</v>
      </c>
      <c r="D27" s="632">
        <f t="shared" si="15"/>
        <v>654499.51999999909</v>
      </c>
      <c r="E27" s="632">
        <f t="shared" si="15"/>
        <v>714310.42999999889</v>
      </c>
      <c r="F27" s="632">
        <f t="shared" si="15"/>
        <v>981352.92999999993</v>
      </c>
      <c r="G27" s="632">
        <f t="shared" si="15"/>
        <v>706418.77999999956</v>
      </c>
      <c r="H27" s="632">
        <f t="shared" si="15"/>
        <v>668712.15000000037</v>
      </c>
      <c r="I27" s="632">
        <f t="shared" si="15"/>
        <v>664873.69999999949</v>
      </c>
      <c r="J27" s="632">
        <f t="shared" si="15"/>
        <v>653222.27999999968</v>
      </c>
      <c r="K27" s="632">
        <f t="shared" si="15"/>
        <v>641504.56000000006</v>
      </c>
      <c r="L27" s="632">
        <f t="shared" si="15"/>
        <v>646112.5499999997</v>
      </c>
      <c r="M27" s="632">
        <f t="shared" si="15"/>
        <v>625184.00999999989</v>
      </c>
      <c r="N27" s="632">
        <f t="shared" si="15"/>
        <v>632338.85999999929</v>
      </c>
      <c r="O27" s="632">
        <f t="shared" si="15"/>
        <v>8241824.4199999953</v>
      </c>
    </row>
    <row r="28" spans="1:15" ht="15" customHeight="1" x14ac:dyDescent="0.25">
      <c r="A28" s="613" t="s">
        <v>1186</v>
      </c>
      <c r="C28" s="613"/>
    </row>
    <row r="29" spans="1:15" ht="15" customHeight="1" x14ac:dyDescent="0.25">
      <c r="A29" s="613"/>
      <c r="B29" s="615" t="s">
        <v>1187</v>
      </c>
      <c r="C29" s="615" t="s">
        <v>1188</v>
      </c>
      <c r="D29" s="615" t="s">
        <v>1189</v>
      </c>
      <c r="E29" s="615" t="s">
        <v>1190</v>
      </c>
      <c r="F29" s="615" t="s">
        <v>1191</v>
      </c>
      <c r="G29" s="615" t="s">
        <v>1192</v>
      </c>
      <c r="H29" s="615" t="s">
        <v>1193</v>
      </c>
      <c r="I29" s="615" t="s">
        <v>1194</v>
      </c>
      <c r="J29" s="615" t="s">
        <v>1195</v>
      </c>
      <c r="K29" s="615" t="s">
        <v>1196</v>
      </c>
      <c r="L29" s="615" t="s">
        <v>1197</v>
      </c>
      <c r="M29" s="615" t="s">
        <v>1198</v>
      </c>
      <c r="N29" s="615" t="s">
        <v>1172</v>
      </c>
      <c r="O29" s="614" t="s">
        <v>1175</v>
      </c>
    </row>
    <row r="30" spans="1:15" ht="15" customHeight="1" x14ac:dyDescent="0.25">
      <c r="A30" s="633" t="str">
        <f>A4</f>
        <v>CORTE: 31/12/2024</v>
      </c>
      <c r="B30" s="105">
        <v>12</v>
      </c>
      <c r="C30" s="105">
        <v>1</v>
      </c>
      <c r="D30" s="105">
        <v>2</v>
      </c>
      <c r="E30" s="105">
        <v>3</v>
      </c>
      <c r="F30" s="105">
        <v>4</v>
      </c>
      <c r="G30" s="105">
        <v>5</v>
      </c>
      <c r="H30" s="105">
        <v>6</v>
      </c>
      <c r="I30" s="105">
        <v>7</v>
      </c>
      <c r="J30" s="105">
        <v>8</v>
      </c>
      <c r="K30" s="105">
        <v>9</v>
      </c>
      <c r="L30" s="105">
        <v>10</v>
      </c>
      <c r="M30" s="105">
        <v>11</v>
      </c>
      <c r="N30" s="105">
        <v>12</v>
      </c>
      <c r="O30" s="634">
        <f>O4</f>
        <v>2025</v>
      </c>
    </row>
    <row r="31" spans="1:15" s="618" customFormat="1" ht="12.75" customHeight="1" x14ac:dyDescent="0.25">
      <c r="A31" s="619" t="s">
        <v>1177</v>
      </c>
      <c r="B31" s="620" t="s">
        <v>846</v>
      </c>
      <c r="C31" s="635" t="str">
        <f t="shared" ref="C31:N31" si="16">C5</f>
        <v>Enero</v>
      </c>
      <c r="D31" s="635" t="str">
        <f t="shared" si="16"/>
        <v>Febrero</v>
      </c>
      <c r="E31" s="635" t="str">
        <f t="shared" si="16"/>
        <v>Marzo</v>
      </c>
      <c r="F31" s="635" t="str">
        <f t="shared" si="16"/>
        <v>Abril</v>
      </c>
      <c r="G31" s="635" t="str">
        <f t="shared" si="16"/>
        <v>Mayo</v>
      </c>
      <c r="H31" s="635" t="str">
        <f t="shared" si="16"/>
        <v>Junio</v>
      </c>
      <c r="I31" s="635" t="str">
        <f t="shared" si="16"/>
        <v>Julio</v>
      </c>
      <c r="J31" s="635" t="str">
        <f t="shared" si="16"/>
        <v>Agosto</v>
      </c>
      <c r="K31" s="635" t="str">
        <f t="shared" si="16"/>
        <v>Septiembre</v>
      </c>
      <c r="L31" s="635" t="str">
        <f t="shared" si="16"/>
        <v>Octubre</v>
      </c>
      <c r="M31" s="635" t="str">
        <f t="shared" si="16"/>
        <v>Noviembre</v>
      </c>
      <c r="N31" s="635" t="str">
        <f t="shared" si="16"/>
        <v>Diciembre</v>
      </c>
      <c r="O31" s="621" t="s">
        <v>62</v>
      </c>
    </row>
    <row r="32" spans="1:15" s="622" customFormat="1" ht="12" customHeight="1" x14ac:dyDescent="0.25">
      <c r="A32" s="623" t="s">
        <v>6</v>
      </c>
      <c r="B32" s="624">
        <f t="shared" ref="B32" si="17">B33+B34+B35</f>
        <v>0</v>
      </c>
      <c r="C32" s="624">
        <f>C33+C34+C35</f>
        <v>6621.1399999999994</v>
      </c>
      <c r="D32" s="624">
        <f t="shared" ref="D32" si="18">D33+D34+D35</f>
        <v>7045.73</v>
      </c>
      <c r="E32" s="624">
        <f t="shared" ref="E32" si="19">E33+E34+E35</f>
        <v>6027.4000000000005</v>
      </c>
      <c r="F32" s="624">
        <f t="shared" ref="F32" si="20">F33+F34+F35</f>
        <v>6502.73</v>
      </c>
      <c r="G32" s="624">
        <f t="shared" ref="G32" si="21">G33+G34+G35</f>
        <v>6132.16</v>
      </c>
      <c r="H32" s="624">
        <f t="shared" ref="H32" si="22">H33+H34+H35</f>
        <v>6166.97</v>
      </c>
      <c r="I32" s="624">
        <f t="shared" ref="I32" si="23">I33+I34+I35</f>
        <v>5804.16</v>
      </c>
      <c r="J32" s="624">
        <f t="shared" ref="J32" si="24">J33+J34+J35</f>
        <v>5824.9299999999994</v>
      </c>
      <c r="K32" s="624">
        <f t="shared" ref="K32" si="25">K33+K34+K35</f>
        <v>5652.37</v>
      </c>
      <c r="L32" s="624">
        <f t="shared" ref="L32" si="26">L33+L34+L35</f>
        <v>5301.44</v>
      </c>
      <c r="M32" s="624">
        <f t="shared" ref="M32" si="27">M33+M34+M35</f>
        <v>5300.7400000000007</v>
      </c>
      <c r="N32" s="624">
        <f t="shared" ref="N32" si="28">N33+N34+N35</f>
        <v>4957.9800000000005</v>
      </c>
      <c r="O32" s="624">
        <f>SUM(C32:N32)</f>
        <v>71337.75</v>
      </c>
    </row>
    <row r="33" spans="1:15" s="618" customFormat="1" ht="12" customHeight="1" x14ac:dyDescent="0.25">
      <c r="A33" s="625" t="s">
        <v>1178</v>
      </c>
      <c r="B33" s="626"/>
      <c r="C33" s="626"/>
      <c r="D33" s="626"/>
      <c r="E33" s="626"/>
      <c r="F33" s="626"/>
      <c r="G33" s="626"/>
      <c r="H33" s="626"/>
      <c r="I33" s="626"/>
      <c r="J33" s="626"/>
      <c r="K33" s="626"/>
      <c r="L33" s="626"/>
      <c r="M33" s="626"/>
      <c r="N33" s="626"/>
      <c r="O33" s="627">
        <f t="shared" ref="O33:O35" si="29">SUM(C33:N33)</f>
        <v>0</v>
      </c>
    </row>
    <row r="34" spans="1:15" s="618" customFormat="1" ht="12" customHeight="1" x14ac:dyDescent="0.25">
      <c r="A34" s="625" t="s">
        <v>1179</v>
      </c>
      <c r="B34" s="626"/>
      <c r="C34" s="628">
        <v>1285.5800000000002</v>
      </c>
      <c r="D34" s="628">
        <v>1256.2499999999998</v>
      </c>
      <c r="E34" s="628">
        <v>1107.92</v>
      </c>
      <c r="F34" s="628">
        <v>1195.57</v>
      </c>
      <c r="G34" s="628">
        <v>1127.77</v>
      </c>
      <c r="H34" s="628">
        <v>1134.5</v>
      </c>
      <c r="I34" s="628">
        <v>1068.0899999999999</v>
      </c>
      <c r="J34" s="628">
        <v>1072.2299999999998</v>
      </c>
      <c r="K34" s="628">
        <v>1040.82</v>
      </c>
      <c r="L34" s="628">
        <v>976.53000000000009</v>
      </c>
      <c r="M34" s="628">
        <v>976.75</v>
      </c>
      <c r="N34" s="628">
        <v>913.94</v>
      </c>
      <c r="O34" s="627">
        <f t="shared" si="29"/>
        <v>13155.95</v>
      </c>
    </row>
    <row r="35" spans="1:15" s="618" customFormat="1" ht="12" customHeight="1" x14ac:dyDescent="0.25">
      <c r="A35" s="625" t="s">
        <v>1180</v>
      </c>
      <c r="B35" s="626"/>
      <c r="C35" s="628">
        <v>5335.5599999999995</v>
      </c>
      <c r="D35" s="628">
        <v>5789.48</v>
      </c>
      <c r="E35" s="628">
        <v>4919.4800000000005</v>
      </c>
      <c r="F35" s="628">
        <v>5307.16</v>
      </c>
      <c r="G35" s="628">
        <v>5004.3899999999994</v>
      </c>
      <c r="H35" s="628">
        <v>5032.47</v>
      </c>
      <c r="I35" s="628">
        <v>4736.07</v>
      </c>
      <c r="J35" s="628">
        <v>4752.7</v>
      </c>
      <c r="K35" s="628">
        <v>4611.55</v>
      </c>
      <c r="L35" s="628">
        <v>4324.91</v>
      </c>
      <c r="M35" s="628">
        <v>4323.9900000000007</v>
      </c>
      <c r="N35" s="628">
        <v>4044.0400000000004</v>
      </c>
      <c r="O35" s="627">
        <f t="shared" si="29"/>
        <v>58181.8</v>
      </c>
    </row>
    <row r="36" spans="1:15" s="622" customFormat="1" ht="12" customHeight="1" x14ac:dyDescent="0.25">
      <c r="A36" s="636" t="str">
        <f>$A$10</f>
        <v>CONSUMO</v>
      </c>
      <c r="B36" s="629"/>
      <c r="C36" s="630">
        <v>187213.68999999992</v>
      </c>
      <c r="D36" s="630">
        <v>227028.50999999986</v>
      </c>
      <c r="E36" s="630">
        <v>180312.9599999997</v>
      </c>
      <c r="F36" s="630">
        <v>220897.13999999972</v>
      </c>
      <c r="G36" s="630">
        <v>184316.36000000013</v>
      </c>
      <c r="H36" s="630">
        <v>185526.12999999971</v>
      </c>
      <c r="I36" s="630">
        <v>175649.97000000023</v>
      </c>
      <c r="J36" s="630">
        <v>177756.4200000001</v>
      </c>
      <c r="K36" s="630">
        <v>172144.88999999984</v>
      </c>
      <c r="L36" s="630">
        <v>163137.81000000003</v>
      </c>
      <c r="M36" s="630">
        <v>164233.45999999993</v>
      </c>
      <c r="N36" s="630">
        <v>156455.91999999993</v>
      </c>
      <c r="O36" s="624">
        <f t="shared" ref="O36:O37" si="30">SUM(C36:N36)</f>
        <v>2194673.2599999988</v>
      </c>
    </row>
    <row r="37" spans="1:15" s="622" customFormat="1" ht="12" customHeight="1" x14ac:dyDescent="0.25">
      <c r="A37" s="636" t="str">
        <f>$A$11</f>
        <v>MICROCREDITO</v>
      </c>
      <c r="B37" s="624">
        <f t="shared" ref="B37" si="31">B38+B39+B40</f>
        <v>0</v>
      </c>
      <c r="C37" s="624">
        <f t="shared" ref="C37:N37" si="32">C38+C39+C40</f>
        <v>75567.309999999954</v>
      </c>
      <c r="D37" s="624">
        <f t="shared" si="32"/>
        <v>80853.810000000027</v>
      </c>
      <c r="E37" s="624">
        <f t="shared" si="32"/>
        <v>68003.170000000042</v>
      </c>
      <c r="F37" s="624">
        <f t="shared" si="32"/>
        <v>73256.709999999977</v>
      </c>
      <c r="G37" s="624">
        <f t="shared" si="32"/>
        <v>69358.14999999998</v>
      </c>
      <c r="H37" s="624">
        <f t="shared" si="32"/>
        <v>70004.179999999993</v>
      </c>
      <c r="I37" s="624">
        <f t="shared" si="32"/>
        <v>66337.670000000013</v>
      </c>
      <c r="J37" s="624">
        <f t="shared" si="32"/>
        <v>67024.819999999992</v>
      </c>
      <c r="K37" s="624">
        <f t="shared" si="32"/>
        <v>65510.960000000021</v>
      </c>
      <c r="L37" s="624">
        <f t="shared" si="32"/>
        <v>61962.769999999975</v>
      </c>
      <c r="M37" s="624">
        <f t="shared" si="32"/>
        <v>62463.260000000024</v>
      </c>
      <c r="N37" s="624">
        <f t="shared" si="32"/>
        <v>58995.819999999971</v>
      </c>
      <c r="O37" s="624">
        <f t="shared" si="30"/>
        <v>819338.63</v>
      </c>
    </row>
    <row r="38" spans="1:15" s="618" customFormat="1" ht="12" customHeight="1" x14ac:dyDescent="0.25">
      <c r="A38" s="625" t="s">
        <v>1181</v>
      </c>
      <c r="B38" s="626"/>
      <c r="C38" s="628">
        <v>46286.419999999955</v>
      </c>
      <c r="D38" s="628">
        <v>45421.560000000027</v>
      </c>
      <c r="E38" s="628">
        <v>40055.690000000017</v>
      </c>
      <c r="F38" s="628">
        <v>42836.179999999986</v>
      </c>
      <c r="G38" s="628">
        <v>40319.209999999985</v>
      </c>
      <c r="H38" s="628">
        <v>40446.249999999985</v>
      </c>
      <c r="I38" s="628">
        <v>38145.780000000006</v>
      </c>
      <c r="J38" s="628">
        <v>38347.880000000005</v>
      </c>
      <c r="K38" s="628">
        <v>37281.470000000023</v>
      </c>
      <c r="L38" s="628">
        <v>35072.999999999978</v>
      </c>
      <c r="M38" s="628">
        <v>35153.500000000022</v>
      </c>
      <c r="N38" s="628">
        <v>33009.189999999973</v>
      </c>
      <c r="O38" s="627">
        <f t="shared" ref="O38:O40" si="33">SUM(C38:N38)</f>
        <v>472376.13</v>
      </c>
    </row>
    <row r="39" spans="1:15" s="618" customFormat="1" ht="12" customHeight="1" x14ac:dyDescent="0.25">
      <c r="A39" s="625" t="s">
        <v>1182</v>
      </c>
      <c r="B39" s="626"/>
      <c r="C39" s="628">
        <v>23965.089999999993</v>
      </c>
      <c r="D39" s="628">
        <v>30147.430000000004</v>
      </c>
      <c r="E39" s="628">
        <v>23676.640000000021</v>
      </c>
      <c r="F39" s="628">
        <v>25771.55</v>
      </c>
      <c r="G39" s="628">
        <v>24604.239999999994</v>
      </c>
      <c r="H39" s="628">
        <v>25045.1</v>
      </c>
      <c r="I39" s="628">
        <v>23890.929999999997</v>
      </c>
      <c r="J39" s="628">
        <v>24304.37</v>
      </c>
      <c r="K39" s="628">
        <v>23927.489999999998</v>
      </c>
      <c r="L39" s="628">
        <v>22795.939999999991</v>
      </c>
      <c r="M39" s="628">
        <v>23154.32</v>
      </c>
      <c r="N39" s="628">
        <v>22036.73</v>
      </c>
      <c r="O39" s="628">
        <v>53642.670000000006</v>
      </c>
    </row>
    <row r="40" spans="1:15" s="618" customFormat="1" ht="12" customHeight="1" x14ac:dyDescent="0.25">
      <c r="A40" s="625" t="s">
        <v>1183</v>
      </c>
      <c r="B40" s="626"/>
      <c r="C40" s="628">
        <v>5315.7999999999993</v>
      </c>
      <c r="D40" s="628">
        <v>5284.8199999999988</v>
      </c>
      <c r="E40" s="628">
        <v>4270.84</v>
      </c>
      <c r="F40" s="628">
        <v>4648.9800000000005</v>
      </c>
      <c r="G40" s="628">
        <v>4434.7000000000016</v>
      </c>
      <c r="H40" s="628">
        <v>4512.8300000000017</v>
      </c>
      <c r="I40" s="628">
        <v>4300.9599999999991</v>
      </c>
      <c r="J40" s="628">
        <v>4372.5699999999988</v>
      </c>
      <c r="K40" s="628">
        <v>4301.9999999999991</v>
      </c>
      <c r="L40" s="628">
        <v>4093.8299999999995</v>
      </c>
      <c r="M40" s="628">
        <v>4155.4399999999996</v>
      </c>
      <c r="N40" s="628">
        <v>3949.9000000000005</v>
      </c>
      <c r="O40" s="627">
        <f t="shared" si="33"/>
        <v>53642.670000000006</v>
      </c>
    </row>
    <row r="41" spans="1:15" s="622" customFormat="1" ht="12" customHeight="1" x14ac:dyDescent="0.25">
      <c r="A41" s="636" t="str">
        <f>$A$15</f>
        <v>REFINANCIADA</v>
      </c>
      <c r="B41" s="624">
        <f t="shared" ref="B41" si="34">B42+B43</f>
        <v>0</v>
      </c>
      <c r="C41" s="624">
        <f t="shared" ref="C41" si="35">C42+C43</f>
        <v>6135.6900000000005</v>
      </c>
      <c r="D41" s="624">
        <f t="shared" ref="D41" si="36">D42+D43</f>
        <v>6258.93</v>
      </c>
      <c r="E41" s="624">
        <f t="shared" ref="E41" si="37">E42+E43</f>
        <v>4927.1000000000004</v>
      </c>
      <c r="F41" s="624">
        <f t="shared" ref="F41" si="38">F42+F43</f>
        <v>5319.65</v>
      </c>
      <c r="G41" s="624">
        <f t="shared" ref="G41" si="39">G42+G43</f>
        <v>5046.8999999999996</v>
      </c>
      <c r="H41" s="624">
        <f t="shared" ref="H41" si="40">H42+H43</f>
        <v>5106.92</v>
      </c>
      <c r="I41" s="624">
        <f t="shared" ref="I41" si="41">I42+I43</f>
        <v>4838.18</v>
      </c>
      <c r="J41" s="624">
        <f t="shared" ref="J41" si="42">J42+J43</f>
        <v>4888.3599999999997</v>
      </c>
      <c r="K41" s="624">
        <f t="shared" ref="K41" si="43">K42+K43</f>
        <v>4777.9699999999993</v>
      </c>
      <c r="L41" s="624">
        <f t="shared" ref="L41" si="44">L42+L43</f>
        <v>4515.5599999999995</v>
      </c>
      <c r="M41" s="624">
        <f t="shared" ref="M41" si="45">M42+M43</f>
        <v>4550.6100000000006</v>
      </c>
      <c r="N41" s="624">
        <f t="shared" ref="N41" si="46">N42+N43</f>
        <v>4295.3899999999994</v>
      </c>
      <c r="O41" s="624">
        <f t="shared" ref="O41:O46" si="47">SUM(C41:N41)</f>
        <v>60661.26</v>
      </c>
    </row>
    <row r="42" spans="1:15" s="618" customFormat="1" ht="12" customHeight="1" x14ac:dyDescent="0.25">
      <c r="A42" s="625" t="s">
        <v>1184</v>
      </c>
      <c r="B42" s="626"/>
      <c r="C42" s="628">
        <v>2834.8100000000004</v>
      </c>
      <c r="D42" s="628">
        <v>2469.15</v>
      </c>
      <c r="E42" s="628">
        <v>2199.7900000000004</v>
      </c>
      <c r="F42" s="628">
        <v>2359.9</v>
      </c>
      <c r="G42" s="628">
        <v>2230.4299999999998</v>
      </c>
      <c r="H42" s="628">
        <v>2247.9700000000003</v>
      </c>
      <c r="I42" s="628">
        <v>2120.6299999999997</v>
      </c>
      <c r="J42" s="628">
        <v>2132.9899999999998</v>
      </c>
      <c r="K42" s="628">
        <v>2074.83</v>
      </c>
      <c r="L42" s="628">
        <v>1950.8899999999996</v>
      </c>
      <c r="M42" s="628">
        <v>1955.3200000000004</v>
      </c>
      <c r="N42" s="628">
        <v>1836.53</v>
      </c>
      <c r="O42" s="627">
        <f t="shared" si="47"/>
        <v>26413.240000000005</v>
      </c>
    </row>
    <row r="43" spans="1:15" s="618" customFormat="1" ht="12" customHeight="1" x14ac:dyDescent="0.25">
      <c r="A43" s="625" t="s">
        <v>448</v>
      </c>
      <c r="B43" s="627">
        <f>B44+B45</f>
        <v>0</v>
      </c>
      <c r="C43" s="627">
        <f>C44+C45+C46</f>
        <v>3300.88</v>
      </c>
      <c r="D43" s="627">
        <f t="shared" ref="D43:N43" si="48">D44+D45+D46</f>
        <v>3789.78</v>
      </c>
      <c r="E43" s="627">
        <f t="shared" si="48"/>
        <v>2727.3100000000004</v>
      </c>
      <c r="F43" s="627">
        <f t="shared" si="48"/>
        <v>2959.75</v>
      </c>
      <c r="G43" s="627">
        <f t="shared" si="48"/>
        <v>2816.4699999999993</v>
      </c>
      <c r="H43" s="627">
        <f t="shared" si="48"/>
        <v>2858.95</v>
      </c>
      <c r="I43" s="627">
        <f t="shared" si="48"/>
        <v>2717.55</v>
      </c>
      <c r="J43" s="627">
        <f t="shared" si="48"/>
        <v>2755.37</v>
      </c>
      <c r="K43" s="627">
        <f t="shared" si="48"/>
        <v>2703.14</v>
      </c>
      <c r="L43" s="627">
        <f t="shared" si="48"/>
        <v>2564.67</v>
      </c>
      <c r="M43" s="627">
        <f t="shared" si="48"/>
        <v>2595.29</v>
      </c>
      <c r="N43" s="627">
        <f t="shared" si="48"/>
        <v>2458.8599999999997</v>
      </c>
      <c r="O43" s="627">
        <f t="shared" si="47"/>
        <v>34248.019999999997</v>
      </c>
    </row>
    <row r="44" spans="1:15" s="618" customFormat="1" ht="12" customHeight="1" x14ac:dyDescent="0.25">
      <c r="A44" s="625" t="s">
        <v>1181</v>
      </c>
      <c r="B44" s="626"/>
      <c r="C44" s="628">
        <v>408.82000000000005</v>
      </c>
      <c r="D44" s="628">
        <v>404.52</v>
      </c>
      <c r="E44" s="628">
        <v>361.42999999999995</v>
      </c>
      <c r="F44" s="628">
        <v>395.18</v>
      </c>
      <c r="G44" s="628">
        <v>378.09000000000003</v>
      </c>
      <c r="H44" s="628">
        <v>385.95</v>
      </c>
      <c r="I44" s="628">
        <v>369.02</v>
      </c>
      <c r="J44" s="628">
        <v>376.46000000000004</v>
      </c>
      <c r="K44" s="628">
        <v>371.7</v>
      </c>
      <c r="L44" s="628">
        <v>355.03999999999996</v>
      </c>
      <c r="M44" s="628">
        <v>361.81999999999994</v>
      </c>
      <c r="N44" s="628">
        <v>345.34000000000003</v>
      </c>
      <c r="O44" s="627">
        <f t="shared" si="47"/>
        <v>4513.37</v>
      </c>
    </row>
    <row r="45" spans="1:15" s="618" customFormat="1" ht="12" customHeight="1" x14ac:dyDescent="0.25">
      <c r="A45" s="625" t="s">
        <v>1182</v>
      </c>
      <c r="B45" s="626"/>
      <c r="C45" s="628">
        <v>1251.71</v>
      </c>
      <c r="D45" s="628">
        <v>1804.92</v>
      </c>
      <c r="E45" s="628">
        <v>1258.7</v>
      </c>
      <c r="F45" s="628">
        <v>1374.84</v>
      </c>
      <c r="G45" s="628">
        <v>1313.8999999999999</v>
      </c>
      <c r="H45" s="628">
        <v>1339.6999999999998</v>
      </c>
      <c r="I45" s="628">
        <v>1279.42</v>
      </c>
      <c r="J45" s="628">
        <v>1303.5999999999999</v>
      </c>
      <c r="K45" s="628">
        <v>1285.47</v>
      </c>
      <c r="L45" s="628">
        <v>1226.21</v>
      </c>
      <c r="M45" s="628">
        <v>1247.8999999999999</v>
      </c>
      <c r="N45" s="628">
        <v>1189.3500000000001</v>
      </c>
      <c r="O45" s="627">
        <f t="shared" si="47"/>
        <v>15875.720000000001</v>
      </c>
    </row>
    <row r="46" spans="1:15" s="618" customFormat="1" ht="12" customHeight="1" x14ac:dyDescent="0.25">
      <c r="A46" s="625" t="s">
        <v>1185</v>
      </c>
      <c r="B46" s="626"/>
      <c r="C46" s="628">
        <v>1640.3500000000001</v>
      </c>
      <c r="D46" s="628">
        <v>1580.3400000000001</v>
      </c>
      <c r="E46" s="628">
        <v>1107.18</v>
      </c>
      <c r="F46" s="628">
        <v>1189.73</v>
      </c>
      <c r="G46" s="628">
        <v>1124.4799999999998</v>
      </c>
      <c r="H46" s="628">
        <v>1133.3</v>
      </c>
      <c r="I46" s="628">
        <v>1069.1099999999999</v>
      </c>
      <c r="J46" s="628">
        <v>1075.31</v>
      </c>
      <c r="K46" s="628">
        <v>1045.9699999999998</v>
      </c>
      <c r="L46" s="628">
        <v>983.42000000000007</v>
      </c>
      <c r="M46" s="628">
        <v>985.56999999999994</v>
      </c>
      <c r="N46" s="628">
        <v>924.16999999999985</v>
      </c>
      <c r="O46" s="627">
        <f t="shared" si="47"/>
        <v>13858.929999999998</v>
      </c>
    </row>
    <row r="47" spans="1:15" s="622" customFormat="1" ht="12" customHeight="1" x14ac:dyDescent="0.25">
      <c r="A47" s="636" t="str">
        <f>$A$21</f>
        <v>REESTRUCTURADA</v>
      </c>
      <c r="B47" s="624">
        <f t="shared" ref="B47" si="49">B48+B49</f>
        <v>0</v>
      </c>
      <c r="C47" s="624">
        <f t="shared" ref="C47" si="50">C48+C49</f>
        <v>5525.62</v>
      </c>
      <c r="D47" s="624">
        <f t="shared" ref="D47" si="51">D48+D49</f>
        <v>6385.53</v>
      </c>
      <c r="E47" s="624">
        <f t="shared" ref="E47" si="52">E48+E49</f>
        <v>5390.09</v>
      </c>
      <c r="F47" s="624">
        <f t="shared" ref="F47" si="53">F48+F49</f>
        <v>5629.8000000000011</v>
      </c>
      <c r="G47" s="624">
        <f t="shared" ref="G47" si="54">G48+G49</f>
        <v>5337.25</v>
      </c>
      <c r="H47" s="624">
        <f t="shared" ref="H47" si="55">H48+H49</f>
        <v>5308.2999999999993</v>
      </c>
      <c r="I47" s="624">
        <f t="shared" ref="I47" si="56">I48+I49</f>
        <v>5020.43</v>
      </c>
      <c r="J47" s="624">
        <f t="shared" ref="J47" si="57">J48+J49</f>
        <v>5004.66</v>
      </c>
      <c r="K47" s="624">
        <f t="shared" ref="K47" si="58">K48+K49</f>
        <v>4825.0299999999988</v>
      </c>
      <c r="L47" s="624">
        <f t="shared" ref="L47" si="59">L48+L49</f>
        <v>4541.67</v>
      </c>
      <c r="M47" s="624">
        <f t="shared" ref="M47" si="60">M48+M49</f>
        <v>4499.1399999999994</v>
      </c>
      <c r="N47" s="624">
        <f t="shared" ref="N47" si="61">N48+N49</f>
        <v>4223.88</v>
      </c>
      <c r="O47" s="624">
        <f t="shared" ref="O47" si="62">SUM(C47:N47)</f>
        <v>61691.399999999987</v>
      </c>
    </row>
    <row r="48" spans="1:15" s="618" customFormat="1" ht="12" customHeight="1" x14ac:dyDescent="0.25">
      <c r="A48" s="625" t="s">
        <v>1184</v>
      </c>
      <c r="B48" s="626"/>
      <c r="C48" s="628">
        <v>3184.08</v>
      </c>
      <c r="D48" s="628">
        <v>3915.0699999999997</v>
      </c>
      <c r="E48" s="628">
        <v>3225.18</v>
      </c>
      <c r="F48" s="628">
        <v>3308.9000000000005</v>
      </c>
      <c r="G48" s="628">
        <v>3129.9099999999994</v>
      </c>
      <c r="H48" s="628">
        <v>3069.1299999999997</v>
      </c>
      <c r="I48" s="628">
        <v>2893.3700000000003</v>
      </c>
      <c r="J48" s="628">
        <v>2849.6700000000005</v>
      </c>
      <c r="K48" s="628">
        <v>2712.5399999999995</v>
      </c>
      <c r="L48" s="628">
        <v>2539.1199999999994</v>
      </c>
      <c r="M48" s="628">
        <v>2474.7299999999991</v>
      </c>
      <c r="N48" s="628">
        <v>2307.86</v>
      </c>
      <c r="O48" s="627">
        <f>SUM(C48:N48)</f>
        <v>35609.56</v>
      </c>
    </row>
    <row r="49" spans="1:15" s="618" customFormat="1" ht="12" customHeight="1" x14ac:dyDescent="0.25">
      <c r="A49" s="625" t="s">
        <v>448</v>
      </c>
      <c r="B49" s="627">
        <f>B50+B51+B52</f>
        <v>0</v>
      </c>
      <c r="C49" s="627">
        <f t="shared" ref="C49:N49" si="63">C50+C51+C52</f>
        <v>2341.54</v>
      </c>
      <c r="D49" s="627">
        <f t="shared" si="63"/>
        <v>2470.46</v>
      </c>
      <c r="E49" s="627">
        <f t="shared" si="63"/>
        <v>2164.91</v>
      </c>
      <c r="F49" s="627">
        <f t="shared" si="63"/>
        <v>2320.9</v>
      </c>
      <c r="G49" s="627">
        <f t="shared" si="63"/>
        <v>2207.34</v>
      </c>
      <c r="H49" s="627">
        <f t="shared" si="63"/>
        <v>2239.17</v>
      </c>
      <c r="I49" s="627">
        <f t="shared" si="63"/>
        <v>2127.06</v>
      </c>
      <c r="J49" s="627">
        <f t="shared" si="63"/>
        <v>2154.9899999999998</v>
      </c>
      <c r="K49" s="627">
        <f t="shared" si="63"/>
        <v>2112.4899999999998</v>
      </c>
      <c r="L49" s="627">
        <f t="shared" si="63"/>
        <v>2002.5500000000002</v>
      </c>
      <c r="M49" s="627">
        <f t="shared" si="63"/>
        <v>2024.4099999999999</v>
      </c>
      <c r="N49" s="627">
        <f t="shared" si="63"/>
        <v>1916.0200000000002</v>
      </c>
      <c r="O49" s="627">
        <f>SUM(C49:N49)</f>
        <v>26081.84</v>
      </c>
    </row>
    <row r="50" spans="1:15" s="618" customFormat="1" ht="12" customHeight="1" x14ac:dyDescent="0.25">
      <c r="A50" s="625" t="s">
        <v>1181</v>
      </c>
      <c r="B50" s="626"/>
      <c r="C50" s="628">
        <v>700.12</v>
      </c>
      <c r="D50" s="628">
        <v>682.72</v>
      </c>
      <c r="E50" s="628">
        <v>600.71</v>
      </c>
      <c r="F50" s="628">
        <v>646.18000000000006</v>
      </c>
      <c r="G50" s="628">
        <v>607.71</v>
      </c>
      <c r="H50" s="628">
        <v>609.15</v>
      </c>
      <c r="I50" s="628">
        <v>571.33000000000004</v>
      </c>
      <c r="J50" s="628">
        <v>571.01</v>
      </c>
      <c r="K50" s="628">
        <v>551.65</v>
      </c>
      <c r="L50" s="628">
        <v>514.82000000000005</v>
      </c>
      <c r="M50" s="628">
        <v>511.74</v>
      </c>
      <c r="N50" s="628">
        <v>475.61</v>
      </c>
      <c r="O50" s="627">
        <f>SUM(C50:N50)</f>
        <v>7042.75</v>
      </c>
    </row>
    <row r="51" spans="1:15" s="618" customFormat="1" ht="12" customHeight="1" x14ac:dyDescent="0.25">
      <c r="A51" s="625" t="s">
        <v>1182</v>
      </c>
      <c r="B51" s="626"/>
      <c r="C51" s="628">
        <v>1200.08</v>
      </c>
      <c r="D51" s="628">
        <v>1350.22</v>
      </c>
      <c r="E51" s="628">
        <v>1172.53</v>
      </c>
      <c r="F51" s="628">
        <v>1245.69</v>
      </c>
      <c r="G51" s="628">
        <v>1188.3300000000002</v>
      </c>
      <c r="H51" s="628">
        <v>1209.3000000000002</v>
      </c>
      <c r="I51" s="628">
        <v>1152.58</v>
      </c>
      <c r="J51" s="628">
        <v>1171.82</v>
      </c>
      <c r="K51" s="628">
        <v>1152.95</v>
      </c>
      <c r="L51" s="628">
        <v>1097.19</v>
      </c>
      <c r="M51" s="628">
        <v>1113.73</v>
      </c>
      <c r="N51" s="628">
        <v>1058.67</v>
      </c>
      <c r="O51" s="627">
        <f>SUM(C51:N51)</f>
        <v>14113.09</v>
      </c>
    </row>
    <row r="52" spans="1:15" s="618" customFormat="1" ht="12.75" customHeight="1" x14ac:dyDescent="0.25">
      <c r="A52" s="625" t="s">
        <v>1185</v>
      </c>
      <c r="B52" s="626"/>
      <c r="C52" s="628">
        <v>441.34000000000003</v>
      </c>
      <c r="D52" s="628">
        <v>437.52000000000004</v>
      </c>
      <c r="E52" s="628">
        <v>391.66999999999996</v>
      </c>
      <c r="F52" s="628">
        <v>429.03</v>
      </c>
      <c r="G52" s="628">
        <v>411.3</v>
      </c>
      <c r="H52" s="628">
        <v>420.71999999999997</v>
      </c>
      <c r="I52" s="628">
        <v>403.15</v>
      </c>
      <c r="J52" s="628">
        <v>412.15999999999997</v>
      </c>
      <c r="K52" s="628">
        <v>407.89</v>
      </c>
      <c r="L52" s="628">
        <v>390.53999999999996</v>
      </c>
      <c r="M52" s="628">
        <v>398.93999999999994</v>
      </c>
      <c r="N52" s="628">
        <v>381.74</v>
      </c>
      <c r="O52" s="627">
        <f>SUM(C52:N52)</f>
        <v>4925.9999999999991</v>
      </c>
    </row>
    <row r="53" spans="1:15" s="618" customFormat="1" ht="12.75" customHeight="1" x14ac:dyDescent="0.25">
      <c r="A53" s="631" t="s">
        <v>66</v>
      </c>
      <c r="B53" s="632">
        <f t="shared" ref="B53:N53" si="64">B32+B36+B37+B41+B47</f>
        <v>0</v>
      </c>
      <c r="C53" s="632">
        <f t="shared" si="64"/>
        <v>281063.44999999984</v>
      </c>
      <c r="D53" s="632">
        <f t="shared" si="64"/>
        <v>327572.50999999995</v>
      </c>
      <c r="E53" s="632">
        <f t="shared" si="64"/>
        <v>264660.71999999974</v>
      </c>
      <c r="F53" s="632">
        <f t="shared" si="64"/>
        <v>311606.02999999974</v>
      </c>
      <c r="G53" s="632">
        <f t="shared" si="64"/>
        <v>270190.82000000012</v>
      </c>
      <c r="H53" s="632">
        <f t="shared" si="64"/>
        <v>272112.49999999971</v>
      </c>
      <c r="I53" s="632">
        <f t="shared" si="64"/>
        <v>257650.41000000024</v>
      </c>
      <c r="J53" s="632">
        <f t="shared" si="64"/>
        <v>260499.19000000009</v>
      </c>
      <c r="K53" s="632">
        <f t="shared" si="64"/>
        <v>252911.21999999986</v>
      </c>
      <c r="L53" s="632">
        <f t="shared" si="64"/>
        <v>239459.25000000003</v>
      </c>
      <c r="M53" s="632">
        <f t="shared" si="64"/>
        <v>241047.20999999996</v>
      </c>
      <c r="N53" s="632">
        <f t="shared" si="64"/>
        <v>228928.98999999993</v>
      </c>
      <c r="O53" s="632">
        <f>O32+O36+O37+O41+O47</f>
        <v>3207702.2999999984</v>
      </c>
    </row>
    <row r="54" spans="1:15" ht="15" customHeight="1" x14ac:dyDescent="0.25">
      <c r="A54" s="613" t="s">
        <v>1199</v>
      </c>
    </row>
    <row r="55" spans="1:15" ht="15" customHeight="1" x14ac:dyDescent="0.25">
      <c r="A55" s="613"/>
      <c r="B55" s="637" t="str">
        <f t="shared" ref="B55:O55" si="65">B3</f>
        <v>2024-12</v>
      </c>
      <c r="C55" s="637" t="str">
        <f t="shared" si="65"/>
        <v>2025-01</v>
      </c>
      <c r="D55" s="637" t="str">
        <f t="shared" si="65"/>
        <v>2025-02</v>
      </c>
      <c r="E55" s="637" t="str">
        <f t="shared" si="65"/>
        <v>2025-03</v>
      </c>
      <c r="F55" s="637" t="str">
        <f t="shared" si="65"/>
        <v>2025-04</v>
      </c>
      <c r="G55" s="637" t="str">
        <f t="shared" si="65"/>
        <v>2025-05</v>
      </c>
      <c r="H55" s="637" t="str">
        <f t="shared" si="65"/>
        <v>2025-06</v>
      </c>
      <c r="I55" s="637" t="str">
        <f t="shared" si="65"/>
        <v>2025-07</v>
      </c>
      <c r="J55" s="637" t="str">
        <f t="shared" si="65"/>
        <v>2025-08</v>
      </c>
      <c r="K55" s="637" t="str">
        <f t="shared" si="65"/>
        <v>2025-09</v>
      </c>
      <c r="L55" s="637" t="str">
        <f t="shared" si="65"/>
        <v>2025-10</v>
      </c>
      <c r="M55" s="637" t="str">
        <f t="shared" si="65"/>
        <v>2025-11</v>
      </c>
      <c r="N55" s="637" t="str">
        <f t="shared" si="65"/>
        <v>2025-12</v>
      </c>
      <c r="O55" s="637" t="str">
        <f t="shared" si="65"/>
        <v>Recuperación</v>
      </c>
    </row>
    <row r="56" spans="1:15" ht="15" customHeight="1" x14ac:dyDescent="0.25">
      <c r="A56" s="638" t="str">
        <f>A30</f>
        <v>CORTE: 31/12/2024</v>
      </c>
      <c r="B56" s="105">
        <v>12</v>
      </c>
      <c r="C56" s="105">
        <v>1</v>
      </c>
      <c r="D56" s="105">
        <v>2</v>
      </c>
      <c r="E56" s="105">
        <v>3</v>
      </c>
      <c r="F56" s="105">
        <v>4</v>
      </c>
      <c r="G56" s="105">
        <v>5</v>
      </c>
      <c r="H56" s="105">
        <v>6</v>
      </c>
      <c r="I56" s="105">
        <v>7</v>
      </c>
      <c r="J56" s="105">
        <v>8</v>
      </c>
      <c r="K56" s="105">
        <v>9</v>
      </c>
      <c r="L56" s="105">
        <v>10</v>
      </c>
      <c r="M56" s="105">
        <v>11</v>
      </c>
      <c r="N56" s="105">
        <v>12</v>
      </c>
      <c r="O56" s="634">
        <f>O4</f>
        <v>2025</v>
      </c>
    </row>
    <row r="57" spans="1:15" s="618" customFormat="1" ht="12.75" customHeight="1" x14ac:dyDescent="0.25">
      <c r="A57" s="619" t="s">
        <v>1177</v>
      </c>
      <c r="B57" s="621" t="s">
        <v>846</v>
      </c>
      <c r="C57" s="635" t="str">
        <f t="shared" ref="C57:N57" si="66">C5</f>
        <v>Enero</v>
      </c>
      <c r="D57" s="635" t="str">
        <f t="shared" si="66"/>
        <v>Febrero</v>
      </c>
      <c r="E57" s="635" t="str">
        <f t="shared" si="66"/>
        <v>Marzo</v>
      </c>
      <c r="F57" s="635" t="str">
        <f t="shared" si="66"/>
        <v>Abril</v>
      </c>
      <c r="G57" s="635" t="str">
        <f t="shared" si="66"/>
        <v>Mayo</v>
      </c>
      <c r="H57" s="635" t="str">
        <f t="shared" si="66"/>
        <v>Junio</v>
      </c>
      <c r="I57" s="635" t="str">
        <f t="shared" si="66"/>
        <v>Julio</v>
      </c>
      <c r="J57" s="635" t="str">
        <f t="shared" si="66"/>
        <v>Agosto</v>
      </c>
      <c r="K57" s="635" t="str">
        <f t="shared" si="66"/>
        <v>Septiembre</v>
      </c>
      <c r="L57" s="635" t="str">
        <f t="shared" si="66"/>
        <v>Octubre</v>
      </c>
      <c r="M57" s="635" t="str">
        <f t="shared" si="66"/>
        <v>Noviembre</v>
      </c>
      <c r="N57" s="635" t="str">
        <f t="shared" si="66"/>
        <v>Diciembre</v>
      </c>
      <c r="O57" s="621" t="s">
        <v>66</v>
      </c>
    </row>
    <row r="58" spans="1:15" s="618" customFormat="1" ht="12" customHeight="1" x14ac:dyDescent="0.25">
      <c r="A58" s="639" t="str">
        <f>$A$6</f>
        <v>PRODUCTIVO</v>
      </c>
      <c r="B58" s="640" t="e">
        <f t="shared" ref="B58:O58" si="67">B32/B53</f>
        <v>#DIV/0!</v>
      </c>
      <c r="C58" s="640">
        <f t="shared" si="67"/>
        <v>2.3557456510264866E-2</v>
      </c>
      <c r="D58" s="640">
        <f t="shared" si="67"/>
        <v>2.1508917216527115E-2</v>
      </c>
      <c r="E58" s="640">
        <f t="shared" si="67"/>
        <v>2.2774063336637212E-2</v>
      </c>
      <c r="F58" s="640">
        <f t="shared" si="67"/>
        <v>2.0868434413801314E-2</v>
      </c>
      <c r="G58" s="640">
        <f t="shared" si="67"/>
        <v>2.2695663753490948E-2</v>
      </c>
      <c r="H58" s="640">
        <f t="shared" si="67"/>
        <v>2.2663310211769056E-2</v>
      </c>
      <c r="I58" s="640">
        <f t="shared" si="67"/>
        <v>2.252726863504698E-2</v>
      </c>
      <c r="J58" s="640">
        <f t="shared" si="67"/>
        <v>2.2360645344041176E-2</v>
      </c>
      <c r="K58" s="640">
        <f t="shared" si="67"/>
        <v>2.2349225945768651E-2</v>
      </c>
      <c r="L58" s="640">
        <f t="shared" si="67"/>
        <v>2.2139215753828673E-2</v>
      </c>
      <c r="M58" s="640">
        <f t="shared" si="67"/>
        <v>2.1990464025698542E-2</v>
      </c>
      <c r="N58" s="640">
        <f t="shared" si="67"/>
        <v>2.1657283334889137E-2</v>
      </c>
      <c r="O58" s="640">
        <f t="shared" si="67"/>
        <v>2.2239517052439695E-2</v>
      </c>
    </row>
    <row r="59" spans="1:15" s="618" customFormat="1" ht="12" customHeight="1" x14ac:dyDescent="0.25">
      <c r="A59" s="639" t="str">
        <f>$A$10</f>
        <v>CONSUMO</v>
      </c>
      <c r="B59" s="640" t="e">
        <f t="shared" ref="B59:O59" si="68">B36/B53</f>
        <v>#DIV/0!</v>
      </c>
      <c r="C59" s="640">
        <f t="shared" si="68"/>
        <v>0.66609048597389675</v>
      </c>
      <c r="D59" s="640">
        <f t="shared" si="68"/>
        <v>0.69306337702147203</v>
      </c>
      <c r="E59" s="640">
        <f t="shared" si="68"/>
        <v>0.68129853194686341</v>
      </c>
      <c r="F59" s="640">
        <f t="shared" si="68"/>
        <v>0.70889879762596353</v>
      </c>
      <c r="G59" s="640">
        <f t="shared" si="68"/>
        <v>0.68217106709991127</v>
      </c>
      <c r="H59" s="640">
        <f t="shared" si="68"/>
        <v>0.6817993660710181</v>
      </c>
      <c r="I59" s="640">
        <f t="shared" si="68"/>
        <v>0.68173759164598291</v>
      </c>
      <c r="J59" s="640">
        <f t="shared" si="68"/>
        <v>0.68236841734517495</v>
      </c>
      <c r="K59" s="640">
        <f t="shared" si="68"/>
        <v>0.6806534324574447</v>
      </c>
      <c r="L59" s="640">
        <f t="shared" si="68"/>
        <v>0.68127587470519513</v>
      </c>
      <c r="M59" s="640">
        <f t="shared" si="68"/>
        <v>0.68133317120741599</v>
      </c>
      <c r="N59" s="640">
        <f t="shared" si="68"/>
        <v>0.68342554606124795</v>
      </c>
      <c r="O59" s="640">
        <f t="shared" si="68"/>
        <v>0.68418857323511595</v>
      </c>
    </row>
    <row r="60" spans="1:15" s="618" customFormat="1" ht="12" customHeight="1" x14ac:dyDescent="0.25">
      <c r="A60" s="639" t="str">
        <f>$A$11</f>
        <v>MICROCREDITO</v>
      </c>
      <c r="B60" s="640" t="e">
        <f t="shared" ref="B60:O60" si="69">B37/B53</f>
        <v>#DIV/0!</v>
      </c>
      <c r="C60" s="640">
        <f t="shared" si="69"/>
        <v>0.26886210213387757</v>
      </c>
      <c r="D60" s="640">
        <f t="shared" si="69"/>
        <v>0.24682721391975182</v>
      </c>
      <c r="E60" s="640">
        <f t="shared" si="69"/>
        <v>0.25694470263664404</v>
      </c>
      <c r="F60" s="640">
        <f t="shared" si="69"/>
        <v>0.23509400636438274</v>
      </c>
      <c r="G60" s="640">
        <f t="shared" si="69"/>
        <v>0.25670061625335733</v>
      </c>
      <c r="H60" s="640">
        <f t="shared" si="69"/>
        <v>0.25726190454315795</v>
      </c>
      <c r="I60" s="640">
        <f t="shared" si="69"/>
        <v>0.25747162599120238</v>
      </c>
      <c r="J60" s="640">
        <f t="shared" si="69"/>
        <v>0.25729377507853274</v>
      </c>
      <c r="K60" s="640">
        <f t="shared" si="69"/>
        <v>0.25902749589361856</v>
      </c>
      <c r="L60" s="640">
        <f t="shared" si="69"/>
        <v>0.25876122972906651</v>
      </c>
      <c r="M60" s="640">
        <f t="shared" si="69"/>
        <v>0.25913288936221263</v>
      </c>
      <c r="N60" s="640">
        <f t="shared" si="69"/>
        <v>0.25770357873854238</v>
      </c>
      <c r="O60" s="640">
        <f t="shared" si="69"/>
        <v>0.25542851342532641</v>
      </c>
    </row>
    <row r="61" spans="1:15" s="618" customFormat="1" ht="12" customHeight="1" x14ac:dyDescent="0.25">
      <c r="A61" s="639" t="str">
        <f>$A$15</f>
        <v>REFINANCIADA</v>
      </c>
      <c r="B61" s="640" t="e">
        <f t="shared" ref="B61:O61" si="70">B41/B53</f>
        <v>#DIV/0!</v>
      </c>
      <c r="C61" s="640">
        <f t="shared" si="70"/>
        <v>2.1830266439837709E-2</v>
      </c>
      <c r="D61" s="640">
        <f t="shared" si="70"/>
        <v>1.9107006262521851E-2</v>
      </c>
      <c r="E61" s="640">
        <f t="shared" si="70"/>
        <v>1.8616665140184025E-2</v>
      </c>
      <c r="F61" s="640">
        <f t="shared" si="70"/>
        <v>1.7071717129479184E-2</v>
      </c>
      <c r="G61" s="640">
        <f t="shared" si="70"/>
        <v>1.8679020997086418E-2</v>
      </c>
      <c r="H61" s="640">
        <f t="shared" si="70"/>
        <v>1.876767880931602E-2</v>
      </c>
      <c r="I61" s="640">
        <f t="shared" si="70"/>
        <v>1.8778079957256794E-2</v>
      </c>
      <c r="J61" s="640">
        <f t="shared" si="70"/>
        <v>1.8765355853889595E-2</v>
      </c>
      <c r="K61" s="640">
        <f t="shared" si="70"/>
        <v>1.8891886251626171E-2</v>
      </c>
      <c r="L61" s="640">
        <f t="shared" si="70"/>
        <v>1.8857321235241482E-2</v>
      </c>
      <c r="M61" s="640">
        <f t="shared" si="70"/>
        <v>1.8878501020609204E-2</v>
      </c>
      <c r="N61" s="640">
        <f t="shared" si="70"/>
        <v>1.8762979734458275E-2</v>
      </c>
      <c r="O61" s="640">
        <f t="shared" si="70"/>
        <v>1.8911125262465918E-2</v>
      </c>
    </row>
    <row r="62" spans="1:15" s="618" customFormat="1" ht="12.75" customHeight="1" x14ac:dyDescent="0.25">
      <c r="A62" s="639" t="str">
        <f>$A$21</f>
        <v>REESTRUCTURADA</v>
      </c>
      <c r="B62" s="640" t="e">
        <f t="shared" ref="B62:O62" si="71">B47/B53</f>
        <v>#DIV/0!</v>
      </c>
      <c r="C62" s="640">
        <f t="shared" si="71"/>
        <v>1.9659688942123221E-2</v>
      </c>
      <c r="D62" s="640">
        <f t="shared" si="71"/>
        <v>1.9493485579727066E-2</v>
      </c>
      <c r="E62" s="640">
        <f t="shared" si="71"/>
        <v>2.036603693967131E-2</v>
      </c>
      <c r="F62" s="640">
        <f t="shared" si="71"/>
        <v>1.8067044466373149E-2</v>
      </c>
      <c r="G62" s="640">
        <f t="shared" si="71"/>
        <v>1.9753631896153975E-2</v>
      </c>
      <c r="H62" s="640">
        <f t="shared" si="71"/>
        <v>1.9507740364738867E-2</v>
      </c>
      <c r="I62" s="640">
        <f t="shared" si="71"/>
        <v>1.9485433770510964E-2</v>
      </c>
      <c r="J62" s="640">
        <f t="shared" si="71"/>
        <v>1.9211806378361476E-2</v>
      </c>
      <c r="K62" s="640">
        <f t="shared" si="71"/>
        <v>1.9077959451541934E-2</v>
      </c>
      <c r="L62" s="640">
        <f t="shared" si="71"/>
        <v>1.8966358576668053E-2</v>
      </c>
      <c r="M62" s="640">
        <f t="shared" si="71"/>
        <v>1.8664974384063605E-2</v>
      </c>
      <c r="N62" s="640">
        <f t="shared" si="71"/>
        <v>1.8450612130862069E-2</v>
      </c>
      <c r="O62" s="640">
        <f t="shared" si="71"/>
        <v>1.9232271024652137E-2</v>
      </c>
    </row>
    <row r="63" spans="1:15" s="618" customFormat="1" ht="12.75" customHeight="1" x14ac:dyDescent="0.25">
      <c r="A63" s="631" t="s">
        <v>66</v>
      </c>
      <c r="B63" s="641" t="e">
        <f t="shared" ref="B63:O63" si="72">+SUM(B58:B62)</f>
        <v>#DIV/0!</v>
      </c>
      <c r="C63" s="641">
        <f t="shared" si="72"/>
        <v>1.0000000000000002</v>
      </c>
      <c r="D63" s="641">
        <f t="shared" si="72"/>
        <v>0.99999999999999989</v>
      </c>
      <c r="E63" s="641">
        <f t="shared" si="72"/>
        <v>1</v>
      </c>
      <c r="F63" s="641">
        <f t="shared" si="72"/>
        <v>0.99999999999999989</v>
      </c>
      <c r="G63" s="641">
        <f t="shared" si="72"/>
        <v>1</v>
      </c>
      <c r="H63" s="641">
        <f t="shared" si="72"/>
        <v>1</v>
      </c>
      <c r="I63" s="641">
        <f t="shared" si="72"/>
        <v>0.99999999999999989</v>
      </c>
      <c r="J63" s="641">
        <f t="shared" si="72"/>
        <v>1</v>
      </c>
      <c r="K63" s="641">
        <f t="shared" si="72"/>
        <v>1</v>
      </c>
      <c r="L63" s="641">
        <f t="shared" si="72"/>
        <v>1</v>
      </c>
      <c r="M63" s="641">
        <f t="shared" si="72"/>
        <v>0.99999999999999989</v>
      </c>
      <c r="N63" s="641">
        <f t="shared" si="72"/>
        <v>0.99999999999999989</v>
      </c>
      <c r="O63" s="641">
        <f t="shared" si="72"/>
        <v>1</v>
      </c>
    </row>
    <row r="64" spans="1:15" ht="15" customHeight="1" x14ac:dyDescent="0.25">
      <c r="A64" s="613" t="s">
        <v>1200</v>
      </c>
    </row>
    <row r="65" spans="1:15" ht="15" customHeight="1" x14ac:dyDescent="0.25">
      <c r="A65" s="613"/>
      <c r="B65" s="615" t="s">
        <v>1188</v>
      </c>
      <c r="C65" s="615" t="s">
        <v>1189</v>
      </c>
      <c r="D65" s="615" t="s">
        <v>1190</v>
      </c>
      <c r="E65" s="615" t="s">
        <v>1191</v>
      </c>
      <c r="F65" s="615" t="s">
        <v>1192</v>
      </c>
      <c r="G65" s="615" t="s">
        <v>1193</v>
      </c>
      <c r="H65" s="615" t="s">
        <v>1194</v>
      </c>
      <c r="I65" s="615" t="s">
        <v>1195</v>
      </c>
      <c r="J65" s="615" t="s">
        <v>1196</v>
      </c>
      <c r="K65" s="615" t="s">
        <v>1197</v>
      </c>
      <c r="L65" s="615" t="s">
        <v>1198</v>
      </c>
      <c r="M65" s="615" t="s">
        <v>1172</v>
      </c>
      <c r="N65" s="615"/>
      <c r="O65" s="614"/>
    </row>
    <row r="66" spans="1:15" s="642" customFormat="1" ht="16.5" customHeight="1" x14ac:dyDescent="0.25">
      <c r="A66" s="616"/>
      <c r="B66" s="105">
        <v>12</v>
      </c>
      <c r="C66" s="105">
        <v>14</v>
      </c>
      <c r="D66" s="105">
        <v>15</v>
      </c>
      <c r="E66" s="105">
        <v>16</v>
      </c>
      <c r="F66" s="105">
        <v>17</v>
      </c>
      <c r="G66" s="105">
        <v>18</v>
      </c>
      <c r="H66" s="105">
        <v>19</v>
      </c>
      <c r="I66" s="105">
        <v>20</v>
      </c>
      <c r="J66" s="105">
        <v>21</v>
      </c>
      <c r="K66" s="105">
        <v>22</v>
      </c>
      <c r="L66" s="105">
        <v>23</v>
      </c>
      <c r="M66" s="105">
        <v>23</v>
      </c>
      <c r="N66" s="643"/>
      <c r="O66" s="644"/>
    </row>
    <row r="67" spans="1:15" s="618" customFormat="1" ht="12.75" customHeight="1" x14ac:dyDescent="0.25">
      <c r="A67" s="619" t="s">
        <v>1177</v>
      </c>
      <c r="B67" s="620" t="s">
        <v>835</v>
      </c>
      <c r="C67" s="620" t="s">
        <v>836</v>
      </c>
      <c r="D67" s="620" t="s">
        <v>837</v>
      </c>
      <c r="E67" s="620" t="s">
        <v>838</v>
      </c>
      <c r="F67" s="620" t="s">
        <v>839</v>
      </c>
      <c r="G67" s="620" t="s">
        <v>840</v>
      </c>
      <c r="H67" s="620" t="s">
        <v>841</v>
      </c>
      <c r="I67" s="620" t="s">
        <v>842</v>
      </c>
      <c r="J67" s="620" t="s">
        <v>843</v>
      </c>
      <c r="K67" s="620" t="s">
        <v>844</v>
      </c>
      <c r="L67" s="620" t="s">
        <v>845</v>
      </c>
      <c r="M67" s="620" t="s">
        <v>846</v>
      </c>
    </row>
    <row r="68" spans="1:15" s="618" customFormat="1" ht="12" customHeight="1" x14ac:dyDescent="0.25">
      <c r="A68" s="645" t="str">
        <f>A58</f>
        <v>PRODUCTIVO</v>
      </c>
      <c r="B68" s="646">
        <f>EEFFun!AC196</f>
        <v>-79730.009999999995</v>
      </c>
      <c r="C68" s="646">
        <f>EEFFun!AD196</f>
        <v>-79177.78</v>
      </c>
      <c r="D68" s="646">
        <f>EEFFun!AE196</f>
        <v>-82531.22</v>
      </c>
      <c r="E68" s="646">
        <f>EEFFun!AF196</f>
        <v>-84508.45</v>
      </c>
      <c r="F68" s="646">
        <f>EEFFun!AG196</f>
        <v>-84240.960000000006</v>
      </c>
      <c r="G68" s="646">
        <f>EEFFun!AH196</f>
        <v>-82987.34</v>
      </c>
      <c r="H68" s="646">
        <f>EEFFun!AI196</f>
        <v>-82157.97</v>
      </c>
      <c r="I68" s="646">
        <f>EEFFun!AJ196</f>
        <v>-83720.23</v>
      </c>
      <c r="J68" s="646">
        <f>EEFFun!AK196</f>
        <v>-82535.22</v>
      </c>
      <c r="K68" s="646">
        <f>EEFFun!AL196</f>
        <v>-83589.63</v>
      </c>
      <c r="L68" s="646">
        <f>EEFFun!AM196</f>
        <v>-83070.39</v>
      </c>
      <c r="M68" s="646">
        <f>EEFFun!AN196</f>
        <v>-7676.63</v>
      </c>
    </row>
    <row r="69" spans="1:15" s="618" customFormat="1" ht="12" customHeight="1" x14ac:dyDescent="0.25">
      <c r="A69" s="645" t="str">
        <f>A59</f>
        <v>CONSUMO</v>
      </c>
      <c r="B69" s="646">
        <f>EEFFun!AC198</f>
        <v>-1266233.52</v>
      </c>
      <c r="C69" s="646">
        <f>EEFFun!AD198</f>
        <v>-1311264.82</v>
      </c>
      <c r="D69" s="646">
        <f>EEFFun!AE198</f>
        <v>-1246883.5</v>
      </c>
      <c r="E69" s="646">
        <f>EEFFun!AF198</f>
        <v>-1230838.5900000001</v>
      </c>
      <c r="F69" s="646">
        <f>EEFFun!AG198</f>
        <v>-1242565.33</v>
      </c>
      <c r="G69" s="646">
        <f>EEFFun!AH198</f>
        <v>-1383865.34</v>
      </c>
      <c r="H69" s="646">
        <f>EEFFun!AI198</f>
        <v>-1302535.0900000001</v>
      </c>
      <c r="I69" s="646">
        <f>EEFFun!AJ198</f>
        <v>-1436781.33</v>
      </c>
      <c r="J69" s="646">
        <f>EEFFun!AK198</f>
        <v>-1614528.32</v>
      </c>
      <c r="K69" s="646">
        <f>EEFFun!AL198</f>
        <v>-1751043.8</v>
      </c>
      <c r="L69" s="646">
        <f>EEFFun!AM198</f>
        <v>-1824919.9</v>
      </c>
      <c r="M69" s="646">
        <f>EEFFun!AN198</f>
        <v>-372166.7</v>
      </c>
    </row>
    <row r="70" spans="1:15" s="618" customFormat="1" ht="12" customHeight="1" x14ac:dyDescent="0.25">
      <c r="A70" s="647" t="s">
        <v>112</v>
      </c>
      <c r="B70" s="646">
        <f>EEFFun!AC200</f>
        <v>0</v>
      </c>
      <c r="C70" s="646">
        <f>EEFFun!AD200</f>
        <v>0</v>
      </c>
      <c r="D70" s="646">
        <f>EEFFun!AE200</f>
        <v>0</v>
      </c>
      <c r="E70" s="646">
        <f>EEFFun!AF200</f>
        <v>0</v>
      </c>
      <c r="F70" s="646">
        <f>EEFFun!AG200</f>
        <v>0</v>
      </c>
      <c r="G70" s="646">
        <f>EEFFun!AH200</f>
        <v>0</v>
      </c>
      <c r="H70" s="646">
        <f>EEFFun!AI200</f>
        <v>0</v>
      </c>
      <c r="I70" s="646">
        <f>EEFFun!AJ200</f>
        <v>0</v>
      </c>
      <c r="J70" s="646">
        <f>EEFFun!AK200</f>
        <v>0</v>
      </c>
      <c r="K70" s="646">
        <f>EEFFun!AL200</f>
        <v>0</v>
      </c>
      <c r="L70" s="646">
        <f>EEFFun!AM200</f>
        <v>0</v>
      </c>
      <c r="M70" s="646">
        <f>EEFFun!AN200</f>
        <v>0</v>
      </c>
    </row>
    <row r="71" spans="1:15" s="618" customFormat="1" ht="12" customHeight="1" x14ac:dyDescent="0.25">
      <c r="A71" s="645" t="str">
        <f>A60</f>
        <v>MICROCREDITO</v>
      </c>
      <c r="B71" s="646">
        <f>EEFFun!AC202</f>
        <v>-522867.74</v>
      </c>
      <c r="C71" s="646">
        <f>EEFFun!AD202</f>
        <v>-573683.67000000004</v>
      </c>
      <c r="D71" s="646">
        <f>EEFFun!AE202</f>
        <v>-549988.26</v>
      </c>
      <c r="E71" s="646">
        <f>EEFFun!AF202</f>
        <v>-581331.82999999996</v>
      </c>
      <c r="F71" s="646">
        <f>EEFFun!AG202</f>
        <v>-615345.26</v>
      </c>
      <c r="G71" s="646">
        <f>EEFFun!AH202</f>
        <v>-622303.18999999994</v>
      </c>
      <c r="H71" s="646">
        <f>EEFFun!AI202</f>
        <v>-588770.92000000004</v>
      </c>
      <c r="I71" s="646">
        <f>EEFFun!AJ202</f>
        <v>-682593.65</v>
      </c>
      <c r="J71" s="646">
        <f>EEFFun!AK202</f>
        <v>-730953.14</v>
      </c>
      <c r="K71" s="646">
        <f>EEFFun!AL202</f>
        <v>-832906.94</v>
      </c>
      <c r="L71" s="646">
        <f>EEFFun!AM202</f>
        <v>-797632.57</v>
      </c>
      <c r="M71" s="646">
        <f>EEFFun!AN202</f>
        <v>-126415.22</v>
      </c>
    </row>
    <row r="72" spans="1:15" s="618" customFormat="1" ht="12" customHeight="1" x14ac:dyDescent="0.25">
      <c r="A72" s="648" t="s">
        <v>10</v>
      </c>
      <c r="B72" s="646">
        <f>EEFFun!AC204</f>
        <v>-64372.72</v>
      </c>
      <c r="C72" s="646">
        <f>EEFFun!AD204</f>
        <v>-73482.83</v>
      </c>
      <c r="D72" s="646">
        <f>EEFFun!AE204</f>
        <v>-80920.820000000007</v>
      </c>
      <c r="E72" s="646">
        <f>EEFFun!AF204</f>
        <v>-82715.14</v>
      </c>
      <c r="F72" s="646">
        <f>EEFFun!AG204</f>
        <v>-90610.3</v>
      </c>
      <c r="G72" s="646">
        <f>EEFFun!AH204</f>
        <v>-95865.1</v>
      </c>
      <c r="H72" s="646">
        <f>EEFFun!AI204</f>
        <v>-87959.15</v>
      </c>
      <c r="I72" s="646">
        <f>EEFFun!AJ204</f>
        <v>-117734.74</v>
      </c>
      <c r="J72" s="646">
        <f>EEFFun!AK204</f>
        <v>-148857.67000000001</v>
      </c>
      <c r="K72" s="646">
        <f>EEFFun!AL204</f>
        <v>-125790.49</v>
      </c>
      <c r="L72" s="646">
        <f>EEFFun!AM204</f>
        <v>-123864.16</v>
      </c>
      <c r="M72" s="646">
        <f>EEFFun!AN204</f>
        <v>-8909.77</v>
      </c>
    </row>
    <row r="73" spans="1:15" s="618" customFormat="1" ht="12" customHeight="1" x14ac:dyDescent="0.25">
      <c r="A73" s="648" t="s">
        <v>11</v>
      </c>
      <c r="B73" s="646">
        <f>EEFFun!AC205</f>
        <v>-134083.39000000001</v>
      </c>
      <c r="C73" s="646">
        <f>EEFFun!AD205</f>
        <v>-150651.38</v>
      </c>
      <c r="D73" s="646">
        <f>EEFFun!AE205</f>
        <v>-158468.03</v>
      </c>
      <c r="E73" s="646">
        <f>EEFFun!AF205</f>
        <v>-158791.34</v>
      </c>
      <c r="F73" s="646">
        <f>EEFFun!AG205</f>
        <v>-140576.57999999999</v>
      </c>
      <c r="G73" s="646">
        <f>EEFFun!AH205</f>
        <v>-157568.43</v>
      </c>
      <c r="H73" s="646">
        <f>EEFFun!AI205</f>
        <v>-167374.09</v>
      </c>
      <c r="I73" s="646">
        <f>EEFFun!AJ205</f>
        <v>-183534.1</v>
      </c>
      <c r="J73" s="646">
        <f>EEFFun!AK205</f>
        <v>-200226.66</v>
      </c>
      <c r="K73" s="646">
        <f>EEFFun!AL205</f>
        <v>-189810.78</v>
      </c>
      <c r="L73" s="646">
        <f>EEFFun!AM205</f>
        <v>-132786.64000000001</v>
      </c>
      <c r="M73" s="646">
        <f>EEFFun!AN205</f>
        <v>-21590.49</v>
      </c>
    </row>
    <row r="74" spans="1:15" s="618" customFormat="1" ht="12" customHeight="1" x14ac:dyDescent="0.25">
      <c r="A74" s="648" t="s">
        <v>1201</v>
      </c>
      <c r="B74" s="646">
        <f>EEFFun!AC206</f>
        <v>0</v>
      </c>
      <c r="C74" s="646">
        <f>EEFFun!AD206</f>
        <v>0</v>
      </c>
      <c r="D74" s="646">
        <f>EEFFun!AE206</f>
        <v>0</v>
      </c>
      <c r="E74" s="646">
        <f>EEFFun!AF206</f>
        <v>0</v>
      </c>
      <c r="F74" s="646">
        <f>EEFFun!AG206</f>
        <v>0</v>
      </c>
      <c r="G74" s="646">
        <f>EEFFun!AH206</f>
        <v>0</v>
      </c>
      <c r="H74" s="646">
        <f>EEFFun!AI206</f>
        <v>0</v>
      </c>
      <c r="I74" s="646">
        <f>EEFFun!AJ206</f>
        <v>0</v>
      </c>
      <c r="J74" s="646">
        <f>EEFFun!AK206</f>
        <v>0</v>
      </c>
      <c r="K74" s="646">
        <f>EEFFun!AL206</f>
        <v>0</v>
      </c>
      <c r="L74" s="646">
        <f>EEFFun!AM206</f>
        <v>0</v>
      </c>
      <c r="M74" s="646">
        <f>EEFFun!AN206</f>
        <v>0</v>
      </c>
    </row>
    <row r="75" spans="1:15" s="618" customFormat="1" ht="12" customHeight="1" x14ac:dyDescent="0.25">
      <c r="A75" s="648" t="s">
        <v>1202</v>
      </c>
      <c r="B75" s="646">
        <f>EEFFun!AC207</f>
        <v>-29381.42</v>
      </c>
      <c r="C75" s="646">
        <f>EEFFun!AD207</f>
        <v>-29381.42</v>
      </c>
      <c r="D75" s="646">
        <f>EEFFun!AE207</f>
        <v>-29381.42</v>
      </c>
      <c r="E75" s="646">
        <f>EEFFun!AF207</f>
        <v>-29381.42</v>
      </c>
      <c r="F75" s="646">
        <f>EEFFun!AG207</f>
        <v>-29381.42</v>
      </c>
      <c r="G75" s="646">
        <f>EEFFun!AH207</f>
        <v>-29381.42</v>
      </c>
      <c r="H75" s="646">
        <f>EEFFun!AI207</f>
        <v>-29381.42</v>
      </c>
      <c r="I75" s="646">
        <f>EEFFun!AJ207</f>
        <v>-29381.42</v>
      </c>
      <c r="J75" s="646">
        <f>EEFFun!AK207</f>
        <v>-29381.42</v>
      </c>
      <c r="K75" s="646">
        <f>EEFFun!AL207</f>
        <v>-29381.42</v>
      </c>
      <c r="L75" s="646">
        <f>EEFFun!AM207</f>
        <v>-29381.42</v>
      </c>
      <c r="M75" s="646">
        <f>EEFFun!AN207</f>
        <v>-29381.42</v>
      </c>
    </row>
    <row r="76" spans="1:15" s="618" customFormat="1" ht="12" customHeight="1" x14ac:dyDescent="0.25">
      <c r="A76" s="648" t="s">
        <v>1203</v>
      </c>
      <c r="B76" s="646">
        <f>EEFFun!AC208</f>
        <v>0</v>
      </c>
      <c r="C76" s="646">
        <f>EEFFun!AD208</f>
        <v>0</v>
      </c>
      <c r="D76" s="646">
        <f>EEFFun!AE208</f>
        <v>0</v>
      </c>
      <c r="E76" s="646">
        <f>EEFFun!AF208</f>
        <v>0</v>
      </c>
      <c r="F76" s="646">
        <f>EEFFun!AG208</f>
        <v>0</v>
      </c>
      <c r="G76" s="646">
        <f>EEFFun!AH208</f>
        <v>0</v>
      </c>
      <c r="H76" s="646">
        <f>EEFFun!AI208</f>
        <v>0</v>
      </c>
      <c r="I76" s="646">
        <f>EEFFun!AJ208</f>
        <v>0</v>
      </c>
      <c r="J76" s="646">
        <f>EEFFun!AK208</f>
        <v>0</v>
      </c>
      <c r="K76" s="646">
        <f>EEFFun!AL208</f>
        <v>0</v>
      </c>
      <c r="L76" s="646">
        <f>EEFFun!AM208</f>
        <v>0</v>
      </c>
      <c r="M76" s="646">
        <f>EEFFun!AN208</f>
        <v>0</v>
      </c>
    </row>
    <row r="77" spans="1:15" s="618" customFormat="1" ht="12.75" customHeight="1" x14ac:dyDescent="0.25">
      <c r="A77" s="648" t="s">
        <v>1204</v>
      </c>
      <c r="B77" s="646">
        <f>EEFFun!AC209</f>
        <v>-2545.4499999999998</v>
      </c>
      <c r="C77" s="646">
        <f>EEFFun!AD209</f>
        <v>-2545.4499999999998</v>
      </c>
      <c r="D77" s="646">
        <f>EEFFun!AE209</f>
        <v>-2545.4499999999998</v>
      </c>
      <c r="E77" s="646">
        <f>EEFFun!AF209</f>
        <v>-2545.4499999999998</v>
      </c>
      <c r="F77" s="646">
        <f>EEFFun!AG209</f>
        <v>-2545.4499999999998</v>
      </c>
      <c r="G77" s="646">
        <f>EEFFun!AH209</f>
        <v>-2545.4499999999998</v>
      </c>
      <c r="H77" s="646">
        <f>EEFFun!AI209</f>
        <v>-2545.4499999999998</v>
      </c>
      <c r="I77" s="646">
        <f>EEFFun!AJ209</f>
        <v>-2545.4499999999998</v>
      </c>
      <c r="J77" s="646">
        <f>EEFFun!AK209</f>
        <v>-2545.4499999999998</v>
      </c>
      <c r="K77" s="646">
        <f>EEFFun!AL209</f>
        <v>-2545.4499999999998</v>
      </c>
      <c r="L77" s="646">
        <f>EEFFun!AM209</f>
        <v>-2545.4499999999998</v>
      </c>
      <c r="M77" s="646">
        <f>EEFFun!AN209</f>
        <v>-2545.4499999999998</v>
      </c>
    </row>
    <row r="78" spans="1:15" s="618" customFormat="1" ht="12.75" customHeight="1" x14ac:dyDescent="0.25">
      <c r="A78" s="631" t="s">
        <v>66</v>
      </c>
      <c r="B78" s="649">
        <f t="shared" ref="B78" si="73">SUM(B68:B77)</f>
        <v>-2099214.25</v>
      </c>
      <c r="C78" s="649">
        <f t="shared" ref="C78:L78" si="74">SUM(C68:C77)</f>
        <v>-2220187.35</v>
      </c>
      <c r="D78" s="649">
        <f t="shared" si="74"/>
        <v>-2150718.7000000002</v>
      </c>
      <c r="E78" s="649">
        <f t="shared" si="74"/>
        <v>-2170112.2200000002</v>
      </c>
      <c r="F78" s="649">
        <f t="shared" si="74"/>
        <v>-2205265.3000000003</v>
      </c>
      <c r="G78" s="649">
        <f t="shared" si="74"/>
        <v>-2374516.2700000005</v>
      </c>
      <c r="H78" s="649">
        <f t="shared" si="74"/>
        <v>-2260724.09</v>
      </c>
      <c r="I78" s="649">
        <f t="shared" si="74"/>
        <v>-2536290.9200000004</v>
      </c>
      <c r="J78" s="649">
        <f t="shared" si="74"/>
        <v>-2809027.8800000004</v>
      </c>
      <c r="K78" s="649">
        <f t="shared" si="74"/>
        <v>-3015068.5100000002</v>
      </c>
      <c r="L78" s="649">
        <f t="shared" si="74"/>
        <v>-2994200.5300000003</v>
      </c>
      <c r="M78" s="649">
        <f t="shared" ref="M78" si="75">SUM(M68:M77)</f>
        <v>-568685.68000000005</v>
      </c>
    </row>
    <row r="79" spans="1:15" ht="18.75" customHeight="1" x14ac:dyDescent="0.25">
      <c r="A79" s="613" t="s">
        <v>1205</v>
      </c>
      <c r="B79" s="650"/>
      <c r="C79" s="615"/>
      <c r="D79" s="615"/>
      <c r="E79" s="615"/>
      <c r="F79" s="615"/>
      <c r="G79" s="615"/>
      <c r="H79" s="615"/>
      <c r="I79" s="615"/>
      <c r="J79" s="615"/>
      <c r="K79" s="615"/>
      <c r="L79" s="615"/>
      <c r="M79" s="615"/>
      <c r="N79" s="615"/>
      <c r="O79" s="614"/>
    </row>
    <row r="80" spans="1:15" ht="15" customHeight="1" x14ac:dyDescent="0.25">
      <c r="A80" s="613"/>
      <c r="B80" s="615" t="s">
        <v>1172</v>
      </c>
      <c r="C80" s="615" t="s">
        <v>705</v>
      </c>
      <c r="D80" s="615" t="s">
        <v>706</v>
      </c>
      <c r="E80" s="615" t="s">
        <v>707</v>
      </c>
      <c r="F80" s="615" t="s">
        <v>708</v>
      </c>
      <c r="G80" s="615" t="s">
        <v>709</v>
      </c>
      <c r="H80" s="615" t="s">
        <v>710</v>
      </c>
      <c r="I80" s="615" t="s">
        <v>711</v>
      </c>
      <c r="J80" s="615" t="s">
        <v>712</v>
      </c>
      <c r="K80" s="615" t="s">
        <v>713</v>
      </c>
      <c r="L80" s="615" t="s">
        <v>696</v>
      </c>
      <c r="M80" s="615" t="s">
        <v>1173</v>
      </c>
      <c r="N80" s="615" t="s">
        <v>1174</v>
      </c>
      <c r="O80" s="614"/>
    </row>
    <row r="81" spans="1:15" s="642" customFormat="1" ht="16.5" customHeight="1" x14ac:dyDescent="0.25">
      <c r="A81" s="616"/>
      <c r="B81" s="651">
        <v>12</v>
      </c>
      <c r="C81" s="651">
        <v>1</v>
      </c>
      <c r="D81" s="651">
        <v>2</v>
      </c>
      <c r="E81" s="651">
        <v>3</v>
      </c>
      <c r="F81" s="651">
        <v>4</v>
      </c>
      <c r="G81" s="651">
        <v>5</v>
      </c>
      <c r="H81" s="651">
        <v>6</v>
      </c>
      <c r="I81" s="651">
        <v>7</v>
      </c>
      <c r="J81" s="651">
        <v>8</v>
      </c>
      <c r="K81" s="651">
        <v>9</v>
      </c>
      <c r="L81" s="652">
        <f t="shared" ref="L81:N81" si="76">K81+1</f>
        <v>10</v>
      </c>
      <c r="M81" s="652">
        <f t="shared" si="76"/>
        <v>11</v>
      </c>
      <c r="N81" s="652">
        <f t="shared" si="76"/>
        <v>12</v>
      </c>
      <c r="O81" s="634">
        <f>O4</f>
        <v>2025</v>
      </c>
    </row>
    <row r="82" spans="1:15" s="618" customFormat="1" ht="12.75" customHeight="1" x14ac:dyDescent="0.25">
      <c r="A82" s="619" t="s">
        <v>1177</v>
      </c>
      <c r="B82" s="621" t="s">
        <v>846</v>
      </c>
      <c r="C82" s="635" t="str">
        <f t="shared" ref="C82:N82" si="77">C5</f>
        <v>Enero</v>
      </c>
      <c r="D82" s="635" t="str">
        <f t="shared" si="77"/>
        <v>Febrero</v>
      </c>
      <c r="E82" s="635" t="str">
        <f t="shared" si="77"/>
        <v>Marzo</v>
      </c>
      <c r="F82" s="635" t="str">
        <f t="shared" si="77"/>
        <v>Abril</v>
      </c>
      <c r="G82" s="635" t="str">
        <f t="shared" si="77"/>
        <v>Mayo</v>
      </c>
      <c r="H82" s="635" t="str">
        <f t="shared" si="77"/>
        <v>Junio</v>
      </c>
      <c r="I82" s="635" t="str">
        <f t="shared" si="77"/>
        <v>Julio</v>
      </c>
      <c r="J82" s="635" t="str">
        <f t="shared" si="77"/>
        <v>Agosto</v>
      </c>
      <c r="K82" s="635" t="str">
        <f t="shared" si="77"/>
        <v>Septiembre</v>
      </c>
      <c r="L82" s="635" t="str">
        <f t="shared" si="77"/>
        <v>Octubre</v>
      </c>
      <c r="M82" s="635" t="str">
        <f t="shared" si="77"/>
        <v>Noviembre</v>
      </c>
      <c r="N82" s="635" t="str">
        <f t="shared" si="77"/>
        <v>Diciembre</v>
      </c>
      <c r="O82" s="621" t="s">
        <v>1206</v>
      </c>
    </row>
    <row r="83" spans="1:15" s="618" customFormat="1" ht="12" customHeight="1" x14ac:dyDescent="0.25">
      <c r="A83" s="636" t="str">
        <f>A68</f>
        <v>PRODUCTIVO</v>
      </c>
      <c r="B83" s="646">
        <f>EEFFun!AX196</f>
        <v>-4698.8599999999997</v>
      </c>
      <c r="C83" s="653">
        <f>(B83/B140)*C140</f>
        <v>-4693.301703501048</v>
      </c>
      <c r="D83" s="653">
        <f t="shared" ref="D83:D84" si="78">(C83/C140)*D140</f>
        <v>-4693.0123120344006</v>
      </c>
      <c r="E83" s="653">
        <f t="shared" ref="E83:E84" si="79">(D83/D140)*E140</f>
        <v>-4687.0122297607013</v>
      </c>
      <c r="F83" s="653">
        <f t="shared" ref="F83:F84" si="80">(E83/E140)*F140</f>
        <v>-4680.8008134954553</v>
      </c>
      <c r="G83" s="653">
        <f t="shared" ref="G83:G84" si="81">(F83/F140)*G140</f>
        <v>-4678.2032268798566</v>
      </c>
      <c r="H83" s="653">
        <f t="shared" ref="H83:H84" si="82">(G83/G140)*H140</f>
        <v>-4674.8788555848041</v>
      </c>
      <c r="I83" s="653">
        <f t="shared" ref="I83:N83" si="83">(H83/H140)*I140</f>
        <v>-4678.8733711490695</v>
      </c>
      <c r="J83" s="653">
        <f t="shared" si="83"/>
        <v>-4682.0386540206009</v>
      </c>
      <c r="K83" s="653">
        <f t="shared" si="83"/>
        <v>-4682.9648765180518</v>
      </c>
      <c r="L83" s="653">
        <f t="shared" si="83"/>
        <v>-4691.2967456239594</v>
      </c>
      <c r="M83" s="653">
        <f t="shared" si="83"/>
        <v>-4702.2910788544696</v>
      </c>
      <c r="N83" s="653">
        <f t="shared" si="83"/>
        <v>-4698.8599999999997</v>
      </c>
      <c r="O83" s="653">
        <f>AVERAGE(C83:N83)</f>
        <v>-4686.9611556185346</v>
      </c>
    </row>
    <row r="84" spans="1:15" s="618" customFormat="1" ht="12" customHeight="1" x14ac:dyDescent="0.25">
      <c r="A84" s="636" t="str">
        <f>A69</f>
        <v>CONSUMO</v>
      </c>
      <c r="B84" s="646">
        <f>EEFFun!AX198</f>
        <v>-514259.37</v>
      </c>
      <c r="C84" s="653">
        <f>(B84/B141)*C141</f>
        <v>-574340.96950784547</v>
      </c>
      <c r="D84" s="653">
        <f t="shared" si="78"/>
        <v>-633089.37793931982</v>
      </c>
      <c r="E84" s="653">
        <f t="shared" si="79"/>
        <v>-689649.253962168</v>
      </c>
      <c r="F84" s="653">
        <f t="shared" si="80"/>
        <v>-740241.07437008922</v>
      </c>
      <c r="G84" s="653">
        <f t="shared" si="81"/>
        <v>-794284.38643943239</v>
      </c>
      <c r="H84" s="653">
        <f t="shared" si="82"/>
        <v>-847455.43907105329</v>
      </c>
      <c r="I84" s="653">
        <f>(H84/H141)*I141</f>
        <v>-899404.79633884074</v>
      </c>
      <c r="J84" s="653">
        <f>(I84/I141)*J141*98%</f>
        <v>-931116.55208799057</v>
      </c>
      <c r="K84" s="653">
        <f>(J84/J141)*K141*98%</f>
        <v>-960026.16555847088</v>
      </c>
      <c r="L84" s="653">
        <f>(K84/K141)*L141*97%</f>
        <v>-974982.12524595985</v>
      </c>
      <c r="M84" s="653">
        <f>(L84/L141)*M141*96%</f>
        <v>-977756.04921419674</v>
      </c>
      <c r="N84" s="653">
        <f>(M84/M141)*N141*97%</f>
        <v>-988065.88095036382</v>
      </c>
      <c r="O84" s="653">
        <f t="shared" ref="O84:O91" si="84">AVERAGE(C84:N84)</f>
        <v>-834201.00589047745</v>
      </c>
    </row>
    <row r="85" spans="1:15" s="618" customFormat="1" ht="12" customHeight="1" x14ac:dyDescent="0.25">
      <c r="A85" s="654" t="s">
        <v>1207</v>
      </c>
      <c r="B85" s="646">
        <f>EEFFun!AX200</f>
        <v>0</v>
      </c>
      <c r="C85" s="655"/>
      <c r="D85" s="655"/>
      <c r="E85" s="655"/>
      <c r="F85" s="655"/>
      <c r="G85" s="655"/>
      <c r="H85" s="655"/>
      <c r="I85" s="655"/>
      <c r="J85" s="655"/>
      <c r="K85" s="655"/>
      <c r="L85" s="655"/>
      <c r="M85" s="655"/>
      <c r="N85" s="655"/>
      <c r="O85" s="655"/>
    </row>
    <row r="86" spans="1:15" s="618" customFormat="1" ht="12" customHeight="1" x14ac:dyDescent="0.25">
      <c r="A86" s="636" t="str">
        <f t="shared" ref="A86:A89" si="85">A71</f>
        <v>MICROCREDITO</v>
      </c>
      <c r="B86" s="646">
        <f>EEFFun!AX202</f>
        <v>-224495.77</v>
      </c>
      <c r="C86" s="653">
        <f t="shared" ref="C86:H86" si="86">(B86/B142)*C142</f>
        <v>-246816.2447214209</v>
      </c>
      <c r="D86" s="653">
        <f t="shared" si="86"/>
        <v>-268795.0418855687</v>
      </c>
      <c r="E86" s="653">
        <f t="shared" si="86"/>
        <v>-290398.94067513407</v>
      </c>
      <c r="F86" s="653">
        <f t="shared" si="86"/>
        <v>-311741.77632943215</v>
      </c>
      <c r="G86" s="653">
        <f t="shared" si="86"/>
        <v>-332776.08871418232</v>
      </c>
      <c r="H86" s="653">
        <f t="shared" si="86"/>
        <v>-353689.40898136771</v>
      </c>
      <c r="I86" s="653">
        <f>(H86/H142)*I142</f>
        <v>-374286.51237873372</v>
      </c>
      <c r="J86" s="653">
        <f>(I86/I142)*J142*98%</f>
        <v>-386716.01499119442</v>
      </c>
      <c r="K86" s="653">
        <f>(J86/J142)*K142*95%</f>
        <v>-385813.98201756133</v>
      </c>
      <c r="L86" s="653">
        <f>(K86/K142)*L142*92%</f>
        <v>-371830.13091862196</v>
      </c>
      <c r="M86" s="653">
        <f>(L86/L142)*M142*92%</f>
        <v>-357403.02028999536</v>
      </c>
      <c r="N86" s="653">
        <f>(M86/M142)*N142*92%</f>
        <v>-342676.11229174555</v>
      </c>
      <c r="O86" s="653">
        <f t="shared" si="84"/>
        <v>-335245.27284957987</v>
      </c>
    </row>
    <row r="87" spans="1:15" s="618" customFormat="1" ht="12" customHeight="1" x14ac:dyDescent="0.25">
      <c r="A87" s="636" t="str">
        <f t="shared" si="85"/>
        <v>REFINANCIADA</v>
      </c>
      <c r="B87" s="646">
        <f>EEFFun!AX204</f>
        <v>-19986.8</v>
      </c>
      <c r="C87" s="653">
        <f t="shared" ref="C87:C88" si="87">(B87/B144)*C144</f>
        <v>-20830.48881671852</v>
      </c>
      <c r="D87" s="653">
        <f t="shared" ref="D87:D88" si="88">(C87/C144)*D144</f>
        <v>-20906.056397709515</v>
      </c>
      <c r="E87" s="653">
        <f t="shared" ref="E87:E88" si="89">(D87/D144)*E144</f>
        <v>-20921.252846115905</v>
      </c>
      <c r="F87" s="653">
        <f t="shared" ref="F87:F88" si="90">(E87/E144)*F144</f>
        <v>-20965.441117712424</v>
      </c>
      <c r="G87" s="653">
        <f t="shared" ref="G87:G88" si="91">(F87/F144)*G144</f>
        <v>-20991.217150976154</v>
      </c>
      <c r="H87" s="653">
        <f t="shared" ref="H87:H88" si="92">(G87/G144)*H144</f>
        <v>-21013.390310656549</v>
      </c>
      <c r="I87" s="653">
        <f t="shared" ref="I87:N88" si="93">(H87/H144)*I144</f>
        <v>-21017.332124132616</v>
      </c>
      <c r="J87" s="653">
        <f t="shared" si="93"/>
        <v>-21017.228933140661</v>
      </c>
      <c r="K87" s="653">
        <f t="shared" si="93"/>
        <v>-21005.937069630283</v>
      </c>
      <c r="L87" s="653">
        <f t="shared" si="93"/>
        <v>-20976.696644136216</v>
      </c>
      <c r="M87" s="653">
        <f t="shared" si="93"/>
        <v>-20952.692820705517</v>
      </c>
      <c r="N87" s="653">
        <f t="shared" si="93"/>
        <v>-20911.063168393746</v>
      </c>
      <c r="O87" s="653">
        <f t="shared" si="84"/>
        <v>-20959.066450002341</v>
      </c>
    </row>
    <row r="88" spans="1:15" s="618" customFormat="1" ht="12" customHeight="1" x14ac:dyDescent="0.25">
      <c r="A88" s="636" t="str">
        <f t="shared" si="85"/>
        <v>REESTRUCTURADA</v>
      </c>
      <c r="B88" s="646">
        <f>EEFFun!AX205</f>
        <v>-15798.23</v>
      </c>
      <c r="C88" s="653">
        <f t="shared" si="87"/>
        <v>-14123.941964892369</v>
      </c>
      <c r="D88" s="653">
        <f t="shared" si="88"/>
        <v>-14269.692460155486</v>
      </c>
      <c r="E88" s="653">
        <f t="shared" si="89"/>
        <v>-14306.039588408561</v>
      </c>
      <c r="F88" s="653">
        <f t="shared" si="90"/>
        <v>-14346.623372117576</v>
      </c>
      <c r="G88" s="653">
        <f t="shared" si="91"/>
        <v>-14342.535727472854</v>
      </c>
      <c r="H88" s="653">
        <f t="shared" si="92"/>
        <v>-14350.812097466855</v>
      </c>
      <c r="I88" s="653">
        <f t="shared" si="93"/>
        <v>-14314.860819305433</v>
      </c>
      <c r="J88" s="653">
        <f t="shared" si="93"/>
        <v>-14259.701500925783</v>
      </c>
      <c r="K88" s="653">
        <f t="shared" si="93"/>
        <v>-14198.575583920741</v>
      </c>
      <c r="L88" s="653">
        <f t="shared" si="93"/>
        <v>-14093.666721578535</v>
      </c>
      <c r="M88" s="653">
        <f t="shared" si="93"/>
        <v>-14017.574955530934</v>
      </c>
      <c r="N88" s="653">
        <f t="shared" si="93"/>
        <v>-13898.447566309645</v>
      </c>
      <c r="O88" s="653">
        <f t="shared" si="84"/>
        <v>-14210.206029840398</v>
      </c>
    </row>
    <row r="89" spans="1:15" s="618" customFormat="1" ht="12" customHeight="1" x14ac:dyDescent="0.25">
      <c r="A89" s="636" t="str">
        <f t="shared" si="85"/>
        <v>TECNOLOGIA CREDITICIA</v>
      </c>
      <c r="B89" s="646">
        <f>EEFFun!AX206</f>
        <v>0</v>
      </c>
      <c r="C89" s="653">
        <f t="shared" ref="C89" si="94">B89</f>
        <v>0</v>
      </c>
      <c r="D89" s="653">
        <f t="shared" ref="D89" si="95">C89</f>
        <v>0</v>
      </c>
      <c r="E89" s="653">
        <f t="shared" ref="E89" si="96">D89</f>
        <v>0</v>
      </c>
      <c r="F89" s="653">
        <f t="shared" ref="F89" si="97">E89</f>
        <v>0</v>
      </c>
      <c r="G89" s="653">
        <f t="shared" ref="G89" si="98">F89</f>
        <v>0</v>
      </c>
      <c r="H89" s="653">
        <f t="shared" ref="H89" si="99">G89</f>
        <v>0</v>
      </c>
      <c r="I89" s="653">
        <f t="shared" ref="I89" si="100">H89</f>
        <v>0</v>
      </c>
      <c r="J89" s="653">
        <f t="shared" ref="J89" si="101">I89</f>
        <v>0</v>
      </c>
      <c r="K89" s="653">
        <f t="shared" ref="K89" si="102">J89</f>
        <v>0</v>
      </c>
      <c r="L89" s="653">
        <f t="shared" ref="L89" si="103">K89</f>
        <v>0</v>
      </c>
      <c r="M89" s="653">
        <f t="shared" ref="M89" si="104">L89</f>
        <v>0</v>
      </c>
      <c r="N89" s="653">
        <f t="shared" ref="N89" si="105">M89</f>
        <v>0</v>
      </c>
      <c r="O89" s="653">
        <f t="shared" si="84"/>
        <v>0</v>
      </c>
    </row>
    <row r="90" spans="1:15" s="618" customFormat="1" ht="12" customHeight="1" x14ac:dyDescent="0.25">
      <c r="A90" s="636" t="str">
        <f>A75</f>
        <v>ANTICICLICA</v>
      </c>
      <c r="B90" s="646">
        <f>EEFFun!AX207</f>
        <v>-29381.42</v>
      </c>
      <c r="C90" s="653">
        <f t="shared" ref="C90:H90" si="106">$B$90</f>
        <v>-29381.42</v>
      </c>
      <c r="D90" s="653">
        <f t="shared" si="106"/>
        <v>-29381.42</v>
      </c>
      <c r="E90" s="653">
        <f t="shared" si="106"/>
        <v>-29381.42</v>
      </c>
      <c r="F90" s="653">
        <f t="shared" si="106"/>
        <v>-29381.42</v>
      </c>
      <c r="G90" s="653">
        <f t="shared" si="106"/>
        <v>-29381.42</v>
      </c>
      <c r="H90" s="653">
        <f t="shared" si="106"/>
        <v>-29381.42</v>
      </c>
      <c r="I90" s="653">
        <f t="shared" ref="I90:N90" si="107">$B$90</f>
        <v>-29381.42</v>
      </c>
      <c r="J90" s="653">
        <f t="shared" si="107"/>
        <v>-29381.42</v>
      </c>
      <c r="K90" s="653">
        <f t="shared" si="107"/>
        <v>-29381.42</v>
      </c>
      <c r="L90" s="653">
        <f t="shared" si="107"/>
        <v>-29381.42</v>
      </c>
      <c r="M90" s="653">
        <f t="shared" si="107"/>
        <v>-29381.42</v>
      </c>
      <c r="N90" s="653">
        <f t="shared" si="107"/>
        <v>-29381.42</v>
      </c>
      <c r="O90" s="653">
        <f t="shared" si="84"/>
        <v>-29381.419999999987</v>
      </c>
    </row>
    <row r="91" spans="1:15" s="618" customFormat="1" ht="12" customHeight="1" x14ac:dyDescent="0.25">
      <c r="A91" s="636" t="str">
        <f>A76</f>
        <v>NO REVERSADA POR REQUER NORMATIVO</v>
      </c>
      <c r="B91" s="646">
        <f>EEFFun!AX208</f>
        <v>-279690.67</v>
      </c>
      <c r="C91" s="653">
        <f t="shared" ref="C91" si="108">B91</f>
        <v>-279690.67</v>
      </c>
      <c r="D91" s="653">
        <f t="shared" ref="D91" si="109">C91</f>
        <v>-279690.67</v>
      </c>
      <c r="E91" s="653">
        <f t="shared" ref="E91" si="110">D91</f>
        <v>-279690.67</v>
      </c>
      <c r="F91" s="653">
        <f t="shared" ref="F91" si="111">E91</f>
        <v>-279690.67</v>
      </c>
      <c r="G91" s="653">
        <f t="shared" ref="G91" si="112">F91</f>
        <v>-279690.67</v>
      </c>
      <c r="H91" s="653">
        <f t="shared" ref="H91" si="113">G91</f>
        <v>-279690.67</v>
      </c>
      <c r="I91" s="653">
        <f t="shared" ref="I91" si="114">H91</f>
        <v>-279690.67</v>
      </c>
      <c r="J91" s="653">
        <f t="shared" ref="J91" si="115">I91</f>
        <v>-279690.67</v>
      </c>
      <c r="K91" s="653">
        <f t="shared" ref="K91" si="116">J91</f>
        <v>-279690.67</v>
      </c>
      <c r="L91" s="653">
        <f t="shared" ref="L91" si="117">K91</f>
        <v>-279690.67</v>
      </c>
      <c r="M91" s="653">
        <f t="shared" ref="M91" si="118">L91</f>
        <v>-279690.67</v>
      </c>
      <c r="N91" s="653">
        <f t="shared" ref="N91" si="119">M91</f>
        <v>-279690.67</v>
      </c>
      <c r="O91" s="653">
        <f t="shared" si="84"/>
        <v>-279690.67</v>
      </c>
    </row>
    <row r="92" spans="1:15" s="618" customFormat="1" ht="12.75" customHeight="1" x14ac:dyDescent="0.25">
      <c r="A92" s="636" t="str">
        <f>A77</f>
        <v>(PROVISIÓN GENERICA VOLUNTARIA)</v>
      </c>
      <c r="B92" s="646">
        <f>EEFFun!AX209</f>
        <v>-2545.4499999999998</v>
      </c>
      <c r="C92" s="653">
        <f t="shared" ref="C92:H92" si="120">$B$92</f>
        <v>-2545.4499999999998</v>
      </c>
      <c r="D92" s="653">
        <f t="shared" si="120"/>
        <v>-2545.4499999999998</v>
      </c>
      <c r="E92" s="653">
        <f t="shared" si="120"/>
        <v>-2545.4499999999998</v>
      </c>
      <c r="F92" s="653">
        <f t="shared" si="120"/>
        <v>-2545.4499999999998</v>
      </c>
      <c r="G92" s="653">
        <f t="shared" si="120"/>
        <v>-2545.4499999999998</v>
      </c>
      <c r="H92" s="653">
        <f t="shared" si="120"/>
        <v>-2545.4499999999998</v>
      </c>
      <c r="I92" s="653">
        <f t="shared" ref="I92:N92" si="121">$B$92</f>
        <v>-2545.4499999999998</v>
      </c>
      <c r="J92" s="653">
        <f t="shared" si="121"/>
        <v>-2545.4499999999998</v>
      </c>
      <c r="K92" s="653">
        <f t="shared" si="121"/>
        <v>-2545.4499999999998</v>
      </c>
      <c r="L92" s="653">
        <f t="shared" si="121"/>
        <v>-2545.4499999999998</v>
      </c>
      <c r="M92" s="653">
        <f t="shared" si="121"/>
        <v>-2545.4499999999998</v>
      </c>
      <c r="N92" s="653">
        <f t="shared" si="121"/>
        <v>-2545.4499999999998</v>
      </c>
      <c r="O92" s="653">
        <f t="shared" ref="O92" si="122">AVERAGE(C92:N92)</f>
        <v>-2545.4500000000003</v>
      </c>
    </row>
    <row r="93" spans="1:15" s="618" customFormat="1" ht="12.75" customHeight="1" x14ac:dyDescent="0.25">
      <c r="A93" s="631" t="s">
        <v>66</v>
      </c>
      <c r="B93" s="649">
        <f t="shared" ref="B93:O93" si="123">SUM(B83:B92)</f>
        <v>-1090856.57</v>
      </c>
      <c r="C93" s="649">
        <f t="shared" si="123"/>
        <v>-1172422.4867143782</v>
      </c>
      <c r="D93" s="649">
        <f t="shared" si="123"/>
        <v>-1253370.7209947878</v>
      </c>
      <c r="E93" s="649">
        <f t="shared" si="123"/>
        <v>-1331580.039301587</v>
      </c>
      <c r="F93" s="649">
        <f t="shared" si="123"/>
        <v>-1403593.2560028466</v>
      </c>
      <c r="G93" s="649">
        <f t="shared" si="123"/>
        <v>-1478689.9712589432</v>
      </c>
      <c r="H93" s="649">
        <f t="shared" si="123"/>
        <v>-1552801.4693161289</v>
      </c>
      <c r="I93" s="649">
        <f t="shared" si="123"/>
        <v>-1625319.9150321614</v>
      </c>
      <c r="J93" s="649">
        <f t="shared" si="123"/>
        <v>-1669409.0761672717</v>
      </c>
      <c r="K93" s="649">
        <f t="shared" si="123"/>
        <v>-1697345.1651061012</v>
      </c>
      <c r="L93" s="649">
        <f t="shared" si="123"/>
        <v>-1698191.4562759202</v>
      </c>
      <c r="M93" s="649">
        <f t="shared" si="123"/>
        <v>-1686449.1683592827</v>
      </c>
      <c r="N93" s="649">
        <f t="shared" si="123"/>
        <v>-1681867.9039768125</v>
      </c>
      <c r="O93" s="649">
        <f t="shared" si="123"/>
        <v>-1520920.0523755185</v>
      </c>
    </row>
    <row r="94" spans="1:15" ht="15" customHeight="1" x14ac:dyDescent="0.25">
      <c r="A94" s="656"/>
      <c r="C94" s="657"/>
      <c r="D94" s="657"/>
      <c r="E94" s="657"/>
      <c r="F94" s="657"/>
      <c r="G94" s="657"/>
      <c r="H94" s="657"/>
      <c r="I94" s="657"/>
      <c r="J94" s="657"/>
      <c r="K94" s="657"/>
      <c r="L94" s="657"/>
      <c r="M94" s="657"/>
      <c r="N94" s="657"/>
      <c r="O94" s="614"/>
    </row>
    <row r="95" spans="1:15" ht="15" customHeight="1" x14ac:dyDescent="0.25">
      <c r="A95" s="613" t="s">
        <v>1208</v>
      </c>
      <c r="B95" s="615"/>
      <c r="C95" s="637" t="str">
        <f t="shared" ref="C95:N95" si="124">C3</f>
        <v>2025-01</v>
      </c>
      <c r="D95" s="637" t="str">
        <f t="shared" si="124"/>
        <v>2025-02</v>
      </c>
      <c r="E95" s="637" t="str">
        <f t="shared" si="124"/>
        <v>2025-03</v>
      </c>
      <c r="F95" s="637" t="str">
        <f t="shared" si="124"/>
        <v>2025-04</v>
      </c>
      <c r="G95" s="637" t="str">
        <f t="shared" si="124"/>
        <v>2025-05</v>
      </c>
      <c r="H95" s="637" t="str">
        <f t="shared" si="124"/>
        <v>2025-06</v>
      </c>
      <c r="I95" s="637" t="str">
        <f t="shared" si="124"/>
        <v>2025-07</v>
      </c>
      <c r="J95" s="637" t="str">
        <f t="shared" si="124"/>
        <v>2025-08</v>
      </c>
      <c r="K95" s="637" t="str">
        <f t="shared" si="124"/>
        <v>2025-09</v>
      </c>
      <c r="L95" s="637" t="str">
        <f t="shared" si="124"/>
        <v>2025-10</v>
      </c>
      <c r="M95" s="637" t="str">
        <f t="shared" si="124"/>
        <v>2025-11</v>
      </c>
      <c r="N95" s="637" t="str">
        <f t="shared" si="124"/>
        <v>2025-12</v>
      </c>
      <c r="O95" s="614"/>
    </row>
    <row r="96" spans="1:15" s="658" customFormat="1" ht="19.5" customHeight="1" x14ac:dyDescent="0.25">
      <c r="A96" s="659"/>
      <c r="B96" s="660"/>
      <c r="C96" s="661">
        <f t="shared" ref="C96:N96" si="125">C4</f>
        <v>1</v>
      </c>
      <c r="D96" s="661">
        <f t="shared" si="125"/>
        <v>2</v>
      </c>
      <c r="E96" s="661">
        <f t="shared" si="125"/>
        <v>3</v>
      </c>
      <c r="F96" s="661">
        <f t="shared" si="125"/>
        <v>4</v>
      </c>
      <c r="G96" s="661">
        <f t="shared" si="125"/>
        <v>5</v>
      </c>
      <c r="H96" s="661">
        <f t="shared" si="125"/>
        <v>6</v>
      </c>
      <c r="I96" s="661">
        <f t="shared" si="125"/>
        <v>7</v>
      </c>
      <c r="J96" s="661">
        <f t="shared" si="125"/>
        <v>8</v>
      </c>
      <c r="K96" s="661">
        <f t="shared" si="125"/>
        <v>9</v>
      </c>
      <c r="L96" s="661">
        <f t="shared" si="125"/>
        <v>10</v>
      </c>
      <c r="M96" s="661">
        <f t="shared" si="125"/>
        <v>11</v>
      </c>
      <c r="N96" s="661">
        <f t="shared" si="125"/>
        <v>12</v>
      </c>
      <c r="O96" s="662"/>
    </row>
    <row r="97" spans="1:15" s="618" customFormat="1" ht="12.75" customHeight="1" x14ac:dyDescent="0.25">
      <c r="A97" s="619" t="s">
        <v>1177</v>
      </c>
      <c r="B97" s="621" t="s">
        <v>846</v>
      </c>
      <c r="C97" s="635" t="str">
        <f t="shared" ref="C97:N97" si="126">C5</f>
        <v>Enero</v>
      </c>
      <c r="D97" s="635" t="str">
        <f t="shared" si="126"/>
        <v>Febrero</v>
      </c>
      <c r="E97" s="635" t="str">
        <f t="shared" si="126"/>
        <v>Marzo</v>
      </c>
      <c r="F97" s="635" t="str">
        <f t="shared" si="126"/>
        <v>Abril</v>
      </c>
      <c r="G97" s="635" t="str">
        <f t="shared" si="126"/>
        <v>Mayo</v>
      </c>
      <c r="H97" s="635" t="str">
        <f t="shared" si="126"/>
        <v>Junio</v>
      </c>
      <c r="I97" s="635" t="str">
        <f t="shared" si="126"/>
        <v>Julio</v>
      </c>
      <c r="J97" s="635" t="str">
        <f t="shared" si="126"/>
        <v>Agosto</v>
      </c>
      <c r="K97" s="635" t="str">
        <f t="shared" si="126"/>
        <v>Septiembre</v>
      </c>
      <c r="L97" s="635" t="str">
        <f t="shared" si="126"/>
        <v>Octubre</v>
      </c>
      <c r="M97" s="635" t="str">
        <f t="shared" si="126"/>
        <v>Noviembre</v>
      </c>
      <c r="N97" s="635" t="str">
        <f t="shared" si="126"/>
        <v>Diciembre</v>
      </c>
      <c r="O97" s="621" t="s">
        <v>66</v>
      </c>
    </row>
    <row r="98" spans="1:15" s="618" customFormat="1" ht="12" customHeight="1" x14ac:dyDescent="0.25">
      <c r="A98" s="636" t="str">
        <f>A83</f>
        <v>PRODUCTIVO</v>
      </c>
      <c r="B98" s="655"/>
      <c r="C98" s="653">
        <f t="shared" ref="C98:N98" si="127">B83-C83</f>
        <v>-5.5582964989516768</v>
      </c>
      <c r="D98" s="653">
        <f t="shared" si="127"/>
        <v>-0.28939146664743021</v>
      </c>
      <c r="E98" s="653">
        <f>D83-E83</f>
        <v>-6.0000822736992632</v>
      </c>
      <c r="F98" s="653">
        <f t="shared" si="127"/>
        <v>-6.2114162652460436</v>
      </c>
      <c r="G98" s="653">
        <f t="shared" si="127"/>
        <v>-2.5975866155986296</v>
      </c>
      <c r="H98" s="653">
        <f>G83-H83</f>
        <v>-3.3243712950525151</v>
      </c>
      <c r="I98" s="653">
        <f t="shared" si="127"/>
        <v>3.9945155642653845</v>
      </c>
      <c r="J98" s="653">
        <f t="shared" si="127"/>
        <v>3.1652828715314172</v>
      </c>
      <c r="K98" s="653">
        <f t="shared" si="127"/>
        <v>0.92622249745090812</v>
      </c>
      <c r="L98" s="653">
        <f t="shared" si="127"/>
        <v>8.3318691059075718</v>
      </c>
      <c r="M98" s="653">
        <f t="shared" si="127"/>
        <v>10.994333230510165</v>
      </c>
      <c r="N98" s="653">
        <f t="shared" si="127"/>
        <v>-3.431078854469888</v>
      </c>
      <c r="O98" s="653">
        <f>SUM(C98:N98)</f>
        <v>0</v>
      </c>
    </row>
    <row r="99" spans="1:15" s="618" customFormat="1" ht="12" customHeight="1" x14ac:dyDescent="0.25">
      <c r="A99" s="636" t="str">
        <f>A84</f>
        <v>CONSUMO</v>
      </c>
      <c r="B99" s="655"/>
      <c r="C99" s="653">
        <f>B84-C84</f>
        <v>60081.599507845473</v>
      </c>
      <c r="D99" s="653">
        <f t="shared" ref="D99:N99" si="128">C84-D84</f>
        <v>58748.408431474352</v>
      </c>
      <c r="E99" s="653">
        <f t="shared" si="128"/>
        <v>56559.876022848184</v>
      </c>
      <c r="F99" s="653">
        <f t="shared" si="128"/>
        <v>50591.820407921216</v>
      </c>
      <c r="G99" s="653">
        <f t="shared" si="128"/>
        <v>54043.31206934317</v>
      </c>
      <c r="H99" s="653">
        <f t="shared" si="128"/>
        <v>53171.0526316209</v>
      </c>
      <c r="I99" s="653">
        <f t="shared" si="128"/>
        <v>51949.357267787447</v>
      </c>
      <c r="J99" s="653">
        <f t="shared" si="128"/>
        <v>31711.75574914983</v>
      </c>
      <c r="K99" s="653">
        <f t="shared" si="128"/>
        <v>28909.613470480312</v>
      </c>
      <c r="L99" s="653">
        <f t="shared" si="128"/>
        <v>14955.959687488968</v>
      </c>
      <c r="M99" s="653">
        <f t="shared" si="128"/>
        <v>2773.9239682368934</v>
      </c>
      <c r="N99" s="653">
        <f t="shared" si="128"/>
        <v>10309.831736167078</v>
      </c>
      <c r="O99" s="653">
        <f t="shared" ref="O99:O105" si="129">SUM(C99:N99)</f>
        <v>473806.51095036382</v>
      </c>
    </row>
    <row r="100" spans="1:15" s="618" customFormat="1" ht="12" customHeight="1" x14ac:dyDescent="0.25">
      <c r="A100" s="636" t="str">
        <f>A86</f>
        <v>MICROCREDITO</v>
      </c>
      <c r="B100" s="655"/>
      <c r="C100" s="653">
        <f t="shared" ref="C100:N100" si="130">B86-C86</f>
        <v>22320.474721420906</v>
      </c>
      <c r="D100" s="653">
        <f t="shared" si="130"/>
        <v>21978.797164147807</v>
      </c>
      <c r="E100" s="653">
        <f t="shared" si="130"/>
        <v>21603.89878956537</v>
      </c>
      <c r="F100" s="653">
        <f t="shared" si="130"/>
        <v>21342.835654298076</v>
      </c>
      <c r="G100" s="653">
        <f t="shared" si="130"/>
        <v>21034.31238475017</v>
      </c>
      <c r="H100" s="653">
        <f t="shared" si="130"/>
        <v>20913.320267185394</v>
      </c>
      <c r="I100" s="653">
        <f t="shared" si="130"/>
        <v>20597.103397366009</v>
      </c>
      <c r="J100" s="653">
        <f t="shared" si="130"/>
        <v>12429.502612460696</v>
      </c>
      <c r="K100" s="653">
        <f t="shared" si="130"/>
        <v>-902.03297363308957</v>
      </c>
      <c r="L100" s="653">
        <f t="shared" si="130"/>
        <v>-13983.851098939369</v>
      </c>
      <c r="M100" s="653">
        <f t="shared" si="130"/>
        <v>-14427.1106286266</v>
      </c>
      <c r="N100" s="653">
        <f t="shared" si="130"/>
        <v>-14726.907998249808</v>
      </c>
      <c r="O100" s="653">
        <f t="shared" si="129"/>
        <v>118180.34229174556</v>
      </c>
    </row>
    <row r="101" spans="1:15" s="618" customFormat="1" ht="12" customHeight="1" x14ac:dyDescent="0.25">
      <c r="A101" s="636" t="str">
        <f>A87</f>
        <v>REFINANCIADA</v>
      </c>
      <c r="B101" s="655"/>
      <c r="C101" s="653">
        <f t="shared" ref="C101:N101" si="131">B87-C87</f>
        <v>843.68881671852068</v>
      </c>
      <c r="D101" s="653">
        <f t="shared" si="131"/>
        <v>75.567580990995339</v>
      </c>
      <c r="E101" s="653">
        <f t="shared" si="131"/>
        <v>15.196448406390118</v>
      </c>
      <c r="F101" s="653">
        <f t="shared" si="131"/>
        <v>44.188271596518462</v>
      </c>
      <c r="G101" s="653">
        <f t="shared" si="131"/>
        <v>25.776033263729914</v>
      </c>
      <c r="H101" s="653">
        <f t="shared" si="131"/>
        <v>22.173159680394747</v>
      </c>
      <c r="I101" s="653">
        <f t="shared" si="131"/>
        <v>3.9418134760671819</v>
      </c>
      <c r="J101" s="653">
        <f t="shared" si="131"/>
        <v>-0.10319099195476156</v>
      </c>
      <c r="K101" s="653">
        <f t="shared" si="131"/>
        <v>-11.29186351037788</v>
      </c>
      <c r="L101" s="653">
        <f t="shared" si="131"/>
        <v>-29.240425494066585</v>
      </c>
      <c r="M101" s="653">
        <f t="shared" si="131"/>
        <v>-24.003823430699413</v>
      </c>
      <c r="N101" s="653">
        <f t="shared" si="131"/>
        <v>-41.629652311770769</v>
      </c>
      <c r="O101" s="653">
        <f t="shared" si="129"/>
        <v>924.26316839374704</v>
      </c>
    </row>
    <row r="102" spans="1:15" s="618" customFormat="1" ht="12" customHeight="1" x14ac:dyDescent="0.25">
      <c r="A102" s="636" t="str">
        <f>A88</f>
        <v>REESTRUCTURADA</v>
      </c>
      <c r="B102" s="655"/>
      <c r="C102" s="653">
        <f t="shared" ref="C102:N102" si="132">B88-C88</f>
        <v>-1674.288035107631</v>
      </c>
      <c r="D102" s="653">
        <f t="shared" si="132"/>
        <v>145.75049526311705</v>
      </c>
      <c r="E102" s="653">
        <f t="shared" si="132"/>
        <v>36.347128253075425</v>
      </c>
      <c r="F102" s="653">
        <f t="shared" si="132"/>
        <v>40.583783709014824</v>
      </c>
      <c r="G102" s="653">
        <f t="shared" si="132"/>
        <v>-4.0876446447218768</v>
      </c>
      <c r="H102" s="653">
        <f t="shared" si="132"/>
        <v>8.2763699940005608</v>
      </c>
      <c r="I102" s="653">
        <f t="shared" si="132"/>
        <v>-35.951278161421214</v>
      </c>
      <c r="J102" s="653">
        <f t="shared" si="132"/>
        <v>-55.159318379650358</v>
      </c>
      <c r="K102" s="653">
        <f t="shared" si="132"/>
        <v>-61.125917005041629</v>
      </c>
      <c r="L102" s="653">
        <f t="shared" si="132"/>
        <v>-104.9088623422067</v>
      </c>
      <c r="M102" s="653">
        <f t="shared" si="132"/>
        <v>-76.091766047600686</v>
      </c>
      <c r="N102" s="653">
        <f t="shared" si="132"/>
        <v>-119.12738922128847</v>
      </c>
      <c r="O102" s="653">
        <f t="shared" si="129"/>
        <v>-1899.7824336903541</v>
      </c>
    </row>
    <row r="103" spans="1:15" s="618" customFormat="1" ht="12" customHeight="1" x14ac:dyDescent="0.25">
      <c r="A103" s="636" t="str">
        <f>A89</f>
        <v>TECNOLOGIA CREDITICIA</v>
      </c>
      <c r="B103" s="655"/>
      <c r="C103" s="653">
        <f t="shared" ref="C103:N103" si="133">B89-C89</f>
        <v>0</v>
      </c>
      <c r="D103" s="653">
        <f t="shared" si="133"/>
        <v>0</v>
      </c>
      <c r="E103" s="653">
        <f t="shared" si="133"/>
        <v>0</v>
      </c>
      <c r="F103" s="653">
        <f t="shared" si="133"/>
        <v>0</v>
      </c>
      <c r="G103" s="653">
        <f t="shared" si="133"/>
        <v>0</v>
      </c>
      <c r="H103" s="653">
        <f t="shared" si="133"/>
        <v>0</v>
      </c>
      <c r="I103" s="653">
        <f t="shared" si="133"/>
        <v>0</v>
      </c>
      <c r="J103" s="653">
        <f t="shared" si="133"/>
        <v>0</v>
      </c>
      <c r="K103" s="653">
        <f t="shared" si="133"/>
        <v>0</v>
      </c>
      <c r="L103" s="653">
        <f t="shared" si="133"/>
        <v>0</v>
      </c>
      <c r="M103" s="653">
        <f t="shared" si="133"/>
        <v>0</v>
      </c>
      <c r="N103" s="653">
        <f t="shared" si="133"/>
        <v>0</v>
      </c>
      <c r="O103" s="653">
        <f t="shared" si="129"/>
        <v>0</v>
      </c>
    </row>
    <row r="104" spans="1:15" s="618" customFormat="1" ht="12" customHeight="1" x14ac:dyDescent="0.25">
      <c r="A104" s="636" t="str">
        <f t="shared" ref="A104:A105" si="134">A90</f>
        <v>ANTICICLICA</v>
      </c>
      <c r="B104" s="655"/>
      <c r="C104" s="653">
        <f>B90-C90</f>
        <v>0</v>
      </c>
      <c r="D104" s="653">
        <f t="shared" ref="D104:N104" si="135">C90-D90</f>
        <v>0</v>
      </c>
      <c r="E104" s="653">
        <f t="shared" si="135"/>
        <v>0</v>
      </c>
      <c r="F104" s="653">
        <f t="shared" si="135"/>
        <v>0</v>
      </c>
      <c r="G104" s="653">
        <f t="shared" si="135"/>
        <v>0</v>
      </c>
      <c r="H104" s="653">
        <f t="shared" si="135"/>
        <v>0</v>
      </c>
      <c r="I104" s="653">
        <f t="shared" si="135"/>
        <v>0</v>
      </c>
      <c r="J104" s="653">
        <f t="shared" si="135"/>
        <v>0</v>
      </c>
      <c r="K104" s="653">
        <f t="shared" si="135"/>
        <v>0</v>
      </c>
      <c r="L104" s="653">
        <f t="shared" si="135"/>
        <v>0</v>
      </c>
      <c r="M104" s="653">
        <f t="shared" si="135"/>
        <v>0</v>
      </c>
      <c r="N104" s="653">
        <f t="shared" si="135"/>
        <v>0</v>
      </c>
      <c r="O104" s="653">
        <f t="shared" si="129"/>
        <v>0</v>
      </c>
    </row>
    <row r="105" spans="1:15" s="618" customFormat="1" ht="12.75" customHeight="1" x14ac:dyDescent="0.25">
      <c r="A105" s="636" t="str">
        <f t="shared" si="134"/>
        <v>NO REVERSADA POR REQUER NORMATIVO</v>
      </c>
      <c r="B105" s="655"/>
      <c r="C105" s="663">
        <v>0</v>
      </c>
      <c r="D105" s="653">
        <f t="shared" ref="D105:N105" si="136">C91-D91</f>
        <v>0</v>
      </c>
      <c r="E105" s="653">
        <f t="shared" si="136"/>
        <v>0</v>
      </c>
      <c r="F105" s="653">
        <f t="shared" si="136"/>
        <v>0</v>
      </c>
      <c r="G105" s="653">
        <f t="shared" si="136"/>
        <v>0</v>
      </c>
      <c r="H105" s="653">
        <f t="shared" si="136"/>
        <v>0</v>
      </c>
      <c r="I105" s="653">
        <f t="shared" si="136"/>
        <v>0</v>
      </c>
      <c r="J105" s="653">
        <f t="shared" si="136"/>
        <v>0</v>
      </c>
      <c r="K105" s="653">
        <f t="shared" si="136"/>
        <v>0</v>
      </c>
      <c r="L105" s="653">
        <f t="shared" si="136"/>
        <v>0</v>
      </c>
      <c r="M105" s="653">
        <f t="shared" si="136"/>
        <v>0</v>
      </c>
      <c r="N105" s="653">
        <f t="shared" si="136"/>
        <v>0</v>
      </c>
      <c r="O105" s="653">
        <f t="shared" si="129"/>
        <v>0</v>
      </c>
    </row>
    <row r="106" spans="1:15" s="618" customFormat="1" ht="12.75" customHeight="1" x14ac:dyDescent="0.25">
      <c r="A106" s="631" t="s">
        <v>66</v>
      </c>
      <c r="B106" s="649">
        <f t="shared" ref="B106" si="137">SUM(B98:B105)</f>
        <v>0</v>
      </c>
      <c r="C106" s="649">
        <f t="shared" ref="C106:N106" si="138">SUM(C98:C105)</f>
        <v>81565.916714378312</v>
      </c>
      <c r="D106" s="649">
        <f t="shared" si="138"/>
        <v>80948.234280409612</v>
      </c>
      <c r="E106" s="649">
        <f t="shared" si="138"/>
        <v>78209.318306799323</v>
      </c>
      <c r="F106" s="649">
        <f t="shared" si="138"/>
        <v>72013.216701259575</v>
      </c>
      <c r="G106" s="649">
        <f t="shared" si="138"/>
        <v>75096.715256096752</v>
      </c>
      <c r="H106" s="649">
        <f t="shared" si="138"/>
        <v>74111.498057185629</v>
      </c>
      <c r="I106" s="649">
        <f t="shared" si="138"/>
        <v>72518.445716032365</v>
      </c>
      <c r="J106" s="649">
        <f t="shared" si="138"/>
        <v>44089.161135110451</v>
      </c>
      <c r="K106" s="649">
        <f t="shared" si="138"/>
        <v>27936.088938829256</v>
      </c>
      <c r="L106" s="649">
        <f t="shared" si="138"/>
        <v>846.29116981923289</v>
      </c>
      <c r="M106" s="649">
        <f t="shared" si="138"/>
        <v>-11742.287916637497</v>
      </c>
      <c r="N106" s="649">
        <f t="shared" si="138"/>
        <v>-4581.2643824702591</v>
      </c>
      <c r="O106" s="649">
        <f>SUM(O98:O105)</f>
        <v>591011.33397681278</v>
      </c>
    </row>
    <row r="107" spans="1:15" ht="15" customHeight="1" x14ac:dyDescent="0.25"/>
    <row r="108" spans="1:15" s="622" customFormat="1" ht="12" customHeight="1" x14ac:dyDescent="0.25">
      <c r="A108" s="664" t="s">
        <v>723</v>
      </c>
      <c r="B108" s="665">
        <f t="shared" ref="B108" si="139">SUM(B109:B113)</f>
        <v>3028980.78</v>
      </c>
      <c r="C108" s="665">
        <f t="shared" ref="C108:N108" si="140">SUM(C109:C113)</f>
        <v>1039490.2143943056</v>
      </c>
      <c r="D108" s="665">
        <f t="shared" si="140"/>
        <v>1138697.0355138888</v>
      </c>
      <c r="E108" s="665">
        <f t="shared" si="140"/>
        <v>1234770.0873587499</v>
      </c>
      <c r="F108" s="665">
        <f t="shared" si="140"/>
        <v>1323564.7381288889</v>
      </c>
      <c r="G108" s="665">
        <f t="shared" si="140"/>
        <v>1415920.5208243052</v>
      </c>
      <c r="H108" s="665">
        <f t="shared" si="140"/>
        <v>1507092.8850449999</v>
      </c>
      <c r="I108" s="665">
        <f t="shared" si="140"/>
        <v>1596404.4671909721</v>
      </c>
      <c r="J108" s="665">
        <f t="shared" si="140"/>
        <v>1683886.4804622221</v>
      </c>
      <c r="K108" s="665">
        <f t="shared" si="140"/>
        <v>1769202.5172587498</v>
      </c>
      <c r="L108" s="665">
        <f t="shared" si="140"/>
        <v>1851467.7881805552</v>
      </c>
      <c r="M108" s="665">
        <f t="shared" si="140"/>
        <v>1933067.9882276391</v>
      </c>
      <c r="N108" s="665">
        <f t="shared" si="140"/>
        <v>2012993.7448000002</v>
      </c>
    </row>
    <row r="109" spans="1:15" s="618" customFormat="1" ht="12" customHeight="1" x14ac:dyDescent="0.25">
      <c r="A109" s="666" t="s">
        <v>6</v>
      </c>
      <c r="B109" s="667">
        <f>EEFFun!AB95+EEFFun!AB137</f>
        <v>98911.67</v>
      </c>
      <c r="C109" s="667">
        <f>CalcIntCart!E7</f>
        <v>12863.881652083332</v>
      </c>
      <c r="D109" s="667">
        <f>CalcIntCart!F7</f>
        <v>12863.088458333332</v>
      </c>
      <c r="E109" s="667">
        <f>CalcIntCart!G7</f>
        <v>12846.642818749999</v>
      </c>
      <c r="F109" s="667">
        <f>CalcIntCart!H7</f>
        <v>12829.617933333333</v>
      </c>
      <c r="G109" s="667">
        <f>CalcIntCart!I7</f>
        <v>12822.498202083332</v>
      </c>
      <c r="H109" s="667">
        <f>CalcIntCart!J7</f>
        <v>12813.386424999999</v>
      </c>
      <c r="I109" s="667">
        <f>CalcIntCart!K7</f>
        <v>12824.335002083331</v>
      </c>
      <c r="J109" s="667">
        <f>CalcIntCart!L7</f>
        <v>12833.010733333333</v>
      </c>
      <c r="K109" s="667">
        <f>CalcIntCart!M7</f>
        <v>12835.549418750001</v>
      </c>
      <c r="L109" s="667">
        <f>CalcIntCart!N7</f>
        <v>12858.386258333336</v>
      </c>
      <c r="M109" s="667">
        <f>CalcIntCart!O7</f>
        <v>12888.520652083336</v>
      </c>
      <c r="N109" s="667">
        <f>CalcIntCart!P7</f>
        <v>12879.116400000001</v>
      </c>
    </row>
    <row r="110" spans="1:15" s="618" customFormat="1" ht="12" customHeight="1" x14ac:dyDescent="0.25">
      <c r="A110" s="666" t="s">
        <v>8</v>
      </c>
      <c r="B110" s="667">
        <f>EEFFun!AB101+EEFFun!AB142</f>
        <v>1707779.93</v>
      </c>
      <c r="C110" s="667">
        <f>CalcIntCart!E13</f>
        <v>666297.20275541663</v>
      </c>
      <c r="D110" s="667">
        <f>CalcIntCart!F13</f>
        <v>734451.66549166664</v>
      </c>
      <c r="E110" s="667">
        <f>CalcIntCart!G13</f>
        <v>800067.19560874999</v>
      </c>
      <c r="F110" s="667">
        <f>CalcIntCart!H13</f>
        <v>858759.14030666661</v>
      </c>
      <c r="G110" s="667">
        <f>CalcIntCart!I13</f>
        <v>921455.18598541664</v>
      </c>
      <c r="H110" s="667">
        <f>CalcIntCart!J13</f>
        <v>983139.31704499992</v>
      </c>
      <c r="I110" s="667">
        <f>CalcIntCart!K13</f>
        <v>1043406.1502854165</v>
      </c>
      <c r="J110" s="667">
        <f>CalcIntCart!L13</f>
        <v>1102239.9923066664</v>
      </c>
      <c r="K110" s="667">
        <f>CalcIntCart!M13</f>
        <v>1159655.81910875</v>
      </c>
      <c r="L110" s="667">
        <f>CalcIntCart!N13</f>
        <v>1214146.1332916666</v>
      </c>
      <c r="M110" s="667">
        <f>CalcIntCart!O13</f>
        <v>1268333.8576554167</v>
      </c>
      <c r="N110" s="667">
        <f>CalcIntCart!P13</f>
        <v>1321348.0952000001</v>
      </c>
    </row>
    <row r="111" spans="1:15" s="618" customFormat="1" ht="12" customHeight="1" x14ac:dyDescent="0.25">
      <c r="A111" s="666" t="s">
        <v>9</v>
      </c>
      <c r="B111" s="667">
        <f>EEFFun!AB107+EEFFun!AB154</f>
        <v>912259.24</v>
      </c>
      <c r="C111" s="667">
        <f>CalcIntCart!E19</f>
        <v>347985.99813527777</v>
      </c>
      <c r="D111" s="667">
        <f>CalcIntCart!F19</f>
        <v>378973.8841944444</v>
      </c>
      <c r="E111" s="667">
        <f>CalcIntCart!G19</f>
        <v>409433.20137750002</v>
      </c>
      <c r="F111" s="667">
        <f>CalcIntCart!H19</f>
        <v>439524.4458844444</v>
      </c>
      <c r="G111" s="667">
        <f>CalcIntCart!I19</f>
        <v>469180.70371527778</v>
      </c>
      <c r="H111" s="667">
        <f>CalcIntCart!J19</f>
        <v>498666.37486999994</v>
      </c>
      <c r="I111" s="667">
        <f>CalcIntCart!K19</f>
        <v>527706.21214861108</v>
      </c>
      <c r="J111" s="667">
        <f>CalcIntCart!L19</f>
        <v>556357.71075111115</v>
      </c>
      <c r="K111" s="667">
        <f>CalcIntCart!M19</f>
        <v>584273.66387749999</v>
      </c>
      <c r="L111" s="667">
        <f>CalcIntCart!N19</f>
        <v>612061.5539277778</v>
      </c>
      <c r="M111" s="667">
        <f>CalcIntCart!O19</f>
        <v>639471.08530194452</v>
      </c>
      <c r="N111" s="667">
        <f>CalcIntCart!P19</f>
        <v>666436.38120000006</v>
      </c>
    </row>
    <row r="112" spans="1:15" s="618" customFormat="1" ht="12" customHeight="1" x14ac:dyDescent="0.25">
      <c r="A112" s="666" t="s">
        <v>10</v>
      </c>
      <c r="B112" s="667">
        <f>EEFFun!AB113+EEFFun!AB119+EEFFun!AB160+EEFFun!AB165+EEFFun!AB182+EEFFun!AB184</f>
        <v>133902.27000000002</v>
      </c>
      <c r="C112" s="667">
        <f>CalcIntCart!E25</f>
        <v>9281.4287331944452</v>
      </c>
      <c r="D112" s="667">
        <f>CalcIntCart!F25</f>
        <v>9315.0993361111123</v>
      </c>
      <c r="E112" s="667">
        <f>CalcIntCart!G25</f>
        <v>9321.8704087500009</v>
      </c>
      <c r="F112" s="667">
        <f>CalcIntCart!H25</f>
        <v>9341.559351111111</v>
      </c>
      <c r="G112" s="667">
        <f>CalcIntCart!I25</f>
        <v>9353.0443631944454</v>
      </c>
      <c r="H112" s="667">
        <f>CalcIntCart!J25</f>
        <v>9362.9240450000016</v>
      </c>
      <c r="I112" s="667">
        <f>CalcIntCart!K25</f>
        <v>9364.6803965277777</v>
      </c>
      <c r="J112" s="667">
        <f>CalcIntCart!L25</f>
        <v>9364.6344177777792</v>
      </c>
      <c r="K112" s="667">
        <f>CalcIntCart!M25</f>
        <v>9359.6031087500014</v>
      </c>
      <c r="L112" s="667">
        <f>CalcIntCart!N25</f>
        <v>9346.5744694444456</v>
      </c>
      <c r="M112" s="667">
        <f>CalcIntCart!O25</f>
        <v>9335.879099861113</v>
      </c>
      <c r="N112" s="667">
        <f>CalcIntCart!P25</f>
        <v>9317.3302000000022</v>
      </c>
    </row>
    <row r="113" spans="1:15" s="618" customFormat="1" ht="12" customHeight="1" x14ac:dyDescent="0.25">
      <c r="A113" s="666" t="s">
        <v>11</v>
      </c>
      <c r="B113" s="667">
        <f>EEFFun!AB125+EEFFun!AB131+EEFFun!AB169+EEFFun!AB174+EEFFun!AB189+EEFFun!AB192</f>
        <v>176127.67</v>
      </c>
      <c r="C113" s="667">
        <f>CalcIntCart!E31</f>
        <v>3061.7031183333334</v>
      </c>
      <c r="D113" s="667">
        <f>CalcIntCart!F31</f>
        <v>3093.2980333333335</v>
      </c>
      <c r="E113" s="667">
        <f>CalcIntCart!G31</f>
        <v>3101.1771450000001</v>
      </c>
      <c r="F113" s="667">
        <f>CalcIntCart!H31</f>
        <v>3109.9746533333337</v>
      </c>
      <c r="G113" s="667">
        <f>CalcIntCart!I31</f>
        <v>3109.0885583333334</v>
      </c>
      <c r="H113" s="667">
        <f>CalcIntCart!J31</f>
        <v>3110.8826600000002</v>
      </c>
      <c r="I113" s="667">
        <f>CalcIntCart!K31</f>
        <v>3103.0893583333336</v>
      </c>
      <c r="J113" s="667">
        <f>CalcIntCart!L31</f>
        <v>3091.1322533333337</v>
      </c>
      <c r="K113" s="667">
        <f>CalcIntCart!M31</f>
        <v>3077.8817450000001</v>
      </c>
      <c r="L113" s="667">
        <f>CalcIntCart!N31</f>
        <v>3055.140233333334</v>
      </c>
      <c r="M113" s="667">
        <f>CalcIntCart!O31</f>
        <v>3038.6455183333342</v>
      </c>
      <c r="N113" s="667">
        <f>CalcIntCart!P31</f>
        <v>3012.8218000000006</v>
      </c>
    </row>
    <row r="114" spans="1:15" s="618" customFormat="1" ht="12" customHeight="1" x14ac:dyDescent="0.25">
      <c r="A114" s="666"/>
    </row>
    <row r="115" spans="1:15" s="622" customFormat="1" ht="12" customHeight="1" x14ac:dyDescent="0.25">
      <c r="A115" s="664" t="s">
        <v>1209</v>
      </c>
      <c r="B115" s="668">
        <f t="shared" ref="B115" si="141">-B93/B108</f>
        <v>0.36013981244212456</v>
      </c>
      <c r="C115" s="668">
        <f t="shared" ref="C115:N115" si="142">-C93/C108</f>
        <v>1.1278821777052803</v>
      </c>
      <c r="D115" s="668">
        <f t="shared" si="142"/>
        <v>1.1007060542922615</v>
      </c>
      <c r="E115" s="668">
        <f t="shared" si="142"/>
        <v>1.0784032209185757</v>
      </c>
      <c r="F115" s="668">
        <f t="shared" si="142"/>
        <v>1.0604643774259908</v>
      </c>
      <c r="G115" s="668">
        <f t="shared" si="142"/>
        <v>1.0443311962157986</v>
      </c>
      <c r="H115" s="668">
        <f t="shared" si="142"/>
        <v>1.0303289762195142</v>
      </c>
      <c r="I115" s="668">
        <f t="shared" si="142"/>
        <v>1.0181128582608321</v>
      </c>
      <c r="J115" s="668">
        <f t="shared" si="142"/>
        <v>0.9914023869999975</v>
      </c>
      <c r="K115" s="668">
        <f t="shared" si="142"/>
        <v>0.95938432629861603</v>
      </c>
      <c r="L115" s="668">
        <f t="shared" si="142"/>
        <v>0.91721361133954138</v>
      </c>
      <c r="M115" s="668">
        <f t="shared" si="142"/>
        <v>0.87242103155695394</v>
      </c>
      <c r="N115" s="668">
        <f t="shared" si="142"/>
        <v>0.8355057775621223</v>
      </c>
    </row>
    <row r="116" spans="1:15" s="618" customFormat="1" ht="12" customHeight="1" x14ac:dyDescent="0.25">
      <c r="A116" s="669" t="str">
        <f>A109</f>
        <v>PRODUCTIVO</v>
      </c>
      <c r="B116" s="670">
        <f t="shared" ref="B116:N116" si="143">-B83/B109</f>
        <v>4.7505617891195243E-2</v>
      </c>
      <c r="C116" s="670">
        <f t="shared" si="143"/>
        <v>0.3648433521417665</v>
      </c>
      <c r="D116" s="670">
        <f t="shared" si="143"/>
        <v>0.36484335214176655</v>
      </c>
      <c r="E116" s="670">
        <f t="shared" si="143"/>
        <v>0.3648433521417665</v>
      </c>
      <c r="F116" s="670">
        <f t="shared" si="143"/>
        <v>0.36484335214176644</v>
      </c>
      <c r="G116" s="670">
        <f t="shared" si="143"/>
        <v>0.3648433521417665</v>
      </c>
      <c r="H116" s="670">
        <f t="shared" si="143"/>
        <v>0.36484335214176644</v>
      </c>
      <c r="I116" s="670">
        <f t="shared" si="143"/>
        <v>0.36484335214176639</v>
      </c>
      <c r="J116" s="670">
        <f t="shared" si="143"/>
        <v>0.36484335214176639</v>
      </c>
      <c r="K116" s="670">
        <f t="shared" si="143"/>
        <v>0.36484335214176644</v>
      </c>
      <c r="L116" s="670">
        <f t="shared" si="143"/>
        <v>0.36484335214176639</v>
      </c>
      <c r="M116" s="670">
        <f t="shared" si="143"/>
        <v>0.36484335214176644</v>
      </c>
      <c r="N116" s="670">
        <f t="shared" si="143"/>
        <v>0.36484335214176644</v>
      </c>
    </row>
    <row r="117" spans="1:15" s="618" customFormat="1" ht="12" customHeight="1" x14ac:dyDescent="0.25">
      <c r="A117" s="669" t="str">
        <f t="shared" ref="A117:A120" si="144">A110</f>
        <v>CONSUMO</v>
      </c>
      <c r="B117" s="670">
        <f t="shared" ref="B117:N117" si="145">-B84/B110</f>
        <v>0.30112742336771697</v>
      </c>
      <c r="C117" s="670">
        <f t="shared" si="145"/>
        <v>0.86198916509435453</v>
      </c>
      <c r="D117" s="670">
        <f t="shared" si="145"/>
        <v>0.86198916509435441</v>
      </c>
      <c r="E117" s="670">
        <f t="shared" si="145"/>
        <v>0.86198916509435453</v>
      </c>
      <c r="F117" s="670">
        <f t="shared" si="145"/>
        <v>0.86198916509435453</v>
      </c>
      <c r="G117" s="670">
        <f t="shared" si="145"/>
        <v>0.86198916509435441</v>
      </c>
      <c r="H117" s="670">
        <f t="shared" si="145"/>
        <v>0.86198916509435441</v>
      </c>
      <c r="I117" s="670">
        <f t="shared" si="145"/>
        <v>0.86198916509435453</v>
      </c>
      <c r="J117" s="670">
        <f t="shared" si="145"/>
        <v>0.8447493817924675</v>
      </c>
      <c r="K117" s="670">
        <f t="shared" si="145"/>
        <v>0.8278543941566181</v>
      </c>
      <c r="L117" s="670">
        <f t="shared" si="145"/>
        <v>0.80301876233191949</v>
      </c>
      <c r="M117" s="670">
        <f t="shared" si="145"/>
        <v>0.7708980118386427</v>
      </c>
      <c r="N117" s="670">
        <f t="shared" si="145"/>
        <v>0.74777107148348332</v>
      </c>
    </row>
    <row r="118" spans="1:15" s="618" customFormat="1" ht="12" customHeight="1" x14ac:dyDescent="0.25">
      <c r="A118" s="669" t="str">
        <f t="shared" si="144"/>
        <v>MICROCREDITO</v>
      </c>
      <c r="B118" s="670">
        <f t="shared" ref="B118:N118" si="146">-B86/B111</f>
        <v>0.24608769103835001</v>
      </c>
      <c r="C118" s="670">
        <f t="shared" si="146"/>
        <v>0.70927062020889797</v>
      </c>
      <c r="D118" s="670">
        <f t="shared" si="146"/>
        <v>0.70927062020889808</v>
      </c>
      <c r="E118" s="670">
        <f t="shared" si="146"/>
        <v>0.70927062020889797</v>
      </c>
      <c r="F118" s="670">
        <f t="shared" si="146"/>
        <v>0.70927062020889808</v>
      </c>
      <c r="G118" s="670">
        <f t="shared" si="146"/>
        <v>0.70927062020889808</v>
      </c>
      <c r="H118" s="670">
        <f t="shared" si="146"/>
        <v>0.70927062020889808</v>
      </c>
      <c r="I118" s="670">
        <f t="shared" si="146"/>
        <v>0.70927062020889808</v>
      </c>
      <c r="J118" s="670">
        <f t="shared" si="146"/>
        <v>0.69508520780472005</v>
      </c>
      <c r="K118" s="670">
        <f t="shared" si="146"/>
        <v>0.66033094741448395</v>
      </c>
      <c r="L118" s="670">
        <f t="shared" si="146"/>
        <v>0.60750447162132526</v>
      </c>
      <c r="M118" s="670">
        <f t="shared" si="146"/>
        <v>0.5589041138916192</v>
      </c>
      <c r="N118" s="670">
        <f t="shared" si="146"/>
        <v>0.51419178478028971</v>
      </c>
    </row>
    <row r="119" spans="1:15" s="618" customFormat="1" ht="12" customHeight="1" x14ac:dyDescent="0.25">
      <c r="A119" s="669" t="str">
        <f t="shared" si="144"/>
        <v>REFINANCIADA</v>
      </c>
      <c r="B119" s="670">
        <f t="shared" ref="B119:N119" si="147">-B87/B112</f>
        <v>0.14926408641167918</v>
      </c>
      <c r="C119" s="670">
        <f t="shared" si="147"/>
        <v>2.244319211569183</v>
      </c>
      <c r="D119" s="670">
        <f t="shared" si="147"/>
        <v>2.2443192115691835</v>
      </c>
      <c r="E119" s="670">
        <f t="shared" si="147"/>
        <v>2.2443192115691835</v>
      </c>
      <c r="F119" s="670">
        <f t="shared" si="147"/>
        <v>2.2443192115691839</v>
      </c>
      <c r="G119" s="670">
        <f t="shared" si="147"/>
        <v>2.2443192115691835</v>
      </c>
      <c r="H119" s="670">
        <f t="shared" si="147"/>
        <v>2.244319211569183</v>
      </c>
      <c r="I119" s="670">
        <f t="shared" si="147"/>
        <v>2.2443192115691839</v>
      </c>
      <c r="J119" s="670">
        <f t="shared" si="147"/>
        <v>2.244319211569183</v>
      </c>
      <c r="K119" s="670">
        <f t="shared" si="147"/>
        <v>2.2443192115691835</v>
      </c>
      <c r="L119" s="670">
        <f t="shared" si="147"/>
        <v>2.2443192115691835</v>
      </c>
      <c r="M119" s="670">
        <f t="shared" si="147"/>
        <v>2.2443192115691839</v>
      </c>
      <c r="N119" s="670">
        <f t="shared" si="147"/>
        <v>2.2443192115691835</v>
      </c>
    </row>
    <row r="120" spans="1:15" s="618" customFormat="1" ht="12" customHeight="1" x14ac:dyDescent="0.25">
      <c r="A120" s="669" t="str">
        <f t="shared" si="144"/>
        <v>REESTRUCTURADA</v>
      </c>
      <c r="B120" s="670">
        <f t="shared" ref="B120:N120" si="148">-B88/B113</f>
        <v>8.9697604016450105E-2</v>
      </c>
      <c r="C120" s="670">
        <f t="shared" si="148"/>
        <v>4.6130997745401485</v>
      </c>
      <c r="D120" s="670">
        <f t="shared" si="148"/>
        <v>4.6130997745401485</v>
      </c>
      <c r="E120" s="670">
        <f t="shared" si="148"/>
        <v>4.6130997745401485</v>
      </c>
      <c r="F120" s="670">
        <f t="shared" si="148"/>
        <v>4.6130997745401476</v>
      </c>
      <c r="G120" s="670">
        <f t="shared" si="148"/>
        <v>4.6130997745401476</v>
      </c>
      <c r="H120" s="670">
        <f t="shared" si="148"/>
        <v>4.6130997745401476</v>
      </c>
      <c r="I120" s="670">
        <f t="shared" si="148"/>
        <v>4.6130997745401476</v>
      </c>
      <c r="J120" s="670">
        <f t="shared" si="148"/>
        <v>4.6130997745401485</v>
      </c>
      <c r="K120" s="670">
        <f t="shared" si="148"/>
        <v>4.6130997745401494</v>
      </c>
      <c r="L120" s="670">
        <f t="shared" si="148"/>
        <v>4.6130997745401467</v>
      </c>
      <c r="M120" s="670">
        <f t="shared" si="148"/>
        <v>4.6130997745401476</v>
      </c>
      <c r="N120" s="670">
        <f t="shared" si="148"/>
        <v>4.6130997745401476</v>
      </c>
    </row>
    <row r="121" spans="1:15" ht="15" customHeight="1" x14ac:dyDescent="0.25"/>
    <row r="122" spans="1:15" ht="15" customHeight="1" x14ac:dyDescent="0.25">
      <c r="A122" s="671" t="s">
        <v>1210</v>
      </c>
      <c r="C122" s="671"/>
      <c r="D122" s="2"/>
      <c r="G122" s="672">
        <v>2024</v>
      </c>
    </row>
    <row r="123" spans="1:15" s="618" customFormat="1" ht="12.75" customHeight="1" x14ac:dyDescent="0.25">
      <c r="A123" s="619" t="s">
        <v>1177</v>
      </c>
      <c r="B123" s="673" t="s">
        <v>846</v>
      </c>
      <c r="C123" s="673" t="s">
        <v>835</v>
      </c>
      <c r="D123" s="673" t="s">
        <v>836</v>
      </c>
      <c r="E123" s="673" t="s">
        <v>837</v>
      </c>
      <c r="F123" s="673" t="s">
        <v>838</v>
      </c>
      <c r="G123" s="673" t="s">
        <v>839</v>
      </c>
      <c r="H123" s="673" t="s">
        <v>840</v>
      </c>
      <c r="I123" s="673" t="s">
        <v>841</v>
      </c>
      <c r="J123" s="673" t="s">
        <v>842</v>
      </c>
      <c r="K123" s="673" t="s">
        <v>843</v>
      </c>
      <c r="L123" s="673" t="s">
        <v>844</v>
      </c>
      <c r="M123" s="673" t="s">
        <v>845</v>
      </c>
      <c r="N123" s="673" t="s">
        <v>846</v>
      </c>
      <c r="O123" s="673" t="s">
        <v>66</v>
      </c>
    </row>
    <row r="124" spans="1:15" s="618" customFormat="1" ht="12" customHeight="1" x14ac:dyDescent="0.25">
      <c r="A124" s="654" t="s">
        <v>6</v>
      </c>
      <c r="B124" s="674"/>
      <c r="C124" s="674"/>
      <c r="D124" s="674"/>
      <c r="E124" s="674"/>
      <c r="F124" s="674"/>
      <c r="G124" s="674"/>
      <c r="H124" s="674"/>
      <c r="I124" s="674"/>
      <c r="J124" s="674"/>
      <c r="K124" s="674"/>
      <c r="L124" s="674"/>
      <c r="M124" s="674"/>
      <c r="N124" s="674"/>
      <c r="O124" s="675">
        <f t="shared" ref="O124" si="149">SUM(C124:N124)</f>
        <v>0</v>
      </c>
    </row>
    <row r="125" spans="1:15" s="618" customFormat="1" ht="12" customHeight="1" x14ac:dyDescent="0.25">
      <c r="A125" s="654" t="s">
        <v>8</v>
      </c>
      <c r="B125" s="676">
        <v>0</v>
      </c>
      <c r="C125" s="677"/>
      <c r="D125" s="677"/>
      <c r="E125" s="677"/>
      <c r="F125" s="677"/>
      <c r="G125" s="677"/>
      <c r="H125" s="677"/>
      <c r="I125" s="677"/>
      <c r="J125" s="678">
        <v>6252.31</v>
      </c>
      <c r="K125" s="678">
        <v>13161.33</v>
      </c>
      <c r="L125" s="678">
        <v>80444.05</v>
      </c>
      <c r="M125" s="678">
        <v>37748.58</v>
      </c>
      <c r="N125" s="678">
        <v>17438.349999999999</v>
      </c>
      <c r="O125" s="675">
        <f>SUM(C125:N125)</f>
        <v>155044.62000000002</v>
      </c>
    </row>
    <row r="126" spans="1:15" s="618" customFormat="1" ht="12.75" customHeight="1" x14ac:dyDescent="0.25">
      <c r="A126" s="654" t="s">
        <v>9</v>
      </c>
      <c r="B126" s="676">
        <v>0</v>
      </c>
      <c r="C126" s="679"/>
      <c r="D126" s="679"/>
      <c r="E126" s="679"/>
      <c r="F126" s="679"/>
      <c r="G126" s="679"/>
      <c r="H126" s="679"/>
      <c r="I126" s="676">
        <v>0</v>
      </c>
      <c r="J126" s="676">
        <v>0</v>
      </c>
      <c r="K126" s="676">
        <v>16229.97</v>
      </c>
      <c r="L126" s="676">
        <v>0</v>
      </c>
      <c r="M126" s="676">
        <v>0</v>
      </c>
      <c r="N126" s="676">
        <v>0</v>
      </c>
      <c r="O126" s="675">
        <f t="shared" ref="O126" si="150">SUM(C126:N126)</f>
        <v>16229.97</v>
      </c>
    </row>
    <row r="127" spans="1:15" s="618" customFormat="1" ht="12.75" customHeight="1" x14ac:dyDescent="0.25">
      <c r="A127" s="680" t="s">
        <v>62</v>
      </c>
      <c r="B127" s="681">
        <f t="shared" ref="B127:O127" si="151">SUM(B124:B126)</f>
        <v>0</v>
      </c>
      <c r="C127" s="681">
        <f t="shared" si="151"/>
        <v>0</v>
      </c>
      <c r="D127" s="681">
        <f t="shared" si="151"/>
        <v>0</v>
      </c>
      <c r="E127" s="681">
        <f t="shared" si="151"/>
        <v>0</v>
      </c>
      <c r="F127" s="681">
        <f t="shared" si="151"/>
        <v>0</v>
      </c>
      <c r="G127" s="681">
        <f t="shared" si="151"/>
        <v>0</v>
      </c>
      <c r="H127" s="681">
        <f t="shared" si="151"/>
        <v>0</v>
      </c>
      <c r="I127" s="681">
        <f t="shared" si="151"/>
        <v>0</v>
      </c>
      <c r="J127" s="681">
        <f t="shared" si="151"/>
        <v>6252.31</v>
      </c>
      <c r="K127" s="681">
        <f t="shared" si="151"/>
        <v>29391.3</v>
      </c>
      <c r="L127" s="681">
        <f t="shared" si="151"/>
        <v>80444.05</v>
      </c>
      <c r="M127" s="681">
        <f t="shared" si="151"/>
        <v>37748.58</v>
      </c>
      <c r="N127" s="681">
        <f t="shared" si="151"/>
        <v>17438.349999999999</v>
      </c>
      <c r="O127" s="681">
        <f t="shared" si="151"/>
        <v>171274.59000000003</v>
      </c>
    </row>
    <row r="128" spans="1:15" ht="15" customHeight="1" x14ac:dyDescent="0.25">
      <c r="C128" s="617">
        <v>2024</v>
      </c>
    </row>
    <row r="129" spans="1:15" ht="15" customHeight="1" x14ac:dyDescent="0.25">
      <c r="A129" s="671" t="s">
        <v>1211</v>
      </c>
      <c r="B129" s="682">
        <v>12</v>
      </c>
      <c r="C129" s="683">
        <f t="shared" ref="C129:N129" si="152">C4</f>
        <v>1</v>
      </c>
      <c r="D129" s="683">
        <f t="shared" si="152"/>
        <v>2</v>
      </c>
      <c r="E129" s="683">
        <f t="shared" si="152"/>
        <v>3</v>
      </c>
      <c r="F129" s="683">
        <f t="shared" si="152"/>
        <v>4</v>
      </c>
      <c r="G129" s="683">
        <f t="shared" si="152"/>
        <v>5</v>
      </c>
      <c r="H129" s="683">
        <f t="shared" si="152"/>
        <v>6</v>
      </c>
      <c r="I129" s="683">
        <f t="shared" si="152"/>
        <v>7</v>
      </c>
      <c r="J129" s="683">
        <f t="shared" si="152"/>
        <v>8</v>
      </c>
      <c r="K129" s="683">
        <f t="shared" si="152"/>
        <v>9</v>
      </c>
      <c r="L129" s="683">
        <f t="shared" si="152"/>
        <v>10</v>
      </c>
      <c r="M129" s="683">
        <f t="shared" si="152"/>
        <v>11</v>
      </c>
      <c r="N129" s="683">
        <f t="shared" si="152"/>
        <v>12</v>
      </c>
    </row>
    <row r="130" spans="1:15" s="618" customFormat="1" ht="12.75" customHeight="1" x14ac:dyDescent="0.25">
      <c r="A130" s="619" t="s">
        <v>1177</v>
      </c>
      <c r="B130" s="620" t="s">
        <v>846</v>
      </c>
      <c r="C130" s="621" t="s">
        <v>835</v>
      </c>
      <c r="D130" s="621" t="s">
        <v>836</v>
      </c>
      <c r="E130" s="621" t="s">
        <v>837</v>
      </c>
      <c r="F130" s="621" t="s">
        <v>838</v>
      </c>
      <c r="G130" s="621" t="s">
        <v>839</v>
      </c>
      <c r="H130" s="621" t="s">
        <v>840</v>
      </c>
      <c r="I130" s="621" t="s">
        <v>841</v>
      </c>
      <c r="J130" s="621" t="s">
        <v>842</v>
      </c>
      <c r="K130" s="621" t="s">
        <v>843</v>
      </c>
      <c r="L130" s="621" t="s">
        <v>844</v>
      </c>
      <c r="M130" s="621" t="s">
        <v>845</v>
      </c>
      <c r="N130" s="621" t="s">
        <v>846</v>
      </c>
      <c r="O130" s="621" t="s">
        <v>1206</v>
      </c>
    </row>
    <row r="131" spans="1:15" s="618" customFormat="1" ht="12" customHeight="1" x14ac:dyDescent="0.25">
      <c r="A131" s="654" t="s">
        <v>6</v>
      </c>
      <c r="B131" s="684">
        <f>ProyCartCre!C6</f>
        <v>643955.81999999995</v>
      </c>
      <c r="C131" s="684">
        <f>ColocPorSegm!D23</f>
        <v>643194.08260416659</v>
      </c>
      <c r="D131" s="684">
        <f>ColocPorSegm!E23</f>
        <v>643154.4229166666</v>
      </c>
      <c r="E131" s="684">
        <f>ColocPorSegm!F23</f>
        <v>642332.14093749993</v>
      </c>
      <c r="F131" s="684">
        <f>ColocPorSegm!G23</f>
        <v>641480.89666666661</v>
      </c>
      <c r="G131" s="684">
        <f>ColocPorSegm!H23</f>
        <v>641124.9101041666</v>
      </c>
      <c r="H131" s="684">
        <f>ColocPorSegm!I23</f>
        <v>640669.32124999992</v>
      </c>
      <c r="I131" s="684">
        <f>ColocPorSegm!J23</f>
        <v>641216.75010416657</v>
      </c>
      <c r="J131" s="684">
        <f>ColocPorSegm!K23</f>
        <v>641650.53666666662</v>
      </c>
      <c r="K131" s="684">
        <f>ColocPorSegm!L23</f>
        <v>641777.47093750001</v>
      </c>
      <c r="L131" s="684">
        <f>ColocPorSegm!M23</f>
        <v>642919.31291666673</v>
      </c>
      <c r="M131" s="684">
        <f>ColocPorSegm!N23</f>
        <v>644426.03260416677</v>
      </c>
      <c r="N131" s="684">
        <f>ColocPorSegm!O23</f>
        <v>643955.82000000007</v>
      </c>
      <c r="O131" s="685">
        <f>AVERAGE(I131:N131)</f>
        <v>642657.65387152776</v>
      </c>
    </row>
    <row r="132" spans="1:15" s="618" customFormat="1" ht="12" customHeight="1" x14ac:dyDescent="0.25">
      <c r="A132" s="654" t="s">
        <v>8</v>
      </c>
      <c r="B132" s="684">
        <f>ProyCartCre!C7</f>
        <v>29829804.759999998</v>
      </c>
      <c r="C132" s="684">
        <f>ColocPorSegm!D24</f>
        <v>33314860.137770832</v>
      </c>
      <c r="D132" s="684">
        <f>ColocPorSegm!E24</f>
        <v>36722583.274583332</v>
      </c>
      <c r="E132" s="684">
        <f>ColocPorSegm!F24</f>
        <v>40003359.780437499</v>
      </c>
      <c r="F132" s="684">
        <f>ColocPorSegm!G24</f>
        <v>42937957.015333332</v>
      </c>
      <c r="G132" s="684">
        <f>ColocPorSegm!H24</f>
        <v>46072759.299270831</v>
      </c>
      <c r="H132" s="684">
        <f>ColocPorSegm!I24</f>
        <v>49156965.852249995</v>
      </c>
      <c r="I132" s="684">
        <f>ColocPorSegm!J24</f>
        <v>52170307.514270827</v>
      </c>
      <c r="J132" s="684">
        <f>ColocPorSegm!K24</f>
        <v>55111999.615333326</v>
      </c>
      <c r="K132" s="684">
        <f>ColocPorSegm!L24</f>
        <v>57982790.955437496</v>
      </c>
      <c r="L132" s="684">
        <f>ColocPorSegm!M24</f>
        <v>60707306.664583333</v>
      </c>
      <c r="M132" s="684">
        <f>ColocPorSegm!N24</f>
        <v>63416692.882770836</v>
      </c>
      <c r="N132" s="684">
        <f>ColocPorSegm!O24</f>
        <v>66067404.760000005</v>
      </c>
      <c r="O132" s="685">
        <f t="shared" ref="O132:O135" si="153">AVERAGE(I132:N132)</f>
        <v>59242750.398732632</v>
      </c>
    </row>
    <row r="133" spans="1:15" s="618" customFormat="1" ht="12" customHeight="1" x14ac:dyDescent="0.25">
      <c r="A133" s="654" t="s">
        <v>9</v>
      </c>
      <c r="B133" s="684">
        <f>ProyCartCre!C8</f>
        <v>15825819.060000001</v>
      </c>
      <c r="C133" s="684">
        <f>ColocPorSegm!D25</f>
        <v>17399299.906763889</v>
      </c>
      <c r="D133" s="684">
        <f>ColocPorSegm!E25</f>
        <v>18948694.209722221</v>
      </c>
      <c r="E133" s="684">
        <f>ColocPorSegm!F25</f>
        <v>20471660.068875</v>
      </c>
      <c r="F133" s="684">
        <f>ColocPorSegm!G25</f>
        <v>21976222.294222221</v>
      </c>
      <c r="G133" s="684">
        <f>ColocPorSegm!H25</f>
        <v>23459035.185763888</v>
      </c>
      <c r="H133" s="684">
        <f>ColocPorSegm!I25</f>
        <v>24933318.743499998</v>
      </c>
      <c r="I133" s="684">
        <f>ColocPorSegm!J25</f>
        <v>26385310.607430555</v>
      </c>
      <c r="J133" s="684">
        <f>ColocPorSegm!K25</f>
        <v>27817885.537555557</v>
      </c>
      <c r="K133" s="684">
        <f>ColocPorSegm!L25</f>
        <v>29213683.193875</v>
      </c>
      <c r="L133" s="684">
        <f>ColocPorSegm!M25</f>
        <v>30603077.696388889</v>
      </c>
      <c r="M133" s="684">
        <f>ColocPorSegm!N25</f>
        <v>31973554.265097223</v>
      </c>
      <c r="N133" s="684">
        <f>ColocPorSegm!O25</f>
        <v>33321819.060000002</v>
      </c>
      <c r="O133" s="685">
        <f t="shared" si="153"/>
        <v>29885888.393391203</v>
      </c>
    </row>
    <row r="134" spans="1:15" s="618" customFormat="1" ht="12" customHeight="1" x14ac:dyDescent="0.25">
      <c r="A134" s="654" t="s">
        <v>10</v>
      </c>
      <c r="B134" s="684">
        <f>ProyCartCre!C9</f>
        <v>465866.51</v>
      </c>
      <c r="C134" s="684">
        <f>ColocPorSegm!D26</f>
        <v>464071.43665972224</v>
      </c>
      <c r="D134" s="684">
        <f>ColocPorSegm!E26</f>
        <v>465754.96680555557</v>
      </c>
      <c r="E134" s="684">
        <f>ColocPorSegm!F26</f>
        <v>466093.52043750003</v>
      </c>
      <c r="F134" s="684">
        <f>ColocPorSegm!G26</f>
        <v>467077.96755555557</v>
      </c>
      <c r="G134" s="684">
        <f>ColocPorSegm!H26</f>
        <v>467652.21815972222</v>
      </c>
      <c r="H134" s="684">
        <f>ColocPorSegm!I26</f>
        <v>468146.20225000003</v>
      </c>
      <c r="I134" s="684">
        <f>ColocPorSegm!J26</f>
        <v>468234.01982638892</v>
      </c>
      <c r="J134" s="684">
        <f>ColocPorSegm!K26</f>
        <v>468231.72088888893</v>
      </c>
      <c r="K134" s="684">
        <f>ColocPorSegm!L26</f>
        <v>467980.15543750004</v>
      </c>
      <c r="L134" s="684">
        <f>ColocPorSegm!M26</f>
        <v>467328.72347222228</v>
      </c>
      <c r="M134" s="684">
        <f>ColocPorSegm!N26</f>
        <v>466793.95499305561</v>
      </c>
      <c r="N134" s="684">
        <f>ColocPorSegm!O26</f>
        <v>465866.51000000007</v>
      </c>
      <c r="O134" s="685">
        <f t="shared" si="153"/>
        <v>467405.84743634262</v>
      </c>
    </row>
    <row r="135" spans="1:15" s="618" customFormat="1" ht="12.75" customHeight="1" x14ac:dyDescent="0.25">
      <c r="A135" s="654" t="s">
        <v>1212</v>
      </c>
      <c r="B135" s="684">
        <f>ProyCartCre!C10</f>
        <v>150641.09</v>
      </c>
      <c r="C135" s="684">
        <f>ColocPorSegm!D27</f>
        <v>153085.15591666667</v>
      </c>
      <c r="D135" s="684">
        <f>ColocPorSegm!E27</f>
        <v>154664.90166666667</v>
      </c>
      <c r="E135" s="684">
        <f>ColocPorSegm!F27</f>
        <v>155058.85725</v>
      </c>
      <c r="F135" s="684">
        <f>ColocPorSegm!G27</f>
        <v>155498.73266666668</v>
      </c>
      <c r="G135" s="684">
        <f>ColocPorSegm!H27</f>
        <v>155454.42791666667</v>
      </c>
      <c r="H135" s="684">
        <f>ColocPorSegm!I27</f>
        <v>155544.133</v>
      </c>
      <c r="I135" s="684">
        <f>ColocPorSegm!J27</f>
        <v>155154.46791666668</v>
      </c>
      <c r="J135" s="684">
        <f>ColocPorSegm!K27</f>
        <v>154556.61266666668</v>
      </c>
      <c r="K135" s="684">
        <f>ColocPorSegm!L27</f>
        <v>153894.08725000001</v>
      </c>
      <c r="L135" s="684">
        <f>ColocPorSegm!M27</f>
        <v>152757.01166666669</v>
      </c>
      <c r="M135" s="684">
        <f>ColocPorSegm!N27</f>
        <v>151932.27591666669</v>
      </c>
      <c r="N135" s="684">
        <f>ColocPorSegm!O27</f>
        <v>150641.09000000003</v>
      </c>
      <c r="O135" s="685">
        <f t="shared" si="153"/>
        <v>153155.92423611114</v>
      </c>
    </row>
    <row r="136" spans="1:15" s="618" customFormat="1" ht="12.75" customHeight="1" x14ac:dyDescent="0.25">
      <c r="A136" s="680" t="s">
        <v>1213</v>
      </c>
      <c r="B136" s="686">
        <f t="shared" ref="B136" si="154">SUM(B131:B135)</f>
        <v>46916087.240000002</v>
      </c>
      <c r="C136" s="686">
        <f t="shared" ref="C136" si="155">SUM(C131:C135)</f>
        <v>51974510.719715282</v>
      </c>
      <c r="D136" s="686">
        <f t="shared" ref="D136" si="156">SUM(D131:D135)</f>
        <v>56934851.775694437</v>
      </c>
      <c r="E136" s="686">
        <f t="shared" ref="E136" si="157">SUM(E131:E135)</f>
        <v>61738504.367937498</v>
      </c>
      <c r="F136" s="686">
        <f t="shared" ref="F136" si="158">SUM(F131:F135)</f>
        <v>66178236.906444438</v>
      </c>
      <c r="G136" s="686">
        <f t="shared" ref="G136" si="159">SUM(G131:G135)</f>
        <v>70796026.041215271</v>
      </c>
      <c r="H136" s="686">
        <f t="shared" ref="H136" si="160">SUM(H131:H135)</f>
        <v>75354644.252250001</v>
      </c>
      <c r="I136" s="686">
        <f t="shared" ref="I136" si="161">SUM(I131:I135)</f>
        <v>79820223.359548599</v>
      </c>
      <c r="J136" s="686">
        <f t="shared" ref="J136" si="162">SUM(J131:J135)</f>
        <v>84194324.023111105</v>
      </c>
      <c r="K136" s="686">
        <f t="shared" ref="K136" si="163">SUM(K131:K135)</f>
        <v>88460125.86293748</v>
      </c>
      <c r="L136" s="686">
        <f t="shared" ref="L136" si="164">SUM(L131:L135)</f>
        <v>92573389.409027785</v>
      </c>
      <c r="M136" s="686">
        <f t="shared" ref="M136" si="165">SUM(M131:M135)</f>
        <v>96653399.411381945</v>
      </c>
      <c r="N136" s="686">
        <f t="shared" ref="N136" si="166">SUM(N131:N135)</f>
        <v>100649687.24000002</v>
      </c>
      <c r="O136" s="686">
        <f t="shared" ref="O136" si="167">AVERAGE(C136:N136)</f>
        <v>77110660.280771986</v>
      </c>
    </row>
    <row r="137" spans="1:15" s="618" customFormat="1" ht="12.75" customHeight="1" x14ac:dyDescent="0.25">
      <c r="A137" s="687"/>
    </row>
    <row r="138" spans="1:15" s="618" customFormat="1" ht="12.75" customHeight="1" x14ac:dyDescent="0.25">
      <c r="A138" s="619" t="s">
        <v>1177</v>
      </c>
      <c r="B138" s="620" t="s">
        <v>846</v>
      </c>
      <c r="C138" s="621" t="s">
        <v>835</v>
      </c>
      <c r="D138" s="621" t="s">
        <v>836</v>
      </c>
      <c r="E138" s="621" t="s">
        <v>837</v>
      </c>
      <c r="F138" s="621" t="s">
        <v>838</v>
      </c>
      <c r="G138" s="621" t="s">
        <v>839</v>
      </c>
      <c r="H138" s="621" t="s">
        <v>840</v>
      </c>
      <c r="I138" s="621" t="s">
        <v>841</v>
      </c>
      <c r="J138" s="621" t="s">
        <v>842</v>
      </c>
      <c r="K138" s="621" t="s">
        <v>843</v>
      </c>
      <c r="L138" s="621" t="s">
        <v>844</v>
      </c>
      <c r="M138" s="621" t="s">
        <v>845</v>
      </c>
      <c r="N138" s="621" t="s">
        <v>846</v>
      </c>
      <c r="O138" s="621" t="s">
        <v>62</v>
      </c>
    </row>
    <row r="139" spans="1:15" s="618" customFormat="1" ht="12" customHeight="1" x14ac:dyDescent="0.25">
      <c r="A139" s="688" t="str">
        <f>EEFFun!C39</f>
        <v>CARTERA DE CREDITOS BRUTA</v>
      </c>
      <c r="B139" s="689">
        <f>EEFFun!AX39</f>
        <v>46916087.240000002</v>
      </c>
      <c r="C139" s="689">
        <f>EEFFun!AC39</f>
        <v>20873180.190000001</v>
      </c>
      <c r="D139" s="689">
        <f>EEFFun!AD39</f>
        <v>20228633.880000003</v>
      </c>
      <c r="E139" s="689">
        <f>EEFFun!AE39</f>
        <v>20516212.09</v>
      </c>
      <c r="F139" s="689">
        <f>EEFFun!AF39</f>
        <v>20656217.170000006</v>
      </c>
      <c r="G139" s="689">
        <f>EEFFun!AG39</f>
        <v>20314695.669999998</v>
      </c>
      <c r="H139" s="689">
        <f>EEFFun!AH39</f>
        <v>26693217.189999998</v>
      </c>
      <c r="I139" s="690">
        <f t="shared" ref="I139" si="168">SUM(I140:I149)</f>
        <v>79820223.359548613</v>
      </c>
      <c r="J139" s="690">
        <f t="shared" ref="J139" si="169">SUM(J140:J149)</f>
        <v>84194324.02311109</v>
      </c>
      <c r="K139" s="690">
        <f t="shared" ref="K139" si="170">SUM(K140:K149)</f>
        <v>88460125.86293748</v>
      </c>
      <c r="L139" s="690">
        <f t="shared" ref="L139" si="171">SUM(L140:L149)</f>
        <v>92573389.40902777</v>
      </c>
      <c r="M139" s="690">
        <f t="shared" ref="M139" si="172">SUM(M140:M149)</f>
        <v>96653399.41138196</v>
      </c>
      <c r="N139" s="690">
        <f t="shared" ref="N139" si="173">SUM(N140:N149)</f>
        <v>100649687.24000002</v>
      </c>
    </row>
    <row r="140" spans="1:15" s="618" customFormat="1" ht="12" customHeight="1" x14ac:dyDescent="0.25">
      <c r="A140" s="688" t="str">
        <f>EEFFun!C40</f>
        <v>PRODUCTIVO</v>
      </c>
      <c r="B140" s="691">
        <f>+EEFFun!AX40</f>
        <v>643955.81999999995</v>
      </c>
      <c r="C140" s="692">
        <f t="shared" ref="C140:H142" si="174">C131</f>
        <v>643194.08260416659</v>
      </c>
      <c r="D140" s="692">
        <f t="shared" si="174"/>
        <v>643154.4229166666</v>
      </c>
      <c r="E140" s="692">
        <f t="shared" si="174"/>
        <v>642332.14093749993</v>
      </c>
      <c r="F140" s="692">
        <f t="shared" si="174"/>
        <v>641480.89666666661</v>
      </c>
      <c r="G140" s="692">
        <f t="shared" si="174"/>
        <v>641124.9101041666</v>
      </c>
      <c r="H140" s="692">
        <f t="shared" si="174"/>
        <v>640669.32124999992</v>
      </c>
      <c r="I140" s="692">
        <f t="shared" ref="I140:N140" si="175">I131</f>
        <v>641216.75010416657</v>
      </c>
      <c r="J140" s="692">
        <f t="shared" si="175"/>
        <v>641650.53666666662</v>
      </c>
      <c r="K140" s="692">
        <f t="shared" si="175"/>
        <v>641777.47093750001</v>
      </c>
      <c r="L140" s="692">
        <f t="shared" si="175"/>
        <v>642919.31291666673</v>
      </c>
      <c r="M140" s="692">
        <f t="shared" si="175"/>
        <v>644426.03260416677</v>
      </c>
      <c r="N140" s="692">
        <f t="shared" si="175"/>
        <v>643955.82000000007</v>
      </c>
    </row>
    <row r="141" spans="1:15" s="618" customFormat="1" ht="12" customHeight="1" x14ac:dyDescent="0.25">
      <c r="A141" s="688" t="str">
        <f>EEFFun!C41</f>
        <v>CONSUMO</v>
      </c>
      <c r="B141" s="691">
        <f>EEFFun!AX41</f>
        <v>29829804.759999998</v>
      </c>
      <c r="C141" s="692">
        <f t="shared" si="174"/>
        <v>33314860.137770832</v>
      </c>
      <c r="D141" s="692">
        <f t="shared" si="174"/>
        <v>36722583.274583332</v>
      </c>
      <c r="E141" s="692">
        <f t="shared" si="174"/>
        <v>40003359.780437499</v>
      </c>
      <c r="F141" s="692">
        <f t="shared" si="174"/>
        <v>42937957.015333332</v>
      </c>
      <c r="G141" s="692">
        <f t="shared" si="174"/>
        <v>46072759.299270831</v>
      </c>
      <c r="H141" s="692">
        <f t="shared" ref="H141:N141" si="176">H132</f>
        <v>49156965.852249995</v>
      </c>
      <c r="I141" s="692">
        <f t="shared" si="176"/>
        <v>52170307.514270827</v>
      </c>
      <c r="J141" s="692">
        <f t="shared" si="176"/>
        <v>55111999.615333326</v>
      </c>
      <c r="K141" s="692">
        <f t="shared" si="176"/>
        <v>57982790.955437496</v>
      </c>
      <c r="L141" s="692">
        <f t="shared" si="176"/>
        <v>60707306.664583333</v>
      </c>
      <c r="M141" s="692">
        <f t="shared" si="176"/>
        <v>63416692.882770836</v>
      </c>
      <c r="N141" s="692">
        <f t="shared" si="176"/>
        <v>66067404.760000005</v>
      </c>
    </row>
    <row r="142" spans="1:15" s="618" customFormat="1" ht="12" customHeight="1" x14ac:dyDescent="0.25">
      <c r="A142" s="688" t="str">
        <f>EEFFun!C42</f>
        <v>MICROCREDITO</v>
      </c>
      <c r="B142" s="691">
        <f>EEFFun!AX42</f>
        <v>15825819.060000001</v>
      </c>
      <c r="C142" s="692">
        <f t="shared" si="174"/>
        <v>17399299.906763889</v>
      </c>
      <c r="D142" s="692">
        <f t="shared" si="174"/>
        <v>18948694.209722221</v>
      </c>
      <c r="E142" s="692">
        <f t="shared" si="174"/>
        <v>20471660.068875</v>
      </c>
      <c r="F142" s="692">
        <f t="shared" si="174"/>
        <v>21976222.294222221</v>
      </c>
      <c r="G142" s="692">
        <f t="shared" si="174"/>
        <v>23459035.185763888</v>
      </c>
      <c r="H142" s="692">
        <f t="shared" si="174"/>
        <v>24933318.743499998</v>
      </c>
      <c r="I142" s="692">
        <f t="shared" ref="I142:N142" si="177">I133</f>
        <v>26385310.607430555</v>
      </c>
      <c r="J142" s="692">
        <f t="shared" si="177"/>
        <v>27817885.537555557</v>
      </c>
      <c r="K142" s="692">
        <f t="shared" si="177"/>
        <v>29213683.193875</v>
      </c>
      <c r="L142" s="692">
        <f t="shared" si="177"/>
        <v>30603077.696388889</v>
      </c>
      <c r="M142" s="692">
        <f t="shared" si="177"/>
        <v>31973554.265097223</v>
      </c>
      <c r="N142" s="692">
        <f t="shared" si="177"/>
        <v>33321819.060000002</v>
      </c>
    </row>
    <row r="143" spans="1:15" s="618" customFormat="1" ht="12" customHeight="1" x14ac:dyDescent="0.25">
      <c r="A143" s="688" t="str">
        <f>EEFFun!C43</f>
        <v>INMOBILIARIO</v>
      </c>
      <c r="B143" s="691">
        <f>EEFFun!AX43</f>
        <v>0</v>
      </c>
      <c r="C143" s="691">
        <f>EEFFun!AC43</f>
        <v>0</v>
      </c>
      <c r="D143" s="691">
        <f>EEFFun!AD43</f>
        <v>0</v>
      </c>
      <c r="E143" s="691">
        <f>EEFFun!AE43</f>
        <v>0</v>
      </c>
      <c r="F143" s="691">
        <f>EEFFun!AF43</f>
        <v>0</v>
      </c>
      <c r="G143" s="691">
        <f>EEFFun!AG43</f>
        <v>0</v>
      </c>
      <c r="H143" s="691">
        <f>EEFFun!AH43</f>
        <v>0</v>
      </c>
      <c r="I143" s="693"/>
      <c r="J143" s="693"/>
      <c r="K143" s="693"/>
      <c r="L143" s="693"/>
      <c r="M143" s="693"/>
      <c r="N143" s="693"/>
    </row>
    <row r="144" spans="1:15" s="618" customFormat="1" ht="12" customHeight="1" x14ac:dyDescent="0.25">
      <c r="A144" s="688" t="str">
        <f>EEFFun!C44</f>
        <v>CONSUMO REFINANCIADO</v>
      </c>
      <c r="B144" s="691">
        <f>EEFFun!AX44</f>
        <v>260130</v>
      </c>
      <c r="C144" s="692">
        <f t="shared" ref="C144" si="178">C134*(B144/(B144+B146+B148))</f>
        <v>271110.68584730866</v>
      </c>
      <c r="D144" s="692">
        <f t="shared" ref="D144" si="179">D134*(C144/(C144+C146+C148))</f>
        <v>272094.20471191866</v>
      </c>
      <c r="E144" s="692">
        <f t="shared" ref="E144" si="180">E134*(D144/(D144+D146+D148))</f>
        <v>272291.98785499082</v>
      </c>
      <c r="F144" s="692">
        <f t="shared" ref="F144" si="181">F134*(E144/(E144+E146+E148))</f>
        <v>272867.10218496871</v>
      </c>
      <c r="G144" s="692">
        <f t="shared" ref="G144" si="182">G134*(F144/(F144+F146+F148))</f>
        <v>273202.57957669196</v>
      </c>
      <c r="H144" s="692">
        <f t="shared" ref="H144" si="183">H134*(G144/(G144+G146+G148))</f>
        <v>273491.16524461587</v>
      </c>
      <c r="I144" s="692">
        <f t="shared" ref="I144:N144" si="184">I134*(H144/(H144+H146+H148))</f>
        <v>273542.46830160992</v>
      </c>
      <c r="J144" s="692">
        <f t="shared" si="184"/>
        <v>273541.12526156666</v>
      </c>
      <c r="K144" s="692">
        <f t="shared" si="184"/>
        <v>273394.16064217011</v>
      </c>
      <c r="L144" s="692">
        <f t="shared" si="184"/>
        <v>273013.59387391451</v>
      </c>
      <c r="M144" s="692">
        <f t="shared" si="184"/>
        <v>272701.18195259501</v>
      </c>
      <c r="N144" s="692">
        <f t="shared" si="184"/>
        <v>272159.36828277988</v>
      </c>
    </row>
    <row r="145" spans="1:14" s="618" customFormat="1" ht="12" customHeight="1" x14ac:dyDescent="0.25">
      <c r="A145" s="688" t="str">
        <f>EEFFun!C45</f>
        <v>MICROCREDITO REFINANCIADO</v>
      </c>
      <c r="B145" s="691">
        <f>EEFFun!AX45</f>
        <v>89773.94</v>
      </c>
      <c r="C145" s="692">
        <f t="shared" ref="C145" si="185">C135*(B145/(B145+B147+B149))</f>
        <v>80259.745460075574</v>
      </c>
      <c r="D145" s="692">
        <f t="shared" ref="D145" si="186">D135*(C145/(C145+C147+C149))</f>
        <v>81087.977244061578</v>
      </c>
      <c r="E145" s="692">
        <f t="shared" ref="E145" si="187">E135*(D145/(D145+D147+D149))</f>
        <v>81294.520946170232</v>
      </c>
      <c r="F145" s="692">
        <f t="shared" ref="F145" si="188">F135*(E145/(E145+E147+E149))</f>
        <v>81525.139576464004</v>
      </c>
      <c r="G145" s="692">
        <f t="shared" ref="G145" si="189">G135*(F145/(F145+F147+F149))</f>
        <v>81501.911406911051</v>
      </c>
      <c r="H145" s="692">
        <f t="shared" ref="H145" si="190">H135*(G145/(G145+G147+G149))</f>
        <v>81548.942140307088</v>
      </c>
      <c r="I145" s="692">
        <f t="shared" ref="I145:N145" si="191">I135*(H145/(H145+H147+H149))</f>
        <v>81344.647868823085</v>
      </c>
      <c r="J145" s="692">
        <f t="shared" si="191"/>
        <v>81031.203303282789</v>
      </c>
      <c r="K145" s="692">
        <f t="shared" si="191"/>
        <v>80683.853352962047</v>
      </c>
      <c r="L145" s="692">
        <f t="shared" si="191"/>
        <v>80087.705435544878</v>
      </c>
      <c r="M145" s="692">
        <f t="shared" si="191"/>
        <v>79655.311576254855</v>
      </c>
      <c r="N145" s="692">
        <f t="shared" si="191"/>
        <v>78978.36643162102</v>
      </c>
    </row>
    <row r="146" spans="1:14" s="618" customFormat="1" ht="12" customHeight="1" x14ac:dyDescent="0.25">
      <c r="A146" s="688" t="str">
        <f>EEFFun!C46</f>
        <v>CONSUMO REESTRUCTURADO</v>
      </c>
      <c r="B146" s="691">
        <f>EEFFun!AX46</f>
        <v>69182.77</v>
      </c>
      <c r="C146" s="692">
        <f t="shared" ref="C146" si="192">C134*(B146/(B144+B146+B148))</f>
        <v>72103.133908109827</v>
      </c>
      <c r="D146" s="692">
        <f t="shared" ref="D146" si="193">D134*(C146/(C144+C146+C148))</f>
        <v>72364.705273969099</v>
      </c>
      <c r="E146" s="692">
        <f t="shared" ref="E146" si="194">E134*(D146/(D144+D146+D148))</f>
        <v>72417.306610597079</v>
      </c>
      <c r="F146" s="692">
        <f t="shared" ref="F146" si="195">F134*(E146/(E144+E146+E148))</f>
        <v>72570.260911963967</v>
      </c>
      <c r="G146" s="692">
        <f t="shared" ref="G146" si="196">G134*(F146/(F144+F146+F148))</f>
        <v>72659.482667362376</v>
      </c>
      <c r="H146" s="692">
        <f t="shared" ref="H146" si="197">H134*(G146/(G144+G146+G148))</f>
        <v>72736.233353132091</v>
      </c>
      <c r="I146" s="692">
        <f t="shared" ref="I146:N146" si="198">I134*(H146/(H144+H146+H148))</f>
        <v>72749.87763711439</v>
      </c>
      <c r="J146" s="692">
        <f t="shared" si="198"/>
        <v>72749.520449437419</v>
      </c>
      <c r="K146" s="692">
        <f t="shared" si="198"/>
        <v>72710.434532927</v>
      </c>
      <c r="L146" s="692">
        <f t="shared" si="198"/>
        <v>72609.22105044566</v>
      </c>
      <c r="M146" s="692">
        <f t="shared" si="198"/>
        <v>72526.133662993598</v>
      </c>
      <c r="N146" s="692">
        <f t="shared" si="198"/>
        <v>72382.035825367508</v>
      </c>
    </row>
    <row r="147" spans="1:14" s="618" customFormat="1" ht="12" customHeight="1" x14ac:dyDescent="0.25">
      <c r="A147" s="688" t="str">
        <f>EEFFun!C47</f>
        <v>MICROCREDITO REESTRUCTURADO</v>
      </c>
      <c r="B147" s="691">
        <f>EEFFun!AX47</f>
        <v>24197.46</v>
      </c>
      <c r="C147" s="692">
        <f t="shared" ref="C147" si="199">C135*(B147/(B145+B147+B149))</f>
        <v>21633.026024928397</v>
      </c>
      <c r="D147" s="692">
        <f t="shared" ref="D147" si="200">D135*(C147/(C145+C147+C149))</f>
        <v>21856.265702987865</v>
      </c>
      <c r="E147" s="692">
        <f t="shared" ref="E147" si="201">E135*(D147/(D145+D147+D149))</f>
        <v>21911.937014395451</v>
      </c>
      <c r="F147" s="692">
        <f t="shared" ref="F147" si="202">F135*(E147/(E145+E147+E149))</f>
        <v>21974.097426223074</v>
      </c>
      <c r="G147" s="692">
        <f t="shared" ref="G147" si="203">G135*(F147/(F145+F147+F149))</f>
        <v>21967.836559164873</v>
      </c>
      <c r="H147" s="692">
        <f t="shared" ref="H147" si="204">H135*(G147/(G145+G147+G149))</f>
        <v>21980.513114188761</v>
      </c>
      <c r="I147" s="692">
        <f t="shared" ref="I147:N147" si="205">I135*(H147/(H145+H147+H149))</f>
        <v>21925.448109105291</v>
      </c>
      <c r="J147" s="692">
        <f t="shared" si="205"/>
        <v>21840.962986397313</v>
      </c>
      <c r="K147" s="692">
        <f t="shared" si="205"/>
        <v>21747.33908475182</v>
      </c>
      <c r="L147" s="692">
        <f t="shared" si="205"/>
        <v>21586.654754914176</v>
      </c>
      <c r="M147" s="692">
        <f t="shared" si="205"/>
        <v>21470.108314884739</v>
      </c>
      <c r="N147" s="692">
        <f t="shared" si="205"/>
        <v>21287.646087433528</v>
      </c>
    </row>
    <row r="148" spans="1:14" s="618" customFormat="1" ht="12" customHeight="1" x14ac:dyDescent="0.25">
      <c r="A148" s="688" t="str">
        <f>EEFFun!C48</f>
        <v>REFINANCIADO COVID 19</v>
      </c>
      <c r="B148" s="691">
        <f>EEFFun!AX48</f>
        <v>115962.57</v>
      </c>
      <c r="C148" s="692">
        <f t="shared" ref="C148" si="206">C134*(B148/(B144+B146+B148))</f>
        <v>120857.61690430375</v>
      </c>
      <c r="D148" s="692">
        <f t="shared" ref="D148" si="207">D134*(C148/(C144+C146+C148))</f>
        <v>121296.05681966782</v>
      </c>
      <c r="E148" s="692">
        <f t="shared" ref="E148" si="208">E134*(D148/(D144+D146+D148))</f>
        <v>121384.22597191216</v>
      </c>
      <c r="F148" s="692">
        <f t="shared" ref="F148" si="209">F134*(E148/(E144+E146+E148))</f>
        <v>121640.60445862293</v>
      </c>
      <c r="G148" s="692">
        <f t="shared" ref="G148" si="210">G134*(F148/(F144+F146+F148))</f>
        <v>121790.15591566794</v>
      </c>
      <c r="H148" s="692">
        <f t="shared" ref="H148" si="211">H134*(G148/(G144+G146+G148))</f>
        <v>121918.80365225204</v>
      </c>
      <c r="I148" s="692">
        <f t="shared" ref="I148:N148" si="212">I134*(H148/(H144+H146+H148))</f>
        <v>121941.67388766467</v>
      </c>
      <c r="J148" s="692">
        <f t="shared" si="212"/>
        <v>121941.07517788484</v>
      </c>
      <c r="K148" s="692">
        <f t="shared" si="212"/>
        <v>121875.56026240296</v>
      </c>
      <c r="L148" s="692">
        <f t="shared" si="212"/>
        <v>121705.9085478621</v>
      </c>
      <c r="M148" s="692">
        <f t="shared" si="212"/>
        <v>121566.63937746712</v>
      </c>
      <c r="N148" s="692">
        <f t="shared" si="212"/>
        <v>121325.10589185265</v>
      </c>
    </row>
    <row r="149" spans="1:14" s="618" customFormat="1" ht="12" customHeight="1" x14ac:dyDescent="0.25">
      <c r="A149" s="688" t="str">
        <f>EEFFun!C49</f>
        <v>REESTRUCTURADO COVID 19</v>
      </c>
      <c r="B149" s="691">
        <f>EEFFun!AX49</f>
        <v>57260.859999999993</v>
      </c>
      <c r="C149" s="692">
        <f t="shared" ref="C149" si="213">C135*(B149/(B145+B147+B149))</f>
        <v>51192.384431662715</v>
      </c>
      <c r="D149" s="692">
        <f t="shared" ref="D149" si="214">D135*(C149/(C145+C147+C149))</f>
        <v>51720.65871961724</v>
      </c>
      <c r="E149" s="692">
        <f t="shared" ref="E149" si="215">E135*(D149/(D145+D147+D149))</f>
        <v>51852.399289434332</v>
      </c>
      <c r="F149" s="692">
        <f t="shared" ref="F149" si="216">F135*(E149/(E145+E147+E149))</f>
        <v>51999.495663979593</v>
      </c>
      <c r="G149" s="692">
        <f t="shared" ref="G149" si="217">G135*(F149/(F145+F147+F149))</f>
        <v>51984.67995059074</v>
      </c>
      <c r="H149" s="692">
        <f t="shared" ref="H149" si="218">H135*(G149/(G145+G147+G149))</f>
        <v>52014.677745504137</v>
      </c>
      <c r="I149" s="692">
        <f t="shared" ref="I149:N149" si="219">I135*(H149/(H145+H147+H149))</f>
        <v>51884.37193873831</v>
      </c>
      <c r="J149" s="692">
        <f t="shared" si="219"/>
        <v>51684.446376986598</v>
      </c>
      <c r="K149" s="692">
        <f t="shared" si="219"/>
        <v>51462.894812286162</v>
      </c>
      <c r="L149" s="692">
        <f t="shared" si="219"/>
        <v>51082.651476207619</v>
      </c>
      <c r="M149" s="692">
        <f t="shared" si="219"/>
        <v>50806.856025527093</v>
      </c>
      <c r="N149" s="692">
        <f t="shared" si="219"/>
        <v>50375.077480945474</v>
      </c>
    </row>
    <row r="150" spans="1:14" s="618" customFormat="1" ht="24" customHeight="1" x14ac:dyDescent="0.25">
      <c r="A150" s="688" t="str">
        <f>EEFFun!C50</f>
        <v>PROVISIONES PARA CREDITOS INCOBRABLES</v>
      </c>
      <c r="B150" s="689">
        <f>EEFFun!AX50</f>
        <v>-1090856.57</v>
      </c>
      <c r="C150" s="690">
        <f t="shared" ref="C150:H150" si="220">C93</f>
        <v>-1172422.4867143782</v>
      </c>
      <c r="D150" s="690">
        <f t="shared" si="220"/>
        <v>-1253370.7209947878</v>
      </c>
      <c r="E150" s="690">
        <f t="shared" si="220"/>
        <v>-1331580.039301587</v>
      </c>
      <c r="F150" s="690">
        <f t="shared" si="220"/>
        <v>-1403593.2560028466</v>
      </c>
      <c r="G150" s="690">
        <f t="shared" si="220"/>
        <v>-1478689.9712589432</v>
      </c>
      <c r="H150" s="690">
        <f t="shared" si="220"/>
        <v>-1552801.4693161289</v>
      </c>
      <c r="I150" s="692">
        <f t="shared" ref="I150:N150" si="221">I93</f>
        <v>-1625319.9150321614</v>
      </c>
      <c r="J150" s="692">
        <f t="shared" si="221"/>
        <v>-1669409.0761672717</v>
      </c>
      <c r="K150" s="692">
        <f t="shared" si="221"/>
        <v>-1697345.1651061012</v>
      </c>
      <c r="L150" s="692">
        <f t="shared" si="221"/>
        <v>-1698191.4562759202</v>
      </c>
      <c r="M150" s="692">
        <f t="shared" si="221"/>
        <v>-1686449.1683592827</v>
      </c>
      <c r="N150" s="692">
        <f t="shared" si="221"/>
        <v>-1681867.9039768125</v>
      </c>
    </row>
    <row r="151" spans="1:14" s="618" customFormat="1" ht="24" customHeight="1" x14ac:dyDescent="0.25">
      <c r="A151" s="688" t="str">
        <f>EEFFun!C51</f>
        <v>TOTAL CARTERA DE CREDITO POR VENCER</v>
      </c>
      <c r="B151" s="689">
        <f>EEFFun!AX51</f>
        <v>46080174.839999996</v>
      </c>
      <c r="C151" s="690">
        <f t="shared" ref="C151:H151" si="222">C136-C152</f>
        <v>50935020.505320974</v>
      </c>
      <c r="D151" s="690">
        <f t="shared" si="222"/>
        <v>55796154.740180552</v>
      </c>
      <c r="E151" s="690">
        <f t="shared" si="222"/>
        <v>60503734.280578747</v>
      </c>
      <c r="F151" s="690">
        <f t="shared" si="222"/>
        <v>64854672.168315552</v>
      </c>
      <c r="G151" s="690">
        <f t="shared" si="222"/>
        <v>69380105.520390972</v>
      </c>
      <c r="H151" s="690">
        <f t="shared" si="222"/>
        <v>73847551.367204994</v>
      </c>
      <c r="I151" s="694">
        <f t="shared" ref="I151" si="223">I136-I152</f>
        <v>78223818.892357633</v>
      </c>
      <c r="J151" s="694">
        <f t="shared" ref="J151" si="224">J136-J152</f>
        <v>82510437.542648882</v>
      </c>
      <c r="K151" s="694">
        <f t="shared" ref="K151" si="225">K136-K152</f>
        <v>86690923.345678732</v>
      </c>
      <c r="L151" s="694">
        <f t="shared" ref="L151" si="226">L136-L152</f>
        <v>90721921.620847225</v>
      </c>
      <c r="M151" s="694">
        <f t="shared" ref="M151" si="227">M136-M152</f>
        <v>94720331.423154309</v>
      </c>
      <c r="N151" s="694">
        <f t="shared" ref="N151" si="228">N136-N152</f>
        <v>98636693.495200023</v>
      </c>
    </row>
    <row r="152" spans="1:14" s="618" customFormat="1" ht="24" customHeight="1" x14ac:dyDescent="0.25">
      <c r="A152" s="688" t="str">
        <f>EEFFun!C52</f>
        <v>TOTAL CARTERA DE CREDITO EN RIESGO</v>
      </c>
      <c r="B152" s="689">
        <f>EEFFun!AX52</f>
        <v>835912.40000000014</v>
      </c>
      <c r="C152" s="690">
        <f t="shared" ref="C152:H152" si="229">C108</f>
        <v>1039490.2143943056</v>
      </c>
      <c r="D152" s="690">
        <f t="shared" si="229"/>
        <v>1138697.0355138888</v>
      </c>
      <c r="E152" s="690">
        <f t="shared" si="229"/>
        <v>1234770.0873587499</v>
      </c>
      <c r="F152" s="690">
        <f t="shared" si="229"/>
        <v>1323564.7381288889</v>
      </c>
      <c r="G152" s="690">
        <f t="shared" si="229"/>
        <v>1415920.5208243052</v>
      </c>
      <c r="H152" s="690">
        <f t="shared" si="229"/>
        <v>1507092.8850449999</v>
      </c>
      <c r="I152" s="695">
        <f t="shared" ref="I152:N152" si="230">I108</f>
        <v>1596404.4671909721</v>
      </c>
      <c r="J152" s="695">
        <f t="shared" si="230"/>
        <v>1683886.4804622221</v>
      </c>
      <c r="K152" s="695">
        <f t="shared" si="230"/>
        <v>1769202.5172587498</v>
      </c>
      <c r="L152" s="695">
        <f t="shared" si="230"/>
        <v>1851467.7881805552</v>
      </c>
      <c r="M152" s="695">
        <f t="shared" si="230"/>
        <v>1933067.9882276391</v>
      </c>
      <c r="N152" s="695">
        <f t="shared" si="230"/>
        <v>2012993.7448000002</v>
      </c>
    </row>
  </sheetData>
  <printOptions horizontalCentered="1"/>
  <pageMargins left="0.31496062992125984" right="0.31496062992125984" top="0.35433070866141736" bottom="1.1417322834645669" header="0.31496062992125984" footer="1.5354330708661419"/>
  <pageSetup paperSize="9" scale="70" orientation="landscape" useFirstPageNumber="1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  <pageSetUpPr fitToPage="1"/>
  </sheetPr>
  <dimension ref="A1:BB42"/>
  <sheetViews>
    <sheetView showGridLines="0" zoomScale="110" zoomScaleNormal="110" workbookViewId="0">
      <pane ySplit="1" topLeftCell="A32" activePane="bottomLeft" state="frozen"/>
      <selection pane="bottomLeft" activeCell="C32" sqref="C32"/>
    </sheetView>
  </sheetViews>
  <sheetFormatPr baseColWidth="10" defaultColWidth="0" defaultRowHeight="15" x14ac:dyDescent="0.25"/>
  <cols>
    <col min="1" max="1" width="27.85546875" style="1" customWidth="1"/>
    <col min="2" max="2" width="12.28515625" style="1" customWidth="1"/>
    <col min="3" max="3" width="13.28515625" style="1" customWidth="1"/>
    <col min="4" max="4" width="14.28515625" style="1" customWidth="1"/>
    <col min="5" max="6" width="13.7109375" style="1" customWidth="1"/>
    <col min="7" max="7" width="16.28515625" style="1" customWidth="1"/>
    <col min="8" max="8" width="13.28515625" style="1" customWidth="1"/>
    <col min="9" max="9" width="13.42578125" style="1" customWidth="1"/>
    <col min="10" max="11" width="13.5703125" style="1" customWidth="1"/>
    <col min="12" max="12" width="6.85546875" style="1" customWidth="1"/>
    <col min="13" max="13" width="7" style="1" customWidth="1"/>
    <col min="14" max="14" width="12.140625" style="4" customWidth="1"/>
    <col min="15" max="15" width="12.28515625" style="4" customWidth="1"/>
    <col min="16" max="16" width="4.7109375" style="1" customWidth="1"/>
    <col min="17" max="17" width="13.5703125" style="1" customWidth="1"/>
    <col min="18" max="18" width="11.28515625" style="1" customWidth="1"/>
    <col min="19" max="19" width="12.85546875" style="1" customWidth="1"/>
    <col min="20" max="20" width="12.7109375" style="1" customWidth="1"/>
    <col min="21" max="21" width="11.5703125" style="1" customWidth="1"/>
    <col min="22" max="22" width="12.28515625" style="1" customWidth="1"/>
    <col min="23" max="23" width="3.5703125" style="2" customWidth="1"/>
    <col min="24" max="24" width="11.28515625" style="1" customWidth="1"/>
    <col min="25" max="26" width="10.5703125" style="1" customWidth="1"/>
    <col min="27" max="27" width="9" style="1" customWidth="1"/>
    <col min="28" max="28" width="10.28515625" style="1" customWidth="1"/>
    <col min="29" max="29" width="10.5703125" style="1" customWidth="1"/>
    <col min="30" max="30" width="7.42578125" style="1" customWidth="1"/>
    <col min="31" max="31" width="3.5703125" style="1" customWidth="1"/>
    <col min="32" max="32" width="11.28515625" style="1" customWidth="1"/>
    <col min="33" max="33" width="10.5703125" style="1" customWidth="1"/>
    <col min="34" max="34" width="10.28515625" style="1" customWidth="1"/>
    <col min="35" max="35" width="8.85546875" style="1" customWidth="1"/>
    <col min="36" max="36" width="10.7109375" style="1" customWidth="1"/>
    <col min="37" max="37" width="10.5703125" style="1" customWidth="1"/>
    <col min="38" max="38" width="14.5703125" style="1" customWidth="1"/>
    <col min="39" max="39" width="4.85546875" style="1" customWidth="1"/>
    <col min="40" max="40" width="15.42578125" style="1" customWidth="1"/>
    <col min="41" max="41" width="8.42578125" style="1" customWidth="1"/>
    <col min="42" max="42" width="8.85546875" style="1" customWidth="1"/>
    <col min="43" max="45" width="9.5703125" style="1" customWidth="1"/>
    <col min="46" max="46" width="9.85546875" style="1" customWidth="1"/>
    <col min="47" max="47" width="9.28515625" style="1" customWidth="1"/>
    <col min="48" max="48" width="9.7109375" style="1" customWidth="1"/>
    <col min="49" max="49" width="9.5703125" style="1" customWidth="1"/>
    <col min="50" max="50" width="10.85546875" style="1" customWidth="1"/>
    <col min="51" max="52" width="9.5703125" style="1" customWidth="1"/>
    <col min="53" max="53" width="10.85546875" style="465" customWidth="1"/>
    <col min="54" max="54" width="11.42578125" style="1" hidden="1" customWidth="1"/>
    <col min="55" max="16384" width="11.42578125" style="1" hidden="1"/>
  </cols>
  <sheetData>
    <row r="1" spans="1:54" ht="33.75" customHeight="1" x14ac:dyDescent="0.25">
      <c r="A1" s="696" t="str">
        <f>ProyCartCre!B1</f>
        <v>BANCO CAPITAL S.A.</v>
      </c>
      <c r="B1" s="515"/>
      <c r="C1" s="515"/>
      <c r="D1" s="515"/>
      <c r="F1" s="515"/>
      <c r="G1" s="697" t="str">
        <f>Premisas!D1</f>
        <v>PRESUPUESTO  2026</v>
      </c>
      <c r="H1" s="515"/>
      <c r="I1" s="515"/>
      <c r="J1" s="515"/>
      <c r="K1" s="515"/>
      <c r="L1" s="515"/>
      <c r="M1" s="515"/>
      <c r="N1" s="698"/>
      <c r="O1" s="698"/>
      <c r="P1" s="515"/>
      <c r="Q1" s="515"/>
      <c r="R1" s="515"/>
      <c r="S1" s="515"/>
      <c r="T1" s="515"/>
      <c r="U1" s="515"/>
      <c r="V1" s="515"/>
      <c r="W1" s="516"/>
      <c r="X1" s="105">
        <v>24</v>
      </c>
      <c r="Y1" s="105">
        <v>60</v>
      </c>
      <c r="Z1" s="105">
        <v>60</v>
      </c>
      <c r="AA1" s="105">
        <v>60</v>
      </c>
      <c r="AB1" s="105">
        <v>60</v>
      </c>
      <c r="AC1" s="699" t="s">
        <v>1214</v>
      </c>
      <c r="AE1" s="515"/>
    </row>
    <row r="2" spans="1:54" ht="21" customHeight="1" x14ac:dyDescent="0.25">
      <c r="A2" s="700" t="s">
        <v>1215</v>
      </c>
      <c r="E2" s="701">
        <v>2025</v>
      </c>
      <c r="F2" s="465" t="s">
        <v>1216</v>
      </c>
      <c r="Q2" s="465" t="s">
        <v>1217</v>
      </c>
      <c r="X2" s="702" t="s">
        <v>1218</v>
      </c>
      <c r="AF2" s="702" t="s">
        <v>1219</v>
      </c>
      <c r="AO2" s="702" t="s">
        <v>1220</v>
      </c>
    </row>
    <row r="3" spans="1:54" s="618" customFormat="1" ht="60" customHeight="1" x14ac:dyDescent="0.25">
      <c r="A3" s="703" t="s">
        <v>1221</v>
      </c>
      <c r="B3" s="703" t="s">
        <v>1222</v>
      </c>
      <c r="C3" s="703" t="s">
        <v>1223</v>
      </c>
      <c r="D3" s="703" t="s">
        <v>1224</v>
      </c>
      <c r="E3" s="703" t="s">
        <v>1225</v>
      </c>
      <c r="F3" s="703" t="s">
        <v>6</v>
      </c>
      <c r="G3" s="704" t="s">
        <v>8</v>
      </c>
      <c r="H3" s="704" t="s">
        <v>1226</v>
      </c>
      <c r="I3" s="703" t="s">
        <v>10</v>
      </c>
      <c r="J3" s="703" t="s">
        <v>1212</v>
      </c>
      <c r="K3" s="703" t="s">
        <v>66</v>
      </c>
      <c r="L3" s="704" t="s">
        <v>1227</v>
      </c>
      <c r="M3" s="704" t="s">
        <v>1228</v>
      </c>
      <c r="N3" s="704" t="s">
        <v>1229</v>
      </c>
      <c r="O3" s="704" t="s">
        <v>1230</v>
      </c>
      <c r="P3" s="705"/>
      <c r="Q3" s="703" t="s">
        <v>6</v>
      </c>
      <c r="R3" s="703" t="s">
        <v>8</v>
      </c>
      <c r="S3" s="703" t="s">
        <v>1226</v>
      </c>
      <c r="T3" s="703" t="s">
        <v>10</v>
      </c>
      <c r="U3" s="703" t="s">
        <v>1212</v>
      </c>
      <c r="V3" s="703" t="s">
        <v>66</v>
      </c>
      <c r="W3" s="705"/>
      <c r="X3" s="703" t="s">
        <v>1231</v>
      </c>
      <c r="Y3" s="703" t="s">
        <v>1232</v>
      </c>
      <c r="Z3" s="703" t="s">
        <v>1233</v>
      </c>
      <c r="AA3" s="703" t="s">
        <v>1234</v>
      </c>
      <c r="AB3" s="703" t="s">
        <v>1235</v>
      </c>
      <c r="AC3" s="703" t="s">
        <v>1236</v>
      </c>
      <c r="AD3" s="703" t="s">
        <v>1237</v>
      </c>
      <c r="AE3" s="705"/>
      <c r="AF3" s="703" t="s">
        <v>1231</v>
      </c>
      <c r="AG3" s="703" t="s">
        <v>1232</v>
      </c>
      <c r="AH3" s="703" t="s">
        <v>1233</v>
      </c>
      <c r="AI3" s="703" t="s">
        <v>1234</v>
      </c>
      <c r="AJ3" s="703" t="s">
        <v>1235</v>
      </c>
      <c r="AK3" s="703" t="s">
        <v>1236</v>
      </c>
      <c r="AL3" s="703" t="s">
        <v>1237</v>
      </c>
      <c r="AO3" s="706" t="s">
        <v>835</v>
      </c>
      <c r="AP3" s="706" t="s">
        <v>836</v>
      </c>
      <c r="AQ3" s="706" t="s">
        <v>837</v>
      </c>
      <c r="AR3" s="706" t="s">
        <v>838</v>
      </c>
      <c r="AS3" s="706" t="s">
        <v>839</v>
      </c>
      <c r="AT3" s="706" t="s">
        <v>840</v>
      </c>
      <c r="AU3" s="706" t="s">
        <v>841</v>
      </c>
      <c r="AV3" s="706" t="s">
        <v>842</v>
      </c>
      <c r="AW3" s="706" t="s">
        <v>1238</v>
      </c>
      <c r="AX3" s="706" t="s">
        <v>844</v>
      </c>
      <c r="AY3" s="707" t="s">
        <v>1239</v>
      </c>
      <c r="AZ3" s="707" t="s">
        <v>1240</v>
      </c>
      <c r="BA3" s="706" t="s">
        <v>66</v>
      </c>
      <c r="BB3" s="703" t="s">
        <v>66</v>
      </c>
    </row>
    <row r="4" spans="1:54" x14ac:dyDescent="0.25">
      <c r="A4" s="708" t="s">
        <v>835</v>
      </c>
      <c r="B4" s="709">
        <v>8.3333333333333343E-2</v>
      </c>
      <c r="C4" s="709">
        <v>8.3333333333333343E-2</v>
      </c>
      <c r="D4" s="709">
        <v>8.3333333333333343E-2</v>
      </c>
      <c r="E4" s="709">
        <v>8.3333333333333343E-2</v>
      </c>
      <c r="F4" s="710">
        <f>ProyCartCre!$I$6*DesglColoc!B4</f>
        <v>19345.914895833339</v>
      </c>
      <c r="G4" s="710">
        <f>ProyCartCre!$I$7*DesglColoc!C4</f>
        <v>5566384.938729167</v>
      </c>
      <c r="H4" s="710">
        <f>ProyCartCre!$I$8*DesglColoc!D4</f>
        <v>1700857.5405694447</v>
      </c>
      <c r="I4" s="710">
        <f>ProyCartCre!$I$9*DesglColoc!E4</f>
        <v>9234.6231736111131</v>
      </c>
      <c r="J4" s="710">
        <f>ProyCartCre!$I$10*DesglColoc!E4</f>
        <v>12772.666083333334</v>
      </c>
      <c r="K4" s="711">
        <f>SUM(F4:J4)</f>
        <v>7308595.683451389</v>
      </c>
      <c r="L4" s="712">
        <f>ROUND(((G4+H4)/Premisas!$B$115),0)</f>
        <v>404</v>
      </c>
      <c r="M4" s="712">
        <f>ROUND((L4/Premisas!$B$113),0)</f>
        <v>27</v>
      </c>
      <c r="N4" s="713">
        <f>+OVA!D6</f>
        <v>1500000</v>
      </c>
      <c r="O4" s="714">
        <f t="shared" ref="O4:O10" si="0">G4+H4-N4</f>
        <v>5767242.4792986121</v>
      </c>
      <c r="P4" s="715"/>
      <c r="Q4" s="710">
        <f>ProyCartCre!$H$6*DesglColoc!B4</f>
        <v>15223.015000000003</v>
      </c>
      <c r="R4" s="710">
        <f>ProyCartCre!$H$7*DesglColoc!C4</f>
        <v>5060523.6574999997</v>
      </c>
      <c r="S4" s="710">
        <f>ProyCartCre!$H$8*DesglColoc!D4</f>
        <v>1569015.8283333336</v>
      </c>
      <c r="T4" s="710">
        <f>ProyCartCre!$H$9*DesglColoc!E4</f>
        <v>8331.9908333333351</v>
      </c>
      <c r="U4" s="710">
        <f>ProyCartCre!$H$10*DesglColoc!E4</f>
        <v>11524.210000000001</v>
      </c>
      <c r="V4" s="711">
        <f>SUM(Q4:U4)</f>
        <v>6664618.7016666662</v>
      </c>
      <c r="W4" s="716"/>
      <c r="X4" s="710">
        <f>(SUM($Q$4:Q4)/24)+RecupProv!C124</f>
        <v>634.29229166666676</v>
      </c>
      <c r="Y4" s="710">
        <f>(SUM($R$4:R4)/60)+RecupProv!C125</f>
        <v>84342.060958333328</v>
      </c>
      <c r="Z4" s="710">
        <f>(SUM($S$4:S4)/60)+RecupProv!C126</f>
        <v>26150.263805555562</v>
      </c>
      <c r="AA4" s="717">
        <f>(SUM($T$4:T4)/60)</f>
        <v>138.86651388888893</v>
      </c>
      <c r="AB4" s="717">
        <f>SUM($U$4:U4)/60</f>
        <v>192.07016666666669</v>
      </c>
      <c r="AC4" s="711">
        <f t="shared" ref="AC4:AC15" si="1">SUM(X4:AB4)</f>
        <v>111457.55373611112</v>
      </c>
      <c r="AD4" s="718">
        <f>AC4/SUM($V$4:$V$15)</f>
        <v>1.3936475429099213E-3</v>
      </c>
      <c r="AE4" s="715"/>
      <c r="AF4" s="719">
        <v>634.29229166666676</v>
      </c>
      <c r="AG4" s="719">
        <v>75837.060958333343</v>
      </c>
      <c r="AH4" s="719">
        <v>20075.263805555562</v>
      </c>
      <c r="AI4" s="719">
        <v>138.86651388888893</v>
      </c>
      <c r="AJ4" s="719">
        <v>192.07016666666669</v>
      </c>
      <c r="AK4" s="720">
        <v>96877.553736111135</v>
      </c>
      <c r="AL4" s="721">
        <v>1.3943665413366597E-3</v>
      </c>
      <c r="AN4" s="145" t="s">
        <v>1231</v>
      </c>
      <c r="AO4" s="722">
        <f>AF4</f>
        <v>634.29229166666676</v>
      </c>
      <c r="AP4" s="722">
        <f>AF5</f>
        <v>1268.5845833333335</v>
      </c>
      <c r="AQ4" s="722">
        <f>AF6</f>
        <v>1902.8768750000006</v>
      </c>
      <c r="AR4" s="722">
        <f>AF7</f>
        <v>2537.169166666667</v>
      </c>
      <c r="AS4" s="722">
        <f>AF8</f>
        <v>3171.4614583333337</v>
      </c>
      <c r="AT4" s="722">
        <f>AF9</f>
        <v>3805.7537500000003</v>
      </c>
      <c r="AU4" s="722">
        <f>AF10</f>
        <v>4440.0460416666674</v>
      </c>
      <c r="AV4" s="722">
        <f>AF11</f>
        <v>5074.338333333334</v>
      </c>
      <c r="AW4" s="722">
        <f>AF12</f>
        <v>5708.6306250000007</v>
      </c>
      <c r="AX4" s="722">
        <f>AF13</f>
        <v>6342.9229166666673</v>
      </c>
      <c r="AY4" s="722">
        <f>AF14</f>
        <v>6977.2152083333349</v>
      </c>
      <c r="AZ4" s="722">
        <f>AF15</f>
        <v>7611.5075000000024</v>
      </c>
      <c r="BA4" s="723">
        <f>SUM(AO4:AZ4)</f>
        <v>49474.798750000009</v>
      </c>
      <c r="BB4" s="724"/>
    </row>
    <row r="5" spans="1:54" x14ac:dyDescent="0.25">
      <c r="A5" s="708" t="s">
        <v>836</v>
      </c>
      <c r="B5" s="709">
        <v>8.3333333333333343E-2</v>
      </c>
      <c r="C5" s="709">
        <v>8.3333333333333343E-2</v>
      </c>
      <c r="D5" s="709">
        <v>8.3333333333333343E-2</v>
      </c>
      <c r="E5" s="709">
        <v>8.3333333333333343E-2</v>
      </c>
      <c r="F5" s="710">
        <f>ProyCartCre!$I$6*DesglColoc!B5</f>
        <v>19345.914895833339</v>
      </c>
      <c r="G5" s="710">
        <f>ProyCartCre!$I$7*DesglColoc!C5</f>
        <v>5566384.938729167</v>
      </c>
      <c r="H5" s="710">
        <f>ProyCartCre!$I$8*DesglColoc!D5</f>
        <v>1700857.5405694447</v>
      </c>
      <c r="I5" s="710">
        <f>ProyCartCre!$I$9*DesglColoc!E5</f>
        <v>9234.6231736111131</v>
      </c>
      <c r="J5" s="710">
        <f>ProyCartCre!$I$10*DesglColoc!E5</f>
        <v>12772.666083333334</v>
      </c>
      <c r="K5" s="711">
        <f t="shared" ref="K5:K15" si="2">SUM(F5:J5)</f>
        <v>7308595.683451389</v>
      </c>
      <c r="L5" s="712">
        <f>ROUND(((G5+H5)/Premisas!$B$115),0)</f>
        <v>404</v>
      </c>
      <c r="M5" s="712">
        <f>ROUND((L5/Premisas!$B$113),0)</f>
        <v>27</v>
      </c>
      <c r="N5" s="713">
        <f>OVA!E6</f>
        <v>1500000</v>
      </c>
      <c r="O5" s="714">
        <f t="shared" si="0"/>
        <v>5767242.4792986121</v>
      </c>
      <c r="P5" s="715"/>
      <c r="Q5" s="710">
        <f>ProyCartCre!$H$6*DesglColoc!B5</f>
        <v>15223.015000000003</v>
      </c>
      <c r="R5" s="710">
        <f>ProyCartCre!$H$7*DesglColoc!C5</f>
        <v>5060523.6574999997</v>
      </c>
      <c r="S5" s="710">
        <f>ProyCartCre!$H$8*DesglColoc!D5</f>
        <v>1569015.8283333336</v>
      </c>
      <c r="T5" s="710">
        <f>ProyCartCre!$H$9*DesglColoc!E5</f>
        <v>8331.9908333333351</v>
      </c>
      <c r="U5" s="710">
        <f>ProyCartCre!$H$10*DesglColoc!E5</f>
        <v>11524.210000000001</v>
      </c>
      <c r="V5" s="711">
        <f t="shared" ref="V5:V15" si="3">SUM(Q5:U5)</f>
        <v>6664618.7016666662</v>
      </c>
      <c r="W5" s="716"/>
      <c r="X5" s="710">
        <f>(SUM($Q$4:Q5)/24)+RecupProv!D124</f>
        <v>1268.5845833333335</v>
      </c>
      <c r="Y5" s="710">
        <f>(SUM($R$4:R5)/60)+RecupProv!D125</f>
        <v>168684.12191666666</v>
      </c>
      <c r="Z5" s="710">
        <f>(SUM($S$4:S5)/60)+RecupProv!D126</f>
        <v>52300.527611111123</v>
      </c>
      <c r="AA5" s="717">
        <f>SUM($T$4:T5)/60</f>
        <v>277.73302777777786</v>
      </c>
      <c r="AB5" s="717">
        <f>SUM($U$4:U5)/60</f>
        <v>384.14033333333339</v>
      </c>
      <c r="AC5" s="711">
        <f t="shared" si="1"/>
        <v>222915.10747222224</v>
      </c>
      <c r="AD5" s="718">
        <f t="shared" ref="AD5:AD15" si="4">AC5/SUM($V$4:$V$15)</f>
        <v>2.7872950858198425E-3</v>
      </c>
      <c r="AE5" s="715"/>
      <c r="AF5" s="719">
        <v>1268.5845833333335</v>
      </c>
      <c r="AG5" s="719">
        <v>151674.12191666669</v>
      </c>
      <c r="AH5" s="719">
        <v>40150.527611111123</v>
      </c>
      <c r="AI5" s="719">
        <v>277.73302777777786</v>
      </c>
      <c r="AJ5" s="719">
        <v>384.14033333333339</v>
      </c>
      <c r="AK5" s="720">
        <v>193755.10747222227</v>
      </c>
      <c r="AL5" s="721">
        <v>2.7887330826733194E-3</v>
      </c>
      <c r="AN5" s="145" t="s">
        <v>1232</v>
      </c>
      <c r="AO5" s="722">
        <f>AG4</f>
        <v>75837.060958333343</v>
      </c>
      <c r="AP5" s="722">
        <f>AG5</f>
        <v>151674.12191666669</v>
      </c>
      <c r="AQ5" s="722">
        <f>AG6</f>
        <v>227511.18287500003</v>
      </c>
      <c r="AR5" s="722">
        <f>AG7</f>
        <v>303348.24383333337</v>
      </c>
      <c r="AS5" s="722">
        <f>AG8</f>
        <v>379185.30479166668</v>
      </c>
      <c r="AT5" s="722">
        <f>AG9</f>
        <v>455022.36575</v>
      </c>
      <c r="AU5" s="722">
        <f>AG10</f>
        <v>530859.42670833331</v>
      </c>
      <c r="AV5" s="722">
        <f>AG11</f>
        <v>612948.79766666668</v>
      </c>
      <c r="AW5" s="722">
        <f>AG12</f>
        <v>695694.8786249999</v>
      </c>
      <c r="AX5" s="722">
        <f>AG13</f>
        <v>838814.6595833333</v>
      </c>
      <c r="AY5" s="722">
        <f>AG14</f>
        <v>871956.25054166652</v>
      </c>
      <c r="AZ5" s="722">
        <f>AG15</f>
        <v>927483.08149999985</v>
      </c>
      <c r="BA5" s="723">
        <f>SUM(AO5:AZ5)</f>
        <v>6070335.3747499995</v>
      </c>
      <c r="BB5" s="724"/>
    </row>
    <row r="6" spans="1:54" x14ac:dyDescent="0.25">
      <c r="A6" s="708" t="s">
        <v>837</v>
      </c>
      <c r="B6" s="709">
        <v>8.3333333333333343E-2</v>
      </c>
      <c r="C6" s="709">
        <v>8.3333333333333343E-2</v>
      </c>
      <c r="D6" s="709">
        <v>8.3333333333333343E-2</v>
      </c>
      <c r="E6" s="709">
        <v>8.3333333333333343E-2</v>
      </c>
      <c r="F6" s="710">
        <f>ProyCartCre!$I$6*DesglColoc!B6</f>
        <v>19345.914895833339</v>
      </c>
      <c r="G6" s="710">
        <f>ProyCartCre!$I$7*DesglColoc!C6</f>
        <v>5566384.938729167</v>
      </c>
      <c r="H6" s="710">
        <f>ProyCartCre!$I$8*DesglColoc!D6</f>
        <v>1700857.5405694447</v>
      </c>
      <c r="I6" s="710">
        <f>ProyCartCre!$I$9*DesglColoc!E6</f>
        <v>9234.6231736111131</v>
      </c>
      <c r="J6" s="710">
        <f>ProyCartCre!$I$10*DesglColoc!E6</f>
        <v>12772.666083333334</v>
      </c>
      <c r="K6" s="711">
        <f t="shared" si="2"/>
        <v>7308595.683451389</v>
      </c>
      <c r="L6" s="712">
        <f>ROUND(((G6+H6)/Premisas!$B$115),0)</f>
        <v>404</v>
      </c>
      <c r="M6" s="712">
        <f>ROUND((L6/Premisas!$B$113),0)</f>
        <v>27</v>
      </c>
      <c r="N6" s="713">
        <f>OVA!F6</f>
        <v>1500000</v>
      </c>
      <c r="O6" s="714">
        <f t="shared" si="0"/>
        <v>5767242.4792986121</v>
      </c>
      <c r="P6" s="715"/>
      <c r="Q6" s="710">
        <f>ProyCartCre!$H$6*DesglColoc!B6</f>
        <v>15223.015000000003</v>
      </c>
      <c r="R6" s="710">
        <f>ProyCartCre!$H$7*DesglColoc!C6</f>
        <v>5060523.6574999997</v>
      </c>
      <c r="S6" s="710">
        <f>ProyCartCre!$H$8*DesglColoc!D6</f>
        <v>1569015.8283333336</v>
      </c>
      <c r="T6" s="710">
        <f>ProyCartCre!$H$9*DesglColoc!E6</f>
        <v>8331.9908333333351</v>
      </c>
      <c r="U6" s="710">
        <f>ProyCartCre!$H$10*DesglColoc!E6</f>
        <v>11524.210000000001</v>
      </c>
      <c r="V6" s="711">
        <f t="shared" si="3"/>
        <v>6664618.7016666662</v>
      </c>
      <c r="W6" s="716"/>
      <c r="X6" s="710">
        <f>(SUM($Q$4:Q6)/24)+RecupProv!E124</f>
        <v>1902.8768750000006</v>
      </c>
      <c r="Y6" s="710">
        <f>(SUM($R$4:R6)/60)+RecupProv!E125</f>
        <v>253026.182875</v>
      </c>
      <c r="Z6" s="710">
        <f>(SUM($S$4:S6)/60)+RecupProv!E126</f>
        <v>78450.791416666689</v>
      </c>
      <c r="AA6" s="717">
        <f>SUM($T$4:T6)/60</f>
        <v>416.59954166666671</v>
      </c>
      <c r="AB6" s="717">
        <f>SUM($U$4:U6)/60</f>
        <v>576.21050000000002</v>
      </c>
      <c r="AC6" s="711">
        <f t="shared" si="1"/>
        <v>334372.66120833333</v>
      </c>
      <c r="AD6" s="718">
        <f t="shared" si="4"/>
        <v>4.1809426287297636E-3</v>
      </c>
      <c r="AE6" s="715"/>
      <c r="AF6" s="719">
        <v>1902.8768750000006</v>
      </c>
      <c r="AG6" s="719">
        <v>227511.18287500003</v>
      </c>
      <c r="AH6" s="719">
        <v>60225.791416666681</v>
      </c>
      <c r="AI6" s="719">
        <v>416.59954166666671</v>
      </c>
      <c r="AJ6" s="719">
        <v>576.21050000000002</v>
      </c>
      <c r="AK6" s="720">
        <v>290632.66120833339</v>
      </c>
      <c r="AL6" s="721">
        <v>4.1830996240099791E-3</v>
      </c>
      <c r="AN6" s="145" t="s">
        <v>1233</v>
      </c>
      <c r="AO6" s="722">
        <f>AH4</f>
        <v>20075.263805555562</v>
      </c>
      <c r="AP6" s="722">
        <f>AH5</f>
        <v>40150.527611111123</v>
      </c>
      <c r="AQ6" s="722">
        <f>AH6</f>
        <v>60225.791416666681</v>
      </c>
      <c r="AR6" s="722">
        <f>AH7</f>
        <v>80301.055222222247</v>
      </c>
      <c r="AS6" s="722">
        <f>AH8</f>
        <v>100376.31902777779</v>
      </c>
      <c r="AT6" s="722">
        <f>AH9</f>
        <v>120451.58283333335</v>
      </c>
      <c r="AU6" s="722">
        <f>AH10</f>
        <v>140526.84663888891</v>
      </c>
      <c r="AV6" s="722">
        <f>AH11</f>
        <v>160602.11044444444</v>
      </c>
      <c r="AW6" s="722">
        <f>AH12</f>
        <v>196907.34424999999</v>
      </c>
      <c r="AX6" s="722">
        <f>AH13</f>
        <v>200752.63805555555</v>
      </c>
      <c r="AY6" s="722">
        <f>AH14</f>
        <v>220827.90186111111</v>
      </c>
      <c r="AZ6" s="722">
        <f>AH15</f>
        <v>240903.16566666667</v>
      </c>
      <c r="BA6" s="723">
        <f t="shared" ref="BA6:BA8" si="5">SUM(AO6:AZ6)</f>
        <v>1582100.5468333333</v>
      </c>
      <c r="BB6" s="724"/>
    </row>
    <row r="7" spans="1:54" x14ac:dyDescent="0.25">
      <c r="A7" s="708" t="s">
        <v>838</v>
      </c>
      <c r="B7" s="709">
        <v>8.3333333333333343E-2</v>
      </c>
      <c r="C7" s="709">
        <v>8.3333333333333343E-2</v>
      </c>
      <c r="D7" s="709">
        <v>8.3333333333333343E-2</v>
      </c>
      <c r="E7" s="709">
        <v>8.3333333333333343E-2</v>
      </c>
      <c r="F7" s="710">
        <f>ProyCartCre!$I$6*DesglColoc!B7</f>
        <v>19345.914895833339</v>
      </c>
      <c r="G7" s="710">
        <f>ProyCartCre!$I$7*DesglColoc!C7</f>
        <v>5566384.938729167</v>
      </c>
      <c r="H7" s="710">
        <f>ProyCartCre!$I$8*DesglColoc!D7</f>
        <v>1700857.5405694447</v>
      </c>
      <c r="I7" s="710">
        <f>ProyCartCre!$I$9*DesglColoc!E7</f>
        <v>9234.6231736111131</v>
      </c>
      <c r="J7" s="710">
        <f>ProyCartCre!$I$10*DesglColoc!E7</f>
        <v>12772.666083333334</v>
      </c>
      <c r="K7" s="711">
        <f t="shared" si="2"/>
        <v>7308595.683451389</v>
      </c>
      <c r="L7" s="712">
        <f>ROUND(((G7+H7)/Premisas!$B$115),0)</f>
        <v>404</v>
      </c>
      <c r="M7" s="712">
        <f>ROUND((L7/Premisas!$B$113),0)</f>
        <v>27</v>
      </c>
      <c r="N7" s="713">
        <f>OVA!G6</f>
        <v>1500000</v>
      </c>
      <c r="O7" s="714">
        <f t="shared" si="0"/>
        <v>5767242.4792986121</v>
      </c>
      <c r="P7" s="715"/>
      <c r="Q7" s="710">
        <f>ProyCartCre!$H$6*DesglColoc!B7</f>
        <v>15223.015000000003</v>
      </c>
      <c r="R7" s="710">
        <f>ProyCartCre!$H$7*DesglColoc!C7</f>
        <v>5060523.6574999997</v>
      </c>
      <c r="S7" s="710">
        <f>ProyCartCre!$H$8*DesglColoc!D7</f>
        <v>1569015.8283333336</v>
      </c>
      <c r="T7" s="710">
        <f>ProyCartCre!$H$9*DesglColoc!E7</f>
        <v>8331.9908333333351</v>
      </c>
      <c r="U7" s="710">
        <f>ProyCartCre!$H$10*DesglColoc!E7</f>
        <v>11524.210000000001</v>
      </c>
      <c r="V7" s="711">
        <f t="shared" si="3"/>
        <v>6664618.7016666662</v>
      </c>
      <c r="W7" s="716"/>
      <c r="X7" s="710">
        <f>(SUM($Q$4:Q7)/24)+RecupProv!F124</f>
        <v>2537.169166666667</v>
      </c>
      <c r="Y7" s="710">
        <f>(SUM($R$4:R7)/60)+RecupProv!F125</f>
        <v>337368.24383333331</v>
      </c>
      <c r="Z7" s="710">
        <f>(SUM($S$4:S7)/60)+RecupProv!F126</f>
        <v>104601.05522222225</v>
      </c>
      <c r="AA7" s="717">
        <f>SUM($T$4:T7)/60</f>
        <v>555.46605555555573</v>
      </c>
      <c r="AB7" s="717">
        <f>SUM($U$4:U7)/60</f>
        <v>768.28066666666678</v>
      </c>
      <c r="AC7" s="711">
        <f t="shared" si="1"/>
        <v>445830.21494444448</v>
      </c>
      <c r="AD7" s="718">
        <f t="shared" si="4"/>
        <v>5.574590171639685E-3</v>
      </c>
      <c r="AE7" s="715"/>
      <c r="AF7" s="719">
        <v>2537.169166666667</v>
      </c>
      <c r="AG7" s="719">
        <v>303348.24383333337</v>
      </c>
      <c r="AH7" s="719">
        <v>80301.055222222247</v>
      </c>
      <c r="AI7" s="719">
        <v>555.46605555555573</v>
      </c>
      <c r="AJ7" s="719">
        <v>768.28066666666678</v>
      </c>
      <c r="AK7" s="720">
        <v>387510.21494444454</v>
      </c>
      <c r="AL7" s="721">
        <v>5.5774661653466388E-3</v>
      </c>
      <c r="AN7" s="145" t="s">
        <v>1234</v>
      </c>
      <c r="AO7" s="722">
        <f>AI4</f>
        <v>138.86651388888893</v>
      </c>
      <c r="AP7" s="722">
        <f>AI5</f>
        <v>277.73302777777786</v>
      </c>
      <c r="AQ7" s="722">
        <f>AI6</f>
        <v>416.59954166666671</v>
      </c>
      <c r="AR7" s="722">
        <f>AI7</f>
        <v>555.46605555555573</v>
      </c>
      <c r="AS7" s="722">
        <f>AI8</f>
        <v>694.33256944444463</v>
      </c>
      <c r="AT7" s="722">
        <f>AI9</f>
        <v>833.19908333333353</v>
      </c>
      <c r="AU7" s="722">
        <f>AI10</f>
        <v>972.06559722222255</v>
      </c>
      <c r="AV7" s="722">
        <f>AI11</f>
        <v>1110.9321111111115</v>
      </c>
      <c r="AW7" s="722">
        <f>AI12</f>
        <v>1249.7986250000001</v>
      </c>
      <c r="AX7" s="722">
        <f>AI13</f>
        <v>1388.665138888889</v>
      </c>
      <c r="AY7" s="722">
        <f>AI14</f>
        <v>1527.5316527777779</v>
      </c>
      <c r="AZ7" s="722">
        <f>AI15</f>
        <v>1666.3981666666666</v>
      </c>
      <c r="BA7" s="723">
        <f t="shared" si="5"/>
        <v>10831.588083333334</v>
      </c>
      <c r="BB7" s="724"/>
    </row>
    <row r="8" spans="1:54" x14ac:dyDescent="0.25">
      <c r="A8" s="708" t="s">
        <v>839</v>
      </c>
      <c r="B8" s="709">
        <v>8.3333333333333343E-2</v>
      </c>
      <c r="C8" s="709">
        <v>8.3333333333333343E-2</v>
      </c>
      <c r="D8" s="709">
        <v>8.3333333333333343E-2</v>
      </c>
      <c r="E8" s="709">
        <v>8.3333333333333343E-2</v>
      </c>
      <c r="F8" s="710">
        <f>ProyCartCre!$I$6*DesglColoc!B8</f>
        <v>19345.914895833339</v>
      </c>
      <c r="G8" s="710">
        <f>ProyCartCre!$I$7*DesglColoc!C8</f>
        <v>5566384.938729167</v>
      </c>
      <c r="H8" s="710">
        <f>ProyCartCre!$I$8*DesglColoc!D8</f>
        <v>1700857.5405694447</v>
      </c>
      <c r="I8" s="710">
        <f>ProyCartCre!$I$9*DesglColoc!E8</f>
        <v>9234.6231736111131</v>
      </c>
      <c r="J8" s="710">
        <f>ProyCartCre!$I$10*DesglColoc!E8</f>
        <v>12772.666083333334</v>
      </c>
      <c r="K8" s="711">
        <f t="shared" si="2"/>
        <v>7308595.683451389</v>
      </c>
      <c r="L8" s="712">
        <f>ROUND(((G8+H8)/Premisas!$B$115),0)</f>
        <v>404</v>
      </c>
      <c r="M8" s="712">
        <f>ROUND((L8/Premisas!$B$113),0)</f>
        <v>27</v>
      </c>
      <c r="N8" s="713">
        <f>OVA!H6</f>
        <v>1500000</v>
      </c>
      <c r="O8" s="714">
        <f t="shared" si="0"/>
        <v>5767242.4792986121</v>
      </c>
      <c r="P8" s="715"/>
      <c r="Q8" s="710">
        <f>ProyCartCre!$H$6*DesglColoc!B8</f>
        <v>15223.015000000003</v>
      </c>
      <c r="R8" s="710">
        <f>ProyCartCre!$H$7*DesglColoc!C8</f>
        <v>5060523.6574999997</v>
      </c>
      <c r="S8" s="710">
        <f>ProyCartCre!$H$8*DesglColoc!D8</f>
        <v>1569015.8283333336</v>
      </c>
      <c r="T8" s="710">
        <f>ProyCartCre!$H$9*DesglColoc!E8</f>
        <v>8331.9908333333351</v>
      </c>
      <c r="U8" s="710">
        <f>ProyCartCre!$H$10*DesglColoc!E8</f>
        <v>11524.210000000001</v>
      </c>
      <c r="V8" s="711">
        <f t="shared" si="3"/>
        <v>6664618.7016666662</v>
      </c>
      <c r="W8" s="716"/>
      <c r="X8" s="710">
        <f>(SUM($Q$4:Q8)/24)+RecupProv!G124</f>
        <v>3171.4614583333337</v>
      </c>
      <c r="Y8" s="710">
        <f>(SUM($R$4:R8)/60)+RecupProv!G125</f>
        <v>421710.30479166663</v>
      </c>
      <c r="Z8" s="710">
        <f>(SUM($S$4:S8)/60)+RecupProv!G126</f>
        <v>130751.31902777779</v>
      </c>
      <c r="AA8" s="717">
        <f>SUM($T$4:T8)/60</f>
        <v>694.33256944444463</v>
      </c>
      <c r="AB8" s="717">
        <f>SUM($U$4:U8)/60</f>
        <v>960.35083333333341</v>
      </c>
      <c r="AC8" s="711">
        <f t="shared" si="1"/>
        <v>557287.76868055551</v>
      </c>
      <c r="AD8" s="718">
        <f t="shared" si="4"/>
        <v>6.9682377145496056E-3</v>
      </c>
      <c r="AE8" s="715"/>
      <c r="AF8" s="719">
        <v>3171.4614583333337</v>
      </c>
      <c r="AG8" s="719">
        <v>379185.30479166668</v>
      </c>
      <c r="AH8" s="719">
        <v>100376.31902777779</v>
      </c>
      <c r="AI8" s="719">
        <v>694.33256944444463</v>
      </c>
      <c r="AJ8" s="719">
        <v>960.35083333333341</v>
      </c>
      <c r="AK8" s="720">
        <v>484387.76868055563</v>
      </c>
      <c r="AL8" s="721">
        <v>6.9718327066832977E-3</v>
      </c>
      <c r="AN8" s="145" t="s">
        <v>1235</v>
      </c>
      <c r="AO8" s="722">
        <f>AJ4</f>
        <v>192.07016666666669</v>
      </c>
      <c r="AP8" s="722">
        <f>AJ5</f>
        <v>384.14033333333339</v>
      </c>
      <c r="AQ8" s="722">
        <f>AJ6</f>
        <v>576.21050000000002</v>
      </c>
      <c r="AR8" s="722">
        <f>AJ7</f>
        <v>768.28066666666678</v>
      </c>
      <c r="AS8" s="722">
        <f>AJ8</f>
        <v>960.35083333333341</v>
      </c>
      <c r="AT8" s="722">
        <f>AJ9</f>
        <v>1152.421</v>
      </c>
      <c r="AU8" s="722">
        <f>AJ10</f>
        <v>1344.4911666666669</v>
      </c>
      <c r="AV8" s="722">
        <f>AJ11</f>
        <v>1536.5613333333338</v>
      </c>
      <c r="AW8" s="722">
        <f>AJ12</f>
        <v>1728.6315000000004</v>
      </c>
      <c r="AX8" s="722">
        <f>AJ13</f>
        <v>1920.7016666666673</v>
      </c>
      <c r="AY8" s="722">
        <f>AJ14</f>
        <v>2112.7718333333341</v>
      </c>
      <c r="AZ8" s="722">
        <f>AJ15</f>
        <v>2304.842000000001</v>
      </c>
      <c r="BA8" s="723">
        <f t="shared" si="5"/>
        <v>14981.473000000004</v>
      </c>
      <c r="BB8" s="724"/>
    </row>
    <row r="9" spans="1:54" x14ac:dyDescent="0.25">
      <c r="A9" s="708" t="s">
        <v>840</v>
      </c>
      <c r="B9" s="709">
        <v>8.3333333333333343E-2</v>
      </c>
      <c r="C9" s="709">
        <v>8.3333333333333343E-2</v>
      </c>
      <c r="D9" s="709">
        <v>8.3333333333333343E-2</v>
      </c>
      <c r="E9" s="709">
        <v>8.3333333333333343E-2</v>
      </c>
      <c r="F9" s="710">
        <f>ProyCartCre!$I$6*DesglColoc!B9</f>
        <v>19345.914895833339</v>
      </c>
      <c r="G9" s="710">
        <f>ProyCartCre!$I$7*DesglColoc!C9</f>
        <v>5566384.938729167</v>
      </c>
      <c r="H9" s="710">
        <f>ProyCartCre!$I$8*DesglColoc!D9</f>
        <v>1700857.5405694447</v>
      </c>
      <c r="I9" s="710">
        <f>ProyCartCre!$I$9*DesglColoc!E9</f>
        <v>9234.6231736111131</v>
      </c>
      <c r="J9" s="710">
        <f>ProyCartCre!$I$10*DesglColoc!E9</f>
        <v>12772.666083333334</v>
      </c>
      <c r="K9" s="711">
        <f t="shared" si="2"/>
        <v>7308595.683451389</v>
      </c>
      <c r="L9" s="712">
        <f>ROUND(((G9+H9)/Premisas!$B$115),0)</f>
        <v>404</v>
      </c>
      <c r="M9" s="712">
        <f>ROUND((L9/Premisas!$B$113),0)</f>
        <v>27</v>
      </c>
      <c r="N9" s="713">
        <f>OVA!I6</f>
        <v>1500000</v>
      </c>
      <c r="O9" s="714">
        <f t="shared" si="0"/>
        <v>5767242.4792986121</v>
      </c>
      <c r="P9" s="715"/>
      <c r="Q9" s="710">
        <f>ProyCartCre!$H$6*DesglColoc!B9</f>
        <v>15223.015000000003</v>
      </c>
      <c r="R9" s="710">
        <f>ProyCartCre!$H$7*DesglColoc!C9</f>
        <v>5060523.6574999997</v>
      </c>
      <c r="S9" s="710">
        <f>ProyCartCre!$H$8*DesglColoc!D9</f>
        <v>1569015.8283333336</v>
      </c>
      <c r="T9" s="710">
        <f>ProyCartCre!$H$9*DesglColoc!E9</f>
        <v>8331.9908333333351</v>
      </c>
      <c r="U9" s="710">
        <f>ProyCartCre!$H$10*DesglColoc!E9</f>
        <v>11524.210000000001</v>
      </c>
      <c r="V9" s="711">
        <f t="shared" si="3"/>
        <v>6664618.7016666662</v>
      </c>
      <c r="W9" s="716"/>
      <c r="X9" s="710">
        <f>(SUM($Q$4:Q9)/24)+RecupProv!H124</f>
        <v>3805.7537500000003</v>
      </c>
      <c r="Y9" s="710">
        <f>(SUM($R$4:R9)/60)+RecupProv!H125</f>
        <v>506052.36574999994</v>
      </c>
      <c r="Z9" s="710">
        <f>(SUM($S$4:S9)/60)+RecupProv!H126</f>
        <v>156901.58283333335</v>
      </c>
      <c r="AA9" s="717">
        <f>SUM($T$4:T9)/60</f>
        <v>833.19908333333353</v>
      </c>
      <c r="AB9" s="717">
        <f>SUM($U$4:U9)/60</f>
        <v>1152.421</v>
      </c>
      <c r="AC9" s="711">
        <f t="shared" si="1"/>
        <v>668745.32241666655</v>
      </c>
      <c r="AD9" s="718">
        <f t="shared" si="4"/>
        <v>8.3618852574595254E-3</v>
      </c>
      <c r="AE9" s="715"/>
      <c r="AF9" s="719">
        <v>3805.7537500000003</v>
      </c>
      <c r="AG9" s="719">
        <v>455022.36575</v>
      </c>
      <c r="AH9" s="719">
        <v>120451.58283333335</v>
      </c>
      <c r="AI9" s="719">
        <v>833.19908333333353</v>
      </c>
      <c r="AJ9" s="719">
        <v>1152.421</v>
      </c>
      <c r="AK9" s="720">
        <v>581265.32241666666</v>
      </c>
      <c r="AL9" s="721">
        <v>8.3661992480199565E-3</v>
      </c>
      <c r="AN9" s="145" t="s">
        <v>1236</v>
      </c>
      <c r="AO9" s="722">
        <f>SUM(AO4:AO8)</f>
        <v>96877.553736111135</v>
      </c>
      <c r="AP9" s="722">
        <f t="shared" ref="AP9" si="6">SUM(AP4:AP8)</f>
        <v>193755.10747222227</v>
      </c>
      <c r="AQ9" s="722">
        <f t="shared" ref="AQ9" si="7">SUM(AQ4:AQ8)</f>
        <v>290632.66120833339</v>
      </c>
      <c r="AR9" s="722">
        <f t="shared" ref="AR9" si="8">SUM(AR4:AR8)</f>
        <v>387510.21494444454</v>
      </c>
      <c r="AS9" s="722">
        <f t="shared" ref="AS9" si="9">SUM(AS4:AS8)</f>
        <v>484387.76868055563</v>
      </c>
      <c r="AT9" s="722">
        <f t="shared" ref="AT9" si="10">SUM(AT4:AT8)</f>
        <v>581265.32241666666</v>
      </c>
      <c r="AU9" s="722">
        <f t="shared" ref="AU9" si="11">SUM(AU4:AU8)</f>
        <v>678142.8761527777</v>
      </c>
      <c r="AV9" s="722">
        <f t="shared" ref="AV9" si="12">SUM(AV4:AV8)</f>
        <v>781272.73988888902</v>
      </c>
      <c r="AW9" s="722">
        <f t="shared" ref="AW9" si="13">SUM(AW4:AW8)</f>
        <v>901289.28362499992</v>
      </c>
      <c r="AX9" s="722">
        <f t="shared" ref="AX9" si="14">SUM(AX4:AX8)</f>
        <v>1049219.5873611111</v>
      </c>
      <c r="AY9" s="722">
        <f t="shared" ref="AY9" si="15">SUM(AY4:AY8)</f>
        <v>1103401.671097222</v>
      </c>
      <c r="AZ9" s="722">
        <f t="shared" ref="AZ9" si="16">SUM(AZ4:AZ8)</f>
        <v>1179968.9948333332</v>
      </c>
      <c r="BA9" s="723">
        <f t="shared" ref="BA9" si="17">SUM(BA4:BA8)</f>
        <v>7727723.7814166667</v>
      </c>
      <c r="BB9" s="724"/>
    </row>
    <row r="10" spans="1:54" x14ac:dyDescent="0.25">
      <c r="A10" s="708" t="s">
        <v>841</v>
      </c>
      <c r="B10" s="709">
        <v>8.3333333333333343E-2</v>
      </c>
      <c r="C10" s="709">
        <v>8.3333333333333343E-2</v>
      </c>
      <c r="D10" s="709">
        <v>8.3333333333333343E-2</v>
      </c>
      <c r="E10" s="709">
        <v>8.3333333333333343E-2</v>
      </c>
      <c r="F10" s="710">
        <f>ProyCartCre!$I$6*DesglColoc!B10</f>
        <v>19345.914895833339</v>
      </c>
      <c r="G10" s="710">
        <f>ProyCartCre!$I$7*DesglColoc!C10</f>
        <v>5566384.938729167</v>
      </c>
      <c r="H10" s="710">
        <f>ProyCartCre!$I$8*DesglColoc!D10</f>
        <v>1700857.5405694447</v>
      </c>
      <c r="I10" s="710">
        <f>ProyCartCre!$I$9*DesglColoc!E10</f>
        <v>9234.6231736111131</v>
      </c>
      <c r="J10" s="710">
        <f>ProyCartCre!$I$10*DesglColoc!E10</f>
        <v>12772.666083333334</v>
      </c>
      <c r="K10" s="711">
        <f t="shared" si="2"/>
        <v>7308595.683451389</v>
      </c>
      <c r="L10" s="712">
        <f>ROUND(((G10+H10)/Premisas!$B$115),0)</f>
        <v>404</v>
      </c>
      <c r="M10" s="712">
        <f>ROUND((L10/Premisas!$B$113),0)</f>
        <v>27</v>
      </c>
      <c r="N10" s="713">
        <f>OVA!J6</f>
        <v>1500000</v>
      </c>
      <c r="O10" s="714">
        <f t="shared" si="0"/>
        <v>5767242.4792986121</v>
      </c>
      <c r="P10" s="715"/>
      <c r="Q10" s="710">
        <f>ProyCartCre!$H$6*DesglColoc!B10</f>
        <v>15223.015000000003</v>
      </c>
      <c r="R10" s="710">
        <f>ProyCartCre!$H$7*DesglColoc!C10</f>
        <v>5060523.6574999997</v>
      </c>
      <c r="S10" s="710">
        <f>ProyCartCre!$H$8*DesglColoc!D10</f>
        <v>1569015.8283333336</v>
      </c>
      <c r="T10" s="710">
        <f>ProyCartCre!$H$9*DesglColoc!E10</f>
        <v>8331.9908333333351</v>
      </c>
      <c r="U10" s="710">
        <f>ProyCartCre!$H$10*DesglColoc!E10</f>
        <v>11524.210000000001</v>
      </c>
      <c r="V10" s="711">
        <f t="shared" si="3"/>
        <v>6664618.7016666662</v>
      </c>
      <c r="W10" s="716"/>
      <c r="X10" s="710">
        <f>(SUM($Q$4:Q10)/24)+RecupProv!I124</f>
        <v>4440.0460416666674</v>
      </c>
      <c r="Y10" s="710">
        <f>(SUM($R$4:R10)/60)+RecupProv!I125</f>
        <v>590394.42670833331</v>
      </c>
      <c r="Z10" s="710">
        <f>(SUM($S$4:S10)/60)+RecupProv!I126</f>
        <v>183051.84663888891</v>
      </c>
      <c r="AA10" s="717">
        <f>SUM($T$4:T10)/60</f>
        <v>972.06559722222255</v>
      </c>
      <c r="AB10" s="717">
        <f>SUM($U$4:U10)/60</f>
        <v>1344.4911666666669</v>
      </c>
      <c r="AC10" s="711">
        <f t="shared" si="1"/>
        <v>780202.8761527777</v>
      </c>
      <c r="AD10" s="718">
        <f t="shared" si="4"/>
        <v>9.7555328003694469E-3</v>
      </c>
      <c r="AE10" s="715"/>
      <c r="AF10" s="719">
        <v>4440.0460416666674</v>
      </c>
      <c r="AG10" s="719">
        <v>530859.42670833331</v>
      </c>
      <c r="AH10" s="719">
        <v>140526.84663888891</v>
      </c>
      <c r="AI10" s="719">
        <v>972.06559722222255</v>
      </c>
      <c r="AJ10" s="719">
        <v>1344.4911666666669</v>
      </c>
      <c r="AK10" s="720">
        <v>678142.8761527777</v>
      </c>
      <c r="AL10" s="721">
        <v>9.7605657893566136E-3</v>
      </c>
      <c r="BB10" s="724"/>
    </row>
    <row r="11" spans="1:54" x14ac:dyDescent="0.25">
      <c r="A11" s="708" t="s">
        <v>842</v>
      </c>
      <c r="B11" s="709">
        <v>8.3333333333333343E-2</v>
      </c>
      <c r="C11" s="709">
        <v>8.3333333333333343E-2</v>
      </c>
      <c r="D11" s="709">
        <v>8.3333333333333343E-2</v>
      </c>
      <c r="E11" s="709">
        <v>8.3333333333333343E-2</v>
      </c>
      <c r="F11" s="710">
        <f>ProyCartCre!$I$6*DesglColoc!B11</f>
        <v>19345.914895833339</v>
      </c>
      <c r="G11" s="710">
        <f>ProyCartCre!$I$7*DesglColoc!C11</f>
        <v>5566384.938729167</v>
      </c>
      <c r="H11" s="710">
        <f>ProyCartCre!$I$8*DesglColoc!D11</f>
        <v>1700857.5405694447</v>
      </c>
      <c r="I11" s="710">
        <f>ProyCartCre!$I$9*DesglColoc!E11</f>
        <v>9234.6231736111131</v>
      </c>
      <c r="J11" s="710">
        <f>ProyCartCre!$I$10*DesglColoc!E11</f>
        <v>12772.666083333334</v>
      </c>
      <c r="K11" s="711">
        <f t="shared" si="2"/>
        <v>7308595.683451389</v>
      </c>
      <c r="L11" s="712">
        <f>ROUND(((G11+H11)/Premisas!$B$115),0)</f>
        <v>404</v>
      </c>
      <c r="M11" s="712">
        <f>ROUND((L11/Premisas!$B$113),0)</f>
        <v>27</v>
      </c>
      <c r="N11" s="713">
        <f>OVA!K6</f>
        <v>1500000</v>
      </c>
      <c r="O11" s="714">
        <f t="shared" ref="O11:O15" si="18">G11+H11-N11</f>
        <v>5767242.4792986121</v>
      </c>
      <c r="P11" s="715"/>
      <c r="Q11" s="710">
        <f>ProyCartCre!$H$6*DesglColoc!B11</f>
        <v>15223.015000000003</v>
      </c>
      <c r="R11" s="710">
        <f>ProyCartCre!$H$7*DesglColoc!C11</f>
        <v>5060523.6574999997</v>
      </c>
      <c r="S11" s="710">
        <f>ProyCartCre!$H$8*DesglColoc!D11</f>
        <v>1569015.8283333336</v>
      </c>
      <c r="T11" s="710">
        <f>ProyCartCre!$H$9*DesglColoc!E11</f>
        <v>8331.9908333333351</v>
      </c>
      <c r="U11" s="710">
        <f>ProyCartCre!$H$10*DesglColoc!E11</f>
        <v>11524.210000000001</v>
      </c>
      <c r="V11" s="711">
        <f t="shared" si="3"/>
        <v>6664618.7016666662</v>
      </c>
      <c r="W11" s="716"/>
      <c r="X11" s="710">
        <f>(SUM($Q$4:Q11)/24)+RecupProv!J124</f>
        <v>5074.338333333334</v>
      </c>
      <c r="Y11" s="710">
        <f>(SUM($R$4:R11)/60)+RecupProv!J125</f>
        <v>680988.79766666668</v>
      </c>
      <c r="Z11" s="710">
        <f>(SUM($S$4:S11)/60)+RecupProv!J126</f>
        <v>209202.11044444444</v>
      </c>
      <c r="AA11" s="717">
        <f>SUM($T$4:T11)/60</f>
        <v>1110.9321111111115</v>
      </c>
      <c r="AB11" s="717">
        <f>SUM($U$4:U11)/60</f>
        <v>1536.5613333333338</v>
      </c>
      <c r="AC11" s="711">
        <f t="shared" si="1"/>
        <v>897912.73988888902</v>
      </c>
      <c r="AD11" s="718">
        <f t="shared" si="4"/>
        <v>1.1227358234117002E-2</v>
      </c>
      <c r="AE11" s="715"/>
      <c r="AF11" s="719">
        <v>5074.338333333334</v>
      </c>
      <c r="AG11" s="719">
        <v>612948.79766666668</v>
      </c>
      <c r="AH11" s="719">
        <v>160602.11044444444</v>
      </c>
      <c r="AI11" s="719">
        <v>1110.9321111111115</v>
      </c>
      <c r="AJ11" s="719">
        <v>1536.5613333333338</v>
      </c>
      <c r="AK11" s="720">
        <v>781272.73988888902</v>
      </c>
      <c r="AL11" s="721">
        <v>1.1244922339047657E-2</v>
      </c>
      <c r="BB11" s="724"/>
    </row>
    <row r="12" spans="1:54" x14ac:dyDescent="0.25">
      <c r="A12" s="708" t="s">
        <v>843</v>
      </c>
      <c r="B12" s="709">
        <v>8.3333333333333343E-2</v>
      </c>
      <c r="C12" s="709">
        <v>8.3333333333333343E-2</v>
      </c>
      <c r="D12" s="709">
        <v>8.3333333333333343E-2</v>
      </c>
      <c r="E12" s="709">
        <v>8.3333333333333343E-2</v>
      </c>
      <c r="F12" s="710">
        <f>ProyCartCre!$I$6*DesglColoc!B12</f>
        <v>19345.914895833339</v>
      </c>
      <c r="G12" s="710">
        <f>ProyCartCre!$I$7*DesglColoc!C12</f>
        <v>5566384.938729167</v>
      </c>
      <c r="H12" s="710">
        <f>ProyCartCre!$I$8*DesglColoc!D12</f>
        <v>1700857.5405694447</v>
      </c>
      <c r="I12" s="710">
        <f>ProyCartCre!$I$9*DesglColoc!E12</f>
        <v>9234.6231736111131</v>
      </c>
      <c r="J12" s="710">
        <f>ProyCartCre!$I$10*DesglColoc!E12</f>
        <v>12772.666083333334</v>
      </c>
      <c r="K12" s="711">
        <f t="shared" si="2"/>
        <v>7308595.683451389</v>
      </c>
      <c r="L12" s="712">
        <f>ROUND(((G12+H12)/Premisas!$B$115),0)</f>
        <v>404</v>
      </c>
      <c r="M12" s="712">
        <f>ROUND((L12/Premisas!$B$113),0)</f>
        <v>27</v>
      </c>
      <c r="N12" s="713">
        <f>OVA!L6</f>
        <v>1500000</v>
      </c>
      <c r="O12" s="714">
        <f>G12+H12-N12</f>
        <v>5767242.4792986121</v>
      </c>
      <c r="P12" s="715"/>
      <c r="Q12" s="710">
        <f>ProyCartCre!$H$6*DesglColoc!B12</f>
        <v>15223.015000000003</v>
      </c>
      <c r="R12" s="710">
        <f>ProyCartCre!$H$7*DesglColoc!C12</f>
        <v>5060523.6574999997</v>
      </c>
      <c r="S12" s="710">
        <f>ProyCartCre!$H$8*DesglColoc!D12</f>
        <v>1569015.8283333336</v>
      </c>
      <c r="T12" s="710">
        <f>ProyCartCre!$H$9*DesglColoc!E12</f>
        <v>8331.9908333333351</v>
      </c>
      <c r="U12" s="710">
        <f>ProyCartCre!$H$10*DesglColoc!E12</f>
        <v>11524.210000000001</v>
      </c>
      <c r="V12" s="711">
        <f t="shared" si="3"/>
        <v>6664618.7016666662</v>
      </c>
      <c r="W12" s="716"/>
      <c r="X12" s="710">
        <f>(SUM($Q$4:Q12)/24)+RecupProv!K124</f>
        <v>5708.6306250000007</v>
      </c>
      <c r="Y12" s="710">
        <f>(SUM($R$4:R12)/60)+RecupProv!K125</f>
        <v>772239.8786249999</v>
      </c>
      <c r="Z12" s="710">
        <f>(SUM($S$4:S12)/60)+RecupProv!K126</f>
        <v>251582.34424999999</v>
      </c>
      <c r="AA12" s="717">
        <f>SUM($T$4:T12)/60</f>
        <v>1249.7986250000001</v>
      </c>
      <c r="AB12" s="717">
        <f>SUM($U$4:U12)/60</f>
        <v>1728.6315000000004</v>
      </c>
      <c r="AC12" s="711">
        <f t="shared" si="1"/>
        <v>1032509.2836249999</v>
      </c>
      <c r="AD12" s="718">
        <f t="shared" si="4"/>
        <v>1.2910332031533342E-2</v>
      </c>
      <c r="AE12" s="715"/>
      <c r="AF12" s="719">
        <v>5708.6306250000007</v>
      </c>
      <c r="AG12" s="719">
        <v>695694.8786249999</v>
      </c>
      <c r="AH12" s="719">
        <v>196907.34424999999</v>
      </c>
      <c r="AI12" s="719">
        <v>1249.7986250000001</v>
      </c>
      <c r="AJ12" s="719">
        <v>1728.6315000000004</v>
      </c>
      <c r="AK12" s="720">
        <v>901289.28362499992</v>
      </c>
      <c r="AL12" s="721">
        <v>1.2972330252838964E-2</v>
      </c>
      <c r="BB12" s="724"/>
    </row>
    <row r="13" spans="1:54" x14ac:dyDescent="0.25">
      <c r="A13" s="708" t="s">
        <v>844</v>
      </c>
      <c r="B13" s="709">
        <v>8.3333333333333343E-2</v>
      </c>
      <c r="C13" s="709">
        <v>8.3333333333333343E-2</v>
      </c>
      <c r="D13" s="709">
        <v>8.3333333333333343E-2</v>
      </c>
      <c r="E13" s="709">
        <v>8.3333333333333343E-2</v>
      </c>
      <c r="F13" s="710">
        <f>ProyCartCre!$I$6*DesglColoc!B13</f>
        <v>19345.914895833339</v>
      </c>
      <c r="G13" s="710">
        <f>ProyCartCre!$I$7*DesglColoc!C13</f>
        <v>5566384.938729167</v>
      </c>
      <c r="H13" s="710">
        <f>ProyCartCre!$I$8*DesglColoc!D13</f>
        <v>1700857.5405694447</v>
      </c>
      <c r="I13" s="710">
        <f>ProyCartCre!$I$9*DesglColoc!E13</f>
        <v>9234.6231736111131</v>
      </c>
      <c r="J13" s="710">
        <f>ProyCartCre!$I$10*DesglColoc!E13</f>
        <v>12772.666083333334</v>
      </c>
      <c r="K13" s="711">
        <f t="shared" si="2"/>
        <v>7308595.683451389</v>
      </c>
      <c r="L13" s="712">
        <f>ROUND(((G13+H13)/Premisas!$B$115),0)</f>
        <v>404</v>
      </c>
      <c r="M13" s="712">
        <f>ROUND((L13/Premisas!$B$113),0)</f>
        <v>27</v>
      </c>
      <c r="N13" s="713">
        <f>OVA!M6</f>
        <v>1500000</v>
      </c>
      <c r="O13" s="714">
        <f>G13+H13-N13</f>
        <v>5767242.4792986121</v>
      </c>
      <c r="P13" s="715"/>
      <c r="Q13" s="710">
        <f>ProyCartCre!$H$6*DesglColoc!B13</f>
        <v>15223.015000000003</v>
      </c>
      <c r="R13" s="710">
        <f>ProyCartCre!$H$7*DesglColoc!C13</f>
        <v>5060523.6574999997</v>
      </c>
      <c r="S13" s="710">
        <f>ProyCartCre!$H$8*DesglColoc!D13</f>
        <v>1569015.8283333336</v>
      </c>
      <c r="T13" s="710">
        <f>ProyCartCre!$H$9*DesglColoc!E13</f>
        <v>8331.9908333333351</v>
      </c>
      <c r="U13" s="710">
        <f>ProyCartCre!$H$10*DesglColoc!E13</f>
        <v>11524.210000000001</v>
      </c>
      <c r="V13" s="711">
        <f t="shared" si="3"/>
        <v>6664618.7016666662</v>
      </c>
      <c r="W13" s="716"/>
      <c r="X13" s="710">
        <f>(SUM($Q$4:Q13)/24)+RecupProv!L124</f>
        <v>6342.9229166666673</v>
      </c>
      <c r="Y13" s="710">
        <f>(SUM($R$4:R13)/60)+RecupProv!L125</f>
        <v>923864.6595833333</v>
      </c>
      <c r="Z13" s="710">
        <f>(SUM($S$4:S13)/60)+RecupProv!L126</f>
        <v>261502.63805555555</v>
      </c>
      <c r="AA13" s="717">
        <f>SUM($T$4:T13)/60</f>
        <v>1388.665138888889</v>
      </c>
      <c r="AB13" s="717">
        <f>SUM($U$4:U13)/60</f>
        <v>1920.7016666666673</v>
      </c>
      <c r="AC13" s="711">
        <f t="shared" si="1"/>
        <v>1195019.5873611111</v>
      </c>
      <c r="AD13" s="718">
        <f t="shared" si="4"/>
        <v>1.4942335048893649E-2</v>
      </c>
      <c r="AE13" s="715"/>
      <c r="AF13" s="719">
        <v>6342.9229166666673</v>
      </c>
      <c r="AG13" s="719">
        <v>838814.6595833333</v>
      </c>
      <c r="AH13" s="719">
        <v>200752.63805555555</v>
      </c>
      <c r="AI13" s="719">
        <v>1388.665138888889</v>
      </c>
      <c r="AJ13" s="719">
        <v>1920.7016666666673</v>
      </c>
      <c r="AK13" s="720">
        <v>1049219.5873611111</v>
      </c>
      <c r="AL13" s="721">
        <v>1.5101503193572664E-2</v>
      </c>
      <c r="BB13" s="724"/>
    </row>
    <row r="14" spans="1:54" x14ac:dyDescent="0.25">
      <c r="A14" s="708" t="s">
        <v>845</v>
      </c>
      <c r="B14" s="709">
        <v>8.3333333333333343E-2</v>
      </c>
      <c r="C14" s="709">
        <v>8.3333333333333343E-2</v>
      </c>
      <c r="D14" s="709">
        <v>8.3333333333333343E-2</v>
      </c>
      <c r="E14" s="709">
        <v>8.3333333333333343E-2</v>
      </c>
      <c r="F14" s="710">
        <f>ProyCartCre!$I$6*DesglColoc!B14</f>
        <v>19345.914895833339</v>
      </c>
      <c r="G14" s="710">
        <f>ProyCartCre!$I$7*DesglColoc!C14</f>
        <v>5566384.938729167</v>
      </c>
      <c r="H14" s="710">
        <f>ProyCartCre!$I$8*DesglColoc!D14</f>
        <v>1700857.5405694447</v>
      </c>
      <c r="I14" s="710">
        <f>ProyCartCre!$I$9*DesglColoc!E14</f>
        <v>9234.6231736111131</v>
      </c>
      <c r="J14" s="710">
        <f>ProyCartCre!$I$10*DesglColoc!E14</f>
        <v>12772.666083333334</v>
      </c>
      <c r="K14" s="711">
        <f t="shared" si="2"/>
        <v>7308595.683451389</v>
      </c>
      <c r="L14" s="712">
        <f>ROUND(((G14+H14)/Premisas!$B$115),0)</f>
        <v>404</v>
      </c>
      <c r="M14" s="712">
        <f>ROUND((L14/Premisas!$B$113),0)</f>
        <v>27</v>
      </c>
      <c r="N14" s="713">
        <f>OVA!N6</f>
        <v>1500000</v>
      </c>
      <c r="O14" s="714">
        <f t="shared" si="18"/>
        <v>5767242.4792986121</v>
      </c>
      <c r="P14" s="715"/>
      <c r="Q14" s="710">
        <f>ProyCartCre!$H$6*DesglColoc!B14</f>
        <v>15223.015000000003</v>
      </c>
      <c r="R14" s="710">
        <f>ProyCartCre!$H$7*DesglColoc!C14</f>
        <v>5060523.6574999997</v>
      </c>
      <c r="S14" s="710">
        <f>ProyCartCre!$H$8*DesglColoc!D14</f>
        <v>1569015.8283333336</v>
      </c>
      <c r="T14" s="710">
        <f>ProyCartCre!$H$9*DesglColoc!E14</f>
        <v>8331.9908333333351</v>
      </c>
      <c r="U14" s="710">
        <f>ProyCartCre!$H$10*DesglColoc!E14</f>
        <v>11524.210000000001</v>
      </c>
      <c r="V14" s="711">
        <f t="shared" si="3"/>
        <v>6664618.7016666662</v>
      </c>
      <c r="W14" s="716"/>
      <c r="X14" s="710">
        <f>(SUM($Q$4:Q14)/24)+RecupProv!M124</f>
        <v>6977.2152083333349</v>
      </c>
      <c r="Y14" s="710">
        <f>(SUM($R$4:R14)/60)+RecupProv!M125</f>
        <v>965511.25054166652</v>
      </c>
      <c r="Z14" s="710">
        <f>(SUM($S$4:S14)/60)+RecupProv!M126</f>
        <v>287652.90186111111</v>
      </c>
      <c r="AA14" s="717">
        <f>SUM($T$4:T14)/60</f>
        <v>1527.5316527777779</v>
      </c>
      <c r="AB14" s="717">
        <f>SUM($U$4:U14)/60</f>
        <v>2112.7718333333341</v>
      </c>
      <c r="AC14" s="711">
        <f t="shared" si="1"/>
        <v>1263781.671097222</v>
      </c>
      <c r="AD14" s="718">
        <f t="shared" si="4"/>
        <v>1.5802125218621278E-2</v>
      </c>
      <c r="AE14" s="715"/>
      <c r="AF14" s="719">
        <v>6977.2152083333349</v>
      </c>
      <c r="AG14" s="719">
        <v>871956.25054166652</v>
      </c>
      <c r="AH14" s="719">
        <v>220827.90186111111</v>
      </c>
      <c r="AI14" s="719">
        <v>1527.5316527777779</v>
      </c>
      <c r="AJ14" s="719">
        <v>2112.7718333333341</v>
      </c>
      <c r="AK14" s="720">
        <v>1103401.671097222</v>
      </c>
      <c r="AL14" s="721">
        <v>1.5881350348955294E-2</v>
      </c>
      <c r="BB14" s="724"/>
    </row>
    <row r="15" spans="1:54" x14ac:dyDescent="0.25">
      <c r="A15" s="708" t="s">
        <v>846</v>
      </c>
      <c r="B15" s="709">
        <v>8.3333333333333343E-2</v>
      </c>
      <c r="C15" s="709">
        <v>8.3333333333333343E-2</v>
      </c>
      <c r="D15" s="709">
        <v>8.3333333333333343E-2</v>
      </c>
      <c r="E15" s="709">
        <v>8.3333333333333343E-2</v>
      </c>
      <c r="F15" s="710">
        <f>ProyCartCre!$I$6*DesglColoc!B15</f>
        <v>19345.914895833339</v>
      </c>
      <c r="G15" s="710">
        <f>ProyCartCre!$I$7*DesglColoc!C15</f>
        <v>5566384.938729167</v>
      </c>
      <c r="H15" s="710">
        <f>ProyCartCre!$I$8*DesglColoc!D15</f>
        <v>1700857.5405694447</v>
      </c>
      <c r="I15" s="710">
        <f>ProyCartCre!$I$9*DesglColoc!E15</f>
        <v>9234.6231736111131</v>
      </c>
      <c r="J15" s="710">
        <f>ProyCartCre!$I$10*DesglColoc!E15</f>
        <v>12772.666083333334</v>
      </c>
      <c r="K15" s="711">
        <f t="shared" si="2"/>
        <v>7308595.683451389</v>
      </c>
      <c r="L15" s="712">
        <f>ROUND(((G15+H15)/Premisas!$B$115),0)</f>
        <v>404</v>
      </c>
      <c r="M15" s="712">
        <f>ROUND((L15/Premisas!$B$113),0)</f>
        <v>27</v>
      </c>
      <c r="N15" s="713">
        <f>OVA!O6</f>
        <v>1500000</v>
      </c>
      <c r="O15" s="714">
        <f t="shared" si="18"/>
        <v>5767242.4792986121</v>
      </c>
      <c r="P15" s="715"/>
      <c r="Q15" s="710">
        <f>ProyCartCre!$H$6*DesglColoc!B15</f>
        <v>15223.015000000003</v>
      </c>
      <c r="R15" s="710">
        <f>ProyCartCre!$H$7*DesglColoc!C15</f>
        <v>5060523.6574999997</v>
      </c>
      <c r="S15" s="710">
        <f>ProyCartCre!$H$8*DesglColoc!D15</f>
        <v>1569015.8283333336</v>
      </c>
      <c r="T15" s="710">
        <f>ProyCartCre!$H$9*DesglColoc!E15</f>
        <v>8331.9908333333351</v>
      </c>
      <c r="U15" s="710">
        <f>ProyCartCre!$H$10*DesglColoc!E15</f>
        <v>11524.210000000001</v>
      </c>
      <c r="V15" s="711">
        <f t="shared" si="3"/>
        <v>6664618.7016666662</v>
      </c>
      <c r="W15" s="716"/>
      <c r="X15" s="710">
        <f>(SUM($Q$4:Q15)/24)+RecupProv!N124</f>
        <v>7611.5075000000024</v>
      </c>
      <c r="Y15" s="710">
        <f>(SUM($R$4:R15)/60)+RecupProv!N125</f>
        <v>1029543.0814999999</v>
      </c>
      <c r="Z15" s="710">
        <f>(SUM($S$4:S15)/60)+RecupProv!N126</f>
        <v>313803.1656666667</v>
      </c>
      <c r="AA15" s="717">
        <f>SUM($T$4:T15)/60</f>
        <v>1666.3981666666666</v>
      </c>
      <c r="AB15" s="717">
        <f>SUM($U$4:U15)/60</f>
        <v>2304.842000000001</v>
      </c>
      <c r="AC15" s="711">
        <f t="shared" si="1"/>
        <v>1354928.9948333332</v>
      </c>
      <c r="AD15" s="718">
        <f t="shared" si="4"/>
        <v>1.6941816872615392E-2</v>
      </c>
      <c r="AE15" s="715"/>
      <c r="AF15" s="719">
        <v>7611.5075000000024</v>
      </c>
      <c r="AG15" s="719">
        <v>927483.08149999985</v>
      </c>
      <c r="AH15" s="719">
        <v>240903.16566666667</v>
      </c>
      <c r="AI15" s="719">
        <v>1666.3981666666666</v>
      </c>
      <c r="AJ15" s="719">
        <v>2304.842000000001</v>
      </c>
      <c r="AK15" s="720">
        <v>1179968.9948333332</v>
      </c>
      <c r="AL15" s="721">
        <v>1.6983390091496086E-2</v>
      </c>
      <c r="BB15" s="724"/>
    </row>
    <row r="16" spans="1:54" x14ac:dyDescent="0.25">
      <c r="A16" s="725"/>
      <c r="B16" s="726">
        <f>SUM(B4:B15)</f>
        <v>1.0000000000000002</v>
      </c>
      <c r="C16" s="726">
        <f t="shared" ref="C16:E16" si="19">SUM(C4:C15)</f>
        <v>1.0000000000000002</v>
      </c>
      <c r="D16" s="726">
        <f t="shared" si="19"/>
        <v>1.0000000000000002</v>
      </c>
      <c r="E16" s="726">
        <f t="shared" si="19"/>
        <v>1.0000000000000002</v>
      </c>
      <c r="F16" s="727">
        <f>SUM(F4:F15)</f>
        <v>232150.97875000013</v>
      </c>
      <c r="G16" s="727">
        <f t="shared" ref="G16:K16" si="20">SUM(G4:G15)</f>
        <v>66796619.264750004</v>
      </c>
      <c r="H16" s="727">
        <f t="shared" si="20"/>
        <v>20410290.486833334</v>
      </c>
      <c r="I16" s="727">
        <f t="shared" si="20"/>
        <v>110815.47808333334</v>
      </c>
      <c r="J16" s="727">
        <f t="shared" si="20"/>
        <v>153271.99299999999</v>
      </c>
      <c r="K16" s="727">
        <f t="shared" si="20"/>
        <v>87703148.201416671</v>
      </c>
      <c r="L16" s="727">
        <f>SUM(L4:L15)</f>
        <v>4848</v>
      </c>
      <c r="M16" s="728"/>
      <c r="N16" s="727">
        <f t="shared" ref="N16:O16" si="21">SUM(N4:N15)</f>
        <v>18000000</v>
      </c>
      <c r="O16" s="727">
        <f t="shared" si="21"/>
        <v>69206909.751583353</v>
      </c>
      <c r="Q16" s="727">
        <f>SUM(Q4:Q15)</f>
        <v>182676.18000000005</v>
      </c>
      <c r="R16" s="727">
        <f t="shared" ref="R16:V16" si="22">SUM(R4:R15)</f>
        <v>60726283.889999993</v>
      </c>
      <c r="S16" s="727">
        <f t="shared" si="22"/>
        <v>18828189.940000001</v>
      </c>
      <c r="T16" s="727">
        <f t="shared" si="22"/>
        <v>99983.89</v>
      </c>
      <c r="U16" s="727">
        <f t="shared" si="22"/>
        <v>138290.52000000005</v>
      </c>
      <c r="V16" s="727">
        <f t="shared" si="22"/>
        <v>79975424.420000002</v>
      </c>
      <c r="X16" s="727">
        <f>SUM(X4:X15)</f>
        <v>49474.798750000009</v>
      </c>
      <c r="Y16" s="727">
        <f t="shared" ref="Y16:AA16" si="23">SUM(Y4:Y15)</f>
        <v>6733725.3747499995</v>
      </c>
      <c r="Z16" s="727">
        <f t="shared" si="23"/>
        <v>2055950.5468333336</v>
      </c>
      <c r="AA16" s="727">
        <f t="shared" si="23"/>
        <v>10831.588083333334</v>
      </c>
      <c r="AB16" s="727">
        <f>SUM(AB4:AB15)</f>
        <v>14981.473000000004</v>
      </c>
      <c r="AC16" s="727">
        <f>SUM(AC4:AC15)</f>
        <v>8864963.7814166658</v>
      </c>
      <c r="AD16" s="729">
        <f>AC16/V16</f>
        <v>0.11084609860725846</v>
      </c>
      <c r="AF16" s="730">
        <v>49474.798750000009</v>
      </c>
      <c r="AG16" s="730">
        <v>6070335.3747499995</v>
      </c>
      <c r="AH16" s="730">
        <v>1582100.5468333333</v>
      </c>
      <c r="AI16" s="730">
        <v>10831.588083333334</v>
      </c>
      <c r="AJ16" s="730">
        <v>14981.473000000004</v>
      </c>
      <c r="AK16" s="730">
        <v>7727723.7814166667</v>
      </c>
      <c r="AL16" s="731">
        <v>0.11122575938333713</v>
      </c>
    </row>
    <row r="17" spans="1:53" x14ac:dyDescent="0.25">
      <c r="A17" s="1" t="s">
        <v>1241</v>
      </c>
      <c r="G17" s="732">
        <f>ROUND(G16/Premisas!$B$115,0)</f>
        <v>3711</v>
      </c>
      <c r="H17" s="732">
        <f>ROUND(H16/Premisas!$B$115,0)</f>
        <v>1134</v>
      </c>
      <c r="K17" s="733"/>
      <c r="L17" s="734">
        <f>ROUND(AVERAGE(L10:L15),0)</f>
        <v>404</v>
      </c>
      <c r="M17" s="734">
        <f>ROUND(AVERAGE(M10:M15),0)</f>
        <v>27</v>
      </c>
      <c r="N17" s="734">
        <f>ROUND(N16/18000,0)</f>
        <v>1000</v>
      </c>
      <c r="O17" s="734">
        <f>ROUND(O16/18000,0)</f>
        <v>3845</v>
      </c>
    </row>
    <row r="18" spans="1:53" x14ac:dyDescent="0.25">
      <c r="A18" s="1" t="s">
        <v>1242</v>
      </c>
      <c r="G18" s="683">
        <f>ROUND(G17/5,0)</f>
        <v>742</v>
      </c>
      <c r="H18" s="683">
        <f>ROUND(H17/5,0)</f>
        <v>227</v>
      </c>
      <c r="K18" s="735"/>
      <c r="L18" s="735"/>
      <c r="N18" s="736">
        <f>ROUND(N17/5,0)</f>
        <v>200</v>
      </c>
      <c r="O18" s="736">
        <f>ROUND(O17/5,0)</f>
        <v>769</v>
      </c>
    </row>
    <row r="19" spans="1:53" ht="21" customHeight="1" x14ac:dyDescent="0.25">
      <c r="A19" s="700" t="s">
        <v>1243</v>
      </c>
      <c r="N19" s="1"/>
      <c r="O19" s="1"/>
    </row>
    <row r="20" spans="1:53" s="2" customFormat="1" ht="30" customHeight="1" x14ac:dyDescent="0.25">
      <c r="A20" s="737"/>
      <c r="B20" s="738" t="s">
        <v>6</v>
      </c>
      <c r="C20" s="738" t="s">
        <v>8</v>
      </c>
      <c r="D20" s="738" t="s">
        <v>9</v>
      </c>
      <c r="E20" s="738" t="s">
        <v>10</v>
      </c>
      <c r="F20" s="738" t="s">
        <v>1212</v>
      </c>
      <c r="G20" s="738" t="s">
        <v>66</v>
      </c>
      <c r="N20" s="739"/>
      <c r="O20" s="739"/>
      <c r="BA20" s="104"/>
    </row>
    <row r="21" spans="1:53" x14ac:dyDescent="0.25">
      <c r="A21" s="740" t="s">
        <v>1244</v>
      </c>
      <c r="B21" s="741">
        <f>ProyCartCre!C6</f>
        <v>643955.81999999995</v>
      </c>
      <c r="C21" s="741">
        <f>ProyCartCre!C7</f>
        <v>29829804.759999998</v>
      </c>
      <c r="D21" s="741">
        <f>ProyCartCre!C8</f>
        <v>15825819.060000001</v>
      </c>
      <c r="E21" s="741">
        <f>ProyCartCre!C9</f>
        <v>465866.51</v>
      </c>
      <c r="F21" s="741">
        <f>ProyCartCre!C10</f>
        <v>150641.09</v>
      </c>
      <c r="G21" s="742">
        <f>SUM(B21:F21)</f>
        <v>46916087.240000002</v>
      </c>
    </row>
    <row r="22" spans="1:53" x14ac:dyDescent="0.25">
      <c r="A22" s="740" t="s">
        <v>1245</v>
      </c>
      <c r="B22" s="742">
        <f>F16</f>
        <v>232150.97875000013</v>
      </c>
      <c r="C22" s="742">
        <f>G16</f>
        <v>66796619.264750004</v>
      </c>
      <c r="D22" s="742">
        <f>H16</f>
        <v>20410290.486833334</v>
      </c>
      <c r="E22" s="742">
        <f>I16</f>
        <v>110815.47808333334</v>
      </c>
      <c r="F22" s="742">
        <f>J16</f>
        <v>153271.99299999999</v>
      </c>
      <c r="G22" s="742">
        <f t="shared" ref="G22:G25" si="24">SUM(B22:F22)</f>
        <v>87703148.201416656</v>
      </c>
      <c r="H22" s="743"/>
    </row>
    <row r="23" spans="1:53" x14ac:dyDescent="0.25">
      <c r="A23" s="740" t="s">
        <v>1246</v>
      </c>
      <c r="B23" s="741">
        <f>RecupProv!O6+AF16</f>
        <v>232150.97875000004</v>
      </c>
      <c r="C23" s="741">
        <f>RecupProv!O10+AG16</f>
        <v>12559019.264749996</v>
      </c>
      <c r="D23" s="741">
        <f>RecupProv!O11+AH16</f>
        <v>2914290.486833334</v>
      </c>
      <c r="E23" s="741">
        <f>RecupProv!O15+AI16</f>
        <v>110815.47808333334</v>
      </c>
      <c r="F23" s="741">
        <f>RecupProv!O21+AJ16</f>
        <v>153271.99299999999</v>
      </c>
      <c r="G23" s="742">
        <f t="shared" si="24"/>
        <v>15969548.201416664</v>
      </c>
    </row>
    <row r="24" spans="1:53" x14ac:dyDescent="0.25">
      <c r="A24" s="740" t="s">
        <v>1247</v>
      </c>
      <c r="B24" s="741">
        <f>ProyCartCre!K6</f>
        <v>643955.81999999995</v>
      </c>
      <c r="C24" s="741">
        <f>ProyCartCre!K7</f>
        <v>66067404.75999999</v>
      </c>
      <c r="D24" s="741">
        <f>ProyCartCre!K8</f>
        <v>33321819.060000006</v>
      </c>
      <c r="E24" s="741">
        <f>ProyCartCre!K9</f>
        <v>465866.51</v>
      </c>
      <c r="F24" s="741">
        <f>ProyCartCre!K10</f>
        <v>150641.09</v>
      </c>
      <c r="G24" s="742">
        <f t="shared" si="24"/>
        <v>100649687.24000001</v>
      </c>
    </row>
    <row r="25" spans="1:53" x14ac:dyDescent="0.25">
      <c r="A25" s="744" t="s">
        <v>1248</v>
      </c>
      <c r="B25" s="742">
        <f>B24-B21</f>
        <v>0</v>
      </c>
      <c r="C25" s="742">
        <f>C24-C21</f>
        <v>36237599.999999993</v>
      </c>
      <c r="D25" s="742">
        <f>D24-D21</f>
        <v>17496000.000000007</v>
      </c>
      <c r="E25" s="742">
        <f>E24-E21</f>
        <v>0</v>
      </c>
      <c r="F25" s="742">
        <f>F24-F21</f>
        <v>0</v>
      </c>
      <c r="G25" s="742">
        <f t="shared" si="24"/>
        <v>53733600</v>
      </c>
    </row>
    <row r="26" spans="1:53" ht="30" customHeight="1" x14ac:dyDescent="0.25">
      <c r="A26" s="738" t="s">
        <v>1221</v>
      </c>
      <c r="B26" s="745" t="str">
        <f>B20</f>
        <v>PRODUCTIVO</v>
      </c>
      <c r="C26" s="745" t="str">
        <f t="shared" ref="C26:F26" si="25">C20</f>
        <v>CONSUMO</v>
      </c>
      <c r="D26" s="745" t="str">
        <f t="shared" si="25"/>
        <v>MICROCREDITO</v>
      </c>
      <c r="E26" s="745" t="str">
        <f t="shared" si="25"/>
        <v>REFINANCIADA</v>
      </c>
      <c r="F26" s="745" t="str">
        <f t="shared" si="25"/>
        <v>REESTRUCTUR</v>
      </c>
      <c r="G26" s="738" t="s">
        <v>66</v>
      </c>
      <c r="H26" s="746" t="s">
        <v>1175</v>
      </c>
      <c r="I26" s="746" t="s">
        <v>1249</v>
      </c>
      <c r="J26" s="746" t="s">
        <v>1250</v>
      </c>
    </row>
    <row r="27" spans="1:53" x14ac:dyDescent="0.25">
      <c r="A27" s="747" t="s">
        <v>835</v>
      </c>
      <c r="B27" s="748">
        <f>F4-RecupProv!C6-AF4</f>
        <v>-761.73739583332838</v>
      </c>
      <c r="C27" s="748">
        <f>G4-RecupProv!C10-AG4-OVA!D6</f>
        <v>3485055.3777708337</v>
      </c>
      <c r="D27" s="748">
        <f>H4-RecupProv!C11-AH4</f>
        <v>1573480.8467638891</v>
      </c>
      <c r="E27" s="748">
        <f>I4-RecupProv!C15-AI4</f>
        <v>-1795.0733402777757</v>
      </c>
      <c r="F27" s="748">
        <f>J4-RecupProv!C21-AJ4</f>
        <v>2444.065916666666</v>
      </c>
      <c r="G27" s="749">
        <f t="shared" ref="G27:G38" si="26">SUM(B27:F27)</f>
        <v>5058423.4797152784</v>
      </c>
      <c r="H27" s="750">
        <f>RecupProv!C27+AK4+OVA!D6</f>
        <v>2250172.2037361111</v>
      </c>
      <c r="I27" s="751">
        <f t="shared" ref="I27:I38" si="27">K4</f>
        <v>7308595.683451389</v>
      </c>
      <c r="J27" s="751">
        <f>G21+G27</f>
        <v>51974510.719715282</v>
      </c>
    </row>
    <row r="28" spans="1:53" x14ac:dyDescent="0.25">
      <c r="A28" s="752" t="s">
        <v>836</v>
      </c>
      <c r="B28" s="748">
        <f>F5-RecupProv!D6-AF5</f>
        <v>-39.659687499996153</v>
      </c>
      <c r="C28" s="748">
        <f>G5-RecupProv!D10-AG5-OVA!E6</f>
        <v>3407723.1368125016</v>
      </c>
      <c r="D28" s="748">
        <f>H5-RecupProv!D11-AH5</f>
        <v>1549394.3029583336</v>
      </c>
      <c r="E28" s="748">
        <f>I5-RecupProv!D15-AI5</f>
        <v>1683.5301458333365</v>
      </c>
      <c r="F28" s="748">
        <f>J5-RecupProv!D21-AJ5</f>
        <v>1579.7457499999978</v>
      </c>
      <c r="G28" s="749">
        <f t="shared" si="26"/>
        <v>4960341.055979168</v>
      </c>
      <c r="H28" s="750">
        <f>RecupProv!D27+AK5+OVA!E6</f>
        <v>2348254.6274722214</v>
      </c>
      <c r="I28" s="751">
        <f t="shared" si="27"/>
        <v>7308595.683451389</v>
      </c>
      <c r="J28" s="753">
        <f t="shared" ref="J28:J38" si="28">J27+G28</f>
        <v>56934851.775694452</v>
      </c>
    </row>
    <row r="29" spans="1:53" x14ac:dyDescent="0.25">
      <c r="A29" s="752" t="s">
        <v>837</v>
      </c>
      <c r="B29" s="748">
        <f>F6-RecupProv!E6-AF6</f>
        <v>-822.28197916666136</v>
      </c>
      <c r="C29" s="748">
        <f>G6-RecupProv!E10-AG6-OVA!F6</f>
        <v>3280776.505854168</v>
      </c>
      <c r="D29" s="748">
        <f>H6-RecupProv!E11-AH6</f>
        <v>1522965.8591527781</v>
      </c>
      <c r="E29" s="748">
        <f>I6-RecupProv!E15-AI6</f>
        <v>338.55363194444521</v>
      </c>
      <c r="F29" s="748">
        <f>J6-RecupProv!E21-AJ6</f>
        <v>393.95558333333349</v>
      </c>
      <c r="G29" s="749">
        <f t="shared" si="26"/>
        <v>4803652.5922430577</v>
      </c>
      <c r="H29" s="750">
        <f>RecupProv!E27+AK6+OVA!F6</f>
        <v>2504943.0912083322</v>
      </c>
      <c r="I29" s="751">
        <f t="shared" si="27"/>
        <v>7308595.683451389</v>
      </c>
      <c r="J29" s="753">
        <f t="shared" si="28"/>
        <v>61738504.367937513</v>
      </c>
    </row>
    <row r="30" spans="1:53" x14ac:dyDescent="0.25">
      <c r="A30" s="752" t="s">
        <v>838</v>
      </c>
      <c r="B30" s="748">
        <f>F7-RecupProv!F6-AF7</f>
        <v>-851.24427083332603</v>
      </c>
      <c r="C30" s="748">
        <f>G7-RecupProv!F10-AG7-OVA!G6</f>
        <v>2934597.2348958338</v>
      </c>
      <c r="D30" s="748">
        <f>H7-RecupProv!F11-AH7</f>
        <v>1504562.2253472223</v>
      </c>
      <c r="E30" s="748">
        <f>I7-RecupProv!F15-AI7</f>
        <v>984.44711805555642</v>
      </c>
      <c r="F30" s="748">
        <f>J7-RecupProv!F21-AJ7</f>
        <v>439.87541666667016</v>
      </c>
      <c r="G30" s="749">
        <f t="shared" si="26"/>
        <v>4439732.5385069447</v>
      </c>
      <c r="H30" s="750">
        <f>RecupProv!F27+AK7+OVA!G6</f>
        <v>2868863.1449444443</v>
      </c>
      <c r="I30" s="751">
        <f t="shared" si="27"/>
        <v>7308595.683451389</v>
      </c>
      <c r="J30" s="753">
        <f t="shared" si="28"/>
        <v>66178236.90644446</v>
      </c>
    </row>
    <row r="31" spans="1:53" x14ac:dyDescent="0.25">
      <c r="A31" s="752" t="s">
        <v>839</v>
      </c>
      <c r="B31" s="748">
        <f>F8-RecupProv!G6-AF8</f>
        <v>-355.9865624999934</v>
      </c>
      <c r="C31" s="748">
        <f>G8-RecupProv!G10-AG8-OVA!H6</f>
        <v>3134802.2839375008</v>
      </c>
      <c r="D31" s="748">
        <f>H8-RecupProv!G11-AH8</f>
        <v>1482812.8915416668</v>
      </c>
      <c r="E31" s="748">
        <f>I8-RecupProv!G15-AI8</f>
        <v>574.2506041666685</v>
      </c>
      <c r="F31" s="748">
        <f>J8-RecupProv!G21-AJ8</f>
        <v>-44.304750000002514</v>
      </c>
      <c r="G31" s="749">
        <f t="shared" si="26"/>
        <v>4617789.1347708348</v>
      </c>
      <c r="H31" s="750">
        <f>RecupProv!G27+AK8+OVA!H6</f>
        <v>2690806.5486805551</v>
      </c>
      <c r="I31" s="751">
        <f t="shared" si="27"/>
        <v>7308595.683451389</v>
      </c>
      <c r="J31" s="753">
        <f t="shared" si="28"/>
        <v>70796026.041215301</v>
      </c>
    </row>
    <row r="32" spans="1:53" x14ac:dyDescent="0.25">
      <c r="A32" s="752" t="s">
        <v>840</v>
      </c>
      <c r="B32" s="748">
        <f>F9-RecupProv!H6-AF9</f>
        <v>-455.58885416666135</v>
      </c>
      <c r="C32" s="748">
        <f>G9-RecupProv!H10-AG9-OVA!I6</f>
        <v>3084206.5529791666</v>
      </c>
      <c r="D32" s="748">
        <f>H9-RecupProv!H11-AH9</f>
        <v>1474283.5577361113</v>
      </c>
      <c r="E32" s="748">
        <f>I9-RecupProv!H15-AI9</f>
        <v>493.98409027777996</v>
      </c>
      <c r="F32" s="748">
        <f>J9-RecupProv!H21-AJ9</f>
        <v>89.705083333334414</v>
      </c>
      <c r="G32" s="749">
        <f t="shared" si="26"/>
        <v>4558618.2110347226</v>
      </c>
      <c r="H32" s="750">
        <f>RecupProv!H27+AK9+OVA!I6</f>
        <v>2749977.4724166673</v>
      </c>
      <c r="I32" s="751">
        <f t="shared" si="27"/>
        <v>7308595.683451389</v>
      </c>
      <c r="J32" s="753">
        <f t="shared" si="28"/>
        <v>75354644.252250016</v>
      </c>
      <c r="K32" s="754">
        <f>J32-G21</f>
        <v>28438557.012250014</v>
      </c>
    </row>
    <row r="33" spans="1:11" x14ac:dyDescent="0.25">
      <c r="A33" s="752" t="s">
        <v>841</v>
      </c>
      <c r="B33" s="748">
        <f>F10-RecupProv!I6-AF10</f>
        <v>547.42885416667286</v>
      </c>
      <c r="C33" s="748">
        <f>G10-RecupProv!I10-AG10-OVA!J6</f>
        <v>3013341.6620208342</v>
      </c>
      <c r="D33" s="748">
        <f>H10-RecupProv!I11-AH10</f>
        <v>1451991.8639305558</v>
      </c>
      <c r="E33" s="748">
        <f>I10-RecupProv!I15-AI10</f>
        <v>87.817576388890757</v>
      </c>
      <c r="F33" s="748">
        <f>J10-RecupProv!I21-AJ10</f>
        <v>-389.66508333333354</v>
      </c>
      <c r="G33" s="749">
        <f t="shared" si="26"/>
        <v>4465579.1072986126</v>
      </c>
      <c r="H33" s="750">
        <f>RecupProv!I27+AK10+OVA!J6</f>
        <v>2843016.5761527773</v>
      </c>
      <c r="I33" s="751">
        <f t="shared" si="27"/>
        <v>7308595.683451389</v>
      </c>
      <c r="J33" s="753">
        <f>J32+G33</f>
        <v>79820223.359548628</v>
      </c>
    </row>
    <row r="34" spans="1:11" x14ac:dyDescent="0.25">
      <c r="A34" s="752" t="s">
        <v>842</v>
      </c>
      <c r="B34" s="748">
        <f>F11-RecupProv!J6-AF11</f>
        <v>433.78656250000586</v>
      </c>
      <c r="C34" s="748">
        <f>G11-RecupProv!J10-AG11-OVA!K6</f>
        <v>2941692.1010624999</v>
      </c>
      <c r="D34" s="748">
        <f>H11-RecupProv!J11-AH11</f>
        <v>1432574.9301250002</v>
      </c>
      <c r="E34" s="748">
        <f>I11-RecupProv!J15-AI11</f>
        <v>-2.2989374999990559</v>
      </c>
      <c r="F34" s="748">
        <f>J11-RecupProv!J21-AJ11</f>
        <v>-597.85525000000121</v>
      </c>
      <c r="G34" s="749">
        <f t="shared" si="26"/>
        <v>4374100.6635624999</v>
      </c>
      <c r="H34" s="750">
        <f>RecupProv!J27+AK11+OVA!K6</f>
        <v>2934495.0198888886</v>
      </c>
      <c r="I34" s="751">
        <f t="shared" si="27"/>
        <v>7308595.683451389</v>
      </c>
      <c r="J34" s="753">
        <f>J33+G34</f>
        <v>84194324.023111135</v>
      </c>
      <c r="K34" s="755"/>
    </row>
    <row r="35" spans="1:11" x14ac:dyDescent="0.25">
      <c r="A35" s="752" t="s">
        <v>843</v>
      </c>
      <c r="B35" s="748">
        <f>F12-RecupProv!K6-AF12</f>
        <v>126.93427083333972</v>
      </c>
      <c r="C35" s="748">
        <f>G12-RecupProv!K10-AG12-OVA!L6</f>
        <v>2870791.3401041673</v>
      </c>
      <c r="D35" s="748">
        <f>H12-RecupProv!K11-AH12</f>
        <v>1395797.6563194445</v>
      </c>
      <c r="E35" s="748">
        <f>I12-RecupProv!K15-AI12</f>
        <v>-251.56545138888828</v>
      </c>
      <c r="F35" s="748">
        <f>J12-RecupProv!K21-AJ12</f>
        <v>-662.52541666666457</v>
      </c>
      <c r="G35" s="749">
        <f t="shared" si="26"/>
        <v>4265801.8398263892</v>
      </c>
      <c r="H35" s="750">
        <f>RecupProv!K27+AK12+OVA!L6</f>
        <v>3042793.8436249997</v>
      </c>
      <c r="I35" s="751">
        <f t="shared" si="27"/>
        <v>7308595.683451389</v>
      </c>
      <c r="J35" s="753">
        <f t="shared" si="28"/>
        <v>88460125.862937525</v>
      </c>
      <c r="K35" s="755"/>
    </row>
    <row r="36" spans="1:11" x14ac:dyDescent="0.25">
      <c r="A36" s="752" t="s">
        <v>844</v>
      </c>
      <c r="B36" s="748">
        <f>F13-RecupProv!L6-AF13</f>
        <v>1141.841979166672</v>
      </c>
      <c r="C36" s="748">
        <f>G13-RecupProv!L10-AG13-OVA!M6</f>
        <v>2724515.7091458347</v>
      </c>
      <c r="D36" s="748">
        <f>H13-RecupProv!L11-AH13</f>
        <v>1389394.5025138892</v>
      </c>
      <c r="E36" s="748">
        <f>I13-RecupProv!L15-AI13</f>
        <v>-651.43196527777536</v>
      </c>
      <c r="F36" s="748">
        <f>J13-RecupProv!L21-AJ13</f>
        <v>-1137.0755833333328</v>
      </c>
      <c r="G36" s="749">
        <f t="shared" si="26"/>
        <v>4113263.5460902792</v>
      </c>
      <c r="H36" s="750">
        <f>RecupProv!L27+AK13+OVA!M6</f>
        <v>3195332.1373611107</v>
      </c>
      <c r="I36" s="751">
        <f t="shared" si="27"/>
        <v>7308595.683451389</v>
      </c>
      <c r="J36" s="753">
        <f t="shared" si="28"/>
        <v>92573389.4090278</v>
      </c>
      <c r="K36" s="755"/>
    </row>
    <row r="37" spans="1:11" x14ac:dyDescent="0.25">
      <c r="A37" s="752" t="s">
        <v>845</v>
      </c>
      <c r="B37" s="748">
        <f>F14-RecupProv!M6-AF14</f>
        <v>1506.7196875000045</v>
      </c>
      <c r="C37" s="748">
        <f>G14-RecupProv!M10-AG14-OVA!N6</f>
        <v>2709386.2181875007</v>
      </c>
      <c r="D37" s="748">
        <f>H14-RecupProv!M11-AH14</f>
        <v>1370476.5687083334</v>
      </c>
      <c r="E37" s="748">
        <f>I14-RecupProv!M15-AI14</f>
        <v>-534.76847916666543</v>
      </c>
      <c r="F37" s="748">
        <f>J14-RecupProv!M21-AJ14</f>
        <v>-824.73574999999801</v>
      </c>
      <c r="G37" s="749">
        <f t="shared" si="26"/>
        <v>4080010.0023541674</v>
      </c>
      <c r="H37" s="750">
        <f>RecupProv!M27+AK14+OVA!N6</f>
        <v>3228585.681097222</v>
      </c>
      <c r="I37" s="751">
        <f t="shared" si="27"/>
        <v>7308595.683451389</v>
      </c>
      <c r="J37" s="753">
        <f t="shared" si="28"/>
        <v>96653399.41138196</v>
      </c>
      <c r="K37" s="755"/>
    </row>
    <row r="38" spans="1:11" ht="15.75" customHeight="1" x14ac:dyDescent="0.25">
      <c r="A38" s="756" t="s">
        <v>846</v>
      </c>
      <c r="B38" s="748">
        <f>F15-RecupProv!N6-AF15</f>
        <v>-470.21260416666428</v>
      </c>
      <c r="C38" s="748">
        <f>G15-RecupProv!N10-AG15-OVA!O6</f>
        <v>2650711.8772291676</v>
      </c>
      <c r="D38" s="748">
        <f>H15-RecupProv!N11-AH15</f>
        <v>1348264.794902778</v>
      </c>
      <c r="E38" s="748">
        <f>I15-RecupProv!N15-AI15</f>
        <v>-927.4449930555536</v>
      </c>
      <c r="F38" s="748">
        <f>J15-RecupProv!N21-AJ15</f>
        <v>-1291.1859166666677</v>
      </c>
      <c r="G38" s="757">
        <f t="shared" si="26"/>
        <v>3996287.8286180571</v>
      </c>
      <c r="H38" s="758">
        <f>RecupProv!N27+AK15+OVA!O6</f>
        <v>3312307.8548333324</v>
      </c>
      <c r="I38" s="751">
        <f t="shared" si="27"/>
        <v>7308595.683451389</v>
      </c>
      <c r="J38" s="759">
        <f t="shared" si="28"/>
        <v>100649687.24000001</v>
      </c>
    </row>
    <row r="39" spans="1:11" x14ac:dyDescent="0.25">
      <c r="B39" s="760">
        <f t="shared" ref="B39:H39" si="29">SUM(B27:B38)</f>
        <v>6.4119376474991441E-11</v>
      </c>
      <c r="C39" s="760">
        <f t="shared" si="29"/>
        <v>36237600.000000007</v>
      </c>
      <c r="D39" s="760">
        <f t="shared" si="29"/>
        <v>17496000.000000004</v>
      </c>
      <c r="E39" s="760">
        <f t="shared" si="29"/>
        <v>1.9554136088117957E-11</v>
      </c>
      <c r="F39" s="760">
        <f t="shared" si="29"/>
        <v>1.8189894035458565E-12</v>
      </c>
      <c r="G39" s="760">
        <f t="shared" si="29"/>
        <v>53733600.000000015</v>
      </c>
      <c r="H39" s="760">
        <f t="shared" si="29"/>
        <v>33969548.201416656</v>
      </c>
      <c r="I39" s="760">
        <f>SUM(I27:I38)</f>
        <v>87703148.201416671</v>
      </c>
    </row>
    <row r="40" spans="1:11" x14ac:dyDescent="0.25">
      <c r="H40" s="1" t="s">
        <v>1251</v>
      </c>
      <c r="J40" s="759">
        <f>J38-G21</f>
        <v>53733600.000000007</v>
      </c>
    </row>
    <row r="41" spans="1:11" x14ac:dyDescent="0.25">
      <c r="I41" s="761">
        <f>+I39-H39</f>
        <v>53733600.000000015</v>
      </c>
    </row>
    <row r="42" spans="1:11" x14ac:dyDescent="0.25">
      <c r="I42" s="754">
        <f>+I41-J40</f>
        <v>0</v>
      </c>
    </row>
  </sheetData>
  <printOptions horizontalCentered="1"/>
  <pageMargins left="0.31496062992125984" right="0.31496062992125984" top="0.74803149606299213" bottom="0.74803149606299213" header="0.31496062992125984" footer="0.31496062992125984"/>
  <pageSetup paperSize="9" scale="26" orientation="landscape" useFirstPageNumber="1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  <pageSetUpPr fitToPage="1"/>
  </sheetPr>
  <dimension ref="B1:Q13"/>
  <sheetViews>
    <sheetView showGridLines="0" zoomScaleNormal="100" workbookViewId="0">
      <pane ySplit="1" topLeftCell="A2" activePane="bottomLeft" state="frozen"/>
      <selection pane="bottomLeft" activeCell="I7" sqref="I7"/>
    </sheetView>
  </sheetViews>
  <sheetFormatPr baseColWidth="10" defaultColWidth="11.42578125" defaultRowHeight="15" x14ac:dyDescent="0.25"/>
  <cols>
    <col min="1" max="1" width="3.28515625" style="1" customWidth="1"/>
    <col min="2" max="2" width="24.28515625" style="1" customWidth="1"/>
    <col min="3" max="3" width="13.85546875" style="1" customWidth="1"/>
    <col min="4" max="4" width="10.5703125" style="1" customWidth="1"/>
    <col min="5" max="5" width="13.28515625" style="1" customWidth="1"/>
    <col min="6" max="6" width="13.7109375" style="1" customWidth="1"/>
    <col min="7" max="7" width="14.7109375" style="1" customWidth="1"/>
    <col min="8" max="8" width="15.5703125" style="1" customWidth="1"/>
    <col min="9" max="9" width="13.7109375" style="1" customWidth="1"/>
    <col min="10" max="10" width="16" style="1" customWidth="1"/>
    <col min="11" max="11" width="13.85546875" style="1" customWidth="1"/>
    <col min="12" max="12" width="11.42578125" style="1" customWidth="1"/>
    <col min="13" max="13" width="13.7109375" style="1" customWidth="1"/>
    <col min="14" max="14" width="4.85546875" style="1" customWidth="1"/>
    <col min="15" max="15" width="5.5703125" style="1" customWidth="1"/>
    <col min="16" max="16" width="4.85546875" style="1" customWidth="1"/>
    <col min="17" max="17" width="11.42578125" style="1" customWidth="1"/>
    <col min="18" max="16384" width="11.42578125" style="1"/>
  </cols>
  <sheetData>
    <row r="1" spans="2:17" ht="30" customHeight="1" x14ac:dyDescent="0.25">
      <c r="B1" s="762" t="str">
        <f>Premisas!A1</f>
        <v>BANCO CAPITAL S.A.</v>
      </c>
    </row>
    <row r="3" spans="2:17" ht="26.25" customHeight="1" x14ac:dyDescent="0.25">
      <c r="B3" s="763" t="s">
        <v>682</v>
      </c>
      <c r="C3" s="764" t="str">
        <f>Premisas!D1</f>
        <v>PRESUPUESTO  2026</v>
      </c>
      <c r="D3" s="765"/>
      <c r="E3" s="765"/>
      <c r="F3" s="765"/>
      <c r="G3" s="766"/>
    </row>
    <row r="4" spans="2:17" ht="23.25" customHeight="1" x14ac:dyDescent="0.25">
      <c r="B4" s="767"/>
      <c r="E4" s="767" t="s">
        <v>1252</v>
      </c>
      <c r="N4" s="1004" t="s">
        <v>1253</v>
      </c>
      <c r="O4" s="1005"/>
      <c r="P4" s="1006"/>
    </row>
    <row r="5" spans="2:17" s="768" customFormat="1" ht="66" customHeight="1" x14ac:dyDescent="0.25">
      <c r="B5" s="769" t="s">
        <v>1177</v>
      </c>
      <c r="C5" s="769" t="s">
        <v>1254</v>
      </c>
      <c r="D5" s="769" t="s">
        <v>1255</v>
      </c>
      <c r="E5" s="769" t="s">
        <v>1256</v>
      </c>
      <c r="F5" s="769" t="s">
        <v>1257</v>
      </c>
      <c r="G5" s="769" t="s">
        <v>1258</v>
      </c>
      <c r="H5" s="769" t="s">
        <v>1259</v>
      </c>
      <c r="I5" s="770" t="s">
        <v>1260</v>
      </c>
      <c r="J5" s="769" t="s">
        <v>1261</v>
      </c>
      <c r="K5" s="770" t="s">
        <v>1262</v>
      </c>
      <c r="L5" s="769" t="s">
        <v>1263</v>
      </c>
      <c r="M5" s="770" t="s">
        <v>1264</v>
      </c>
      <c r="N5" s="771" t="s">
        <v>1265</v>
      </c>
      <c r="O5" s="771" t="s">
        <v>1266</v>
      </c>
      <c r="P5" s="771" t="s">
        <v>1267</v>
      </c>
    </row>
    <row r="6" spans="2:17" ht="18" customHeight="1" x14ac:dyDescent="0.25">
      <c r="B6" s="772" t="s">
        <v>6</v>
      </c>
      <c r="C6" s="773">
        <f>EEFFun!AX40</f>
        <v>643955.81999999995</v>
      </c>
      <c r="D6" s="774">
        <f>C6/C11</f>
        <v>1.3725693208511476E-2</v>
      </c>
      <c r="E6" s="773">
        <f>RecupProv!O6</f>
        <v>182676.18000000002</v>
      </c>
      <c r="F6" s="773">
        <f>DesglColoc!BA4</f>
        <v>49474.798750000009</v>
      </c>
      <c r="G6" s="773">
        <f>Premisas!B117*0%</f>
        <v>0</v>
      </c>
      <c r="H6" s="775">
        <f>E6+G6</f>
        <v>182676.18000000002</v>
      </c>
      <c r="I6" s="775">
        <f>E6+F6+G6</f>
        <v>232150.97875000004</v>
      </c>
      <c r="J6" s="776"/>
      <c r="K6" s="777">
        <f>C6+I6-J6-E6-F6</f>
        <v>643955.81999999995</v>
      </c>
      <c r="L6" s="774">
        <f>K6/K11</f>
        <v>6.397991267121198E-3</v>
      </c>
      <c r="M6" s="777">
        <f>K6-C6</f>
        <v>0</v>
      </c>
      <c r="N6" s="725"/>
      <c r="O6" s="725"/>
      <c r="P6" s="725"/>
    </row>
    <row r="7" spans="2:17" ht="18" customHeight="1" x14ac:dyDescent="0.25">
      <c r="B7" s="772" t="s">
        <v>8</v>
      </c>
      <c r="C7" s="773">
        <f>EEFFun!AX41</f>
        <v>29829804.759999998</v>
      </c>
      <c r="D7" s="774">
        <f>C7/C11</f>
        <v>0.63581186144968038</v>
      </c>
      <c r="E7" s="773">
        <f>RecupProv!O10</f>
        <v>6488683.8899999959</v>
      </c>
      <c r="F7" s="773">
        <f>DesglColoc!BA5</f>
        <v>6070335.3747499995</v>
      </c>
      <c r="G7" s="773">
        <f>Premisas!B117*Q7</f>
        <v>54237600</v>
      </c>
      <c r="H7" s="775">
        <f t="shared" ref="H7:H10" si="0">E7+G7</f>
        <v>60726283.889999993</v>
      </c>
      <c r="I7" s="775">
        <f>E7+F7+G7</f>
        <v>66796619.264749996</v>
      </c>
      <c r="J7" s="773">
        <f>OVA!P6</f>
        <v>18000000</v>
      </c>
      <c r="K7" s="777">
        <f>C7+I7-J7-E7-F7</f>
        <v>66067404.75999999</v>
      </c>
      <c r="L7" s="774">
        <f>K7/K11</f>
        <v>0.65640943923115946</v>
      </c>
      <c r="M7" s="777">
        <f>K7-C7</f>
        <v>36237599.999999993</v>
      </c>
      <c r="N7" s="778">
        <f>ROUND(I7/18000/5,0)</f>
        <v>742</v>
      </c>
      <c r="O7" s="778">
        <f>ROUND(J7/18000/5,0)</f>
        <v>200</v>
      </c>
      <c r="P7" s="779">
        <f>ROUND((I7-J7)/18000/5,0)</f>
        <v>542</v>
      </c>
      <c r="Q7" s="780">
        <v>0.62</v>
      </c>
    </row>
    <row r="8" spans="2:17" ht="18" customHeight="1" x14ac:dyDescent="0.25">
      <c r="B8" s="772" t="s">
        <v>1268</v>
      </c>
      <c r="C8" s="773">
        <f>EEFFun!AX42</f>
        <v>15825819.060000001</v>
      </c>
      <c r="D8" s="774">
        <f>C8/C11</f>
        <v>0.33732180134806994</v>
      </c>
      <c r="E8" s="773">
        <f>RecupProv!O11</f>
        <v>1332189.9400000004</v>
      </c>
      <c r="F8" s="773">
        <f>DesglColoc!BA6</f>
        <v>1582100.5468333333</v>
      </c>
      <c r="G8" s="773">
        <f>Premisas!B117*Q8</f>
        <v>17496000</v>
      </c>
      <c r="H8" s="775">
        <f t="shared" si="0"/>
        <v>18828189.940000001</v>
      </c>
      <c r="I8" s="775">
        <f>E8+F8+G8</f>
        <v>20410290.486833334</v>
      </c>
      <c r="J8" s="776"/>
      <c r="K8" s="777">
        <f>C8+I8-J8-E8-F8</f>
        <v>33321819.060000006</v>
      </c>
      <c r="L8" s="774">
        <f>K8/K11</f>
        <v>0.33106728866969903</v>
      </c>
      <c r="M8" s="777">
        <f>K8-C8</f>
        <v>17496000.000000007</v>
      </c>
      <c r="N8" s="778">
        <f>ROUND(I8/18000/5,0)</f>
        <v>227</v>
      </c>
      <c r="O8" s="781"/>
      <c r="P8" s="779">
        <f>ROUND((I8-J8)/18000/5,0)</f>
        <v>227</v>
      </c>
      <c r="Q8" s="780">
        <v>0.2</v>
      </c>
    </row>
    <row r="9" spans="2:17" ht="18" customHeight="1" x14ac:dyDescent="0.25">
      <c r="B9" s="772" t="s">
        <v>10</v>
      </c>
      <c r="C9" s="773">
        <f>EEFFun!AX44+EEFFun!AX45+EEFFun!AX48</f>
        <v>465866.51</v>
      </c>
      <c r="D9" s="774">
        <f>C9/C11</f>
        <v>9.929781816988538E-3</v>
      </c>
      <c r="E9" s="773">
        <f>RecupProv!O15</f>
        <v>99983.89</v>
      </c>
      <c r="F9" s="773">
        <f>DesglColoc!BA7</f>
        <v>10831.588083333334</v>
      </c>
      <c r="G9" s="773">
        <f>Premisas!B117*0%</f>
        <v>0</v>
      </c>
      <c r="H9" s="775">
        <f t="shared" si="0"/>
        <v>99983.89</v>
      </c>
      <c r="I9" s="775">
        <f>E9+F9+G9</f>
        <v>110815.47808333334</v>
      </c>
      <c r="J9" s="776"/>
      <c r="K9" s="777">
        <f t="shared" ref="K9:K10" si="1">C9+I9-J9-E9-F9</f>
        <v>465866.51</v>
      </c>
      <c r="L9" s="774">
        <f>K9/K11</f>
        <v>4.6285937172277298E-3</v>
      </c>
      <c r="M9" s="777">
        <f>K9-C9</f>
        <v>0</v>
      </c>
      <c r="N9" s="725"/>
      <c r="O9" s="725"/>
      <c r="P9" s="725"/>
    </row>
    <row r="10" spans="2:17" ht="18" customHeight="1" x14ac:dyDescent="0.25">
      <c r="B10" s="772" t="s">
        <v>11</v>
      </c>
      <c r="C10" s="773">
        <f>EEFFun!AX46+EEFFun!AX47+EEFFun!AX49</f>
        <v>150641.09</v>
      </c>
      <c r="D10" s="774">
        <f>C10/C11</f>
        <v>3.2108621767495886E-3</v>
      </c>
      <c r="E10" s="773">
        <f>RecupProv!O21</f>
        <v>138290.51999999999</v>
      </c>
      <c r="F10" s="773">
        <f>DesglColoc!BA8</f>
        <v>14981.473000000004</v>
      </c>
      <c r="G10" s="773">
        <f>Premisas!B117*0%</f>
        <v>0</v>
      </c>
      <c r="H10" s="775">
        <f t="shared" si="0"/>
        <v>138290.51999999999</v>
      </c>
      <c r="I10" s="775">
        <f>E10+F10+G10</f>
        <v>153271.99299999999</v>
      </c>
      <c r="J10" s="776"/>
      <c r="K10" s="777">
        <f t="shared" si="1"/>
        <v>150641.09</v>
      </c>
      <c r="L10" s="774">
        <f>K10/K11</f>
        <v>1.496687114792469E-3</v>
      </c>
      <c r="M10" s="777">
        <f>K10-C10</f>
        <v>0</v>
      </c>
      <c r="N10" s="725"/>
      <c r="O10" s="725"/>
      <c r="P10" s="725"/>
    </row>
    <row r="11" spans="2:17" ht="27.75" customHeight="1" x14ac:dyDescent="0.25">
      <c r="B11" s="782" t="s">
        <v>66</v>
      </c>
      <c r="C11" s="775">
        <f t="shared" ref="C11:L11" si="2">SUM(C6:C10)</f>
        <v>46916087.240000002</v>
      </c>
      <c r="D11" s="774">
        <f t="shared" si="2"/>
        <v>0.99999999999999989</v>
      </c>
      <c r="E11" s="775">
        <f t="shared" si="2"/>
        <v>8241824.4199999953</v>
      </c>
      <c r="F11" s="775">
        <f t="shared" si="2"/>
        <v>7727723.7814166667</v>
      </c>
      <c r="G11" s="775">
        <f t="shared" si="2"/>
        <v>71733600</v>
      </c>
      <c r="H11" s="775">
        <f t="shared" si="2"/>
        <v>79975424.419999987</v>
      </c>
      <c r="I11" s="775">
        <f>SUM(I6:I10)</f>
        <v>87703148.201416656</v>
      </c>
      <c r="J11" s="775">
        <f t="shared" ref="J11" si="3">SUM(J6:J10)</f>
        <v>18000000</v>
      </c>
      <c r="K11" s="777">
        <f t="shared" si="2"/>
        <v>100649687.24000001</v>
      </c>
      <c r="L11" s="774">
        <f t="shared" si="2"/>
        <v>0.99999999999999978</v>
      </c>
      <c r="M11" s="777">
        <f t="shared" ref="M11" si="4">SUM(M6:M10)</f>
        <v>53733600</v>
      </c>
      <c r="N11" s="783">
        <f>SUM(N7:N8)</f>
        <v>969</v>
      </c>
      <c r="O11" s="783">
        <f t="shared" ref="O11:P11" si="5">SUM(O7:O8)</f>
        <v>200</v>
      </c>
      <c r="P11" s="783">
        <f t="shared" si="5"/>
        <v>769</v>
      </c>
    </row>
    <row r="12" spans="2:17" x14ac:dyDescent="0.25">
      <c r="K12" s="733"/>
    </row>
    <row r="13" spans="2:17" x14ac:dyDescent="0.25">
      <c r="K13" s="733"/>
    </row>
  </sheetData>
  <mergeCells count="1">
    <mergeCell ref="N4:P4"/>
  </mergeCells>
  <printOptions horizontalCentered="1"/>
  <pageMargins left="0.70866141732283472" right="0.70866141732283472" top="0.74803149606299213" bottom="0.74803149606299213" header="0.31496062992125984" footer="0.31496062992125984"/>
  <pageSetup scale="50" orientation="landscape" useFirstPageNumber="1" horizontalDpi="4294967293" verticalDpi="20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  <pageSetUpPr fitToPage="1"/>
  </sheetPr>
  <dimension ref="A1:AO36"/>
  <sheetViews>
    <sheetView showGridLines="0" zoomScaleNormal="100" workbookViewId="0">
      <pane xSplit="3" ySplit="5" topLeftCell="D20" activePane="bottomRight" state="frozen"/>
      <selection pane="topRight"/>
      <selection pane="bottomLeft"/>
      <selection pane="bottomRight" activeCell="D23" sqref="D23"/>
    </sheetView>
  </sheetViews>
  <sheetFormatPr baseColWidth="10" defaultColWidth="0" defaultRowHeight="15" x14ac:dyDescent="0.25"/>
  <cols>
    <col min="1" max="1" width="3" style="1" customWidth="1"/>
    <col min="2" max="2" width="25.42578125" style="2" customWidth="1"/>
    <col min="3" max="3" width="10.5703125" style="2" customWidth="1"/>
    <col min="4" max="4" width="10.28515625" style="1" customWidth="1"/>
    <col min="5" max="6" width="9.140625" style="1" customWidth="1"/>
    <col min="7" max="7" width="9.5703125" style="1" customWidth="1"/>
    <col min="8" max="8" width="9.140625" style="1" customWidth="1"/>
    <col min="9" max="9" width="9.5703125" style="1" customWidth="1"/>
    <col min="10" max="11" width="9.140625" style="1" customWidth="1"/>
    <col min="12" max="12" width="11.42578125" style="1" customWidth="1"/>
    <col min="13" max="13" width="9.5703125" style="1" customWidth="1"/>
    <col min="14" max="14" width="11" style="1" customWidth="1"/>
    <col min="15" max="15" width="10.140625" style="1" customWidth="1"/>
    <col min="16" max="16" width="9.85546875" style="1" customWidth="1"/>
    <col min="17" max="17" width="6.85546875" style="1" customWidth="1"/>
    <col min="18" max="18" width="7.85546875" style="1" customWidth="1"/>
    <col min="19" max="41" width="0" style="1" hidden="1" customWidth="1"/>
    <col min="42" max="42" width="11.42578125" style="1" hidden="1" customWidth="1"/>
    <col min="43" max="16384" width="11.42578125" style="1" hidden="1"/>
  </cols>
  <sheetData>
    <row r="1" spans="1:17" ht="33" customHeight="1" x14ac:dyDescent="0.25">
      <c r="B1" s="99" t="str">
        <f>DesglColoc!A1</f>
        <v>BANCO CAPITAL S.A.</v>
      </c>
    </row>
    <row r="2" spans="1:17" s="784" customFormat="1" ht="26.25" customHeight="1" x14ac:dyDescent="0.25">
      <c r="B2" s="785"/>
      <c r="C2" s="786"/>
      <c r="J2" s="787" t="s">
        <v>682</v>
      </c>
      <c r="M2" s="788">
        <v>2026</v>
      </c>
    </row>
    <row r="3" spans="1:17" ht="21" customHeight="1" x14ac:dyDescent="0.25">
      <c r="A3" s="515"/>
      <c r="B3" s="789" t="s">
        <v>1269</v>
      </c>
      <c r="C3" s="789"/>
      <c r="D3" s="790"/>
      <c r="E3" s="790"/>
      <c r="F3" s="790"/>
      <c r="G3" s="790"/>
      <c r="H3" s="790"/>
      <c r="I3" s="790"/>
      <c r="J3" s="790"/>
      <c r="K3" s="790"/>
      <c r="L3" s="790"/>
      <c r="M3" s="790"/>
      <c r="N3" s="790"/>
      <c r="O3" s="790"/>
    </row>
    <row r="4" spans="1:17" s="618" customFormat="1" ht="12.75" customHeight="1" x14ac:dyDescent="0.25">
      <c r="A4" s="538"/>
      <c r="B4" s="791" t="s">
        <v>1270</v>
      </c>
      <c r="C4" s="791"/>
      <c r="D4" s="538"/>
      <c r="E4" s="792"/>
      <c r="F4" s="538"/>
      <c r="G4" s="538"/>
      <c r="H4" s="538"/>
      <c r="I4" s="538"/>
      <c r="J4" s="538"/>
      <c r="K4" s="538"/>
      <c r="L4" s="538"/>
      <c r="M4" s="538"/>
      <c r="N4" s="538"/>
      <c r="O4" s="538"/>
      <c r="P4" s="538"/>
    </row>
    <row r="5" spans="1:17" s="618" customFormat="1" ht="12.75" customHeight="1" x14ac:dyDescent="0.25">
      <c r="A5" s="538"/>
      <c r="B5" s="619" t="s">
        <v>1177</v>
      </c>
      <c r="C5" s="619"/>
      <c r="D5" s="621" t="s">
        <v>835</v>
      </c>
      <c r="E5" s="621" t="s">
        <v>836</v>
      </c>
      <c r="F5" s="621" t="s">
        <v>837</v>
      </c>
      <c r="G5" s="621" t="s">
        <v>838</v>
      </c>
      <c r="H5" s="621" t="s">
        <v>839</v>
      </c>
      <c r="I5" s="621" t="s">
        <v>840</v>
      </c>
      <c r="J5" s="621" t="s">
        <v>841</v>
      </c>
      <c r="K5" s="621" t="s">
        <v>842</v>
      </c>
      <c r="L5" s="621" t="s">
        <v>843</v>
      </c>
      <c r="M5" s="621" t="s">
        <v>844</v>
      </c>
      <c r="N5" s="621" t="s">
        <v>845</v>
      </c>
      <c r="O5" s="621" t="s">
        <v>846</v>
      </c>
      <c r="P5" s="621" t="s">
        <v>66</v>
      </c>
    </row>
    <row r="6" spans="1:17" s="618" customFormat="1" ht="12" customHeight="1" x14ac:dyDescent="0.25">
      <c r="A6" s="538"/>
      <c r="B6" s="793" t="str">
        <f>DesglColoc!F3</f>
        <v>PRODUCTIVO</v>
      </c>
      <c r="C6" s="794"/>
      <c r="D6" s="684">
        <f>+DesglColoc!$F$4</f>
        <v>19345.914895833339</v>
      </c>
      <c r="E6" s="684">
        <f>+DesglColoc!$F$5</f>
        <v>19345.914895833339</v>
      </c>
      <c r="F6" s="684">
        <f>+DesglColoc!$F$6</f>
        <v>19345.914895833339</v>
      </c>
      <c r="G6" s="684">
        <f>+DesglColoc!$F$7</f>
        <v>19345.914895833339</v>
      </c>
      <c r="H6" s="684">
        <f>+DesglColoc!$F$8</f>
        <v>19345.914895833339</v>
      </c>
      <c r="I6" s="684">
        <f>+DesglColoc!$F$9</f>
        <v>19345.914895833339</v>
      </c>
      <c r="J6" s="684">
        <f>+DesglColoc!$F$10</f>
        <v>19345.914895833339</v>
      </c>
      <c r="K6" s="684">
        <f>+DesglColoc!$F$11</f>
        <v>19345.914895833339</v>
      </c>
      <c r="L6" s="684">
        <f>+DesglColoc!$F$12</f>
        <v>19345.914895833339</v>
      </c>
      <c r="M6" s="684">
        <f>+DesglColoc!$F$13</f>
        <v>19345.914895833339</v>
      </c>
      <c r="N6" s="684">
        <f>+DesglColoc!$F$14</f>
        <v>19345.914895833339</v>
      </c>
      <c r="O6" s="684">
        <f>+DesglColoc!$F$15</f>
        <v>19345.914895833339</v>
      </c>
      <c r="P6" s="685">
        <f>+SUM(D6:O6)</f>
        <v>232150.97875000013</v>
      </c>
      <c r="Q6" s="795"/>
    </row>
    <row r="7" spans="1:17" s="618" customFormat="1" ht="12" customHeight="1" x14ac:dyDescent="0.25">
      <c r="A7" s="538"/>
      <c r="B7" s="793" t="str">
        <f>DesglColoc!G3</f>
        <v>CONSUMO</v>
      </c>
      <c r="C7" s="794"/>
      <c r="D7" s="684">
        <f>+DesglColoc!$G$4</f>
        <v>5566384.938729167</v>
      </c>
      <c r="E7" s="684">
        <f>+DesglColoc!$G$5</f>
        <v>5566384.938729167</v>
      </c>
      <c r="F7" s="684">
        <f>+DesglColoc!$G$6</f>
        <v>5566384.938729167</v>
      </c>
      <c r="G7" s="684">
        <f>+DesglColoc!$G$7</f>
        <v>5566384.938729167</v>
      </c>
      <c r="H7" s="684">
        <f>+DesglColoc!$G$8</f>
        <v>5566384.938729167</v>
      </c>
      <c r="I7" s="684">
        <f>+DesglColoc!$G$9</f>
        <v>5566384.938729167</v>
      </c>
      <c r="J7" s="684">
        <f>+DesglColoc!$G$10</f>
        <v>5566384.938729167</v>
      </c>
      <c r="K7" s="684">
        <f>+DesglColoc!$G$11</f>
        <v>5566384.938729167</v>
      </c>
      <c r="L7" s="684">
        <f>+DesglColoc!$G$12</f>
        <v>5566384.938729167</v>
      </c>
      <c r="M7" s="684">
        <f>+DesglColoc!$G$13</f>
        <v>5566384.938729167</v>
      </c>
      <c r="N7" s="684">
        <f>+DesglColoc!$G$14</f>
        <v>5566384.938729167</v>
      </c>
      <c r="O7" s="684">
        <f>+DesglColoc!$G$15</f>
        <v>5566384.938729167</v>
      </c>
      <c r="P7" s="685">
        <f>+SUM(D7:O7)</f>
        <v>66796619.264750004</v>
      </c>
      <c r="Q7" s="795"/>
    </row>
    <row r="8" spans="1:17" s="618" customFormat="1" ht="12" customHeight="1" x14ac:dyDescent="0.25">
      <c r="A8" s="538"/>
      <c r="B8" s="793" t="str">
        <f>DesglColoc!H3</f>
        <v>MICROCRÉDITO</v>
      </c>
      <c r="C8" s="794"/>
      <c r="D8" s="684">
        <f>+DesglColoc!$H$4</f>
        <v>1700857.5405694447</v>
      </c>
      <c r="E8" s="684">
        <f>+DesglColoc!$H$5</f>
        <v>1700857.5405694447</v>
      </c>
      <c r="F8" s="684">
        <f>+DesglColoc!$H$6</f>
        <v>1700857.5405694447</v>
      </c>
      <c r="G8" s="684">
        <f>+DesglColoc!$H$7</f>
        <v>1700857.5405694447</v>
      </c>
      <c r="H8" s="684">
        <f>+DesglColoc!$H$8</f>
        <v>1700857.5405694447</v>
      </c>
      <c r="I8" s="684">
        <f>+DesglColoc!$H$9</f>
        <v>1700857.5405694447</v>
      </c>
      <c r="J8" s="684">
        <f>+DesglColoc!$H$10</f>
        <v>1700857.5405694447</v>
      </c>
      <c r="K8" s="684">
        <f>+DesglColoc!$H$11</f>
        <v>1700857.5405694447</v>
      </c>
      <c r="L8" s="684">
        <f>+DesglColoc!$H$12</f>
        <v>1700857.5405694447</v>
      </c>
      <c r="M8" s="684">
        <f>+DesglColoc!$H$13</f>
        <v>1700857.5405694447</v>
      </c>
      <c r="N8" s="684">
        <f>+DesglColoc!$H$14</f>
        <v>1700857.5405694447</v>
      </c>
      <c r="O8" s="684">
        <f>+DesglColoc!$H$15</f>
        <v>1700857.5405694447</v>
      </c>
      <c r="P8" s="685">
        <f>+SUM(D8:O8)</f>
        <v>20410290.486833334</v>
      </c>
      <c r="Q8" s="795"/>
    </row>
    <row r="9" spans="1:17" s="618" customFormat="1" ht="12" customHeight="1" x14ac:dyDescent="0.25">
      <c r="A9" s="538"/>
      <c r="B9" s="793" t="str">
        <f>DesglColoc!I3</f>
        <v>REFINANCIADA</v>
      </c>
      <c r="C9" s="794"/>
      <c r="D9" s="684">
        <f>+DesglColoc!$I$4</f>
        <v>9234.6231736111131</v>
      </c>
      <c r="E9" s="684">
        <f>+DesglColoc!$I$5</f>
        <v>9234.6231736111131</v>
      </c>
      <c r="F9" s="684">
        <f>+DesglColoc!$I$6</f>
        <v>9234.6231736111131</v>
      </c>
      <c r="G9" s="684">
        <f>+DesglColoc!$I$7</f>
        <v>9234.6231736111131</v>
      </c>
      <c r="H9" s="684">
        <f>+DesglColoc!$I$8</f>
        <v>9234.6231736111131</v>
      </c>
      <c r="I9" s="684">
        <f>+DesglColoc!$I$9</f>
        <v>9234.6231736111131</v>
      </c>
      <c r="J9" s="684">
        <f>+DesglColoc!$I$10</f>
        <v>9234.6231736111131</v>
      </c>
      <c r="K9" s="684">
        <f>+DesglColoc!$I$11</f>
        <v>9234.6231736111131</v>
      </c>
      <c r="L9" s="684">
        <f>+DesglColoc!$I$12</f>
        <v>9234.6231736111131</v>
      </c>
      <c r="M9" s="684">
        <f>+DesglColoc!$I$13</f>
        <v>9234.6231736111131</v>
      </c>
      <c r="N9" s="684">
        <f>+DesglColoc!$I$14</f>
        <v>9234.6231736111131</v>
      </c>
      <c r="O9" s="684">
        <f>+DesglColoc!$I$15</f>
        <v>9234.6231736111131</v>
      </c>
      <c r="P9" s="685">
        <f>+SUM(D9:O9)</f>
        <v>110815.47808333334</v>
      </c>
      <c r="Q9" s="795"/>
    </row>
    <row r="10" spans="1:17" s="618" customFormat="1" ht="12.75" customHeight="1" x14ac:dyDescent="0.25">
      <c r="A10" s="538"/>
      <c r="B10" s="793" t="str">
        <f>DesglColoc!J3</f>
        <v>REESTRUCTUR</v>
      </c>
      <c r="C10" s="794"/>
      <c r="D10" s="684">
        <f>+DesglColoc!$J$4</f>
        <v>12772.666083333334</v>
      </c>
      <c r="E10" s="684">
        <f>+DesglColoc!$J$5</f>
        <v>12772.666083333334</v>
      </c>
      <c r="F10" s="684">
        <f>+DesglColoc!$J$6</f>
        <v>12772.666083333334</v>
      </c>
      <c r="G10" s="684">
        <f>+DesglColoc!$J$7</f>
        <v>12772.666083333334</v>
      </c>
      <c r="H10" s="684">
        <f>+DesglColoc!$J$8</f>
        <v>12772.666083333334</v>
      </c>
      <c r="I10" s="684">
        <f>+DesglColoc!$J$9</f>
        <v>12772.666083333334</v>
      </c>
      <c r="J10" s="684">
        <f>+DesglColoc!$J$10</f>
        <v>12772.666083333334</v>
      </c>
      <c r="K10" s="684">
        <f>+DesglColoc!$J$11</f>
        <v>12772.666083333334</v>
      </c>
      <c r="L10" s="684">
        <f>+DesglColoc!$J$12</f>
        <v>12772.666083333334</v>
      </c>
      <c r="M10" s="684">
        <f>+DesglColoc!$J$13</f>
        <v>12772.666083333334</v>
      </c>
      <c r="N10" s="684">
        <f>+DesglColoc!$J$14</f>
        <v>12772.666083333334</v>
      </c>
      <c r="O10" s="684">
        <f>+DesglColoc!$J$15</f>
        <v>12772.666083333334</v>
      </c>
      <c r="P10" s="685">
        <f>+SUM(D10:O10)</f>
        <v>153271.99299999999</v>
      </c>
      <c r="Q10" s="795"/>
    </row>
    <row r="11" spans="1:17" s="618" customFormat="1" ht="12.75" customHeight="1" x14ac:dyDescent="0.25">
      <c r="A11" s="538"/>
      <c r="B11" s="680" t="s">
        <v>1271</v>
      </c>
      <c r="C11" s="796"/>
      <c r="D11" s="686">
        <f>+SUM(D6:D10)</f>
        <v>7308595.683451389</v>
      </c>
      <c r="E11" s="686">
        <f t="shared" ref="E11:P11" si="0">+SUM(E6:E10)</f>
        <v>7308595.683451389</v>
      </c>
      <c r="F11" s="686">
        <f t="shared" si="0"/>
        <v>7308595.683451389</v>
      </c>
      <c r="G11" s="686">
        <f t="shared" si="0"/>
        <v>7308595.683451389</v>
      </c>
      <c r="H11" s="686">
        <f t="shared" si="0"/>
        <v>7308595.683451389</v>
      </c>
      <c r="I11" s="686">
        <f>+SUM(I6:I10)</f>
        <v>7308595.683451389</v>
      </c>
      <c r="J11" s="686">
        <f t="shared" si="0"/>
        <v>7308595.683451389</v>
      </c>
      <c r="K11" s="686">
        <f t="shared" si="0"/>
        <v>7308595.683451389</v>
      </c>
      <c r="L11" s="686">
        <f t="shared" si="0"/>
        <v>7308595.683451389</v>
      </c>
      <c r="M11" s="686">
        <f t="shared" si="0"/>
        <v>7308595.683451389</v>
      </c>
      <c r="N11" s="686">
        <f t="shared" si="0"/>
        <v>7308595.683451389</v>
      </c>
      <c r="O11" s="686">
        <f t="shared" si="0"/>
        <v>7308595.683451389</v>
      </c>
      <c r="P11" s="686">
        <f t="shared" si="0"/>
        <v>87703148.201416656</v>
      </c>
    </row>
    <row r="12" spans="1:17" s="618" customFormat="1" ht="12.75" customHeight="1" x14ac:dyDescent="0.25">
      <c r="A12" s="538"/>
      <c r="B12" s="797" t="s">
        <v>1272</v>
      </c>
      <c r="C12" s="798"/>
      <c r="D12" s="799"/>
      <c r="E12" s="799"/>
      <c r="F12" s="799"/>
      <c r="G12" s="799"/>
      <c r="H12" s="799"/>
      <c r="I12" s="799"/>
      <c r="J12" s="799"/>
      <c r="K12" s="799"/>
      <c r="L12" s="799"/>
      <c r="M12" s="799"/>
      <c r="N12" s="799"/>
      <c r="O12" s="799"/>
      <c r="P12" s="799"/>
    </row>
    <row r="13" spans="1:17" s="618" customFormat="1" ht="12.75" customHeight="1" x14ac:dyDescent="0.25">
      <c r="A13" s="538"/>
      <c r="B13" s="619" t="s">
        <v>1177</v>
      </c>
      <c r="C13" s="619"/>
      <c r="D13" s="635" t="str">
        <f t="shared" ref="D13:O13" si="1">+D5</f>
        <v>Enero</v>
      </c>
      <c r="E13" s="635" t="str">
        <f t="shared" si="1"/>
        <v>Febrero</v>
      </c>
      <c r="F13" s="635" t="str">
        <f t="shared" si="1"/>
        <v>Marzo</v>
      </c>
      <c r="G13" s="635" t="str">
        <f t="shared" si="1"/>
        <v>Abril</v>
      </c>
      <c r="H13" s="635" t="str">
        <f t="shared" si="1"/>
        <v>Mayo</v>
      </c>
      <c r="I13" s="635" t="str">
        <f>+I5</f>
        <v>Junio</v>
      </c>
      <c r="J13" s="635" t="str">
        <f t="shared" si="1"/>
        <v>Julio</v>
      </c>
      <c r="K13" s="635" t="str">
        <f t="shared" si="1"/>
        <v>Agosto</v>
      </c>
      <c r="L13" s="635" t="str">
        <f t="shared" si="1"/>
        <v>Septiembre</v>
      </c>
      <c r="M13" s="635" t="str">
        <f t="shared" si="1"/>
        <v>Octubre</v>
      </c>
      <c r="N13" s="635" t="str">
        <f t="shared" si="1"/>
        <v>Noviembre</v>
      </c>
      <c r="O13" s="635" t="str">
        <f t="shared" si="1"/>
        <v>Diciembre</v>
      </c>
      <c r="P13" s="621" t="s">
        <v>66</v>
      </c>
    </row>
    <row r="14" spans="1:17" s="618" customFormat="1" ht="12" customHeight="1" x14ac:dyDescent="0.25">
      <c r="B14" s="793" t="str">
        <f>DesglColoc!F3</f>
        <v>PRODUCTIVO</v>
      </c>
      <c r="C14" s="794"/>
      <c r="D14" s="684">
        <f>+DesglColoc!$B$27</f>
        <v>-761.73739583332838</v>
      </c>
      <c r="E14" s="684">
        <f>+DesglColoc!$B$28</f>
        <v>-39.659687499996153</v>
      </c>
      <c r="F14" s="684">
        <f>+DesglColoc!$B$29</f>
        <v>-822.28197916666136</v>
      </c>
      <c r="G14" s="684">
        <f>+DesglColoc!$B$30</f>
        <v>-851.24427083332603</v>
      </c>
      <c r="H14" s="684">
        <f>+DesglColoc!$B$31</f>
        <v>-355.9865624999934</v>
      </c>
      <c r="I14" s="684">
        <f>+DesglColoc!$B$32</f>
        <v>-455.58885416666135</v>
      </c>
      <c r="J14" s="684">
        <f>+DesglColoc!$B$33</f>
        <v>547.42885416667286</v>
      </c>
      <c r="K14" s="684">
        <f>+DesglColoc!$B$34</f>
        <v>433.78656250000586</v>
      </c>
      <c r="L14" s="684">
        <f>+DesglColoc!$B$35</f>
        <v>126.93427083333972</v>
      </c>
      <c r="M14" s="684">
        <f>+DesglColoc!$B$36</f>
        <v>1141.841979166672</v>
      </c>
      <c r="N14" s="684">
        <f>+DesglColoc!$B$37</f>
        <v>1506.7196875000045</v>
      </c>
      <c r="O14" s="684">
        <f>+DesglColoc!$B$38</f>
        <v>-470.21260416666428</v>
      </c>
      <c r="P14" s="685">
        <f>+SUM(D14:O14)</f>
        <v>6.4119376474991441E-11</v>
      </c>
    </row>
    <row r="15" spans="1:17" s="618" customFormat="1" ht="12" customHeight="1" x14ac:dyDescent="0.25">
      <c r="B15" s="793" t="str">
        <f>DesglColoc!G3</f>
        <v>CONSUMO</v>
      </c>
      <c r="C15" s="794"/>
      <c r="D15" s="684">
        <f>+DesglColoc!$C$27</f>
        <v>3485055.3777708337</v>
      </c>
      <c r="E15" s="684">
        <f>+DesglColoc!$C$28</f>
        <v>3407723.1368125016</v>
      </c>
      <c r="F15" s="684">
        <f>+DesglColoc!$C$29</f>
        <v>3280776.505854168</v>
      </c>
      <c r="G15" s="684">
        <f>+DesglColoc!$C$30</f>
        <v>2934597.2348958338</v>
      </c>
      <c r="H15" s="684">
        <f>+DesglColoc!$C$31</f>
        <v>3134802.2839375008</v>
      </c>
      <c r="I15" s="684">
        <f>+DesglColoc!$C$32</f>
        <v>3084206.5529791666</v>
      </c>
      <c r="J15" s="684">
        <f>+DesglColoc!$C$33</f>
        <v>3013341.6620208342</v>
      </c>
      <c r="K15" s="684">
        <f>+DesglColoc!$C$34</f>
        <v>2941692.1010624999</v>
      </c>
      <c r="L15" s="684">
        <f>+DesglColoc!$C$35</f>
        <v>2870791.3401041673</v>
      </c>
      <c r="M15" s="684">
        <f>+DesglColoc!$C$36</f>
        <v>2724515.7091458347</v>
      </c>
      <c r="N15" s="684">
        <f>+DesglColoc!$C$37</f>
        <v>2709386.2181875007</v>
      </c>
      <c r="O15" s="684">
        <f>+DesglColoc!$C$38</f>
        <v>2650711.8772291676</v>
      </c>
      <c r="P15" s="685">
        <f>+SUM(D15:O15)</f>
        <v>36237600.000000007</v>
      </c>
    </row>
    <row r="16" spans="1:17" s="618" customFormat="1" ht="12" customHeight="1" x14ac:dyDescent="0.25">
      <c r="B16" s="793" t="str">
        <f>DesglColoc!H3</f>
        <v>MICROCRÉDITO</v>
      </c>
      <c r="C16" s="794"/>
      <c r="D16" s="684">
        <f>+DesglColoc!$D$27</f>
        <v>1573480.8467638891</v>
      </c>
      <c r="E16" s="684">
        <f>+DesglColoc!$D$28</f>
        <v>1549394.3029583336</v>
      </c>
      <c r="F16" s="684">
        <f>+DesglColoc!$D$29</f>
        <v>1522965.8591527781</v>
      </c>
      <c r="G16" s="684">
        <f>+DesglColoc!$D$30</f>
        <v>1504562.2253472223</v>
      </c>
      <c r="H16" s="684">
        <f>+DesglColoc!$D$31</f>
        <v>1482812.8915416668</v>
      </c>
      <c r="I16" s="684">
        <f>+DesglColoc!$D$32</f>
        <v>1474283.5577361113</v>
      </c>
      <c r="J16" s="684">
        <f>+DesglColoc!$D$33</f>
        <v>1451991.8639305558</v>
      </c>
      <c r="K16" s="684">
        <f>+DesglColoc!$D$34</f>
        <v>1432574.9301250002</v>
      </c>
      <c r="L16" s="684">
        <f>+DesglColoc!$D$35</f>
        <v>1395797.6563194445</v>
      </c>
      <c r="M16" s="684">
        <f>+DesglColoc!$D$36</f>
        <v>1389394.5025138892</v>
      </c>
      <c r="N16" s="684">
        <f>+DesglColoc!$D$37</f>
        <v>1370476.5687083334</v>
      </c>
      <c r="O16" s="684">
        <f>+DesglColoc!$D$38</f>
        <v>1348264.794902778</v>
      </c>
      <c r="P16" s="685">
        <f>+SUM(D16:O16)</f>
        <v>17496000.000000004</v>
      </c>
    </row>
    <row r="17" spans="2:16" s="618" customFormat="1" ht="12" customHeight="1" x14ac:dyDescent="0.25">
      <c r="B17" s="793" t="str">
        <f>DesglColoc!I3</f>
        <v>REFINANCIADA</v>
      </c>
      <c r="C17" s="794"/>
      <c r="D17" s="684">
        <f>+DesglColoc!$E$27</f>
        <v>-1795.0733402777757</v>
      </c>
      <c r="E17" s="684">
        <f>+DesglColoc!$E$28</f>
        <v>1683.5301458333365</v>
      </c>
      <c r="F17" s="684">
        <f>+DesglColoc!$E$29</f>
        <v>338.55363194444521</v>
      </c>
      <c r="G17" s="684">
        <f>+DesglColoc!$E$30</f>
        <v>984.44711805555642</v>
      </c>
      <c r="H17" s="684">
        <f>+DesglColoc!$E$31</f>
        <v>574.2506041666685</v>
      </c>
      <c r="I17" s="684">
        <f>+DesglColoc!$E$32</f>
        <v>493.98409027777996</v>
      </c>
      <c r="J17" s="684">
        <f>+DesglColoc!$E$33</f>
        <v>87.817576388890757</v>
      </c>
      <c r="K17" s="684">
        <f>+DesglColoc!$E$34</f>
        <v>-2.2989374999990559</v>
      </c>
      <c r="L17" s="684">
        <f>+DesglColoc!$E$35</f>
        <v>-251.56545138888828</v>
      </c>
      <c r="M17" s="684">
        <f>+DesglColoc!$E$36</f>
        <v>-651.43196527777536</v>
      </c>
      <c r="N17" s="684">
        <f>+DesglColoc!$E$37</f>
        <v>-534.76847916666543</v>
      </c>
      <c r="O17" s="684">
        <f>+DesglColoc!$E$38</f>
        <v>-927.4449930555536</v>
      </c>
      <c r="P17" s="685">
        <f>+SUM(D17:O17)</f>
        <v>1.9554136088117957E-11</v>
      </c>
    </row>
    <row r="18" spans="2:16" s="618" customFormat="1" ht="12.75" customHeight="1" x14ac:dyDescent="0.25">
      <c r="B18" s="793" t="str">
        <f>DesglColoc!J3</f>
        <v>REESTRUCTUR</v>
      </c>
      <c r="C18" s="794"/>
      <c r="D18" s="684">
        <f>+DesglColoc!$F$27</f>
        <v>2444.065916666666</v>
      </c>
      <c r="E18" s="684">
        <f>+DesglColoc!$F$28</f>
        <v>1579.7457499999978</v>
      </c>
      <c r="F18" s="684">
        <f>+DesglColoc!$F$29</f>
        <v>393.95558333333349</v>
      </c>
      <c r="G18" s="684">
        <f>+DesglColoc!$F$30</f>
        <v>439.87541666667016</v>
      </c>
      <c r="H18" s="684">
        <f>+DesglColoc!$F$31</f>
        <v>-44.304750000002514</v>
      </c>
      <c r="I18" s="684">
        <f>+DesglColoc!$F$32</f>
        <v>89.705083333334414</v>
      </c>
      <c r="J18" s="684">
        <f>+DesglColoc!$F$33</f>
        <v>-389.66508333333354</v>
      </c>
      <c r="K18" s="684">
        <f>+DesglColoc!$F$34</f>
        <v>-597.85525000000121</v>
      </c>
      <c r="L18" s="684">
        <f>+DesglColoc!$F$35</f>
        <v>-662.52541666666457</v>
      </c>
      <c r="M18" s="684">
        <f>+DesglColoc!$F$36</f>
        <v>-1137.0755833333328</v>
      </c>
      <c r="N18" s="684">
        <f>+DesglColoc!$F$37</f>
        <v>-824.73574999999801</v>
      </c>
      <c r="O18" s="684">
        <f>+DesglColoc!$F$38</f>
        <v>-1291.1859166666677</v>
      </c>
      <c r="P18" s="685">
        <f>+SUM(D18:O18)</f>
        <v>1.8189894035458565E-12</v>
      </c>
    </row>
    <row r="19" spans="2:16" s="618" customFormat="1" ht="12.75" customHeight="1" x14ac:dyDescent="0.25">
      <c r="B19" s="680" t="s">
        <v>1273</v>
      </c>
      <c r="C19" s="800"/>
      <c r="D19" s="801">
        <f>SUM(D14:D18)</f>
        <v>5058423.4797152784</v>
      </c>
      <c r="E19" s="801">
        <f t="shared" ref="E19:P19" si="2">SUM(E14:E18)</f>
        <v>4960341.055979168</v>
      </c>
      <c r="F19" s="801">
        <f t="shared" si="2"/>
        <v>4803652.5922430577</v>
      </c>
      <c r="G19" s="801">
        <f t="shared" si="2"/>
        <v>4439732.5385069447</v>
      </c>
      <c r="H19" s="801">
        <f t="shared" si="2"/>
        <v>4617789.1347708348</v>
      </c>
      <c r="I19" s="801">
        <f t="shared" si="2"/>
        <v>4558618.2110347226</v>
      </c>
      <c r="J19" s="801">
        <f t="shared" si="2"/>
        <v>4465579.1072986126</v>
      </c>
      <c r="K19" s="801">
        <f t="shared" si="2"/>
        <v>4374100.6635624999</v>
      </c>
      <c r="L19" s="801">
        <f t="shared" si="2"/>
        <v>4265801.8398263892</v>
      </c>
      <c r="M19" s="801">
        <f t="shared" si="2"/>
        <v>4113263.5460902792</v>
      </c>
      <c r="N19" s="801">
        <f t="shared" si="2"/>
        <v>4080010.0023541674</v>
      </c>
      <c r="O19" s="801">
        <f t="shared" si="2"/>
        <v>3996287.8286180571</v>
      </c>
      <c r="P19" s="801">
        <f t="shared" si="2"/>
        <v>53733600.000000015</v>
      </c>
    </row>
    <row r="20" spans="2:16" s="618" customFormat="1" ht="12.75" customHeight="1" x14ac:dyDescent="0.25">
      <c r="B20" s="680" t="s">
        <v>1274</v>
      </c>
      <c r="C20" s="802">
        <f>ProyCartCre!C11</f>
        <v>46916087.240000002</v>
      </c>
      <c r="D20" s="686">
        <f>C20+D19</f>
        <v>51974510.719715282</v>
      </c>
      <c r="E20" s="686">
        <f>D20+E19</f>
        <v>56934851.775694452</v>
      </c>
      <c r="F20" s="686">
        <f t="shared" ref="F20:O20" si="3">E20+F19</f>
        <v>61738504.367937513</v>
      </c>
      <c r="G20" s="686">
        <f t="shared" si="3"/>
        <v>66178236.90644446</v>
      </c>
      <c r="H20" s="686">
        <f t="shared" si="3"/>
        <v>70796026.041215301</v>
      </c>
      <c r="I20" s="686">
        <f t="shared" si="3"/>
        <v>75354644.252250016</v>
      </c>
      <c r="J20" s="686">
        <f t="shared" si="3"/>
        <v>79820223.359548628</v>
      </c>
      <c r="K20" s="686">
        <f t="shared" si="3"/>
        <v>84194324.023111135</v>
      </c>
      <c r="L20" s="686">
        <f t="shared" si="3"/>
        <v>88460125.862937525</v>
      </c>
      <c r="M20" s="686">
        <f t="shared" si="3"/>
        <v>92573389.4090278</v>
      </c>
      <c r="N20" s="686">
        <f t="shared" si="3"/>
        <v>96653399.41138196</v>
      </c>
      <c r="O20" s="686">
        <f t="shared" si="3"/>
        <v>100649687.24000001</v>
      </c>
      <c r="P20" s="803"/>
    </row>
    <row r="21" spans="2:16" s="618" customFormat="1" ht="12.75" customHeight="1" x14ac:dyDescent="0.25">
      <c r="B21" s="687"/>
      <c r="C21" s="687"/>
    </row>
    <row r="22" spans="2:16" s="618" customFormat="1" ht="12.75" customHeight="1" x14ac:dyDescent="0.25">
      <c r="B22" s="619" t="s">
        <v>1177</v>
      </c>
      <c r="C22" s="619">
        <v>45961</v>
      </c>
      <c r="D22" s="635" t="str">
        <f t="shared" ref="D22:O22" si="4">+D13</f>
        <v>Enero</v>
      </c>
      <c r="E22" s="635" t="str">
        <f t="shared" si="4"/>
        <v>Febrero</v>
      </c>
      <c r="F22" s="635" t="str">
        <f t="shared" si="4"/>
        <v>Marzo</v>
      </c>
      <c r="G22" s="635" t="str">
        <f t="shared" si="4"/>
        <v>Abril</v>
      </c>
      <c r="H22" s="635" t="str">
        <f t="shared" si="4"/>
        <v>Mayo</v>
      </c>
      <c r="I22" s="635" t="str">
        <f t="shared" si="4"/>
        <v>Junio</v>
      </c>
      <c r="J22" s="635" t="str">
        <f t="shared" si="4"/>
        <v>Julio</v>
      </c>
      <c r="K22" s="635" t="str">
        <f t="shared" si="4"/>
        <v>Agosto</v>
      </c>
      <c r="L22" s="635" t="str">
        <f t="shared" si="4"/>
        <v>Septiembre</v>
      </c>
      <c r="M22" s="635" t="str">
        <f t="shared" si="4"/>
        <v>Octubre</v>
      </c>
      <c r="N22" s="635" t="str">
        <f t="shared" si="4"/>
        <v>Noviembre</v>
      </c>
      <c r="O22" s="635" t="str">
        <f t="shared" si="4"/>
        <v>Diciembre</v>
      </c>
      <c r="P22" s="538"/>
    </row>
    <row r="23" spans="2:16" s="618" customFormat="1" ht="12" customHeight="1" x14ac:dyDescent="0.25">
      <c r="B23" s="793" t="str">
        <f>DesglColoc!F3</f>
        <v>PRODUCTIVO</v>
      </c>
      <c r="C23" s="684">
        <f>ProyCartCre!C6</f>
        <v>643955.81999999995</v>
      </c>
      <c r="D23" s="685">
        <f>IF(D14=0,0,C23+D14)</f>
        <v>643194.08260416659</v>
      </c>
      <c r="E23" s="685">
        <f t="shared" ref="E23:E27" si="5">D23+E14</f>
        <v>643154.4229166666</v>
      </c>
      <c r="F23" s="685">
        <f t="shared" ref="F23:F27" si="6">E23+F14</f>
        <v>642332.14093749993</v>
      </c>
      <c r="G23" s="685">
        <f t="shared" ref="G23:G27" si="7">F23+G14</f>
        <v>641480.89666666661</v>
      </c>
      <c r="H23" s="685">
        <f t="shared" ref="H23:H27" si="8">G23+H14</f>
        <v>641124.9101041666</v>
      </c>
      <c r="I23" s="685">
        <f t="shared" ref="I23:J26" si="9">H23+I14</f>
        <v>640669.32124999992</v>
      </c>
      <c r="J23" s="685">
        <f t="shared" si="9"/>
        <v>641216.75010416657</v>
      </c>
      <c r="K23" s="685">
        <f t="shared" ref="K23:K24" si="10">J23+K14</f>
        <v>641650.53666666662</v>
      </c>
      <c r="L23" s="685">
        <f t="shared" ref="L23:L24" si="11">K23+L14</f>
        <v>641777.47093750001</v>
      </c>
      <c r="M23" s="685">
        <f t="shared" ref="M23:M24" si="12">L23+M14</f>
        <v>642919.31291666673</v>
      </c>
      <c r="N23" s="685">
        <f t="shared" ref="N23:N24" si="13">M23+N14</f>
        <v>644426.03260416677</v>
      </c>
      <c r="O23" s="685">
        <f t="shared" ref="O23:O24" si="14">N23+O14</f>
        <v>643955.82000000007</v>
      </c>
      <c r="P23" s="804"/>
    </row>
    <row r="24" spans="2:16" s="618" customFormat="1" ht="12" customHeight="1" x14ac:dyDescent="0.25">
      <c r="B24" s="793" t="str">
        <f>DesglColoc!G3</f>
        <v>CONSUMO</v>
      </c>
      <c r="C24" s="684">
        <f>ProyCartCre!C7</f>
        <v>29829804.759999998</v>
      </c>
      <c r="D24" s="685">
        <f>IF(D15=0,0,C24+D15)</f>
        <v>33314860.137770832</v>
      </c>
      <c r="E24" s="685">
        <f>D24+E15</f>
        <v>36722583.274583332</v>
      </c>
      <c r="F24" s="685">
        <f>E24+F15</f>
        <v>40003359.780437499</v>
      </c>
      <c r="G24" s="685">
        <f>F24+G15</f>
        <v>42937957.015333332</v>
      </c>
      <c r="H24" s="685">
        <f t="shared" si="8"/>
        <v>46072759.299270831</v>
      </c>
      <c r="I24" s="685">
        <f t="shared" si="9"/>
        <v>49156965.852249995</v>
      </c>
      <c r="J24" s="685">
        <f t="shared" si="9"/>
        <v>52170307.514270827</v>
      </c>
      <c r="K24" s="685">
        <f t="shared" si="10"/>
        <v>55111999.615333326</v>
      </c>
      <c r="L24" s="685">
        <f t="shared" si="11"/>
        <v>57982790.955437496</v>
      </c>
      <c r="M24" s="685">
        <f t="shared" si="12"/>
        <v>60707306.664583333</v>
      </c>
      <c r="N24" s="685">
        <f t="shared" si="13"/>
        <v>63416692.882770836</v>
      </c>
      <c r="O24" s="685">
        <f t="shared" si="14"/>
        <v>66067404.760000005</v>
      </c>
      <c r="P24" s="804"/>
    </row>
    <row r="25" spans="2:16" s="618" customFormat="1" ht="12" customHeight="1" x14ac:dyDescent="0.25">
      <c r="B25" s="793" t="str">
        <f>DesglColoc!H3</f>
        <v>MICROCRÉDITO</v>
      </c>
      <c r="C25" s="684">
        <f>ProyCartCre!C8</f>
        <v>15825819.060000001</v>
      </c>
      <c r="D25" s="685">
        <f t="shared" ref="D25:D27" si="15">IF(D16=0,0,C25+D16)</f>
        <v>17399299.906763889</v>
      </c>
      <c r="E25" s="685">
        <f t="shared" si="5"/>
        <v>18948694.209722221</v>
      </c>
      <c r="F25" s="685">
        <f t="shared" si="6"/>
        <v>20471660.068875</v>
      </c>
      <c r="G25" s="685">
        <f t="shared" si="7"/>
        <v>21976222.294222221</v>
      </c>
      <c r="H25" s="685">
        <f t="shared" si="8"/>
        <v>23459035.185763888</v>
      </c>
      <c r="I25" s="685">
        <f t="shared" si="9"/>
        <v>24933318.743499998</v>
      </c>
      <c r="J25" s="685">
        <f t="shared" si="9"/>
        <v>26385310.607430555</v>
      </c>
      <c r="K25" s="685">
        <f t="shared" ref="K25:K27" si="16">J25+K16</f>
        <v>27817885.537555557</v>
      </c>
      <c r="L25" s="685">
        <f t="shared" ref="L25:L27" si="17">K25+L16</f>
        <v>29213683.193875</v>
      </c>
      <c r="M25" s="685">
        <f t="shared" ref="M25:M27" si="18">L25+M16</f>
        <v>30603077.696388889</v>
      </c>
      <c r="N25" s="685">
        <f t="shared" ref="N25:N27" si="19">M25+N16</f>
        <v>31973554.265097223</v>
      </c>
      <c r="O25" s="685">
        <f>N25+O16</f>
        <v>33321819.060000002</v>
      </c>
      <c r="P25" s="804"/>
    </row>
    <row r="26" spans="2:16" s="618" customFormat="1" ht="12" customHeight="1" x14ac:dyDescent="0.25">
      <c r="B26" s="793" t="str">
        <f>DesglColoc!I3</f>
        <v>REFINANCIADA</v>
      </c>
      <c r="C26" s="684">
        <f>ProyCartCre!C9</f>
        <v>465866.51</v>
      </c>
      <c r="D26" s="685">
        <f t="shared" si="15"/>
        <v>464071.43665972224</v>
      </c>
      <c r="E26" s="685">
        <f t="shared" si="5"/>
        <v>465754.96680555557</v>
      </c>
      <c r="F26" s="685">
        <f t="shared" si="6"/>
        <v>466093.52043750003</v>
      </c>
      <c r="G26" s="685">
        <f t="shared" si="7"/>
        <v>467077.96755555557</v>
      </c>
      <c r="H26" s="685">
        <f t="shared" si="8"/>
        <v>467652.21815972222</v>
      </c>
      <c r="I26" s="685">
        <f t="shared" si="9"/>
        <v>468146.20225000003</v>
      </c>
      <c r="J26" s="685">
        <f t="shared" si="9"/>
        <v>468234.01982638892</v>
      </c>
      <c r="K26" s="685">
        <f t="shared" si="16"/>
        <v>468231.72088888893</v>
      </c>
      <c r="L26" s="685">
        <f t="shared" si="17"/>
        <v>467980.15543750004</v>
      </c>
      <c r="M26" s="685">
        <f t="shared" si="18"/>
        <v>467328.72347222228</v>
      </c>
      <c r="N26" s="685">
        <f t="shared" si="19"/>
        <v>466793.95499305561</v>
      </c>
      <c r="O26" s="685">
        <f t="shared" ref="O26:O27" si="20">N26+O17</f>
        <v>465866.51000000007</v>
      </c>
      <c r="P26" s="804"/>
    </row>
    <row r="27" spans="2:16" s="618" customFormat="1" ht="12.75" customHeight="1" x14ac:dyDescent="0.25">
      <c r="B27" s="793" t="str">
        <f>DesglColoc!J3</f>
        <v>REESTRUCTUR</v>
      </c>
      <c r="C27" s="684">
        <f>ProyCartCre!C10</f>
        <v>150641.09</v>
      </c>
      <c r="D27" s="685">
        <f t="shared" si="15"/>
        <v>153085.15591666667</v>
      </c>
      <c r="E27" s="685">
        <f t="shared" si="5"/>
        <v>154664.90166666667</v>
      </c>
      <c r="F27" s="685">
        <f t="shared" si="6"/>
        <v>155058.85725</v>
      </c>
      <c r="G27" s="685">
        <f t="shared" si="7"/>
        <v>155498.73266666668</v>
      </c>
      <c r="H27" s="685">
        <f t="shared" si="8"/>
        <v>155454.42791666667</v>
      </c>
      <c r="I27" s="685">
        <f t="shared" ref="I27" si="21">H27+I18</f>
        <v>155544.133</v>
      </c>
      <c r="J27" s="685">
        <f>I27+J18</f>
        <v>155154.46791666668</v>
      </c>
      <c r="K27" s="685">
        <f t="shared" si="16"/>
        <v>154556.61266666668</v>
      </c>
      <c r="L27" s="685">
        <f t="shared" si="17"/>
        <v>153894.08725000001</v>
      </c>
      <c r="M27" s="685">
        <f t="shared" si="18"/>
        <v>152757.01166666669</v>
      </c>
      <c r="N27" s="685">
        <f t="shared" si="19"/>
        <v>151932.27591666669</v>
      </c>
      <c r="O27" s="685">
        <f t="shared" si="20"/>
        <v>150641.09000000003</v>
      </c>
      <c r="P27" s="804"/>
    </row>
    <row r="28" spans="2:16" s="618" customFormat="1" ht="12.75" customHeight="1" x14ac:dyDescent="0.25">
      <c r="B28" s="680" t="s">
        <v>1213</v>
      </c>
      <c r="C28" s="686">
        <f>SUM(C23:C27)</f>
        <v>46916087.240000002</v>
      </c>
      <c r="D28" s="686">
        <f t="shared" ref="D28" si="22">SUM(D23:D27)</f>
        <v>51974510.719715282</v>
      </c>
      <c r="E28" s="686">
        <f t="shared" ref="E28:O28" si="23">SUM(E23:E27)</f>
        <v>56934851.775694437</v>
      </c>
      <c r="F28" s="686">
        <f t="shared" si="23"/>
        <v>61738504.367937498</v>
      </c>
      <c r="G28" s="686">
        <f t="shared" si="23"/>
        <v>66178236.906444438</v>
      </c>
      <c r="H28" s="686">
        <f t="shared" si="23"/>
        <v>70796026.041215271</v>
      </c>
      <c r="I28" s="686">
        <f t="shared" si="23"/>
        <v>75354644.252250001</v>
      </c>
      <c r="J28" s="686">
        <f t="shared" si="23"/>
        <v>79820223.359548599</v>
      </c>
      <c r="K28" s="686">
        <f t="shared" si="23"/>
        <v>84194324.023111105</v>
      </c>
      <c r="L28" s="686">
        <f t="shared" si="23"/>
        <v>88460125.86293748</v>
      </c>
      <c r="M28" s="686">
        <f t="shared" si="23"/>
        <v>92573389.409027785</v>
      </c>
      <c r="N28" s="686">
        <f t="shared" si="23"/>
        <v>96653399.411381945</v>
      </c>
      <c r="O28" s="686">
        <f t="shared" si="23"/>
        <v>100649687.24000002</v>
      </c>
      <c r="P28" s="805"/>
    </row>
    <row r="29" spans="2:16" x14ac:dyDescent="0.25">
      <c r="H29" s="804"/>
    </row>
    <row r="30" spans="2:16" s="806" customFormat="1" ht="12.75" customHeight="1" x14ac:dyDescent="0.25">
      <c r="B30" s="807" t="s">
        <v>1275</v>
      </c>
      <c r="C30" s="808"/>
      <c r="D30" s="809" t="str">
        <f>D22</f>
        <v>Enero</v>
      </c>
      <c r="E30" s="809" t="str">
        <f t="shared" ref="E30:O30" si="24">E22</f>
        <v>Febrero</v>
      </c>
      <c r="F30" s="809" t="str">
        <f t="shared" si="24"/>
        <v>Marzo</v>
      </c>
      <c r="G30" s="809" t="str">
        <f t="shared" si="24"/>
        <v>Abril</v>
      </c>
      <c r="H30" s="809" t="str">
        <f t="shared" si="24"/>
        <v>Mayo</v>
      </c>
      <c r="I30" s="809" t="str">
        <f t="shared" si="24"/>
        <v>Junio</v>
      </c>
      <c r="J30" s="809" t="str">
        <f t="shared" si="24"/>
        <v>Julio</v>
      </c>
      <c r="K30" s="809" t="str">
        <f t="shared" si="24"/>
        <v>Agosto</v>
      </c>
      <c r="L30" s="809" t="str">
        <f t="shared" si="24"/>
        <v>Septiembre</v>
      </c>
      <c r="M30" s="809" t="str">
        <f t="shared" si="24"/>
        <v>Octubre</v>
      </c>
      <c r="N30" s="809" t="str">
        <f t="shared" si="24"/>
        <v>Noviembre</v>
      </c>
      <c r="O30" s="809" t="str">
        <f t="shared" si="24"/>
        <v>Diciembre</v>
      </c>
    </row>
    <row r="31" spans="2:16" s="618" customFormat="1" ht="12.75" customHeight="1" x14ac:dyDescent="0.25">
      <c r="B31" s="810" t="s">
        <v>1276</v>
      </c>
      <c r="C31" s="687"/>
      <c r="D31" s="811">
        <f>D23/D28</f>
        <v>1.2375183021399495E-2</v>
      </c>
      <c r="E31" s="811">
        <f t="shared" ref="E31:O31" si="25">E23/E28</f>
        <v>1.1296322074403469E-2</v>
      </c>
      <c r="F31" s="811">
        <f t="shared" si="25"/>
        <v>1.0404076799616815E-2</v>
      </c>
      <c r="G31" s="811">
        <f t="shared" si="25"/>
        <v>9.693230382875298E-3</v>
      </c>
      <c r="H31" s="811">
        <f t="shared" si="25"/>
        <v>9.0559448877953041E-3</v>
      </c>
      <c r="I31" s="811">
        <f t="shared" si="25"/>
        <v>8.5020548847043395E-3</v>
      </c>
      <c r="J31" s="811">
        <f t="shared" si="25"/>
        <v>8.0332617865001271E-3</v>
      </c>
      <c r="K31" s="811">
        <f t="shared" si="25"/>
        <v>7.6210664330594938E-3</v>
      </c>
      <c r="L31" s="811">
        <f t="shared" si="25"/>
        <v>7.2549916098004139E-3</v>
      </c>
      <c r="M31" s="811">
        <f t="shared" si="25"/>
        <v>6.9449689270421056E-3</v>
      </c>
      <c r="N31" s="811">
        <f t="shared" si="25"/>
        <v>6.667391281928144E-3</v>
      </c>
      <c r="O31" s="811">
        <f t="shared" si="25"/>
        <v>6.397991267121198E-3</v>
      </c>
    </row>
    <row r="32" spans="2:16" x14ac:dyDescent="0.25">
      <c r="B32" s="810" t="s">
        <v>1184</v>
      </c>
      <c r="D32" s="812">
        <f>D24/D28</f>
        <v>0.64098458410564008</v>
      </c>
      <c r="E32" s="812">
        <f t="shared" ref="E32:O32" si="26">E24/E28</f>
        <v>0.64499304256132706</v>
      </c>
      <c r="F32" s="812">
        <f t="shared" si="26"/>
        <v>0.64794831345497161</v>
      </c>
      <c r="G32" s="812">
        <f t="shared" si="26"/>
        <v>0.64882292159028543</v>
      </c>
      <c r="H32" s="812">
        <f t="shared" si="26"/>
        <v>0.65078171580490529</v>
      </c>
      <c r="I32" s="812">
        <f t="shared" si="26"/>
        <v>0.6523415555874279</v>
      </c>
      <c r="J32" s="812">
        <f t="shared" si="26"/>
        <v>0.65359761371840219</v>
      </c>
      <c r="K32" s="812">
        <f t="shared" si="26"/>
        <v>0.65458093826141106</v>
      </c>
      <c r="L32" s="812">
        <f t="shared" si="26"/>
        <v>0.65546810373385189</v>
      </c>
      <c r="M32" s="812">
        <f t="shared" si="26"/>
        <v>0.65577491601126514</v>
      </c>
      <c r="N32" s="812">
        <f t="shared" si="26"/>
        <v>0.65612480542823892</v>
      </c>
      <c r="O32" s="812">
        <f t="shared" si="26"/>
        <v>0.65640943923115946</v>
      </c>
    </row>
    <row r="33" spans="2:15" x14ac:dyDescent="0.25">
      <c r="B33" s="810" t="s">
        <v>448</v>
      </c>
      <c r="D33" s="812">
        <f>D25/D28</f>
        <v>0.33476601637663678</v>
      </c>
      <c r="E33" s="812">
        <f t="shared" ref="E33:O33" si="27">E25/E28</f>
        <v>0.33281362151207783</v>
      </c>
      <c r="F33" s="812">
        <f t="shared" si="27"/>
        <v>0.33158658892790566</v>
      </c>
      <c r="G33" s="812">
        <f t="shared" si="27"/>
        <v>0.33207627343245488</v>
      </c>
      <c r="H33" s="812">
        <f t="shared" si="27"/>
        <v>0.33136090395959172</v>
      </c>
      <c r="I33" s="812">
        <f t="shared" si="27"/>
        <v>0.33087965567239103</v>
      </c>
      <c r="J33" s="812">
        <f t="shared" si="27"/>
        <v>0.33055921791371656</v>
      </c>
      <c r="K33" s="812">
        <f t="shared" si="27"/>
        <v>0.33040096063862484</v>
      </c>
      <c r="L33" s="812">
        <f t="shared" si="27"/>
        <v>0.33024690965440717</v>
      </c>
      <c r="M33" s="812">
        <f t="shared" si="27"/>
        <v>0.33058179992926207</v>
      </c>
      <c r="N33" s="812">
        <f t="shared" si="27"/>
        <v>0.33080630851905662</v>
      </c>
      <c r="O33" s="812">
        <f t="shared" si="27"/>
        <v>0.33106728866969892</v>
      </c>
    </row>
    <row r="34" spans="2:15" x14ac:dyDescent="0.25">
      <c r="B34" s="810" t="s">
        <v>1277</v>
      </c>
      <c r="D34" s="812">
        <f t="shared" ref="D34:O34" si="28">D26/D28</f>
        <v>8.9288274239335535E-3</v>
      </c>
      <c r="E34" s="812">
        <f t="shared" si="28"/>
        <v>8.1804896698508128E-3</v>
      </c>
      <c r="F34" s="812">
        <f t="shared" si="28"/>
        <v>7.5494786472274054E-3</v>
      </c>
      <c r="G34" s="812">
        <f t="shared" si="28"/>
        <v>7.0578786832272275E-3</v>
      </c>
      <c r="H34" s="812">
        <f t="shared" si="28"/>
        <v>6.6056280883261646E-3</v>
      </c>
      <c r="I34" s="812">
        <f t="shared" si="28"/>
        <v>6.212572654219939E-3</v>
      </c>
      <c r="J34" s="812">
        <f t="shared" si="28"/>
        <v>5.8661076118170976E-3</v>
      </c>
      <c r="K34" s="812">
        <f t="shared" si="28"/>
        <v>5.5613216962269408E-3</v>
      </c>
      <c r="L34" s="812">
        <f t="shared" si="28"/>
        <v>5.290294930877684E-3</v>
      </c>
      <c r="M34" s="812">
        <f t="shared" si="28"/>
        <v>5.0481971812371415E-3</v>
      </c>
      <c r="N34" s="812">
        <f t="shared" si="28"/>
        <v>4.8295658283704999E-3</v>
      </c>
      <c r="O34" s="812">
        <f t="shared" si="28"/>
        <v>4.6285937172277289E-3</v>
      </c>
    </row>
    <row r="35" spans="2:15" x14ac:dyDescent="0.25">
      <c r="B35" s="810" t="s">
        <v>1278</v>
      </c>
      <c r="D35" s="812">
        <f t="shared" ref="D35:O35" si="29">D27/D28</f>
        <v>2.9453890723900068E-3</v>
      </c>
      <c r="E35" s="812">
        <f t="shared" si="29"/>
        <v>2.7165241823408647E-3</v>
      </c>
      <c r="F35" s="812">
        <f t="shared" si="29"/>
        <v>2.5115421702785259E-3</v>
      </c>
      <c r="G35" s="812">
        <f t="shared" si="29"/>
        <v>2.3496959111572254E-3</v>
      </c>
      <c r="H35" s="812">
        <f t="shared" si="29"/>
        <v>2.1958072593815628E-3</v>
      </c>
      <c r="I35" s="812">
        <f t="shared" si="29"/>
        <v>2.0641612012567579E-3</v>
      </c>
      <c r="J35" s="812">
        <f t="shared" si="29"/>
        <v>1.9437989695640975E-3</v>
      </c>
      <c r="K35" s="812">
        <f t="shared" si="29"/>
        <v>1.8357129706777066E-3</v>
      </c>
      <c r="L35" s="812">
        <f t="shared" si="29"/>
        <v>1.739700071063065E-3</v>
      </c>
      <c r="M35" s="812">
        <f t="shared" si="29"/>
        <v>1.6501179511935399E-3</v>
      </c>
      <c r="N35" s="812">
        <f t="shared" si="29"/>
        <v>1.5719289424058797E-3</v>
      </c>
      <c r="O35" s="812">
        <f t="shared" si="29"/>
        <v>1.4966871147924692E-3</v>
      </c>
    </row>
    <row r="36" spans="2:15" x14ac:dyDescent="0.25">
      <c r="B36" s="813" t="s">
        <v>1279</v>
      </c>
      <c r="D36" s="812">
        <f t="shared" ref="D36:O36" si="30">SUM(D31:D35)</f>
        <v>0.99999999999999989</v>
      </c>
      <c r="E36" s="812">
        <f t="shared" si="30"/>
        <v>1</v>
      </c>
      <c r="F36" s="812">
        <f t="shared" si="30"/>
        <v>1.0000000000000002</v>
      </c>
      <c r="G36" s="812">
        <f t="shared" si="30"/>
        <v>1</v>
      </c>
      <c r="H36" s="812">
        <f t="shared" si="30"/>
        <v>1</v>
      </c>
      <c r="I36" s="812">
        <f t="shared" si="30"/>
        <v>0.99999999999999989</v>
      </c>
      <c r="J36" s="812">
        <f t="shared" si="30"/>
        <v>1</v>
      </c>
      <c r="K36" s="812">
        <f t="shared" si="30"/>
        <v>1</v>
      </c>
      <c r="L36" s="812">
        <f t="shared" si="30"/>
        <v>1.0000000000000002</v>
      </c>
      <c r="M36" s="812">
        <f t="shared" si="30"/>
        <v>1</v>
      </c>
      <c r="N36" s="812">
        <f t="shared" si="30"/>
        <v>1.0000000000000002</v>
      </c>
      <c r="O36" s="812">
        <f t="shared" si="30"/>
        <v>0.99999999999999967</v>
      </c>
    </row>
  </sheetData>
  <printOptions horizontalCentered="1" verticalCentered="1"/>
  <pageMargins left="0.31496062992125984" right="0.31496062992125984" top="0.35433070866141736" bottom="1.1417322834645669" header="0.31496062992125984" footer="1.5354330708661419"/>
  <pageSetup paperSize="9" scale="85" fitToHeight="2" orientation="landscape" useFirstPageNumber="1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  <pageSetUpPr fitToPage="1"/>
  </sheetPr>
  <dimension ref="A1:AO224"/>
  <sheetViews>
    <sheetView showGridLines="0" zoomScaleNormal="100" workbookViewId="0">
      <pane xSplit="3" ySplit="5" topLeftCell="D6" activePane="bottomRight" state="frozen"/>
      <selection pane="topRight"/>
      <selection pane="bottomLeft"/>
      <selection pane="bottomRight" activeCell="E2" sqref="E2"/>
    </sheetView>
  </sheetViews>
  <sheetFormatPr baseColWidth="10" defaultColWidth="0" defaultRowHeight="15" x14ac:dyDescent="0.25"/>
  <cols>
    <col min="1" max="1" width="8.140625" style="1" customWidth="1"/>
    <col min="2" max="2" width="34.7109375" style="618" customWidth="1"/>
    <col min="3" max="3" width="10.85546875" style="618" customWidth="1"/>
    <col min="4" max="4" width="11.85546875" style="814" customWidth="1"/>
    <col min="5" max="5" width="12.42578125" style="618" customWidth="1"/>
    <col min="6" max="6" width="11.140625" style="618" customWidth="1"/>
    <col min="7" max="7" width="10.85546875" style="618" customWidth="1"/>
    <col min="8" max="8" width="11.5703125" style="618" customWidth="1"/>
    <col min="9" max="9" width="11" style="618" customWidth="1"/>
    <col min="10" max="10" width="11.7109375" style="618" customWidth="1"/>
    <col min="11" max="11" width="11.140625" style="618" customWidth="1"/>
    <col min="12" max="12" width="10.85546875" style="618" customWidth="1"/>
    <col min="13" max="13" width="11.140625" style="618" customWidth="1"/>
    <col min="14" max="14" width="10.85546875" style="618" customWidth="1"/>
    <col min="15" max="15" width="11" style="618" customWidth="1"/>
    <col min="16" max="16" width="10.85546875" style="618" customWidth="1"/>
    <col min="17" max="17" width="10.28515625" style="618" customWidth="1"/>
    <col min="18" max="29" width="0" style="1" hidden="1" customWidth="1"/>
    <col min="30" max="38" width="11.42578125" style="1" hidden="1" customWidth="1"/>
    <col min="39" max="41" width="0" style="1" hidden="1" customWidth="1"/>
    <col min="42" max="42" width="11.42578125" style="1" hidden="1" customWidth="1"/>
    <col min="43" max="16384" width="11.42578125" style="1" hidden="1"/>
  </cols>
  <sheetData>
    <row r="1" spans="1:17" ht="33" customHeight="1" x14ac:dyDescent="0.25">
      <c r="A1" s="815" t="str">
        <f>ColocPorSegm!B1</f>
        <v>BANCO CAPITAL S.A.</v>
      </c>
      <c r="B1" s="538"/>
      <c r="C1" s="538"/>
      <c r="D1" s="803"/>
      <c r="E1" s="558"/>
      <c r="F1" s="538"/>
      <c r="G1" s="558"/>
      <c r="H1" s="538"/>
      <c r="I1" s="538"/>
      <c r="J1" s="538"/>
      <c r="K1" s="538"/>
      <c r="L1" s="538"/>
      <c r="M1" s="538"/>
    </row>
    <row r="2" spans="1:17" ht="26.25" customHeight="1" x14ac:dyDescent="0.25">
      <c r="A2" s="816" t="s">
        <v>682</v>
      </c>
      <c r="C2" s="817">
        <v>2026</v>
      </c>
      <c r="E2" s="818"/>
      <c r="H2" s="786"/>
    </row>
    <row r="3" spans="1:17" x14ac:dyDescent="0.25">
      <c r="E3" s="819">
        <f>C2</f>
        <v>2026</v>
      </c>
      <c r="F3" s="819">
        <f>E3</f>
        <v>2026</v>
      </c>
      <c r="G3" s="819">
        <f t="shared" ref="G3:P3" si="0">F3</f>
        <v>2026</v>
      </c>
      <c r="H3" s="819">
        <f t="shared" si="0"/>
        <v>2026</v>
      </c>
      <c r="I3" s="819">
        <f t="shared" si="0"/>
        <v>2026</v>
      </c>
      <c r="J3" s="819">
        <f t="shared" si="0"/>
        <v>2026</v>
      </c>
      <c r="K3" s="819">
        <f t="shared" si="0"/>
        <v>2026</v>
      </c>
      <c r="L3" s="819">
        <f t="shared" si="0"/>
        <v>2026</v>
      </c>
      <c r="M3" s="819">
        <f t="shared" si="0"/>
        <v>2026</v>
      </c>
      <c r="N3" s="819">
        <f t="shared" si="0"/>
        <v>2026</v>
      </c>
      <c r="O3" s="819">
        <f t="shared" si="0"/>
        <v>2026</v>
      </c>
      <c r="P3" s="819">
        <f t="shared" si="0"/>
        <v>2026</v>
      </c>
    </row>
    <row r="4" spans="1:17" s="2" customFormat="1" ht="15.75" customHeight="1" x14ac:dyDescent="0.25">
      <c r="A4" s="820" t="s">
        <v>1280</v>
      </c>
      <c r="B4" s="687"/>
      <c r="C4" s="687"/>
      <c r="D4" s="814"/>
      <c r="E4" s="821">
        <v>31</v>
      </c>
      <c r="F4" s="821">
        <v>29</v>
      </c>
      <c r="G4" s="821">
        <v>31</v>
      </c>
      <c r="H4" s="821">
        <v>30</v>
      </c>
      <c r="I4" s="821">
        <v>31</v>
      </c>
      <c r="J4" s="821">
        <v>30</v>
      </c>
      <c r="K4" s="821">
        <v>31</v>
      </c>
      <c r="L4" s="821">
        <v>31</v>
      </c>
      <c r="M4" s="821">
        <v>30</v>
      </c>
      <c r="N4" s="821">
        <v>31</v>
      </c>
      <c r="O4" s="821">
        <v>30</v>
      </c>
      <c r="P4" s="821">
        <v>31</v>
      </c>
      <c r="Q4" s="687"/>
    </row>
    <row r="5" spans="1:17" x14ac:dyDescent="0.25">
      <c r="A5" s="822" t="s">
        <v>1281</v>
      </c>
      <c r="B5" s="823" t="s">
        <v>1282</v>
      </c>
      <c r="C5" s="824">
        <v>45473</v>
      </c>
      <c r="D5" s="825"/>
      <c r="E5" s="823" t="s">
        <v>882</v>
      </c>
      <c r="F5" s="823" t="s">
        <v>883</v>
      </c>
      <c r="G5" s="823" t="s">
        <v>884</v>
      </c>
      <c r="H5" s="823" t="s">
        <v>885</v>
      </c>
      <c r="I5" s="823" t="s">
        <v>886</v>
      </c>
      <c r="J5" s="823" t="s">
        <v>887</v>
      </c>
      <c r="K5" s="826" t="s">
        <v>888</v>
      </c>
      <c r="L5" s="826" t="s">
        <v>889</v>
      </c>
      <c r="M5" s="826" t="s">
        <v>890</v>
      </c>
      <c r="N5" s="826" t="s">
        <v>891</v>
      </c>
      <c r="O5" s="826" t="s">
        <v>892</v>
      </c>
      <c r="P5" s="827" t="s">
        <v>893</v>
      </c>
    </row>
    <row r="6" spans="1:17" x14ac:dyDescent="0.25">
      <c r="A6" s="828"/>
      <c r="B6" s="829" t="s">
        <v>1283</v>
      </c>
      <c r="C6" s="830">
        <f>ProyCartCre!C6</f>
        <v>643955.81999999995</v>
      </c>
      <c r="D6" s="831" t="s">
        <v>1284</v>
      </c>
      <c r="E6" s="830">
        <f>+ColocPorSegm!D23</f>
        <v>643194.08260416659</v>
      </c>
      <c r="F6" s="830">
        <f>+ColocPorSegm!E23</f>
        <v>643154.4229166666</v>
      </c>
      <c r="G6" s="830">
        <f>+ColocPorSegm!F23</f>
        <v>642332.14093749993</v>
      </c>
      <c r="H6" s="830">
        <f>+ColocPorSegm!G23</f>
        <v>641480.89666666661</v>
      </c>
      <c r="I6" s="830">
        <f>+ColocPorSegm!H23</f>
        <v>641124.9101041666</v>
      </c>
      <c r="J6" s="830">
        <f>+ColocPorSegm!I23</f>
        <v>640669.32124999992</v>
      </c>
      <c r="K6" s="830">
        <f>+ColocPorSegm!J23</f>
        <v>641216.75010416657</v>
      </c>
      <c r="L6" s="830">
        <f>+ColocPorSegm!K23</f>
        <v>641650.53666666662</v>
      </c>
      <c r="M6" s="830">
        <f>+ColocPorSegm!L23</f>
        <v>641777.47093750001</v>
      </c>
      <c r="N6" s="830">
        <f>+ColocPorSegm!M23</f>
        <v>642919.31291666673</v>
      </c>
      <c r="O6" s="830">
        <f>+ColocPorSegm!N23</f>
        <v>644426.03260416677</v>
      </c>
      <c r="P6" s="830">
        <f>+ColocPorSegm!O23</f>
        <v>643955.82000000007</v>
      </c>
    </row>
    <row r="7" spans="1:17" x14ac:dyDescent="0.25">
      <c r="A7" s="832"/>
      <c r="B7" s="829" t="s">
        <v>1285</v>
      </c>
      <c r="C7" s="832" t="s">
        <v>1286</v>
      </c>
      <c r="D7" s="833" t="s">
        <v>1287</v>
      </c>
      <c r="E7" s="830">
        <f>+E6*Premisas!$C51</f>
        <v>12863.881652083332</v>
      </c>
      <c r="F7" s="830">
        <f>+F6*Premisas!$C52</f>
        <v>12863.088458333332</v>
      </c>
      <c r="G7" s="830">
        <f>+G6*Premisas!$C53</f>
        <v>12846.642818749999</v>
      </c>
      <c r="H7" s="830">
        <f>+H6*Premisas!$C54</f>
        <v>12829.617933333333</v>
      </c>
      <c r="I7" s="830">
        <f>+I6*Premisas!$C55</f>
        <v>12822.498202083332</v>
      </c>
      <c r="J7" s="830">
        <f>+J6*Premisas!$C56</f>
        <v>12813.386424999999</v>
      </c>
      <c r="K7" s="830">
        <f>+K6*Premisas!$C57</f>
        <v>12824.335002083331</v>
      </c>
      <c r="L7" s="830">
        <f>L6*Premisas!C58</f>
        <v>12833.010733333333</v>
      </c>
      <c r="M7" s="830">
        <f>M6*Premisas!C59</f>
        <v>12835.549418750001</v>
      </c>
      <c r="N7" s="830">
        <f>N6*Premisas!C60</f>
        <v>12858.386258333336</v>
      </c>
      <c r="O7" s="830">
        <f>O6*Premisas!C61</f>
        <v>12888.520652083336</v>
      </c>
      <c r="P7" s="830">
        <f>P6*Premisas!C62</f>
        <v>12879.116400000001</v>
      </c>
    </row>
    <row r="8" spans="1:17" x14ac:dyDescent="0.25">
      <c r="A8" s="834"/>
      <c r="B8" s="829" t="s">
        <v>1288</v>
      </c>
      <c r="C8" s="835">
        <f>Premisas!C43</f>
        <v>9.8611865978158783E-2</v>
      </c>
      <c r="D8" s="833" t="s">
        <v>1289</v>
      </c>
      <c r="E8" s="675">
        <f>(C6-E7)*$C$8*E4/365</f>
        <v>5285.5555149920474</v>
      </c>
      <c r="F8" s="675">
        <f>(E6-F7)*$C$8*F4/365</f>
        <v>4938.5899999481271</v>
      </c>
      <c r="G8" s="675">
        <f t="shared" ref="G8" si="1">(F6-G7)*$C$8*G4/365</f>
        <v>5278.9879901813765</v>
      </c>
      <c r="H8" s="675">
        <f t="shared" ref="H8" si="2">(G6-H7)*$C$8*H4/365</f>
        <v>5102.1713779232614</v>
      </c>
      <c r="I8" s="675">
        <f t="shared" ref="I8" si="3">(H6-I7)*$C$8*I4/365</f>
        <v>5265.1739994477712</v>
      </c>
      <c r="J8" s="675">
        <f t="shared" ref="J8" si="4">(I6-J7)*$C$8*J4/365</f>
        <v>5092.5182273081682</v>
      </c>
      <c r="K8" s="675">
        <f t="shared" ref="K8:L8" si="5">(J6-K7)*$C$8*K4/365</f>
        <v>5258.3614652249134</v>
      </c>
      <c r="L8" s="675">
        <f t="shared" si="5"/>
        <v>5262.8736596723747</v>
      </c>
      <c r="M8" s="675">
        <f t="shared" ref="M8" si="6">(L6-M7)*$C$8*M4/365</f>
        <v>5096.5988422643159</v>
      </c>
      <c r="N8" s="675">
        <f t="shared" ref="N8" si="7">(M6-N7)*$C$8*N4/365</f>
        <v>5267.3573128058533</v>
      </c>
      <c r="O8" s="675">
        <f t="shared" ref="O8" si="8">(N6-O7)*$C$8*O4/365</f>
        <v>5106.4530451157507</v>
      </c>
      <c r="P8" s="675">
        <f t="shared" ref="P8" si="9">(O6-P7)*$C$8*P4/365</f>
        <v>5289.3660702711995</v>
      </c>
      <c r="Q8" s="836">
        <f>SUM(E8:P8)</f>
        <v>62244.007505155161</v>
      </c>
    </row>
    <row r="9" spans="1:17" ht="15" customHeight="1" x14ac:dyDescent="0.25">
      <c r="A9" s="837" t="s">
        <v>1290</v>
      </c>
      <c r="E9" s="838"/>
      <c r="F9" s="838"/>
      <c r="G9" s="838"/>
      <c r="H9" s="838"/>
      <c r="I9" s="838"/>
      <c r="J9" s="838"/>
      <c r="K9" s="839"/>
      <c r="L9" s="838"/>
      <c r="M9" s="838"/>
      <c r="N9" s="838"/>
      <c r="O9" s="838"/>
      <c r="P9" s="838"/>
    </row>
    <row r="10" spans="1:17" ht="15.75" customHeight="1" x14ac:dyDescent="0.25">
      <c r="A10" s="820" t="s">
        <v>1291</v>
      </c>
      <c r="E10" s="819">
        <f>E4</f>
        <v>31</v>
      </c>
      <c r="F10" s="819">
        <f t="shared" ref="F10:P10" si="10">F4</f>
        <v>29</v>
      </c>
      <c r="G10" s="819">
        <f t="shared" si="10"/>
        <v>31</v>
      </c>
      <c r="H10" s="819">
        <f t="shared" si="10"/>
        <v>30</v>
      </c>
      <c r="I10" s="819">
        <f t="shared" si="10"/>
        <v>31</v>
      </c>
      <c r="J10" s="819">
        <f t="shared" si="10"/>
        <v>30</v>
      </c>
      <c r="K10" s="819">
        <f t="shared" si="10"/>
        <v>31</v>
      </c>
      <c r="L10" s="819">
        <f t="shared" si="10"/>
        <v>31</v>
      </c>
      <c r="M10" s="819">
        <f t="shared" si="10"/>
        <v>30</v>
      </c>
      <c r="N10" s="819">
        <f t="shared" si="10"/>
        <v>31</v>
      </c>
      <c r="O10" s="819">
        <f t="shared" si="10"/>
        <v>30</v>
      </c>
      <c r="P10" s="819">
        <f t="shared" si="10"/>
        <v>31</v>
      </c>
    </row>
    <row r="11" spans="1:17" x14ac:dyDescent="0.25">
      <c r="A11" s="822" t="s">
        <v>1281</v>
      </c>
      <c r="B11" s="823" t="s">
        <v>1282</v>
      </c>
      <c r="C11" s="840">
        <f>C5</f>
        <v>45473</v>
      </c>
      <c r="D11" s="825"/>
      <c r="E11" s="823" t="s">
        <v>882</v>
      </c>
      <c r="F11" s="823" t="s">
        <v>883</v>
      </c>
      <c r="G11" s="823" t="s">
        <v>884</v>
      </c>
      <c r="H11" s="823" t="s">
        <v>885</v>
      </c>
      <c r="I11" s="823" t="s">
        <v>886</v>
      </c>
      <c r="J11" s="823" t="s">
        <v>887</v>
      </c>
      <c r="K11" s="826" t="s">
        <v>888</v>
      </c>
      <c r="L11" s="826" t="s">
        <v>889</v>
      </c>
      <c r="M11" s="826" t="s">
        <v>890</v>
      </c>
      <c r="N11" s="826" t="s">
        <v>891</v>
      </c>
      <c r="O11" s="826" t="s">
        <v>892</v>
      </c>
      <c r="P11" s="827" t="s">
        <v>893</v>
      </c>
    </row>
    <row r="12" spans="1:17" x14ac:dyDescent="0.25">
      <c r="A12" s="828"/>
      <c r="B12" s="829" t="s">
        <v>1283</v>
      </c>
      <c r="C12" s="830">
        <f>ProyCartCre!C7-ECU!I6</f>
        <v>25730839.179999996</v>
      </c>
      <c r="D12" s="675" t="str">
        <f>D6</f>
        <v>Cartera bruta</v>
      </c>
      <c r="E12" s="830">
        <f>+ColocPorSegm!D24</f>
        <v>33314860.137770832</v>
      </c>
      <c r="F12" s="830">
        <f>+ColocPorSegm!E24</f>
        <v>36722583.274583332</v>
      </c>
      <c r="G12" s="830">
        <f>+ColocPorSegm!F24</f>
        <v>40003359.780437499</v>
      </c>
      <c r="H12" s="830">
        <f>+ColocPorSegm!G24</f>
        <v>42937957.015333332</v>
      </c>
      <c r="I12" s="830">
        <f>+ColocPorSegm!H24</f>
        <v>46072759.299270831</v>
      </c>
      <c r="J12" s="830">
        <f>+ColocPorSegm!I24</f>
        <v>49156965.852249995</v>
      </c>
      <c r="K12" s="830">
        <f>+ColocPorSegm!J24</f>
        <v>52170307.514270827</v>
      </c>
      <c r="L12" s="830">
        <f>+ColocPorSegm!K24</f>
        <v>55111999.615333326</v>
      </c>
      <c r="M12" s="830">
        <f>+ColocPorSegm!L24</f>
        <v>57982790.955437496</v>
      </c>
      <c r="N12" s="830">
        <f>+ColocPorSegm!M24</f>
        <v>60707306.664583333</v>
      </c>
      <c r="O12" s="830">
        <f>+ColocPorSegm!N24</f>
        <v>63416692.882770836</v>
      </c>
      <c r="P12" s="830">
        <f>+ColocPorSegm!O24</f>
        <v>66067404.760000005</v>
      </c>
    </row>
    <row r="13" spans="1:17" x14ac:dyDescent="0.25">
      <c r="A13" s="832"/>
      <c r="B13" s="829" t="s">
        <v>1285</v>
      </c>
      <c r="C13" s="832" t="s">
        <v>1286</v>
      </c>
      <c r="D13" s="841" t="str">
        <f>D7</f>
        <v>Cartera riesgo</v>
      </c>
      <c r="E13" s="830">
        <f>+E12*Premisas!$C63</f>
        <v>666297.20275541663</v>
      </c>
      <c r="F13" s="830">
        <f>+F12*Premisas!$C64</f>
        <v>734451.66549166664</v>
      </c>
      <c r="G13" s="830">
        <f>+G12*Premisas!$C65</f>
        <v>800067.19560874999</v>
      </c>
      <c r="H13" s="830">
        <f>+H12*Premisas!$C66</f>
        <v>858759.14030666661</v>
      </c>
      <c r="I13" s="830">
        <f>+I12*Premisas!$C67</f>
        <v>921455.18598541664</v>
      </c>
      <c r="J13" s="830">
        <f>+J12*Premisas!$C68</f>
        <v>983139.31704499992</v>
      </c>
      <c r="K13" s="830">
        <f>+K12*Premisas!$C69</f>
        <v>1043406.1502854165</v>
      </c>
      <c r="L13" s="830">
        <f>L12*Premisas!C70</f>
        <v>1102239.9923066664</v>
      </c>
      <c r="M13" s="830">
        <f>M12*Premisas!C71</f>
        <v>1159655.81910875</v>
      </c>
      <c r="N13" s="830">
        <f>N12*Premisas!C72</f>
        <v>1214146.1332916666</v>
      </c>
      <c r="O13" s="830">
        <f>O12*Premisas!C73</f>
        <v>1268333.8576554167</v>
      </c>
      <c r="P13" s="830">
        <f>P12*Premisas!C74</f>
        <v>1321348.0952000001</v>
      </c>
    </row>
    <row r="14" spans="1:17" x14ac:dyDescent="0.25">
      <c r="A14" s="832"/>
      <c r="B14" s="829" t="s">
        <v>1288</v>
      </c>
      <c r="C14" s="835">
        <f>Premisas!C44</f>
        <v>0.15</v>
      </c>
      <c r="D14" s="841" t="str">
        <f>D8</f>
        <v>Intereses</v>
      </c>
      <c r="E14" s="675">
        <f>(C12-E13)*$C$14*E4/365</f>
        <v>319315.39779229392</v>
      </c>
      <c r="F14" s="675">
        <f t="shared" ref="F14" si="11">(E12-F13)*$C$14*F4/365</f>
        <v>388287.05987510778</v>
      </c>
      <c r="G14" s="675">
        <f t="shared" ref="G14" si="12">(F12-G13)*$C$14*G4/365</f>
        <v>457643.013060909</v>
      </c>
      <c r="H14" s="675">
        <f t="shared" ref="H14" si="13">(G12-H13)*$C$14*H4/365</f>
        <v>482604.66542627051</v>
      </c>
      <c r="I14" s="675">
        <f t="shared" ref="I14" si="14">(H12-I13)*$C$14*I4/365</f>
        <v>535278.72193552821</v>
      </c>
      <c r="J14" s="675">
        <f t="shared" ref="J14" si="15">(I12-J13)*$C$14*J4/365</f>
        <v>555899.42443840066</v>
      </c>
      <c r="K14" s="675">
        <f>(J12-K13)*$C$14*K4/365</f>
        <v>612953.56880584999</v>
      </c>
      <c r="L14" s="675">
        <f>(K12-L13)*$C$14*L4/365</f>
        <v>650593.18897844758</v>
      </c>
      <c r="M14" s="675">
        <f t="shared" ref="M14" si="16">(L12-M13)*$C$14*M4/365</f>
        <v>665165.88241920713</v>
      </c>
      <c r="N14" s="675">
        <f t="shared" ref="N14" si="17">(M12-N13)*$C$14*N4/365</f>
        <v>723216.98198076186</v>
      </c>
      <c r="O14" s="675">
        <f t="shared" ref="O14" si="18">(N12-O13)*$C$14*O4/365</f>
        <v>732809.2537840429</v>
      </c>
      <c r="P14" s="675">
        <f t="shared" ref="P14" si="19">(O12-P13)*$C$14*P4/365</f>
        <v>791077.680170423</v>
      </c>
      <c r="Q14" s="836">
        <f>SUM(E14:P14)</f>
        <v>6914844.8386672428</v>
      </c>
    </row>
    <row r="15" spans="1:17" ht="15" customHeight="1" x14ac:dyDescent="0.25">
      <c r="A15" s="842" t="str">
        <f>A9</f>
        <v>*Morosidad promedio Ene-Jun2024 y proyectada a Dic2024; **Tasa promedio ponderada Ene-Jun2024</v>
      </c>
      <c r="E15" s="838"/>
      <c r="F15" s="838"/>
      <c r="G15" s="838"/>
      <c r="H15" s="838"/>
      <c r="I15" s="838"/>
      <c r="J15" s="838"/>
      <c r="K15" s="839"/>
      <c r="L15" s="838"/>
      <c r="M15" s="838"/>
      <c r="N15" s="838"/>
      <c r="O15" s="838"/>
      <c r="P15" s="838"/>
    </row>
    <row r="16" spans="1:17" ht="15.75" customHeight="1" x14ac:dyDescent="0.25">
      <c r="A16" s="820" t="s">
        <v>1292</v>
      </c>
      <c r="E16" s="819">
        <f>E10</f>
        <v>31</v>
      </c>
      <c r="F16" s="819">
        <f t="shared" ref="F16:P16" si="20">F10</f>
        <v>29</v>
      </c>
      <c r="G16" s="819">
        <f t="shared" si="20"/>
        <v>31</v>
      </c>
      <c r="H16" s="819">
        <f t="shared" si="20"/>
        <v>30</v>
      </c>
      <c r="I16" s="819">
        <f t="shared" si="20"/>
        <v>31</v>
      </c>
      <c r="J16" s="819">
        <f t="shared" si="20"/>
        <v>30</v>
      </c>
      <c r="K16" s="819">
        <f t="shared" si="20"/>
        <v>31</v>
      </c>
      <c r="L16" s="819">
        <f t="shared" si="20"/>
        <v>31</v>
      </c>
      <c r="M16" s="819">
        <f t="shared" si="20"/>
        <v>30</v>
      </c>
      <c r="N16" s="819">
        <f t="shared" si="20"/>
        <v>31</v>
      </c>
      <c r="O16" s="819">
        <f t="shared" si="20"/>
        <v>30</v>
      </c>
      <c r="P16" s="819">
        <f t="shared" si="20"/>
        <v>31</v>
      </c>
    </row>
    <row r="17" spans="1:17" x14ac:dyDescent="0.25">
      <c r="A17" s="822" t="s">
        <v>1281</v>
      </c>
      <c r="B17" s="823" t="s">
        <v>1282</v>
      </c>
      <c r="C17" s="840">
        <f>C11</f>
        <v>45473</v>
      </c>
      <c r="D17" s="825"/>
      <c r="E17" s="823" t="s">
        <v>882</v>
      </c>
      <c r="F17" s="823" t="s">
        <v>883</v>
      </c>
      <c r="G17" s="823" t="s">
        <v>884</v>
      </c>
      <c r="H17" s="823" t="s">
        <v>885</v>
      </c>
      <c r="I17" s="823" t="s">
        <v>886</v>
      </c>
      <c r="J17" s="823" t="s">
        <v>887</v>
      </c>
      <c r="K17" s="826" t="s">
        <v>888</v>
      </c>
      <c r="L17" s="826" t="s">
        <v>889</v>
      </c>
      <c r="M17" s="826" t="s">
        <v>890</v>
      </c>
      <c r="N17" s="826" t="s">
        <v>891</v>
      </c>
      <c r="O17" s="826" t="s">
        <v>892</v>
      </c>
      <c r="P17" s="827" t="s">
        <v>893</v>
      </c>
    </row>
    <row r="18" spans="1:17" x14ac:dyDescent="0.25">
      <c r="A18" s="828"/>
      <c r="B18" s="829" t="s">
        <v>1283</v>
      </c>
      <c r="C18" s="830">
        <f>ProyCartCre!C8</f>
        <v>15825819.060000001</v>
      </c>
      <c r="D18" s="675" t="str">
        <f>D12</f>
        <v>Cartera bruta</v>
      </c>
      <c r="E18" s="830">
        <f>+ColocPorSegm!D25</f>
        <v>17399299.906763889</v>
      </c>
      <c r="F18" s="830">
        <f>+ColocPorSegm!E25</f>
        <v>18948694.209722221</v>
      </c>
      <c r="G18" s="830">
        <f>+ColocPorSegm!F25</f>
        <v>20471660.068875</v>
      </c>
      <c r="H18" s="830">
        <f>+ColocPorSegm!G25</f>
        <v>21976222.294222221</v>
      </c>
      <c r="I18" s="830">
        <f>+ColocPorSegm!H25</f>
        <v>23459035.185763888</v>
      </c>
      <c r="J18" s="830">
        <f>+ColocPorSegm!I25</f>
        <v>24933318.743499998</v>
      </c>
      <c r="K18" s="830">
        <f>+ColocPorSegm!J25</f>
        <v>26385310.607430555</v>
      </c>
      <c r="L18" s="830">
        <f>+ColocPorSegm!K25</f>
        <v>27817885.537555557</v>
      </c>
      <c r="M18" s="830">
        <f>+ColocPorSegm!L25</f>
        <v>29213683.193875</v>
      </c>
      <c r="N18" s="830">
        <f>+ColocPorSegm!M25</f>
        <v>30603077.696388889</v>
      </c>
      <c r="O18" s="830">
        <f>+ColocPorSegm!N25</f>
        <v>31973554.265097223</v>
      </c>
      <c r="P18" s="830">
        <f>+ColocPorSegm!O25</f>
        <v>33321819.060000002</v>
      </c>
    </row>
    <row r="19" spans="1:17" x14ac:dyDescent="0.25">
      <c r="A19" s="832"/>
      <c r="B19" s="829" t="s">
        <v>1285</v>
      </c>
      <c r="C19" s="832" t="s">
        <v>1286</v>
      </c>
      <c r="D19" s="841" t="str">
        <f>D13</f>
        <v>Cartera riesgo</v>
      </c>
      <c r="E19" s="830">
        <f>+E18*Premisas!$C75</f>
        <v>347985.99813527777</v>
      </c>
      <c r="F19" s="830">
        <f>+F18*Premisas!$C76</f>
        <v>378973.8841944444</v>
      </c>
      <c r="G19" s="830">
        <f>+G18*Premisas!$C77</f>
        <v>409433.20137750002</v>
      </c>
      <c r="H19" s="830">
        <f>+H18*Premisas!$C78</f>
        <v>439524.4458844444</v>
      </c>
      <c r="I19" s="830">
        <f>+I18*Premisas!$C79</f>
        <v>469180.70371527778</v>
      </c>
      <c r="J19" s="830">
        <f>+J18*Premisas!$C80</f>
        <v>498666.37486999994</v>
      </c>
      <c r="K19" s="830">
        <f>+K18*Premisas!$C81</f>
        <v>527706.21214861108</v>
      </c>
      <c r="L19" s="830">
        <f>L18*Premisas!C82</f>
        <v>556357.71075111115</v>
      </c>
      <c r="M19" s="830">
        <f>M18*Premisas!C83</f>
        <v>584273.66387749999</v>
      </c>
      <c r="N19" s="830">
        <f>N18*Premisas!C84</f>
        <v>612061.5539277778</v>
      </c>
      <c r="O19" s="830">
        <f>O18*Premisas!C85</f>
        <v>639471.08530194452</v>
      </c>
      <c r="P19" s="830">
        <f>P18*Premisas!C86</f>
        <v>666436.38120000006</v>
      </c>
    </row>
    <row r="20" spans="1:17" x14ac:dyDescent="0.25">
      <c r="A20" s="832"/>
      <c r="B20" s="829" t="s">
        <v>1288</v>
      </c>
      <c r="C20" s="835">
        <f>Premisas!C45</f>
        <v>0.15</v>
      </c>
      <c r="D20" s="841" t="str">
        <f>D14</f>
        <v>Intereses</v>
      </c>
      <c r="E20" s="675">
        <f>(C18-E19)*$C$20*E4/365</f>
        <v>197183.35270594782</v>
      </c>
      <c r="F20" s="675">
        <f t="shared" ref="F20" si="21">(E18-F19)*$C$20*F4/365</f>
        <v>202844.98136486873</v>
      </c>
      <c r="G20" s="675">
        <f t="shared" ref="G20" si="22">(F18-G19)*$C$20*G4/365</f>
        <v>236185.10599672043</v>
      </c>
      <c r="H20" s="675">
        <f t="shared" ref="H20" si="23">(G18-H19)*$C$20*H4/365</f>
        <v>246971.53507796576</v>
      </c>
      <c r="I20" s="675">
        <f t="shared" ref="I20" si="24">(H18-I19)*$C$20*I4/365</f>
        <v>273993.81752289669</v>
      </c>
      <c r="J20" s="675">
        <f t="shared" ref="J20" si="25">(I18-J19)*$C$20*J4/365</f>
        <v>283073.04013430822</v>
      </c>
      <c r="K20" s="675">
        <f t="shared" ref="K20:L20" si="26">(J18-K19)*$C$20*K4/365</f>
        <v>310920.81718023005</v>
      </c>
      <c r="L20" s="675">
        <f t="shared" si="26"/>
        <v>329053.78347824491</v>
      </c>
      <c r="M20" s="675">
        <f t="shared" ref="M20" si="27">(L18-M19)*$C$20*M4/365</f>
        <v>335756.85871657875</v>
      </c>
      <c r="N20" s="675">
        <f t="shared" ref="N20" si="28">(M18-N19)*$C$20*N4/365</f>
        <v>364376.82363220432</v>
      </c>
      <c r="O20" s="675">
        <f t="shared" ref="O20" si="29">(N18-O19)*$C$20*O4/365</f>
        <v>369414.32808189385</v>
      </c>
      <c r="P20" s="675">
        <f t="shared" ref="P20" si="30">(O18-P19)*$C$20*P4/365</f>
        <v>398844.10454827966</v>
      </c>
      <c r="Q20" s="836">
        <f>SUM(E20:P20)</f>
        <v>3548618.5484401393</v>
      </c>
    </row>
    <row r="21" spans="1:17" ht="15" customHeight="1" x14ac:dyDescent="0.25">
      <c r="A21" s="842" t="str">
        <f>A15</f>
        <v>*Morosidad promedio Ene-Jun2024 y proyectada a Dic2024; **Tasa promedio ponderada Ene-Jun2024</v>
      </c>
      <c r="E21" s="838"/>
      <c r="F21" s="838"/>
      <c r="G21" s="838"/>
      <c r="H21" s="838"/>
      <c r="I21" s="838"/>
      <c r="J21" s="838"/>
      <c r="K21" s="843">
        <f>+K18*5%</f>
        <v>1319265.5303715279</v>
      </c>
      <c r="L21" s="838"/>
      <c r="M21" s="838"/>
      <c r="N21" s="838"/>
      <c r="O21" s="838"/>
      <c r="P21" s="838"/>
    </row>
    <row r="22" spans="1:17" ht="15.75" customHeight="1" x14ac:dyDescent="0.25">
      <c r="A22" s="820" t="s">
        <v>1293</v>
      </c>
      <c r="E22" s="819">
        <f t="shared" ref="E22:P22" si="31">E16</f>
        <v>31</v>
      </c>
      <c r="F22" s="819">
        <f t="shared" si="31"/>
        <v>29</v>
      </c>
      <c r="G22" s="819">
        <f t="shared" si="31"/>
        <v>31</v>
      </c>
      <c r="H22" s="819">
        <f t="shared" si="31"/>
        <v>30</v>
      </c>
      <c r="I22" s="819">
        <f t="shared" si="31"/>
        <v>31</v>
      </c>
      <c r="J22" s="819">
        <f t="shared" si="31"/>
        <v>30</v>
      </c>
      <c r="K22" s="819">
        <f t="shared" si="31"/>
        <v>31</v>
      </c>
      <c r="L22" s="819">
        <f t="shared" si="31"/>
        <v>31</v>
      </c>
      <c r="M22" s="819">
        <f t="shared" si="31"/>
        <v>30</v>
      </c>
      <c r="N22" s="819">
        <f t="shared" si="31"/>
        <v>31</v>
      </c>
      <c r="O22" s="819">
        <f t="shared" si="31"/>
        <v>30</v>
      </c>
      <c r="P22" s="819">
        <f t="shared" si="31"/>
        <v>31</v>
      </c>
    </row>
    <row r="23" spans="1:17" x14ac:dyDescent="0.25">
      <c r="A23" s="822" t="s">
        <v>1281</v>
      </c>
      <c r="B23" s="823" t="s">
        <v>1282</v>
      </c>
      <c r="C23" s="840">
        <f>C5</f>
        <v>45473</v>
      </c>
      <c r="D23" s="825"/>
      <c r="E23" s="823" t="s">
        <v>882</v>
      </c>
      <c r="F23" s="823" t="s">
        <v>883</v>
      </c>
      <c r="G23" s="823" t="s">
        <v>884</v>
      </c>
      <c r="H23" s="823" t="s">
        <v>885</v>
      </c>
      <c r="I23" s="823" t="s">
        <v>886</v>
      </c>
      <c r="J23" s="823" t="s">
        <v>887</v>
      </c>
      <c r="K23" s="826" t="s">
        <v>888</v>
      </c>
      <c r="L23" s="826" t="s">
        <v>889</v>
      </c>
      <c r="M23" s="826" t="s">
        <v>890</v>
      </c>
      <c r="N23" s="826" t="s">
        <v>891</v>
      </c>
      <c r="O23" s="826" t="s">
        <v>892</v>
      </c>
      <c r="P23" s="827" t="s">
        <v>893</v>
      </c>
    </row>
    <row r="24" spans="1:17" x14ac:dyDescent="0.25">
      <c r="A24" s="828"/>
      <c r="B24" s="829" t="s">
        <v>1283</v>
      </c>
      <c r="C24" s="830">
        <f>ProyCartCre!C9</f>
        <v>465866.51</v>
      </c>
      <c r="D24" s="675" t="str">
        <f>D18</f>
        <v>Cartera bruta</v>
      </c>
      <c r="E24" s="830">
        <f>+ColocPorSegm!D26</f>
        <v>464071.43665972224</v>
      </c>
      <c r="F24" s="830">
        <f>+ColocPorSegm!E26</f>
        <v>465754.96680555557</v>
      </c>
      <c r="G24" s="830">
        <f>+ColocPorSegm!F26</f>
        <v>466093.52043750003</v>
      </c>
      <c r="H24" s="830">
        <f>+ColocPorSegm!G26</f>
        <v>467077.96755555557</v>
      </c>
      <c r="I24" s="830">
        <f>+ColocPorSegm!H26</f>
        <v>467652.21815972222</v>
      </c>
      <c r="J24" s="830">
        <f>+ColocPorSegm!I26</f>
        <v>468146.20225000003</v>
      </c>
      <c r="K24" s="830">
        <f>+ColocPorSegm!J26</f>
        <v>468234.01982638892</v>
      </c>
      <c r="L24" s="830">
        <f>+ColocPorSegm!K26</f>
        <v>468231.72088888893</v>
      </c>
      <c r="M24" s="830">
        <f>+ColocPorSegm!L26</f>
        <v>467980.15543750004</v>
      </c>
      <c r="N24" s="830">
        <f>+ColocPorSegm!M26</f>
        <v>467328.72347222228</v>
      </c>
      <c r="O24" s="830">
        <f>+ColocPorSegm!N26</f>
        <v>466793.95499305561</v>
      </c>
      <c r="P24" s="830">
        <f>+ColocPorSegm!O26</f>
        <v>465866.51000000007</v>
      </c>
    </row>
    <row r="25" spans="1:17" x14ac:dyDescent="0.25">
      <c r="A25" s="832"/>
      <c r="B25" s="829" t="s">
        <v>1285</v>
      </c>
      <c r="C25" s="832" t="s">
        <v>1286</v>
      </c>
      <c r="D25" s="841" t="str">
        <f>D19</f>
        <v>Cartera riesgo</v>
      </c>
      <c r="E25" s="830">
        <f>+E24*Premisas!$C87</f>
        <v>9281.4287331944452</v>
      </c>
      <c r="F25" s="830">
        <f>+F24*Premisas!$C88</f>
        <v>9315.0993361111123</v>
      </c>
      <c r="G25" s="830">
        <f>+G24*Premisas!$C89</f>
        <v>9321.8704087500009</v>
      </c>
      <c r="H25" s="830">
        <f>+H24*Premisas!$C90</f>
        <v>9341.559351111111</v>
      </c>
      <c r="I25" s="830">
        <f>+I24*Premisas!$C91</f>
        <v>9353.0443631944454</v>
      </c>
      <c r="J25" s="830">
        <f>+J24*Premisas!$C92</f>
        <v>9362.9240450000016</v>
      </c>
      <c r="K25" s="830">
        <f>+K24*Premisas!$C93</f>
        <v>9364.6803965277777</v>
      </c>
      <c r="L25" s="830">
        <f>L24*Premisas!C94</f>
        <v>9364.6344177777792</v>
      </c>
      <c r="M25" s="830">
        <f>M24*Premisas!C95</f>
        <v>9359.6031087500014</v>
      </c>
      <c r="N25" s="830">
        <f>N24*Premisas!C96</f>
        <v>9346.5744694444456</v>
      </c>
      <c r="O25" s="830">
        <f>O24*Premisas!C97</f>
        <v>9335.879099861113</v>
      </c>
      <c r="P25" s="830">
        <f>P24*Premisas!C98</f>
        <v>9317.3302000000022</v>
      </c>
      <c r="Q25" s="844"/>
    </row>
    <row r="26" spans="1:17" x14ac:dyDescent="0.25">
      <c r="A26" s="834"/>
      <c r="B26" s="829" t="s">
        <v>1288</v>
      </c>
      <c r="C26" s="835">
        <f>Premisas!C46</f>
        <v>0.13468631557026337</v>
      </c>
      <c r="D26" s="841" t="str">
        <f>D20</f>
        <v>Intereses</v>
      </c>
      <c r="E26" s="675">
        <f>(C24-E25)*$C$26*E4/365</f>
        <v>5222.9277603984519</v>
      </c>
      <c r="F26" s="675">
        <f t="shared" ref="F26" si="32">(E24-F25)*$C$26*F4/365</f>
        <v>4866.3950989972764</v>
      </c>
      <c r="G26" s="675">
        <f t="shared" ref="G26" si="33">(F24-G25)*$C$26*G4/365</f>
        <v>5221.18918848874</v>
      </c>
      <c r="H26" s="675">
        <f t="shared" ref="H26" si="34">(G24-H25)*$C$26*H4/365</f>
        <v>5056.2935973877829</v>
      </c>
      <c r="I26" s="675">
        <f t="shared" ref="I26" si="35">(H24-I25)*$C$26*I4/365</f>
        <v>5235.9665395432557</v>
      </c>
      <c r="J26" s="675">
        <f t="shared" ref="J26" si="36">(I24-J25)*$C$26*J4/365</f>
        <v>5073.3120402418126</v>
      </c>
      <c r="K26" s="675">
        <f t="shared" ref="K26:L26" si="37">(J24-K25)*$C$26*K4/365</f>
        <v>5248.0530896850296</v>
      </c>
      <c r="L26" s="675">
        <f t="shared" si="37"/>
        <v>5249.0581707095544</v>
      </c>
      <c r="M26" s="675">
        <f t="shared" ref="M26" si="38">(L24-M25)*$C$26*M4/365</f>
        <v>5079.7639612381518</v>
      </c>
      <c r="N26" s="675">
        <f t="shared" ref="N26" si="39">(M24-N25)*$C$26*N4/365</f>
        <v>5246.3607773668155</v>
      </c>
      <c r="O26" s="675">
        <f t="shared" ref="O26" si="40">(N24-O25)*$C$26*O4/365</f>
        <v>5070.0303095390427</v>
      </c>
      <c r="P26" s="675">
        <f t="shared" ref="P26" si="41">(O24-P25)*$C$26*P4/365</f>
        <v>5233.1262264103843</v>
      </c>
      <c r="Q26" s="836">
        <f>SUM(E26:P26)</f>
        <v>61802.476760006306</v>
      </c>
    </row>
    <row r="27" spans="1:17" ht="15" customHeight="1" x14ac:dyDescent="0.25">
      <c r="A27" s="842" t="str">
        <f>A21</f>
        <v>*Morosidad promedio Ene-Jun2024 y proyectada a Dic2024; **Tasa promedio ponderada Ene-Jun2024</v>
      </c>
      <c r="E27" s="838"/>
      <c r="F27" s="838"/>
      <c r="G27" s="838"/>
      <c r="H27" s="838"/>
      <c r="I27" s="838"/>
      <c r="J27" s="838"/>
      <c r="K27" s="839"/>
      <c r="L27" s="838"/>
      <c r="M27" s="838"/>
      <c r="N27" s="838"/>
      <c r="O27" s="838"/>
      <c r="P27" s="838"/>
    </row>
    <row r="28" spans="1:17" ht="15.75" customHeight="1" x14ac:dyDescent="0.25">
      <c r="A28" s="820" t="s">
        <v>1294</v>
      </c>
      <c r="E28" s="819">
        <f t="shared" ref="E28:P28" si="42">E22</f>
        <v>31</v>
      </c>
      <c r="F28" s="819">
        <f t="shared" si="42"/>
        <v>29</v>
      </c>
      <c r="G28" s="819">
        <f t="shared" si="42"/>
        <v>31</v>
      </c>
      <c r="H28" s="819">
        <f t="shared" si="42"/>
        <v>30</v>
      </c>
      <c r="I28" s="819">
        <f t="shared" si="42"/>
        <v>31</v>
      </c>
      <c r="J28" s="819">
        <f t="shared" si="42"/>
        <v>30</v>
      </c>
      <c r="K28" s="819">
        <f t="shared" si="42"/>
        <v>31</v>
      </c>
      <c r="L28" s="819">
        <f t="shared" si="42"/>
        <v>31</v>
      </c>
      <c r="M28" s="819">
        <f t="shared" si="42"/>
        <v>30</v>
      </c>
      <c r="N28" s="819">
        <f t="shared" si="42"/>
        <v>31</v>
      </c>
      <c r="O28" s="819">
        <f t="shared" si="42"/>
        <v>30</v>
      </c>
      <c r="P28" s="819">
        <f t="shared" si="42"/>
        <v>31</v>
      </c>
    </row>
    <row r="29" spans="1:17" x14ac:dyDescent="0.25">
      <c r="A29" s="845" t="str">
        <f>A5</f>
        <v>CUENTA</v>
      </c>
      <c r="B29" s="823" t="s">
        <v>1282</v>
      </c>
      <c r="C29" s="840">
        <f>C11</f>
        <v>45473</v>
      </c>
      <c r="D29" s="825"/>
      <c r="E29" s="823" t="s">
        <v>882</v>
      </c>
      <c r="F29" s="823" t="s">
        <v>883</v>
      </c>
      <c r="G29" s="823" t="s">
        <v>884</v>
      </c>
      <c r="H29" s="823" t="s">
        <v>885</v>
      </c>
      <c r="I29" s="823" t="s">
        <v>886</v>
      </c>
      <c r="J29" s="823" t="s">
        <v>887</v>
      </c>
      <c r="K29" s="826" t="s">
        <v>888</v>
      </c>
      <c r="L29" s="826" t="s">
        <v>889</v>
      </c>
      <c r="M29" s="826" t="s">
        <v>890</v>
      </c>
      <c r="N29" s="826" t="s">
        <v>891</v>
      </c>
      <c r="O29" s="826" t="s">
        <v>892</v>
      </c>
      <c r="P29" s="827" t="s">
        <v>893</v>
      </c>
    </row>
    <row r="30" spans="1:17" x14ac:dyDescent="0.25">
      <c r="A30" s="828"/>
      <c r="B30" s="829" t="s">
        <v>1283</v>
      </c>
      <c r="C30" s="830">
        <f>ProyCartCre!C10</f>
        <v>150641.09</v>
      </c>
      <c r="D30" s="675" t="str">
        <f>D24</f>
        <v>Cartera bruta</v>
      </c>
      <c r="E30" s="830">
        <f>+ColocPorSegm!D27</f>
        <v>153085.15591666667</v>
      </c>
      <c r="F30" s="830">
        <f>+ColocPorSegm!E27</f>
        <v>154664.90166666667</v>
      </c>
      <c r="G30" s="830">
        <f>+ColocPorSegm!F27</f>
        <v>155058.85725</v>
      </c>
      <c r="H30" s="830">
        <f>+ColocPorSegm!G27</f>
        <v>155498.73266666668</v>
      </c>
      <c r="I30" s="830">
        <f>+ColocPorSegm!H27</f>
        <v>155454.42791666667</v>
      </c>
      <c r="J30" s="830">
        <f>+ColocPorSegm!I27</f>
        <v>155544.133</v>
      </c>
      <c r="K30" s="830">
        <f>+ColocPorSegm!J27</f>
        <v>155154.46791666668</v>
      </c>
      <c r="L30" s="830">
        <f>+ColocPorSegm!K27</f>
        <v>154556.61266666668</v>
      </c>
      <c r="M30" s="830">
        <f>+ColocPorSegm!L27</f>
        <v>153894.08725000001</v>
      </c>
      <c r="N30" s="830">
        <f>+ColocPorSegm!M27</f>
        <v>152757.01166666669</v>
      </c>
      <c r="O30" s="830">
        <f>+ColocPorSegm!N27</f>
        <v>151932.27591666669</v>
      </c>
      <c r="P30" s="830">
        <f>+ColocPorSegm!O27</f>
        <v>150641.09000000003</v>
      </c>
    </row>
    <row r="31" spans="1:17" x14ac:dyDescent="0.25">
      <c r="A31" s="846"/>
      <c r="B31" s="829" t="s">
        <v>1285</v>
      </c>
      <c r="C31" s="832" t="s">
        <v>1286</v>
      </c>
      <c r="D31" s="841" t="str">
        <f>D25</f>
        <v>Cartera riesgo</v>
      </c>
      <c r="E31" s="830">
        <f>+E30*Premisas!$C99</f>
        <v>3061.7031183333334</v>
      </c>
      <c r="F31" s="830">
        <f>+F30*Premisas!$C100</f>
        <v>3093.2980333333335</v>
      </c>
      <c r="G31" s="830">
        <f>+G30*Premisas!$C101</f>
        <v>3101.1771450000001</v>
      </c>
      <c r="H31" s="830">
        <f>+H30*Premisas!$C102</f>
        <v>3109.9746533333337</v>
      </c>
      <c r="I31" s="830">
        <f>+I30*Premisas!$C103</f>
        <v>3109.0885583333334</v>
      </c>
      <c r="J31" s="830">
        <f>+J30*Premisas!$C104</f>
        <v>3110.8826600000002</v>
      </c>
      <c r="K31" s="830">
        <f>+K30*Premisas!$C105</f>
        <v>3103.0893583333336</v>
      </c>
      <c r="L31" s="830">
        <f>L30*Premisas!C106</f>
        <v>3091.1322533333337</v>
      </c>
      <c r="M31" s="830">
        <f>M30*Premisas!C107</f>
        <v>3077.8817450000001</v>
      </c>
      <c r="N31" s="830">
        <f>N30*Premisas!C108</f>
        <v>3055.140233333334</v>
      </c>
      <c r="O31" s="830">
        <f>O30*Premisas!C109</f>
        <v>3038.6455183333342</v>
      </c>
      <c r="P31" s="830">
        <f>P30*Premisas!C110</f>
        <v>3012.8218000000006</v>
      </c>
    </row>
    <row r="32" spans="1:17" x14ac:dyDescent="0.25">
      <c r="A32" s="834"/>
      <c r="B32" s="829" t="s">
        <v>1288</v>
      </c>
      <c r="C32" s="835">
        <f>Premisas!C47</f>
        <v>0.15543586586857608</v>
      </c>
      <c r="D32" s="841" t="str">
        <f>D26</f>
        <v>Intereses</v>
      </c>
      <c r="E32" s="675">
        <f>(C30-E31)*$C$32*E10/365</f>
        <v>1948.2548583930643</v>
      </c>
      <c r="F32" s="675">
        <f t="shared" ref="F32" si="43">(E30-F31)*$C$32*F10/365</f>
        <v>1852.3542871140753</v>
      </c>
      <c r="G32" s="675">
        <f t="shared" ref="G32" si="44">(F30-G31)*$C$32*G10/365</f>
        <v>2000.8537025042178</v>
      </c>
      <c r="H32" s="675">
        <f t="shared" ref="H32" si="45">(G30-H31)*$C$32*H10/365</f>
        <v>1941.2306411651091</v>
      </c>
      <c r="I32" s="675">
        <f t="shared" ref="I32" si="46">(H30-I31)*$C$32*I10/365</f>
        <v>2011.7569992407432</v>
      </c>
      <c r="J32" s="675">
        <f t="shared" ref="J32" si="47">(I30-J31)*$C$32*J10/365</f>
        <v>1946.2726739555003</v>
      </c>
      <c r="K32" s="675">
        <f t="shared" ref="K32:L32" si="48">(J30-K31)*$C$32*K10/365</f>
        <v>2012.4355451586507</v>
      </c>
      <c r="L32" s="675">
        <f t="shared" si="48"/>
        <v>2007.4492701822423</v>
      </c>
      <c r="M32" s="675">
        <f t="shared" ref="M32" si="49">(L30-M31)*$C$32*M10/365</f>
        <v>1935.2241946423819</v>
      </c>
      <c r="N32" s="675">
        <f t="shared" ref="N32" si="50">(M30-N31)*$C$32*N10/365</f>
        <v>1991.2856230779057</v>
      </c>
      <c r="O32" s="675">
        <f t="shared" ref="O32" si="51">(N30-O31)*$C$32*O10/365</f>
        <v>1912.7345653721677</v>
      </c>
      <c r="P32" s="675">
        <f t="shared" ref="P32" si="52">(O30-P31)*$C$32*P10/365</f>
        <v>1965.9456250802548</v>
      </c>
      <c r="Q32" s="836">
        <f>SUM(E32:P32)</f>
        <v>23525.797985886315</v>
      </c>
    </row>
    <row r="33" spans="1:17" ht="15" customHeight="1" x14ac:dyDescent="0.25">
      <c r="A33" s="842" t="str">
        <f>A27</f>
        <v>*Morosidad promedio Ene-Jun2024 y proyectada a Dic2024; **Tasa promedio ponderada Ene-Jun2024</v>
      </c>
      <c r="E33" s="838"/>
      <c r="F33" s="838"/>
      <c r="G33" s="838"/>
      <c r="H33" s="838"/>
      <c r="I33" s="838"/>
      <c r="J33" s="838"/>
      <c r="K33" s="839"/>
      <c r="L33" s="838"/>
      <c r="M33" s="838"/>
      <c r="N33" s="838"/>
      <c r="O33" s="838"/>
      <c r="P33" s="838"/>
    </row>
    <row r="34" spans="1:17" ht="15" customHeight="1" x14ac:dyDescent="0.25">
      <c r="A34" s="837"/>
      <c r="E34" s="847"/>
    </row>
    <row r="35" spans="1:17" s="465" customFormat="1" ht="15" customHeight="1" x14ac:dyDescent="0.25">
      <c r="B35" s="848" t="s">
        <v>905</v>
      </c>
      <c r="C35" s="849"/>
      <c r="D35" s="850"/>
      <c r="E35" s="851">
        <f>E8+E14+E20+E26+E32</f>
        <v>528955.48863202531</v>
      </c>
      <c r="F35" s="851">
        <f t="shared" ref="F35:O35" si="53">F8+F14+F20+F26+F32</f>
        <v>602789.38062603597</v>
      </c>
      <c r="G35" s="851">
        <f t="shared" si="53"/>
        <v>706329.14993880375</v>
      </c>
      <c r="H35" s="851">
        <f t="shared" si="53"/>
        <v>741675.89612071239</v>
      </c>
      <c r="I35" s="851">
        <f t="shared" si="53"/>
        <v>821785.43699665659</v>
      </c>
      <c r="J35" s="851">
        <f t="shared" si="53"/>
        <v>851084.56751421443</v>
      </c>
      <c r="K35" s="851">
        <f t="shared" si="53"/>
        <v>936393.23608614865</v>
      </c>
      <c r="L35" s="851">
        <f t="shared" si="53"/>
        <v>992166.35355725663</v>
      </c>
      <c r="M35" s="851">
        <f t="shared" si="53"/>
        <v>1013034.3281339308</v>
      </c>
      <c r="N35" s="851">
        <f t="shared" si="53"/>
        <v>1100098.8093262168</v>
      </c>
      <c r="O35" s="851">
        <f t="shared" si="53"/>
        <v>1114312.7997859637</v>
      </c>
      <c r="P35" s="851">
        <f>P8+P14+P20+P26+P32</f>
        <v>1202410.2226404645</v>
      </c>
      <c r="Q35" s="836">
        <f>SUM(E35:P35)</f>
        <v>10611035.669358429</v>
      </c>
    </row>
    <row r="36" spans="1:17" s="465" customFormat="1" ht="15" customHeight="1" x14ac:dyDescent="0.25">
      <c r="B36" s="849" t="s">
        <v>1283</v>
      </c>
      <c r="C36" s="851">
        <f>+C6+C12+C18+C24+C30</f>
        <v>42817121.659999996</v>
      </c>
      <c r="D36" s="852"/>
      <c r="E36" s="851">
        <f>+E6+E12+E18+E24+E30</f>
        <v>51974510.719715282</v>
      </c>
      <c r="F36" s="851">
        <f t="shared" ref="F36:O36" si="54">+F6+F12+F18+F24+F30</f>
        <v>56934851.775694437</v>
      </c>
      <c r="G36" s="851">
        <f t="shared" si="54"/>
        <v>61738504.367937498</v>
      </c>
      <c r="H36" s="851">
        <f t="shared" si="54"/>
        <v>66178236.906444438</v>
      </c>
      <c r="I36" s="851">
        <f t="shared" si="54"/>
        <v>70796026.041215271</v>
      </c>
      <c r="J36" s="851">
        <f t="shared" si="54"/>
        <v>75354644.252250001</v>
      </c>
      <c r="K36" s="851">
        <f>+K6+K12+K18+K24+K30</f>
        <v>79820223.359548599</v>
      </c>
      <c r="L36" s="851">
        <f t="shared" si="54"/>
        <v>84194324.023111105</v>
      </c>
      <c r="M36" s="851">
        <f t="shared" si="54"/>
        <v>88460125.86293748</v>
      </c>
      <c r="N36" s="851">
        <f t="shared" si="54"/>
        <v>92573389.409027785</v>
      </c>
      <c r="O36" s="851">
        <f t="shared" si="54"/>
        <v>96653399.411381945</v>
      </c>
      <c r="P36" s="851">
        <f>+P6+P12+P18+P24+P30</f>
        <v>100649687.24000002</v>
      </c>
      <c r="Q36" s="622"/>
    </row>
    <row r="37" spans="1:17" ht="15" customHeight="1" x14ac:dyDescent="0.25">
      <c r="K37" s="839"/>
    </row>
    <row r="38" spans="1:17" x14ac:dyDescent="0.25">
      <c r="A38" s="820" t="s">
        <v>1295</v>
      </c>
      <c r="K38" s="839"/>
    </row>
    <row r="39" spans="1:17" x14ac:dyDescent="0.25">
      <c r="A39" s="853" t="s">
        <v>1281</v>
      </c>
      <c r="B39" s="853" t="s">
        <v>1282</v>
      </c>
      <c r="C39" s="854">
        <f>$C$5</f>
        <v>45473</v>
      </c>
      <c r="D39" s="855"/>
      <c r="E39" s="853" t="s">
        <v>882</v>
      </c>
      <c r="F39" s="853" t="s">
        <v>883</v>
      </c>
      <c r="G39" s="853" t="s">
        <v>884</v>
      </c>
      <c r="H39" s="853" t="s">
        <v>885</v>
      </c>
      <c r="I39" s="853" t="s">
        <v>886</v>
      </c>
      <c r="J39" s="853" t="s">
        <v>887</v>
      </c>
      <c r="K39" s="856" t="s">
        <v>888</v>
      </c>
      <c r="L39" s="856" t="s">
        <v>889</v>
      </c>
      <c r="M39" s="856" t="s">
        <v>890</v>
      </c>
      <c r="N39" s="856" t="s">
        <v>891</v>
      </c>
      <c r="O39" s="856" t="s">
        <v>892</v>
      </c>
      <c r="P39" s="856" t="s">
        <v>893</v>
      </c>
    </row>
    <row r="40" spans="1:17" x14ac:dyDescent="0.25">
      <c r="A40" s="857"/>
      <c r="B40" s="858" t="s">
        <v>1296</v>
      </c>
      <c r="C40" s="859">
        <f>C6+C12+C18+C24+C30+ECU!I6</f>
        <v>46916087.239999995</v>
      </c>
      <c r="D40" s="860"/>
      <c r="E40" s="859">
        <f>E6+E12+E18+E24+E30+ECU!D6</f>
        <v>57055569.869715281</v>
      </c>
      <c r="F40" s="859">
        <f>F6+F12+F18+F24+F30+ECU!E6</f>
        <v>61817073.40569444</v>
      </c>
      <c r="G40" s="859">
        <f>G6+G12+G18+G24+G30+ECU!F6</f>
        <v>66423996.577937499</v>
      </c>
      <c r="H40" s="859">
        <f>H6+H12+H18+H24+H30+ECU!G6</f>
        <v>70666999.666444436</v>
      </c>
      <c r="I40" s="859">
        <f>I6+I12+I18+I24+I30+ECU!H6</f>
        <v>75089372.371215269</v>
      </c>
      <c r="J40" s="859">
        <f>J6+J12+J18+J24+J30+ECU!I6</f>
        <v>79453609.832249999</v>
      </c>
      <c r="K40" s="859">
        <f>K6+K12+K18+K24+K30+ECU!J6</f>
        <v>83726027.939548597</v>
      </c>
      <c r="L40" s="859">
        <f>L6+L12+L18+L24+L30+ECU!K6</f>
        <v>87908896.603111103</v>
      </c>
      <c r="M40" s="859">
        <f>M6+M12+M18+M24+M30+ECU!L6</f>
        <v>91985600.842937484</v>
      </c>
      <c r="N40" s="859">
        <f>N6+N12+N18+N24+N30+ECU!M6</f>
        <v>95912503.019027784</v>
      </c>
      <c r="O40" s="859">
        <f>O6+O12+O18+O24+O30+ECU!N6</f>
        <v>99810300.701381952</v>
      </c>
      <c r="P40" s="859">
        <f>P6+P12+P18+P24+P30+ECU!O6</f>
        <v>103629968.00000003</v>
      </c>
      <c r="Q40" s="844"/>
    </row>
    <row r="41" spans="1:17" x14ac:dyDescent="0.25">
      <c r="A41" s="857"/>
      <c r="B41" s="858" t="s">
        <v>1297</v>
      </c>
      <c r="C41" s="859">
        <f>ECU!I6</f>
        <v>4098965.580000001</v>
      </c>
      <c r="D41" s="860"/>
      <c r="E41" s="859">
        <f>ECU!D6</f>
        <v>5081059.1500000004</v>
      </c>
      <c r="F41" s="859">
        <f>ECU!E6</f>
        <v>4882221.6300000008</v>
      </c>
      <c r="G41" s="859">
        <f>ECU!F6</f>
        <v>4685492.2100000009</v>
      </c>
      <c r="H41" s="859">
        <f>ECU!G6</f>
        <v>4488762.7600000007</v>
      </c>
      <c r="I41" s="859">
        <f>ECU!H6</f>
        <v>4293346.330000001</v>
      </c>
      <c r="J41" s="859">
        <f>ECU!I6</f>
        <v>4098965.580000001</v>
      </c>
      <c r="K41" s="859">
        <f>ECU!J6</f>
        <v>3905804.5800000015</v>
      </c>
      <c r="L41" s="859">
        <f>ECU!K6</f>
        <v>3714572.5800000019</v>
      </c>
      <c r="M41" s="859">
        <f>ECU!L6</f>
        <v>3525474.9800000023</v>
      </c>
      <c r="N41" s="859">
        <f>ECU!M6</f>
        <v>3339113.6100000027</v>
      </c>
      <c r="O41" s="859">
        <f>ECU!N6</f>
        <v>3156901.2900000028</v>
      </c>
      <c r="P41" s="859">
        <f>ECU!O6</f>
        <v>2980280.760000003</v>
      </c>
      <c r="Q41" s="844"/>
    </row>
    <row r="42" spans="1:17" x14ac:dyDescent="0.25">
      <c r="A42" s="857"/>
      <c r="B42" s="858" t="s">
        <v>1298</v>
      </c>
      <c r="C42" s="861">
        <f>C40-C41</f>
        <v>42817121.659999996</v>
      </c>
      <c r="D42" s="860"/>
      <c r="E42" s="861">
        <f t="shared" ref="E42:J42" si="55">E40-E41</f>
        <v>51974510.719715282</v>
      </c>
      <c r="F42" s="861">
        <f t="shared" si="55"/>
        <v>56934851.775694437</v>
      </c>
      <c r="G42" s="861">
        <f t="shared" si="55"/>
        <v>61738504.367937498</v>
      </c>
      <c r="H42" s="861">
        <f t="shared" si="55"/>
        <v>66178236.906444438</v>
      </c>
      <c r="I42" s="861">
        <f t="shared" si="55"/>
        <v>70796026.041215271</v>
      </c>
      <c r="J42" s="861">
        <f t="shared" si="55"/>
        <v>75354644.252250001</v>
      </c>
      <c r="K42" s="861">
        <f t="shared" ref="K42:P42" si="56">K40-K41</f>
        <v>79820223.359548599</v>
      </c>
      <c r="L42" s="861">
        <f t="shared" si="56"/>
        <v>84194324.023111105</v>
      </c>
      <c r="M42" s="861">
        <f t="shared" si="56"/>
        <v>88460125.86293748</v>
      </c>
      <c r="N42" s="861">
        <f t="shared" si="56"/>
        <v>92573389.409027785</v>
      </c>
      <c r="O42" s="861">
        <f t="shared" si="56"/>
        <v>96653399.411381945</v>
      </c>
      <c r="P42" s="861">
        <f t="shared" si="56"/>
        <v>100649687.24000002</v>
      </c>
      <c r="Q42" s="844"/>
    </row>
    <row r="43" spans="1:17" x14ac:dyDescent="0.25">
      <c r="A43" s="725"/>
      <c r="B43" s="858" t="s">
        <v>1299</v>
      </c>
      <c r="C43" s="859">
        <f>EEFFun!AH52</f>
        <v>3409324.6800000006</v>
      </c>
      <c r="D43" s="862"/>
      <c r="E43" s="861">
        <f>E7+E13+E19+E25+E31</f>
        <v>1039490.2143943056</v>
      </c>
      <c r="F43" s="861">
        <f t="shared" ref="F43:P43" si="57">F7+F13+F19+F25+F31</f>
        <v>1138697.0355138888</v>
      </c>
      <c r="G43" s="861">
        <f t="shared" si="57"/>
        <v>1234770.0873587499</v>
      </c>
      <c r="H43" s="861">
        <f t="shared" si="57"/>
        <v>1323564.7381288889</v>
      </c>
      <c r="I43" s="861">
        <f t="shared" si="57"/>
        <v>1415920.5208243052</v>
      </c>
      <c r="J43" s="861">
        <f t="shared" si="57"/>
        <v>1507092.8850449999</v>
      </c>
      <c r="K43" s="861">
        <f>K7+K13+K19+K25+K31</f>
        <v>1596404.4671909721</v>
      </c>
      <c r="L43" s="861">
        <f t="shared" si="57"/>
        <v>1683886.4804622221</v>
      </c>
      <c r="M43" s="861">
        <f t="shared" si="57"/>
        <v>1769202.5172587498</v>
      </c>
      <c r="N43" s="861">
        <f t="shared" si="57"/>
        <v>1851467.7881805552</v>
      </c>
      <c r="O43" s="861">
        <f t="shared" si="57"/>
        <v>1933067.9882276391</v>
      </c>
      <c r="P43" s="861">
        <f t="shared" si="57"/>
        <v>2012993.7448000002</v>
      </c>
      <c r="Q43" s="844"/>
    </row>
    <row r="44" spans="1:17" x14ac:dyDescent="0.25">
      <c r="A44" s="725"/>
      <c r="B44" s="858" t="s">
        <v>1300</v>
      </c>
      <c r="C44" s="861">
        <f>C40-C43</f>
        <v>43506762.559999995</v>
      </c>
      <c r="D44" s="862"/>
      <c r="E44" s="861">
        <f>E40-E43</f>
        <v>56016079.655320972</v>
      </c>
      <c r="F44" s="861">
        <f t="shared" ref="F44:P44" si="58">F40-F43</f>
        <v>60678376.370180555</v>
      </c>
      <c r="G44" s="861">
        <f t="shared" si="58"/>
        <v>65189226.490578748</v>
      </c>
      <c r="H44" s="861">
        <f t="shared" si="58"/>
        <v>69343434.92831555</v>
      </c>
      <c r="I44" s="861">
        <f t="shared" si="58"/>
        <v>73673451.850390971</v>
      </c>
      <c r="J44" s="861">
        <f t="shared" si="58"/>
        <v>77946516.947204992</v>
      </c>
      <c r="K44" s="861">
        <f t="shared" si="58"/>
        <v>82129623.472357631</v>
      </c>
      <c r="L44" s="861">
        <f t="shared" si="58"/>
        <v>86225010.12264888</v>
      </c>
      <c r="M44" s="861">
        <f t="shared" si="58"/>
        <v>90216398.325678736</v>
      </c>
      <c r="N44" s="861">
        <f t="shared" si="58"/>
        <v>94061035.230847225</v>
      </c>
      <c r="O44" s="861">
        <f t="shared" si="58"/>
        <v>97877232.713154316</v>
      </c>
      <c r="P44" s="861">
        <f t="shared" si="58"/>
        <v>101616974.25520003</v>
      </c>
      <c r="Q44" s="844"/>
    </row>
    <row r="45" spans="1:17" x14ac:dyDescent="0.25">
      <c r="A45" s="725"/>
      <c r="B45" s="858" t="s">
        <v>1301</v>
      </c>
      <c r="C45" s="861">
        <f>C44-C41</f>
        <v>39407796.979999997</v>
      </c>
      <c r="D45" s="862"/>
      <c r="E45" s="861">
        <f t="shared" ref="E45:J45" si="59">E44-E41</f>
        <v>50935020.505320974</v>
      </c>
      <c r="F45" s="861">
        <f t="shared" si="59"/>
        <v>55796154.740180552</v>
      </c>
      <c r="G45" s="861">
        <f t="shared" si="59"/>
        <v>60503734.280578747</v>
      </c>
      <c r="H45" s="861">
        <f t="shared" si="59"/>
        <v>64854672.168315552</v>
      </c>
      <c r="I45" s="861">
        <f t="shared" si="59"/>
        <v>69380105.520390972</v>
      </c>
      <c r="J45" s="861">
        <f t="shared" si="59"/>
        <v>73847551.367204994</v>
      </c>
      <c r="K45" s="861">
        <f t="shared" ref="K45:P45" si="60">K44-K41</f>
        <v>78223818.892357633</v>
      </c>
      <c r="L45" s="861">
        <f t="shared" si="60"/>
        <v>82510437.542648882</v>
      </c>
      <c r="M45" s="861">
        <f t="shared" si="60"/>
        <v>86690923.345678732</v>
      </c>
      <c r="N45" s="861">
        <f t="shared" si="60"/>
        <v>90721921.620847225</v>
      </c>
      <c r="O45" s="861">
        <f t="shared" si="60"/>
        <v>94720331.423154309</v>
      </c>
      <c r="P45" s="861">
        <f t="shared" si="60"/>
        <v>98636693.495200023</v>
      </c>
      <c r="Q45" s="844"/>
    </row>
    <row r="46" spans="1:17" x14ac:dyDescent="0.25">
      <c r="A46" s="725"/>
      <c r="B46" s="858" t="s">
        <v>1302</v>
      </c>
      <c r="C46" s="860"/>
      <c r="D46" s="862"/>
      <c r="E46" s="861">
        <f t="shared" ref="E46:K46" si="61">E6-E7</f>
        <v>630330.20095208322</v>
      </c>
      <c r="F46" s="861">
        <f t="shared" si="61"/>
        <v>630291.33445833332</v>
      </c>
      <c r="G46" s="861">
        <f t="shared" si="61"/>
        <v>629485.49811874994</v>
      </c>
      <c r="H46" s="861">
        <f t="shared" si="61"/>
        <v>628651.27873333322</v>
      </c>
      <c r="I46" s="861">
        <f t="shared" si="61"/>
        <v>628302.41190208332</v>
      </c>
      <c r="J46" s="861">
        <f t="shared" si="61"/>
        <v>627855.93482499989</v>
      </c>
      <c r="K46" s="861">
        <f t="shared" si="61"/>
        <v>628392.41510208324</v>
      </c>
      <c r="L46" s="861">
        <f t="shared" ref="L46:P46" si="62">L6-L7</f>
        <v>628817.52593333332</v>
      </c>
      <c r="M46" s="861">
        <f t="shared" si="62"/>
        <v>628941.92151875002</v>
      </c>
      <c r="N46" s="861">
        <f t="shared" si="62"/>
        <v>630060.9266583334</v>
      </c>
      <c r="O46" s="861">
        <f t="shared" si="62"/>
        <v>631537.51195208344</v>
      </c>
      <c r="P46" s="861">
        <f t="shared" si="62"/>
        <v>631076.70360000001</v>
      </c>
      <c r="Q46" s="844"/>
    </row>
    <row r="47" spans="1:17" x14ac:dyDescent="0.25">
      <c r="A47" s="725"/>
      <c r="B47" s="858" t="s">
        <v>1303</v>
      </c>
      <c r="C47" s="860"/>
      <c r="D47" s="862"/>
      <c r="E47" s="861">
        <f t="shared" ref="E47:K47" si="63">E12-E13</f>
        <v>32648562.935015414</v>
      </c>
      <c r="F47" s="861">
        <f t="shared" si="63"/>
        <v>35988131.609091669</v>
      </c>
      <c r="G47" s="861">
        <f t="shared" si="63"/>
        <v>39203292.584828749</v>
      </c>
      <c r="H47" s="861">
        <f t="shared" si="63"/>
        <v>42079197.875026666</v>
      </c>
      <c r="I47" s="861">
        <f t="shared" si="63"/>
        <v>45151304.113285415</v>
      </c>
      <c r="J47" s="861">
        <f t="shared" si="63"/>
        <v>48173826.535204992</v>
      </c>
      <c r="K47" s="861">
        <f t="shared" si="63"/>
        <v>51126901.363985412</v>
      </c>
      <c r="L47" s="861">
        <f>L12-L13</f>
        <v>54009759.623026662</v>
      </c>
      <c r="M47" s="861">
        <f t="shared" ref="M47:P47" si="64">M12-M13</f>
        <v>56823135.136328749</v>
      </c>
      <c r="N47" s="861">
        <f t="shared" si="64"/>
        <v>59493160.531291664</v>
      </c>
      <c r="O47" s="861">
        <f t="shared" si="64"/>
        <v>62148359.025115423</v>
      </c>
      <c r="P47" s="861">
        <f t="shared" si="64"/>
        <v>64746056.664800003</v>
      </c>
      <c r="Q47" s="844"/>
    </row>
    <row r="48" spans="1:17" x14ac:dyDescent="0.25">
      <c r="A48" s="725"/>
      <c r="B48" s="858" t="s">
        <v>1304</v>
      </c>
      <c r="C48" s="860"/>
      <c r="D48" s="862"/>
      <c r="E48" s="861">
        <f t="shared" ref="E48:K48" si="65">E18-E19</f>
        <v>17051313.908628613</v>
      </c>
      <c r="F48" s="861">
        <f t="shared" si="65"/>
        <v>18569720.325527776</v>
      </c>
      <c r="G48" s="861">
        <f t="shared" si="65"/>
        <v>20062226.8674975</v>
      </c>
      <c r="H48" s="861">
        <f t="shared" si="65"/>
        <v>21536697.848337777</v>
      </c>
      <c r="I48" s="861">
        <f t="shared" si="65"/>
        <v>22989854.482048612</v>
      </c>
      <c r="J48" s="861">
        <f t="shared" si="65"/>
        <v>24434652.368629999</v>
      </c>
      <c r="K48" s="861">
        <f t="shared" si="65"/>
        <v>25857604.395281944</v>
      </c>
      <c r="L48" s="861">
        <f>L18-L19</f>
        <v>27261527.826804444</v>
      </c>
      <c r="M48" s="861">
        <f t="shared" ref="M48:P48" si="66">M18-M19</f>
        <v>28629409.529997502</v>
      </c>
      <c r="N48" s="861">
        <f t="shared" si="66"/>
        <v>29991016.14246111</v>
      </c>
      <c r="O48" s="861">
        <f t="shared" si="66"/>
        <v>31334083.17979528</v>
      </c>
      <c r="P48" s="861">
        <f t="shared" si="66"/>
        <v>32655382.678800002</v>
      </c>
      <c r="Q48" s="844"/>
    </row>
    <row r="49" spans="1:17" x14ac:dyDescent="0.25">
      <c r="A49" s="725"/>
      <c r="B49" s="858" t="s">
        <v>1305</v>
      </c>
      <c r="C49" s="860"/>
      <c r="D49" s="862"/>
      <c r="E49" s="861">
        <f t="shared" ref="E49:K49" si="67">E24-E25</f>
        <v>454790.00792652782</v>
      </c>
      <c r="F49" s="861">
        <f t="shared" si="67"/>
        <v>456439.86746944446</v>
      </c>
      <c r="G49" s="861">
        <f t="shared" si="67"/>
        <v>456771.65002875001</v>
      </c>
      <c r="H49" s="861">
        <f t="shared" si="67"/>
        <v>457736.40820444445</v>
      </c>
      <c r="I49" s="861">
        <f t="shared" si="67"/>
        <v>458299.17379652779</v>
      </c>
      <c r="J49" s="861">
        <f t="shared" si="67"/>
        <v>458783.27820500004</v>
      </c>
      <c r="K49" s="861">
        <f t="shared" si="67"/>
        <v>458869.33942986117</v>
      </c>
      <c r="L49" s="861">
        <f>L24-L25</f>
        <v>458867.08647111116</v>
      </c>
      <c r="M49" s="861">
        <f t="shared" ref="M49:P49" si="68">M24-M25</f>
        <v>458620.55232875003</v>
      </c>
      <c r="N49" s="861">
        <f t="shared" si="68"/>
        <v>457982.14900277782</v>
      </c>
      <c r="O49" s="861">
        <f t="shared" si="68"/>
        <v>457458.07589319447</v>
      </c>
      <c r="P49" s="861">
        <f t="shared" si="68"/>
        <v>456549.17980000004</v>
      </c>
      <c r="Q49" s="844"/>
    </row>
    <row r="50" spans="1:17" x14ac:dyDescent="0.25">
      <c r="A50" s="725"/>
      <c r="B50" s="858" t="s">
        <v>1306</v>
      </c>
      <c r="C50" s="860"/>
      <c r="D50" s="862"/>
      <c r="E50" s="861">
        <f t="shared" ref="E50:K50" si="69">E30-E31</f>
        <v>150023.45279833334</v>
      </c>
      <c r="F50" s="861">
        <f t="shared" si="69"/>
        <v>151571.60363333335</v>
      </c>
      <c r="G50" s="861">
        <f t="shared" si="69"/>
        <v>151957.68010500001</v>
      </c>
      <c r="H50" s="861">
        <f t="shared" si="69"/>
        <v>152388.75801333334</v>
      </c>
      <c r="I50" s="861">
        <f t="shared" si="69"/>
        <v>152345.33935833332</v>
      </c>
      <c r="J50" s="861">
        <f t="shared" si="69"/>
        <v>152433.25034</v>
      </c>
      <c r="K50" s="861">
        <f t="shared" si="69"/>
        <v>152051.37855833335</v>
      </c>
      <c r="L50" s="861">
        <f>L30-L31</f>
        <v>151465.48041333334</v>
      </c>
      <c r="M50" s="861">
        <f t="shared" ref="M50:P50" si="70">M30-M31</f>
        <v>150816.20550500002</v>
      </c>
      <c r="N50" s="861">
        <f t="shared" si="70"/>
        <v>149701.87143333335</v>
      </c>
      <c r="O50" s="861">
        <f t="shared" si="70"/>
        <v>148893.63039833336</v>
      </c>
      <c r="P50" s="861">
        <f t="shared" si="70"/>
        <v>147628.26820000002</v>
      </c>
      <c r="Q50" s="844"/>
    </row>
    <row r="51" spans="1:17" s="465" customFormat="1" x14ac:dyDescent="0.25">
      <c r="A51" s="863"/>
      <c r="B51" s="864" t="s">
        <v>1307</v>
      </c>
      <c r="C51" s="865"/>
      <c r="D51" s="866"/>
      <c r="E51" s="867">
        <f t="shared" ref="E51:P51" si="71">E8+E14+E20+E26+E32</f>
        <v>528955.48863202531</v>
      </c>
      <c r="F51" s="867">
        <f t="shared" si="71"/>
        <v>602789.38062603597</v>
      </c>
      <c r="G51" s="867">
        <f t="shared" si="71"/>
        <v>706329.14993880375</v>
      </c>
      <c r="H51" s="867">
        <f t="shared" si="71"/>
        <v>741675.89612071239</v>
      </c>
      <c r="I51" s="867">
        <f t="shared" si="71"/>
        <v>821785.43699665659</v>
      </c>
      <c r="J51" s="867">
        <f t="shared" si="71"/>
        <v>851084.56751421443</v>
      </c>
      <c r="K51" s="867">
        <f t="shared" si="71"/>
        <v>936393.23608614865</v>
      </c>
      <c r="L51" s="867">
        <f t="shared" si="71"/>
        <v>992166.35355725663</v>
      </c>
      <c r="M51" s="867">
        <f t="shared" si="71"/>
        <v>1013034.3281339308</v>
      </c>
      <c r="N51" s="867">
        <f t="shared" si="71"/>
        <v>1100098.8093262168</v>
      </c>
      <c r="O51" s="867">
        <f t="shared" si="71"/>
        <v>1114312.7997859637</v>
      </c>
      <c r="P51" s="867">
        <f t="shared" si="71"/>
        <v>1202410.2226404645</v>
      </c>
      <c r="Q51" s="868">
        <f>SUM(E51:P51)</f>
        <v>10611035.669358429</v>
      </c>
    </row>
    <row r="52" spans="1:17" x14ac:dyDescent="0.25">
      <c r="A52" s="725"/>
      <c r="B52" s="858" t="s">
        <v>1308</v>
      </c>
      <c r="C52" s="860"/>
      <c r="D52" s="862"/>
      <c r="E52" s="861">
        <f>E51</f>
        <v>528955.48863202531</v>
      </c>
      <c r="F52" s="861">
        <f>SUM($E$51:F51)</f>
        <v>1131744.8692580613</v>
      </c>
      <c r="G52" s="861">
        <f>SUM($E$51:G51)</f>
        <v>1838074.0191968651</v>
      </c>
      <c r="H52" s="861">
        <f>SUM($E$51:H51)</f>
        <v>2579749.9153175773</v>
      </c>
      <c r="I52" s="861">
        <f>SUM($E$51:I51)</f>
        <v>3401535.3523142338</v>
      </c>
      <c r="J52" s="861">
        <f>SUM($E$51:J51)</f>
        <v>4252619.9198284484</v>
      </c>
      <c r="K52" s="861">
        <f>SUM($E$51:K51)</f>
        <v>5189013.1559145972</v>
      </c>
      <c r="L52" s="861">
        <f>SUM($E$51:L51)</f>
        <v>6181179.5094718542</v>
      </c>
      <c r="M52" s="861">
        <f>SUM($E$51:M51)</f>
        <v>7194213.8376057846</v>
      </c>
      <c r="N52" s="861">
        <f>SUM($E$51:N51)</f>
        <v>8294312.6469320012</v>
      </c>
      <c r="O52" s="861">
        <f>SUM($E$51:O51)</f>
        <v>9408625.4467179645</v>
      </c>
      <c r="P52" s="861">
        <f>SUM($E$51:P51)</f>
        <v>10611035.669358429</v>
      </c>
      <c r="Q52" s="844"/>
    </row>
    <row r="53" spans="1:17" x14ac:dyDescent="0.25">
      <c r="A53" s="725"/>
      <c r="B53" s="858" t="s">
        <v>1309</v>
      </c>
      <c r="C53" s="869">
        <f>C43/C40</f>
        <v>7.266856382459061E-2</v>
      </c>
      <c r="D53" s="870"/>
      <c r="E53" s="869">
        <f t="shared" ref="E53:P53" si="72">E43/E40</f>
        <v>1.8218908631847004E-2</v>
      </c>
      <c r="F53" s="869">
        <f t="shared" si="72"/>
        <v>1.8420429385920992E-2</v>
      </c>
      <c r="G53" s="869">
        <f t="shared" si="72"/>
        <v>1.8589217014516025E-2</v>
      </c>
      <c r="H53" s="869">
        <f t="shared" si="72"/>
        <v>1.8729601431732659E-2</v>
      </c>
      <c r="I53" s="869">
        <f t="shared" si="72"/>
        <v>1.8856470311464257E-2</v>
      </c>
      <c r="J53" s="869">
        <f>J43/J40</f>
        <v>1.8968211617155187E-2</v>
      </c>
      <c r="K53" s="869">
        <f>K43/K40</f>
        <v>1.9067003493150294E-2</v>
      </c>
      <c r="L53" s="869">
        <f t="shared" si="72"/>
        <v>1.91549040601043E-2</v>
      </c>
      <c r="M53" s="869">
        <f t="shared" si="72"/>
        <v>1.9233472424446164E-2</v>
      </c>
      <c r="N53" s="869">
        <f t="shared" si="72"/>
        <v>1.9303716719948891E-2</v>
      </c>
      <c r="O53" s="869">
        <f t="shared" si="72"/>
        <v>1.9367419741686785E-2</v>
      </c>
      <c r="P53" s="869">
        <f t="shared" si="72"/>
        <v>1.9424822603438415E-2</v>
      </c>
    </row>
    <row r="54" spans="1:17" x14ac:dyDescent="0.25">
      <c r="A54" s="725"/>
      <c r="B54" s="858" t="s">
        <v>1310</v>
      </c>
      <c r="C54" s="871"/>
      <c r="D54" s="870"/>
      <c r="E54" s="869">
        <f>(SUM(E$8:$L8)/AVERAGE(E$46:$L46)/SUM(E$4:$L4))*365</f>
        <v>9.8656231751426293E-2</v>
      </c>
      <c r="F54" s="869">
        <f>(SUM(F$8:$L8)/AVERAGE(F$46:$L46)/SUM(F$4:$L4))*365</f>
        <v>9.8644765552732994E-2</v>
      </c>
      <c r="G54" s="869">
        <f>(SUM(G$8:$L8)/AVERAGE(G$46:$L46)/SUM(G$4:$L4))*365</f>
        <v>9.8651064310157785E-2</v>
      </c>
      <c r="H54" s="869">
        <f>(SUM(H$8:$L8)/AVERAGE(H$46:$L46)/SUM(H$4:$L4))*365</f>
        <v>9.8632505643387228E-2</v>
      </c>
      <c r="I54" s="869">
        <f>(SUM(I$8:$L8)/AVERAGE(I$46:$L46)/SUM(I$4:$L4))*365</f>
        <v>9.8605195027340969E-2</v>
      </c>
      <c r="J54" s="869">
        <f>(SUM(J$8:$L8)/AVERAGE(J$46:$L46)/SUM(J$4:$L4))*365</f>
        <v>9.8584145102351695E-2</v>
      </c>
      <c r="K54" s="869">
        <f>(SUM(K$8:$L8)/AVERAGE(K$46:$L46)/SUM(K$4:$L4))*365</f>
        <v>9.8534902314409561E-2</v>
      </c>
      <c r="L54" s="869">
        <f>(SUM($L$8:L8)/AVERAGE($L$46:L46)/SUM($L$4:L4))*365</f>
        <v>9.8543839085459037E-2</v>
      </c>
      <c r="M54" s="869">
        <f>(SUM($L$8:M8)/AVERAGE($L$46:M46)/SUM($L$4:M4))*365</f>
        <v>9.8567349613833233E-2</v>
      </c>
      <c r="N54" s="869">
        <f>(SUM($L$8:N8)/AVERAGE($L$46:N46)/SUM($L$4:N4))*365</f>
        <v>9.8522745445123711E-2</v>
      </c>
      <c r="O54" s="869">
        <f>(SUM($L$8:O8)/AVERAGE($L$46:O46)/SUM($L$4:O4))*365</f>
        <v>9.8485259250002108E-2</v>
      </c>
      <c r="P54" s="869">
        <f>(SUM($L$8:P8)/AVERAGE($L$46:P46)/SUM($L$4:P4))*365</f>
        <v>9.8526368006453757E-2</v>
      </c>
    </row>
    <row r="55" spans="1:17" x14ac:dyDescent="0.25">
      <c r="A55" s="725"/>
      <c r="B55" s="858" t="s">
        <v>1311</v>
      </c>
      <c r="C55" s="871"/>
      <c r="D55" s="870"/>
      <c r="E55" s="869">
        <f>(SUM(E$14:$L14)/AVERAGE(E$47:$L47)/SUM(E$4:$L4))*365</f>
        <v>0.13749220458954511</v>
      </c>
      <c r="F55" s="869">
        <f>(SUM(F$14:$L14)/AVERAGE(F$47:$L47)/SUM(F$4:$L4))*365</f>
        <v>0.13993439220596671</v>
      </c>
      <c r="G55" s="869">
        <f>(SUM(G$14:$L14)/AVERAGE(G$47:$L47)/SUM(G$4:$L4))*365</f>
        <v>0.14018994927655906</v>
      </c>
      <c r="H55" s="869">
        <f>(SUM(H$14:$L14)/AVERAGE(H$47:$L47)/SUM(H$4:$L4))*365</f>
        <v>0.14069936225453911</v>
      </c>
      <c r="I55" s="869">
        <f>(SUM(I$14:$L14)/AVERAGE(I$47:$L47)/SUM(I$4:$L4))*365</f>
        <v>0.14083513476812246</v>
      </c>
      <c r="J55" s="869">
        <f>(SUM(J$14:$L14)/AVERAGE(J$47:$L47)/SUM(J$4:$L4))*365</f>
        <v>0.14125168627553514</v>
      </c>
      <c r="K55" s="869">
        <f>(SUM(K$14:$L14)/AVERAGE(K$47:$L47)/SUM(K$4:$L4))*365</f>
        <v>0.14150386690925207</v>
      </c>
      <c r="L55" s="869">
        <f>(SUM($L$14:L14)/AVERAGE($L$47:L47)/SUM($L$4:L4))*365</f>
        <v>0.14183010962760795</v>
      </c>
      <c r="M55" s="869">
        <f>(SUM($L$14:M14)/AVERAGE($L$47:M47)/SUM($L$4:M4))*365</f>
        <v>0.14206945735086079</v>
      </c>
      <c r="N55" s="869">
        <f>(SUM($L$14:N14)/AVERAGE($L$47:N47)/SUM($L$4:N4))*365</f>
        <v>0.14248112275264765</v>
      </c>
      <c r="O55" s="869">
        <f>(SUM($L$14:O14)/AVERAGE($L$47:O47)/SUM($L$4:O4))*365</f>
        <v>0.14268471468908753</v>
      </c>
      <c r="P55" s="869">
        <f>(SUM($L$14:P14)/AVERAGE($L$47:P47)/SUM($L$4:P4))*365</f>
        <v>0.14298544834304153</v>
      </c>
    </row>
    <row r="56" spans="1:17" x14ac:dyDescent="0.25">
      <c r="A56" s="725"/>
      <c r="B56" s="858" t="s">
        <v>1312</v>
      </c>
      <c r="C56" s="871"/>
      <c r="D56" s="870"/>
      <c r="E56" s="869">
        <f>(SUM(E$20:$L20)/AVERAGE(E$48:$L48)/SUM(E$4:$L4))*365</f>
        <v>0.14004280591231</v>
      </c>
      <c r="F56" s="869">
        <f>(SUM(F$20:$L20)/AVERAGE(F$48:$L48)/SUM(F$4:$L4))*365</f>
        <v>0.14054729242214309</v>
      </c>
      <c r="G56" s="869">
        <f>(SUM(G$20:$L20)/AVERAGE(G$48:$L48)/SUM(G$4:$L4))*365</f>
        <v>0.14068980785411353</v>
      </c>
      <c r="H56" s="869">
        <f>(SUM(H$20:$L20)/AVERAGE(H$48:$L48)/SUM(H$4:$L4))*365</f>
        <v>0.1410901905048457</v>
      </c>
      <c r="I56" s="869">
        <f>(SUM(I$20:$L20)/AVERAGE(I$48:$L48)/SUM(I$4:$L4))*365</f>
        <v>0.14131957944629631</v>
      </c>
      <c r="J56" s="869">
        <f>(SUM(J$20:$L20)/AVERAGE(J$48:$L48)/SUM(J$4:$L4))*365</f>
        <v>0.14166005706516233</v>
      </c>
      <c r="K56" s="869">
        <f>(SUM(K$20:$L20)/AVERAGE(K$48:$L48)/SUM(K$4:$L4))*365</f>
        <v>0.1418544411211517</v>
      </c>
      <c r="L56" s="869">
        <f>(SUM($L$20:L20)/AVERAGE($L$48:L48)/SUM($L$4:L4))*365</f>
        <v>0.14211760100593235</v>
      </c>
      <c r="M56" s="869">
        <f>(SUM($L$20:M20)/AVERAGE($L$48:M48)/SUM($L$4:M4))*365</f>
        <v>0.14234741824622035</v>
      </c>
      <c r="N56" s="869">
        <f>(SUM($L$20:N20)/AVERAGE($L$48:N48)/SUM($L$4:N4))*365</f>
        <v>0.14263262196874563</v>
      </c>
      <c r="O56" s="869">
        <f>(SUM($L$20:O20)/AVERAGE($L$48:O48)/SUM($L$4:O4))*365</f>
        <v>0.14279074949627377</v>
      </c>
      <c r="P56" s="869">
        <f>(SUM($L$20:P20)/AVERAGE($L$48:P48)/SUM($L$4:P4))*365</f>
        <v>0.14305677985074639</v>
      </c>
    </row>
    <row r="57" spans="1:17" x14ac:dyDescent="0.25">
      <c r="A57" s="725"/>
      <c r="B57" s="858" t="s">
        <v>1313</v>
      </c>
      <c r="C57" s="871"/>
      <c r="D57" s="870"/>
      <c r="E57" s="869">
        <f>(SUM(E$26:$L26)/AVERAGE(E$49:$L49)/SUM(E$4:$L4))*365</f>
        <v>0.13460476926286652</v>
      </c>
      <c r="F57" s="869">
        <f>(SUM(F$26:$L26)/AVERAGE(F$49:$L49)/SUM(F$4:$L4))*365</f>
        <v>0.13451834101471014</v>
      </c>
      <c r="G57" s="869">
        <f>(SUM(G$26:$L26)/AVERAGE(G$49:$L49)/SUM(G$4:$L4))*365</f>
        <v>0.13456590157524731</v>
      </c>
      <c r="H57" s="869">
        <f>(SUM(H$26:$L26)/AVERAGE(H$49:$L49)/SUM(H$4:$L4))*365</f>
        <v>0.13456285853045291</v>
      </c>
      <c r="I57" s="869">
        <f>(SUM(I$26:$L26)/AVERAGE(I$49:$L49)/SUM(I$4:$L4))*365</f>
        <v>0.13460192654484252</v>
      </c>
      <c r="J57" s="869">
        <f>(SUM(J$26:$L26)/AVERAGE(J$49:$L49)/SUM(J$4:$L4))*365</f>
        <v>0.13463075426460566</v>
      </c>
      <c r="K57" s="869">
        <f>(SUM(K$26:$L26)/AVERAGE(K$49:$L49)/SUM(K$4:$L4))*365</f>
        <v>0.13467376491839922</v>
      </c>
      <c r="L57" s="869">
        <f>(SUM($L$26:L26)/AVERAGE($L$49:L49)/SUM($L$4:L4))*365</f>
        <v>0.13468699035263659</v>
      </c>
      <c r="M57" s="869">
        <f>(SUM($L$26:M26)/AVERAGE($L$49:M49)/SUM($L$4:M4))*365</f>
        <v>0.13472357604631488</v>
      </c>
      <c r="N57" s="869">
        <f>(SUM($L$26:N26)/AVERAGE($L$49:N49)/SUM($L$4:N4))*365</f>
        <v>0.13477470560096605</v>
      </c>
      <c r="O57" s="869">
        <f>(SUM($L$26:O26)/AVERAGE($L$49:O49)/SUM($L$4:O4))*365</f>
        <v>0.13479290226478796</v>
      </c>
      <c r="P57" s="869">
        <f>(SUM($L$26:P26)/AVERAGE($L$49:P49)/SUM($L$4:P4))*365</f>
        <v>0.13482534800320922</v>
      </c>
    </row>
    <row r="58" spans="1:17" x14ac:dyDescent="0.25">
      <c r="A58" s="725"/>
      <c r="B58" s="858" t="s">
        <v>1314</v>
      </c>
      <c r="C58" s="871"/>
      <c r="D58" s="870"/>
      <c r="E58" s="869">
        <f>(SUM(E$32:$L32)/AVERAGE(E$50:$L50)/SUM(E$4:$L4))*365</f>
        <v>0.1549383479174177</v>
      </c>
      <c r="F58" s="869">
        <f>(SUM(F$32:$L32)/AVERAGE(F$50:$L50)/SUM(F$4:$L4))*365</f>
        <v>0.1552353733380662</v>
      </c>
      <c r="G58" s="869">
        <f>(SUM(G$32:$L32)/AVERAGE(G$50:$L50)/SUM(G$4:$L4))*365</f>
        <v>0.15545407371500683</v>
      </c>
      <c r="H58" s="869">
        <f>(SUM(H$32:$L32)/AVERAGE(H$50:$L50)/SUM(H$4:$L4))*365</f>
        <v>0.1555397093350793</v>
      </c>
      <c r="I58" s="869">
        <f>(SUM(I$32:$L32)/AVERAGE(I$50:$L50)/SUM(I$4:$L4))*365</f>
        <v>0.15567631908976351</v>
      </c>
      <c r="J58" s="869">
        <f>(SUM(J$32:$L32)/AVERAGE(J$50:$L50)/SUM(J$4:$L4))*365</f>
        <v>0.1557412589228554</v>
      </c>
      <c r="K58" s="869">
        <f>(SUM(K$32:$L32)/AVERAGE(K$50:$L50)/SUM(K$4:$L4))*365</f>
        <v>0.15594159091658347</v>
      </c>
      <c r="L58" s="869">
        <f>(SUM($L$32:L32)/AVERAGE($L$50:L50)/SUM($L$4:L4))*365</f>
        <v>0.15604939278041258</v>
      </c>
      <c r="M58" s="869">
        <f>(SUM($L$32:M32)/AVERAGE($L$50:M50)/SUM($L$4:M4))*365</f>
        <v>0.15608889255761754</v>
      </c>
      <c r="N58" s="869">
        <f>(SUM($L$32:N32)/AVERAGE($L$50:N50)/SUM($L$4:N4))*365</f>
        <v>0.1562601380256611</v>
      </c>
      <c r="O58" s="869">
        <f>(SUM($L$32:O32)/AVERAGE($L$50:O50)/SUM($L$4:O4))*365</f>
        <v>0.1562766187655569</v>
      </c>
      <c r="P58" s="869">
        <f>(SUM($L$32:P32)/AVERAGE($L$50:P50)/SUM($L$4:P4))*365</f>
        <v>0.15637319212592679</v>
      </c>
    </row>
    <row r="59" spans="1:17" x14ac:dyDescent="0.25">
      <c r="A59" s="725"/>
      <c r="B59" s="858" t="s">
        <v>1315</v>
      </c>
      <c r="C59" s="871"/>
      <c r="D59" s="870"/>
      <c r="E59" s="869">
        <f>((E52/(AVERAGE($E$44:E44))/SUM($E$4:E4))*365)</f>
        <v>0.11118279501095961</v>
      </c>
      <c r="F59" s="869">
        <f>((F52/(AVERAGE($E$44:F44))/SUM($E$4:F4))*365)</f>
        <v>0.11799671591051407</v>
      </c>
      <c r="G59" s="869">
        <f>((G52/(AVERAGE($E$44:G44))/SUM($E$4:G4))*365)</f>
        <v>0.12160235470927247</v>
      </c>
      <c r="H59" s="869">
        <f>((H52/(AVERAGE($E$44:H44))/SUM($E$4:H4))*365)</f>
        <v>0.12390207425984831</v>
      </c>
      <c r="I59" s="869">
        <f>((I52/(AVERAGE($E$44:I44))/SUM($E$4:I4))*365)</f>
        <v>0.12570246595280687</v>
      </c>
      <c r="J59" s="869">
        <f>((J52/(AVERAGE($E$44:J44))/SUM($E$4:J4))*365)</f>
        <v>0.12702496070257194</v>
      </c>
      <c r="K59" s="869">
        <f>((K52/(AVERAGE($E$44:K44))/SUM($E$4:K4))*365)</f>
        <v>0.12834388757250711</v>
      </c>
      <c r="L59" s="869">
        <f>((L52/(AVERAGE($E$44:L44))/SUM($E$4:L4))*365)</f>
        <v>0.12950152270464074</v>
      </c>
      <c r="M59" s="869">
        <f>((M52/(AVERAGE($E$44:M44))/SUM($E$4:M4))*365)</f>
        <v>0.13040434623444999</v>
      </c>
      <c r="N59" s="869">
        <f>((N52/(AVERAGE($E$44:N44))/SUM($E$4:N4))*365)</f>
        <v>0.13138655996048593</v>
      </c>
      <c r="O59" s="869">
        <f>((O52/(AVERAGE($E$44:O44))/SUM($E$4:O4))*365)</f>
        <v>0.1321406623903153</v>
      </c>
      <c r="P59" s="869">
        <f>((P52/(AVERAGE($E$44:P44))/SUM($E$4:P4))*365)</f>
        <v>0.13297179847545704</v>
      </c>
    </row>
    <row r="223" spans="38:38" ht="15" customHeight="1" x14ac:dyDescent="0.25">
      <c r="AL223" s="683">
        <f>IF(AL225&gt;0,AL225,0)</f>
        <v>0</v>
      </c>
    </row>
    <row r="224" spans="38:38" ht="15" customHeight="1" x14ac:dyDescent="0.25">
      <c r="AL224" s="683">
        <f>IF(AL225&lt;0,AL225,0)</f>
        <v>0</v>
      </c>
    </row>
  </sheetData>
  <printOptions horizontalCentered="1" verticalCentered="1"/>
  <pageMargins left="0.31496062992125984" right="0.31496062992125984" top="0.74803149606299213" bottom="0.74803149606299213" header="0.31496062992125984" footer="0.31496062992125984"/>
  <pageSetup paperSize="9" scale="65" orientation="landscape" useFirstPageNumber="1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  <pageSetUpPr fitToPage="1"/>
  </sheetPr>
  <dimension ref="A1:H16"/>
  <sheetViews>
    <sheetView showGridLines="0" zoomScaleNormal="100" workbookViewId="0">
      <pane ySplit="1" topLeftCell="A10" activePane="bottomLeft" state="frozen"/>
      <selection pane="bottomLeft" activeCell="C15" sqref="C15"/>
    </sheetView>
  </sheetViews>
  <sheetFormatPr baseColWidth="10" defaultColWidth="11.42578125" defaultRowHeight="15" x14ac:dyDescent="0.25"/>
  <cols>
    <col min="1" max="1" width="13.42578125" style="872" customWidth="1"/>
    <col min="2" max="2" width="26.5703125" customWidth="1"/>
    <col min="3" max="3" width="15.5703125" customWidth="1"/>
    <col min="4" max="4" width="16.28515625" customWidth="1"/>
    <col min="5" max="5" width="15.5703125" customWidth="1"/>
    <col min="6" max="6" width="16.28515625" customWidth="1"/>
    <col min="7" max="7" width="21.28515625" customWidth="1"/>
    <col min="8" max="8" width="16.28515625" customWidth="1"/>
    <col min="9" max="9" width="15.140625" customWidth="1"/>
    <col min="16384" max="16384" width="10.140625" customWidth="1"/>
  </cols>
  <sheetData>
    <row r="1" spans="1:8" ht="33" customHeight="1" x14ac:dyDescent="0.25">
      <c r="A1" s="99" t="str">
        <f>ColocPorSegm!B1</f>
        <v>BANCO CAPITAL S.A.</v>
      </c>
    </row>
    <row r="2" spans="1:8" ht="33" hidden="1" customHeight="1" x14ac:dyDescent="0.25">
      <c r="A2" s="342"/>
      <c r="E2" s="873" t="s">
        <v>682</v>
      </c>
      <c r="G2" s="874" t="s">
        <v>20</v>
      </c>
    </row>
    <row r="3" spans="1:8" ht="23.25" hidden="1" customHeight="1" x14ac:dyDescent="0.25">
      <c r="A3" s="875" t="s">
        <v>1316</v>
      </c>
      <c r="D3" s="876"/>
    </row>
    <row r="4" spans="1:8" s="768" customFormat="1" ht="63" hidden="1" customHeight="1" x14ac:dyDescent="0.25">
      <c r="A4" s="877" t="s">
        <v>1281</v>
      </c>
      <c r="B4" s="878" t="s">
        <v>1282</v>
      </c>
      <c r="C4" s="878" t="s">
        <v>1317</v>
      </c>
      <c r="D4" s="878" t="s">
        <v>1318</v>
      </c>
      <c r="E4" s="877" t="s">
        <v>1319</v>
      </c>
      <c r="F4" s="878" t="s">
        <v>1320</v>
      </c>
      <c r="G4" s="877" t="s">
        <v>1321</v>
      </c>
      <c r="H4" s="878" t="s">
        <v>1322</v>
      </c>
    </row>
    <row r="5" spans="1:8" s="517" customFormat="1" ht="21.75" hidden="1" customHeight="1" x14ac:dyDescent="0.25">
      <c r="A5" s="879">
        <v>2101</v>
      </c>
      <c r="B5" s="880" t="s">
        <v>1323</v>
      </c>
      <c r="C5" s="881">
        <f>BGhoriz!P154</f>
        <v>1654073.08</v>
      </c>
      <c r="D5" s="882">
        <f>+C5/$C$8</f>
        <v>5.574871367372046E-2</v>
      </c>
      <c r="E5" s="883"/>
      <c r="F5" s="882" t="e">
        <f>E5/$E$8</f>
        <v>#DIV/0!</v>
      </c>
      <c r="G5" s="884">
        <f>C5+E5</f>
        <v>1654073.08</v>
      </c>
      <c r="H5" s="882">
        <f>G5/$G$8</f>
        <v>5.574871367372046E-2</v>
      </c>
    </row>
    <row r="6" spans="1:8" s="517" customFormat="1" ht="21.75" hidden="1" customHeight="1" x14ac:dyDescent="0.25">
      <c r="A6" s="879">
        <v>2103</v>
      </c>
      <c r="B6" s="880" t="s">
        <v>434</v>
      </c>
      <c r="C6" s="881">
        <f>BGhoriz!P160</f>
        <v>27935747.670000002</v>
      </c>
      <c r="D6" s="882">
        <f>+C6/$C$8</f>
        <v>0.94154364577176575</v>
      </c>
      <c r="E6" s="883"/>
      <c r="F6" s="882" t="e">
        <f>E6/$E$8</f>
        <v>#DIV/0!</v>
      </c>
      <c r="G6" s="884">
        <f>C6+E6</f>
        <v>27935747.670000002</v>
      </c>
      <c r="H6" s="882">
        <f t="shared" ref="H6:H7" si="0">G6/$G$8</f>
        <v>0.94154364577176575</v>
      </c>
    </row>
    <row r="7" spans="1:8" s="517" customFormat="1" ht="21.75" hidden="1" customHeight="1" x14ac:dyDescent="0.25">
      <c r="A7" s="879">
        <v>2105</v>
      </c>
      <c r="B7" s="880" t="s">
        <v>304</v>
      </c>
      <c r="C7" s="881">
        <f>BGhoriz!P166</f>
        <v>80336.12</v>
      </c>
      <c r="D7" s="882">
        <f>+C7/$C$8</f>
        <v>2.7076405545138592E-3</v>
      </c>
      <c r="E7" s="885">
        <v>0</v>
      </c>
      <c r="F7" s="882" t="e">
        <f>E7/$E$8</f>
        <v>#DIV/0!</v>
      </c>
      <c r="G7" s="884">
        <f>C7+E7</f>
        <v>80336.12</v>
      </c>
      <c r="H7" s="882">
        <f t="shared" si="0"/>
        <v>2.7076405545138592E-3</v>
      </c>
    </row>
    <row r="8" spans="1:8" s="2" customFormat="1" ht="27" hidden="1" customHeight="1" x14ac:dyDescent="0.25">
      <c r="A8" s="643"/>
      <c r="B8" s="886" t="s">
        <v>66</v>
      </c>
      <c r="C8" s="887">
        <f>+SUM(C5:C7)</f>
        <v>29670156.870000001</v>
      </c>
      <c r="D8" s="888">
        <f>+SUM(D5:D7)</f>
        <v>1</v>
      </c>
      <c r="E8" s="887">
        <f>SUM(E5:E7)</f>
        <v>0</v>
      </c>
      <c r="F8" s="888" t="e">
        <f>+SUM(F5:F7)</f>
        <v>#DIV/0!</v>
      </c>
      <c r="G8" s="887">
        <f>SUM(G5:G7)</f>
        <v>29670156.870000001</v>
      </c>
      <c r="H8" s="888">
        <f>+SUM(H5:H7)</f>
        <v>1</v>
      </c>
    </row>
    <row r="10" spans="1:8" ht="23.45" customHeight="1" x14ac:dyDescent="0.25">
      <c r="A10" s="342"/>
      <c r="E10" s="889" t="str">
        <f>Premisas!D1</f>
        <v>PRESUPUESTO  2026</v>
      </c>
      <c r="G10" s="874"/>
    </row>
    <row r="11" spans="1:8" ht="23.25" customHeight="1" x14ac:dyDescent="0.35">
      <c r="A11" s="875" t="s">
        <v>1316</v>
      </c>
      <c r="D11" s="876"/>
    </row>
    <row r="12" spans="1:8" s="768" customFormat="1" ht="63" customHeight="1" x14ac:dyDescent="0.25">
      <c r="A12" s="877" t="s">
        <v>1281</v>
      </c>
      <c r="B12" s="878" t="s">
        <v>1282</v>
      </c>
      <c r="C12" s="878" t="s">
        <v>1324</v>
      </c>
      <c r="D12" s="878" t="s">
        <v>1325</v>
      </c>
      <c r="E12" s="877" t="s">
        <v>1326</v>
      </c>
      <c r="F12" s="878" t="s">
        <v>1327</v>
      </c>
      <c r="G12" s="877" t="s">
        <v>1328</v>
      </c>
      <c r="H12" s="878" t="s">
        <v>1329</v>
      </c>
    </row>
    <row r="13" spans="1:8" s="517" customFormat="1" ht="21.75" customHeight="1" x14ac:dyDescent="0.25">
      <c r="A13" s="879">
        <v>2101</v>
      </c>
      <c r="B13" s="880" t="s">
        <v>1323</v>
      </c>
      <c r="C13" s="881">
        <f>BGhoriz!AL154</f>
        <v>3263886.28</v>
      </c>
      <c r="D13" s="882">
        <f>+C13/$C$16</f>
        <v>5.7821053624957923E-2</v>
      </c>
      <c r="E13" s="890">
        <f>Premisas!F29</f>
        <v>2400000</v>
      </c>
      <c r="F13" s="882">
        <f>E13/$E$16</f>
        <v>3.1267099194872194E-2</v>
      </c>
      <c r="G13" s="884">
        <f>C13+E13</f>
        <v>5663886.2799999993</v>
      </c>
      <c r="H13" s="882">
        <f>G13/$G$16</f>
        <v>4.2519734446453017E-2</v>
      </c>
    </row>
    <row r="14" spans="1:8" s="517" customFormat="1" ht="21.75" customHeight="1" x14ac:dyDescent="0.25">
      <c r="A14" s="879">
        <v>2103</v>
      </c>
      <c r="B14" s="880" t="s">
        <v>434</v>
      </c>
      <c r="C14" s="881">
        <f>BGhoriz!AL160</f>
        <v>53103837.18</v>
      </c>
      <c r="D14" s="882">
        <f>+C14/$C$16</f>
        <v>0.94075575981030035</v>
      </c>
      <c r="E14" s="890">
        <f>Premisas!F30</f>
        <v>74358000</v>
      </c>
      <c r="F14" s="882">
        <f>E14/$E$16</f>
        <v>0.96873290080512775</v>
      </c>
      <c r="G14" s="884">
        <f>C14+E14</f>
        <v>127461837.18000001</v>
      </c>
      <c r="H14" s="882">
        <f>G14/$G$16</f>
        <v>0.95687716896579933</v>
      </c>
    </row>
    <row r="15" spans="1:8" s="517" customFormat="1" ht="21.75" customHeight="1" x14ac:dyDescent="0.25">
      <c r="A15" s="879">
        <v>2105</v>
      </c>
      <c r="B15" s="880" t="s">
        <v>304</v>
      </c>
      <c r="C15" s="881">
        <f>BGhoriz!AL166</f>
        <v>80336.12</v>
      </c>
      <c r="D15" s="882">
        <f>+C15/$C$16</f>
        <v>1.4231865647417884E-3</v>
      </c>
      <c r="E15" s="883"/>
      <c r="F15" s="882">
        <f>E15/$E$16</f>
        <v>0</v>
      </c>
      <c r="G15" s="884">
        <f>C15+E15</f>
        <v>80336.12</v>
      </c>
      <c r="H15" s="882">
        <f>G15/$G$16</f>
        <v>6.0309658774758857E-4</v>
      </c>
    </row>
    <row r="16" spans="1:8" s="2" customFormat="1" ht="27" customHeight="1" x14ac:dyDescent="0.25">
      <c r="A16" s="643"/>
      <c r="B16" s="886" t="s">
        <v>66</v>
      </c>
      <c r="C16" s="887">
        <f>+SUM(C13:C15)</f>
        <v>56448059.579999998</v>
      </c>
      <c r="D16" s="888">
        <f>+SUM(D13:D15)</f>
        <v>1</v>
      </c>
      <c r="E16" s="887">
        <f>SUM(E13:E15)</f>
        <v>76758000</v>
      </c>
      <c r="F16" s="888">
        <f>+SUM(F13:F15)</f>
        <v>1</v>
      </c>
      <c r="G16" s="887">
        <f>SUM(G13:G15)</f>
        <v>133206059.58000001</v>
      </c>
      <c r="H16" s="888">
        <f>+SUM(H13:H15)</f>
        <v>0.99999999999999989</v>
      </c>
    </row>
  </sheetData>
  <printOptions horizontalCentered="1"/>
  <pageMargins left="1.8897637795275593" right="1.8897637795275593" top="0.94488188976377963" bottom="0.94488188976377963" header="0.31496062992125984" footer="0.31496062992125984"/>
  <pageSetup paperSize="9" scale="85" fitToHeight="2" orientation="landscape" useFirstPageNumber="1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  <pageSetUpPr fitToPage="1"/>
  </sheetPr>
  <dimension ref="A1:V20"/>
  <sheetViews>
    <sheetView showGridLines="0" zoomScaleNormal="100" workbookViewId="0">
      <pane ySplit="1" topLeftCell="A2" activePane="bottomLeft" state="frozen"/>
      <selection pane="bottomLeft" activeCell="K6" sqref="K6"/>
    </sheetView>
  </sheetViews>
  <sheetFormatPr baseColWidth="10" defaultColWidth="0" defaultRowHeight="15" x14ac:dyDescent="0.25"/>
  <cols>
    <col min="1" max="1" width="13" customWidth="1"/>
    <col min="2" max="2" width="12.7109375" customWidth="1"/>
    <col min="3" max="3" width="5.5703125" customWidth="1"/>
    <col min="4" max="4" width="13.42578125" customWidth="1"/>
    <col min="5" max="5" width="13.28515625" customWidth="1"/>
    <col min="6" max="6" width="2" customWidth="1"/>
    <col min="7" max="7" width="14.140625" customWidth="1"/>
    <col min="8" max="8" width="14.28515625" customWidth="1"/>
    <col min="9" max="9" width="2" customWidth="1"/>
    <col min="10" max="11" width="13.42578125" customWidth="1"/>
    <col min="12" max="12" width="15.42578125" customWidth="1"/>
    <col min="13" max="14" width="10.7109375" customWidth="1"/>
    <col min="15" max="15" width="14.85546875" customWidth="1"/>
    <col min="16" max="16" width="14.140625" customWidth="1"/>
    <col min="17" max="18" width="11.42578125" customWidth="1"/>
    <col min="19" max="22" width="0" hidden="1" customWidth="1"/>
    <col min="23" max="23" width="11.42578125" hidden="1" customWidth="1"/>
    <col min="24" max="16384" width="11.42578125" hidden="1"/>
  </cols>
  <sheetData>
    <row r="1" spans="1:14" ht="33" customHeight="1" x14ac:dyDescent="0.25">
      <c r="A1" s="99" t="str">
        <f>ProyCapt!A1</f>
        <v>BANCO CAPITAL S.A.</v>
      </c>
    </row>
    <row r="2" spans="1:14" ht="14.25" customHeight="1" x14ac:dyDescent="0.25"/>
    <row r="3" spans="1:14" s="891" customFormat="1" ht="26.25" customHeight="1" x14ac:dyDescent="0.25">
      <c r="A3" s="873" t="s">
        <v>682</v>
      </c>
      <c r="B3" s="892"/>
      <c r="C3" s="892"/>
      <c r="D3" s="893">
        <v>2025</v>
      </c>
      <c r="E3" s="894"/>
      <c r="F3" s="895"/>
      <c r="G3" s="894"/>
      <c r="H3" s="894"/>
      <c r="I3" s="895"/>
      <c r="J3" s="896"/>
      <c r="K3" s="894"/>
      <c r="L3" s="895"/>
      <c r="M3" s="894"/>
      <c r="N3" s="894"/>
    </row>
    <row r="4" spans="1:14" s="897" customFormat="1" ht="28.5" customHeight="1" x14ac:dyDescent="0.25">
      <c r="A4" s="898" t="s">
        <v>1330</v>
      </c>
    </row>
    <row r="5" spans="1:14" ht="32.25" customHeight="1" x14ac:dyDescent="0.25">
      <c r="A5" s="899" t="s">
        <v>1221</v>
      </c>
      <c r="B5" s="900" t="s">
        <v>1331</v>
      </c>
      <c r="C5" s="901" t="s">
        <v>698</v>
      </c>
      <c r="D5" s="899" t="s">
        <v>1332</v>
      </c>
      <c r="E5" s="900" t="s">
        <v>1333</v>
      </c>
      <c r="G5" s="899" t="s">
        <v>1334</v>
      </c>
      <c r="H5" s="900" t="s">
        <v>1335</v>
      </c>
      <c r="J5" s="899" t="s">
        <v>1336</v>
      </c>
      <c r="K5" s="900" t="s">
        <v>1337</v>
      </c>
      <c r="L5" s="900" t="s">
        <v>1338</v>
      </c>
      <c r="M5" s="902" t="s">
        <v>1339</v>
      </c>
      <c r="N5" s="902" t="s">
        <v>1340</v>
      </c>
    </row>
    <row r="6" spans="1:14" x14ac:dyDescent="0.25">
      <c r="A6" s="903" t="s">
        <v>835</v>
      </c>
      <c r="B6" s="904">
        <f t="shared" ref="B6:B12" si="0">NETWORKDAYS.INTL(M6,N6)</f>
        <v>22</v>
      </c>
      <c r="C6" s="905">
        <v>8.3333333333333343E-2</v>
      </c>
      <c r="D6" s="906">
        <f t="shared" ref="D6:D11" si="1">$D$18*C6</f>
        <v>200000.00000000003</v>
      </c>
      <c r="E6" s="907">
        <f>IF(B6=0,0,ProyCapt!C13+D6)</f>
        <v>3463886.28</v>
      </c>
      <c r="F6" s="908"/>
      <c r="G6" s="909">
        <f t="shared" ref="G6:G11" si="2">$G$18*C6</f>
        <v>6196500.0000000009</v>
      </c>
      <c r="H6" s="907">
        <f>IF(B6=0,0,ProyCapt!C14+G6)</f>
        <v>59300337.18</v>
      </c>
      <c r="I6" s="908"/>
      <c r="J6" s="909">
        <f>+$J$18*(B6/$B$18)</f>
        <v>0</v>
      </c>
      <c r="K6" s="907">
        <f>IF(B6=0,0,ProyCapt!C15+J6)</f>
        <v>80336.12</v>
      </c>
      <c r="L6" s="910">
        <f>E6+H6+K6</f>
        <v>62844559.579999998</v>
      </c>
      <c r="M6" s="911">
        <v>46023</v>
      </c>
      <c r="N6" s="912">
        <f>M6+30</f>
        <v>46053</v>
      </c>
    </row>
    <row r="7" spans="1:14" x14ac:dyDescent="0.25">
      <c r="A7" s="913" t="s">
        <v>836</v>
      </c>
      <c r="B7" s="904">
        <f t="shared" si="0"/>
        <v>20</v>
      </c>
      <c r="C7" s="905">
        <v>8.3333333333333343E-2</v>
      </c>
      <c r="D7" s="906">
        <f t="shared" si="1"/>
        <v>200000.00000000003</v>
      </c>
      <c r="E7" s="914">
        <f>IF(B7=0,0,ProyCapt!C13+D6+D7)</f>
        <v>3663886.28</v>
      </c>
      <c r="F7" s="908"/>
      <c r="G7" s="909">
        <f t="shared" si="2"/>
        <v>6196500.0000000009</v>
      </c>
      <c r="H7" s="914">
        <f>IF(B7=0,0,ProyCapt!C14+G6+G7)</f>
        <v>65496837.18</v>
      </c>
      <c r="I7" s="908"/>
      <c r="J7" s="909">
        <f t="shared" ref="J7:J17" si="3">+$J$18*(B7/$B$18)</f>
        <v>0</v>
      </c>
      <c r="K7" s="914">
        <f>IF(B7=0,0,ProyCapt!C15+J6+J7)</f>
        <v>80336.12</v>
      </c>
      <c r="L7" s="910">
        <f t="shared" ref="L7:L17" si="4">E7+H7+K7</f>
        <v>69241059.579999998</v>
      </c>
      <c r="M7" s="912">
        <f t="shared" ref="M7:M17" si="5">N6+1</f>
        <v>46054</v>
      </c>
      <c r="N7" s="912">
        <f>M7+27</f>
        <v>46081</v>
      </c>
    </row>
    <row r="8" spans="1:14" x14ac:dyDescent="0.25">
      <c r="A8" s="913" t="s">
        <v>837</v>
      </c>
      <c r="B8" s="904">
        <f t="shared" si="0"/>
        <v>22</v>
      </c>
      <c r="C8" s="905">
        <v>8.3333333333333343E-2</v>
      </c>
      <c r="D8" s="906">
        <f t="shared" si="1"/>
        <v>200000.00000000003</v>
      </c>
      <c r="E8" s="914">
        <f>IF(B8=0,0,ProyCapt!C13+D6+D7+D8)</f>
        <v>3863886.28</v>
      </c>
      <c r="F8" s="908"/>
      <c r="G8" s="909">
        <f t="shared" si="2"/>
        <v>6196500.0000000009</v>
      </c>
      <c r="H8" s="914">
        <f>IF(B8=0,0,ProyCapt!C14+G6+G7+G8)</f>
        <v>71693337.180000007</v>
      </c>
      <c r="I8" s="908"/>
      <c r="J8" s="909">
        <f t="shared" si="3"/>
        <v>0</v>
      </c>
      <c r="K8" s="914">
        <f>IF(B8=0,0,ProyCapt!C15+J6+J7+J8)</f>
        <v>80336.12</v>
      </c>
      <c r="L8" s="910">
        <f t="shared" si="4"/>
        <v>75637559.580000013</v>
      </c>
      <c r="M8" s="912">
        <f t="shared" si="5"/>
        <v>46082</v>
      </c>
      <c r="N8" s="912">
        <f>M8+30</f>
        <v>46112</v>
      </c>
    </row>
    <row r="9" spans="1:14" x14ac:dyDescent="0.25">
      <c r="A9" s="913" t="s">
        <v>838</v>
      </c>
      <c r="B9" s="904">
        <f t="shared" si="0"/>
        <v>22</v>
      </c>
      <c r="C9" s="905">
        <v>8.3333333333333343E-2</v>
      </c>
      <c r="D9" s="906">
        <f t="shared" si="1"/>
        <v>200000.00000000003</v>
      </c>
      <c r="E9" s="914">
        <f>IF(B9=0,0,ProyCapt!C13+D6+D7+D8+D9)</f>
        <v>4063886.28</v>
      </c>
      <c r="F9" s="908"/>
      <c r="G9" s="909">
        <f t="shared" si="2"/>
        <v>6196500.0000000009</v>
      </c>
      <c r="H9" s="914">
        <f>IF(B9=0,0,ProyCapt!C14+G6+G7+G8+G9)</f>
        <v>77889837.180000007</v>
      </c>
      <c r="I9" s="908"/>
      <c r="J9" s="909">
        <f t="shared" si="3"/>
        <v>0</v>
      </c>
      <c r="K9" s="914">
        <f>IF(B9=0,0,ProyCapt!C15+J6+J7+J8+J9)</f>
        <v>80336.12</v>
      </c>
      <c r="L9" s="910">
        <f t="shared" si="4"/>
        <v>82034059.580000013</v>
      </c>
      <c r="M9" s="912">
        <f t="shared" si="5"/>
        <v>46113</v>
      </c>
      <c r="N9" s="912">
        <f>M9+29</f>
        <v>46142</v>
      </c>
    </row>
    <row r="10" spans="1:14" x14ac:dyDescent="0.25">
      <c r="A10" s="913" t="s">
        <v>839</v>
      </c>
      <c r="B10" s="904">
        <f t="shared" si="0"/>
        <v>21</v>
      </c>
      <c r="C10" s="905">
        <v>8.3333333333333343E-2</v>
      </c>
      <c r="D10" s="906">
        <f t="shared" si="1"/>
        <v>200000.00000000003</v>
      </c>
      <c r="E10" s="914">
        <f>IF(B10=0,0,ProyCapt!C13+D6+D7+D8+D9+D10)</f>
        <v>4263886.28</v>
      </c>
      <c r="F10" s="908"/>
      <c r="G10" s="909">
        <f t="shared" si="2"/>
        <v>6196500.0000000009</v>
      </c>
      <c r="H10" s="914">
        <f>IF(B10=0,0,ProyCapt!C14+G6+G7+G8+G9+G10)</f>
        <v>84086337.180000007</v>
      </c>
      <c r="I10" s="908"/>
      <c r="J10" s="909">
        <f t="shared" si="3"/>
        <v>0</v>
      </c>
      <c r="K10" s="914">
        <f>IF(B10=0,0,ProyCapt!C15+J6+J7+J8+J9+J10)</f>
        <v>80336.12</v>
      </c>
      <c r="L10" s="910">
        <f t="shared" si="4"/>
        <v>88430559.580000013</v>
      </c>
      <c r="M10" s="912">
        <f t="shared" si="5"/>
        <v>46143</v>
      </c>
      <c r="N10" s="912">
        <f>M10+30</f>
        <v>46173</v>
      </c>
    </row>
    <row r="11" spans="1:14" x14ac:dyDescent="0.25">
      <c r="A11" s="913" t="s">
        <v>840</v>
      </c>
      <c r="B11" s="904">
        <f t="shared" si="0"/>
        <v>22</v>
      </c>
      <c r="C11" s="905">
        <v>8.3333333333333343E-2</v>
      </c>
      <c r="D11" s="906">
        <f t="shared" si="1"/>
        <v>200000.00000000003</v>
      </c>
      <c r="E11" s="914">
        <f>IF(B11=0,0,ProyCapt!C13+D6+D7+D8+D9+D10+D11)</f>
        <v>4463886.28</v>
      </c>
      <c r="F11" s="908"/>
      <c r="G11" s="909">
        <f t="shared" si="2"/>
        <v>6196500.0000000009</v>
      </c>
      <c r="H11" s="914">
        <f>IF(B11=0,0,ProyCapt!C14+G6+G7+G8+G9+G10+G11)</f>
        <v>90282837.180000007</v>
      </c>
      <c r="I11" s="908"/>
      <c r="J11" s="909">
        <f t="shared" si="3"/>
        <v>0</v>
      </c>
      <c r="K11" s="914">
        <f>IF(B11=0,0,ProyCapt!C15+J6+J7+J8+J9+J10+J11)</f>
        <v>80336.12</v>
      </c>
      <c r="L11" s="910">
        <f t="shared" si="4"/>
        <v>94827059.580000013</v>
      </c>
      <c r="M11" s="912">
        <f t="shared" si="5"/>
        <v>46174</v>
      </c>
      <c r="N11" s="912">
        <f>M11+29</f>
        <v>46203</v>
      </c>
    </row>
    <row r="12" spans="1:14" x14ac:dyDescent="0.25">
      <c r="A12" s="913" t="s">
        <v>841</v>
      </c>
      <c r="B12" s="904">
        <f t="shared" si="0"/>
        <v>23</v>
      </c>
      <c r="C12" s="905">
        <v>8.3333333333333343E-2</v>
      </c>
      <c r="D12" s="906">
        <f>$D$18*C12</f>
        <v>200000.00000000003</v>
      </c>
      <c r="E12" s="914">
        <f>IF(B12=0,0,ProyCapt!C13+D6+D7+D8+D9+D10+D11+D12)</f>
        <v>4663886.28</v>
      </c>
      <c r="F12" s="908"/>
      <c r="G12" s="909">
        <f>$G$18*C12</f>
        <v>6196500.0000000009</v>
      </c>
      <c r="H12" s="914">
        <f>IF(B12=0,0,ProyCapt!C14+G6+G7+G8+G9+G10+G11+G12)</f>
        <v>96479337.180000007</v>
      </c>
      <c r="I12" s="908"/>
      <c r="J12" s="909">
        <f t="shared" si="3"/>
        <v>0</v>
      </c>
      <c r="K12" s="914">
        <f>IF(B12=0,0,ProyCapt!C15+J6+J7+J8+J9+J10+J11+J12)</f>
        <v>80336.12</v>
      </c>
      <c r="L12" s="910">
        <f t="shared" si="4"/>
        <v>101223559.58000001</v>
      </c>
      <c r="M12" s="912">
        <f t="shared" si="5"/>
        <v>46204</v>
      </c>
      <c r="N12" s="912">
        <f>M12+30</f>
        <v>46234</v>
      </c>
    </row>
    <row r="13" spans="1:14" x14ac:dyDescent="0.25">
      <c r="A13" s="913" t="s">
        <v>842</v>
      </c>
      <c r="B13" s="904">
        <f t="shared" ref="B13:B17" si="6">NETWORKDAYS.INTL(M13,N13)</f>
        <v>21</v>
      </c>
      <c r="C13" s="905">
        <v>8.3333333333333343E-2</v>
      </c>
      <c r="D13" s="906">
        <f t="shared" ref="D13:D17" si="7">$D$18*C13</f>
        <v>200000.00000000003</v>
      </c>
      <c r="E13" s="914">
        <f>IF(B13=0,0,ProyCapt!C13+D6+D7+D8+D9+D10+D11+D12+D13)</f>
        <v>4863886.28</v>
      </c>
      <c r="F13" s="908"/>
      <c r="G13" s="909">
        <f t="shared" ref="G13:G17" si="8">$G$18*C13</f>
        <v>6196500.0000000009</v>
      </c>
      <c r="H13" s="914">
        <f>IF(B13=0,0,ProyCapt!C14+G6+G7+G8+G9+G10+G11+G12+G13)</f>
        <v>102675837.18000001</v>
      </c>
      <c r="I13" s="908"/>
      <c r="J13" s="909">
        <f t="shared" si="3"/>
        <v>0</v>
      </c>
      <c r="K13" s="914">
        <f>IF(B13=0,0,ProyCapt!C15+J6+J7+J8+J9+J10+J11+J12+J13)</f>
        <v>80336.12</v>
      </c>
      <c r="L13" s="910">
        <f t="shared" si="4"/>
        <v>107620059.58000001</v>
      </c>
      <c r="M13" s="912">
        <f t="shared" si="5"/>
        <v>46235</v>
      </c>
      <c r="N13" s="912">
        <f>M13+30</f>
        <v>46265</v>
      </c>
    </row>
    <row r="14" spans="1:14" x14ac:dyDescent="0.25">
      <c r="A14" s="913" t="s">
        <v>843</v>
      </c>
      <c r="B14" s="904">
        <f t="shared" si="6"/>
        <v>22</v>
      </c>
      <c r="C14" s="905">
        <v>8.3333333333333343E-2</v>
      </c>
      <c r="D14" s="906">
        <f t="shared" si="7"/>
        <v>200000.00000000003</v>
      </c>
      <c r="E14" s="914">
        <f>IF(B14=0,0,ProyCapt!C13+D6+D7+D8+D9+D10+D11+D12+D14)</f>
        <v>4863886.28</v>
      </c>
      <c r="F14" s="908"/>
      <c r="G14" s="909">
        <f t="shared" si="8"/>
        <v>6196500.0000000009</v>
      </c>
      <c r="H14" s="914">
        <f>IF(B14=0,0,ProyCapt!C14+G6+G7+G8+G9+G10+G11+G12+G13+G14)</f>
        <v>108872337.18000001</v>
      </c>
      <c r="I14" s="908"/>
      <c r="J14" s="909">
        <f t="shared" si="3"/>
        <v>0</v>
      </c>
      <c r="K14" s="914">
        <f>IF(B14=0,0,ProyCapt!C15+J6+J7+J8+J9+J10+J11+J12+J13+J14)</f>
        <v>80336.12</v>
      </c>
      <c r="L14" s="910">
        <f t="shared" si="4"/>
        <v>113816559.58000001</v>
      </c>
      <c r="M14" s="912">
        <f t="shared" si="5"/>
        <v>46266</v>
      </c>
      <c r="N14" s="912">
        <f>M14+29</f>
        <v>46295</v>
      </c>
    </row>
    <row r="15" spans="1:14" x14ac:dyDescent="0.25">
      <c r="A15" s="913" t="s">
        <v>844</v>
      </c>
      <c r="B15" s="904">
        <f t="shared" si="6"/>
        <v>22</v>
      </c>
      <c r="C15" s="905">
        <v>8.3333333333333343E-2</v>
      </c>
      <c r="D15" s="906">
        <f t="shared" si="7"/>
        <v>200000.00000000003</v>
      </c>
      <c r="E15" s="914">
        <f>IF(B15=0,0,ProyCapt!C13+D6+D7+D8+D9+D10+D11+D12+D14+D15)</f>
        <v>5063886.28</v>
      </c>
      <c r="F15" s="908"/>
      <c r="G15" s="909">
        <f t="shared" si="8"/>
        <v>6196500.0000000009</v>
      </c>
      <c r="H15" s="914">
        <f>IF(B15=0,0,ProyCapt!C14+G6+G7+G8+G9+G10+G11+G12+G13+G14+G15)</f>
        <v>115068837.18000001</v>
      </c>
      <c r="I15" s="908"/>
      <c r="J15" s="909">
        <f t="shared" si="3"/>
        <v>0</v>
      </c>
      <c r="K15" s="914">
        <f>IF(B15=0,0,ProyCapt!C15+J6+J7+J8+J9+J10+J11+J12+J13+J14+J15)</f>
        <v>80336.12</v>
      </c>
      <c r="L15" s="910">
        <f t="shared" si="4"/>
        <v>120213059.58000001</v>
      </c>
      <c r="M15" s="912">
        <f t="shared" si="5"/>
        <v>46296</v>
      </c>
      <c r="N15" s="912">
        <f>M15+30</f>
        <v>46326</v>
      </c>
    </row>
    <row r="16" spans="1:14" x14ac:dyDescent="0.25">
      <c r="A16" s="913" t="s">
        <v>845</v>
      </c>
      <c r="B16" s="904">
        <f t="shared" si="6"/>
        <v>21</v>
      </c>
      <c r="C16" s="905">
        <v>8.3333333333333343E-2</v>
      </c>
      <c r="D16" s="906">
        <f t="shared" si="7"/>
        <v>200000.00000000003</v>
      </c>
      <c r="E16" s="914">
        <f>IF(B16=0,0,ProyCapt!C13+D6+D7+D8+D9+D10+D11+D12+D14+D15+D16)</f>
        <v>5263886.28</v>
      </c>
      <c r="F16" s="908"/>
      <c r="G16" s="909">
        <f t="shared" si="8"/>
        <v>6196500.0000000009</v>
      </c>
      <c r="H16" s="914">
        <f>IF(B16=0,0,ProyCapt!C14+G6+G7+G8+G9+G10+G11+G12+G13+G14+G15+G16)</f>
        <v>121265337.18000001</v>
      </c>
      <c r="I16" s="908"/>
      <c r="J16" s="909">
        <f t="shared" si="3"/>
        <v>0</v>
      </c>
      <c r="K16" s="914">
        <f>IF(B16=0,0,ProyCapt!C15+J6+J7+J8+J9+J10+J11+J12+J13+J14+J15+J16)</f>
        <v>80336.12</v>
      </c>
      <c r="L16" s="910">
        <f t="shared" si="4"/>
        <v>126609559.58000001</v>
      </c>
      <c r="M16" s="912">
        <f t="shared" si="5"/>
        <v>46327</v>
      </c>
      <c r="N16" s="912">
        <f>M16+29</f>
        <v>46356</v>
      </c>
    </row>
    <row r="17" spans="1:14" ht="15.75" customHeight="1" x14ac:dyDescent="0.25">
      <c r="A17" s="915" t="s">
        <v>846</v>
      </c>
      <c r="B17" s="904">
        <f t="shared" si="6"/>
        <v>23</v>
      </c>
      <c r="C17" s="905">
        <v>8.3333333333333343E-2</v>
      </c>
      <c r="D17" s="906">
        <f t="shared" si="7"/>
        <v>200000.00000000003</v>
      </c>
      <c r="E17" s="916">
        <f>IF(B17=0,0,ProyCapt!C13+D6+D7+D8+D9+D10+D11+D12+D14+D15+D16+D17)</f>
        <v>5463886.2800000003</v>
      </c>
      <c r="F17" s="908"/>
      <c r="G17" s="909">
        <f t="shared" si="8"/>
        <v>6196500.0000000009</v>
      </c>
      <c r="H17" s="916">
        <f>IF(B17=0,0,ProyCapt!C14+G6+G7+G8+G9+G10+G11+G12+G13+G14+G15+G16+G17)</f>
        <v>127461837.18000001</v>
      </c>
      <c r="I17" s="908"/>
      <c r="J17" s="909">
        <f t="shared" si="3"/>
        <v>0</v>
      </c>
      <c r="K17" s="916">
        <f>IF(B17=0,0,ProyCapt!C15+J6+J7+J8+J9+J10+J11+J12+J13+J14+J15+J16+J17)</f>
        <v>80336.12</v>
      </c>
      <c r="L17" s="917">
        <f t="shared" si="4"/>
        <v>133006059.58000001</v>
      </c>
      <c r="M17" s="912">
        <f t="shared" si="5"/>
        <v>46357</v>
      </c>
      <c r="N17" s="912">
        <f>M17+30</f>
        <v>46387</v>
      </c>
    </row>
    <row r="18" spans="1:14" ht="28.5" customHeight="1" x14ac:dyDescent="0.25">
      <c r="B18" s="918">
        <f>SUM(B6:B17)</f>
        <v>261</v>
      </c>
      <c r="C18" s="919">
        <f>SUM(C6:C17)</f>
        <v>1.0000000000000002</v>
      </c>
      <c r="D18" s="920">
        <f>+ProyCapt!E13</f>
        <v>2400000</v>
      </c>
      <c r="F18" s="908"/>
      <c r="G18" s="920">
        <f>+ProyCapt!E14</f>
        <v>74358000</v>
      </c>
      <c r="I18" s="908"/>
      <c r="J18" s="921">
        <v>0</v>
      </c>
      <c r="K18" s="922"/>
      <c r="M18" s="923"/>
      <c r="N18" s="923"/>
    </row>
    <row r="19" spans="1:14" x14ac:dyDescent="0.25">
      <c r="B19" s="924"/>
      <c r="C19" s="924"/>
    </row>
    <row r="20" spans="1:14" s="925" customFormat="1" ht="15.75" customHeight="1" x14ac:dyDescent="0.25">
      <c r="D20" s="926" t="s">
        <v>1341</v>
      </c>
      <c r="G20" s="927">
        <f>+D18+G18+J18</f>
        <v>76758000</v>
      </c>
    </row>
  </sheetData>
  <printOptions horizontalCentered="1"/>
  <pageMargins left="0.31496062992125984" right="0.31496062992125984" top="0.74803149606299213" bottom="0.74803149606299213" header="0.31496062992125984" footer="0.31496062992125984"/>
  <pageSetup paperSize="9" scale="96" orientation="landscape" useFirstPageNumber="1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0000"/>
    <pageSetUpPr fitToPage="1"/>
  </sheetPr>
  <dimension ref="A1:AI12"/>
  <sheetViews>
    <sheetView showGridLines="0" zoomScale="120" zoomScaleNormal="120"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baseColWidth="10" defaultColWidth="0" defaultRowHeight="12" customHeight="1" x14ac:dyDescent="0.25"/>
  <cols>
    <col min="1" max="1" width="23" style="928" customWidth="1"/>
    <col min="2" max="3" width="10.85546875" style="928" customWidth="1"/>
    <col min="4" max="4" width="11.7109375" style="928" customWidth="1"/>
    <col min="5" max="7" width="10.85546875" style="928" customWidth="1"/>
    <col min="8" max="8" width="12.28515625" style="928" customWidth="1"/>
    <col min="9" max="13" width="11.7109375" style="928" customWidth="1"/>
    <col min="14" max="14" width="10.85546875" style="928" customWidth="1"/>
    <col min="15" max="35" width="0" style="928" hidden="1" customWidth="1"/>
    <col min="36" max="36" width="11.42578125" style="928" hidden="1" customWidth="1"/>
    <col min="37" max="16384" width="11.42578125" style="928" hidden="1"/>
  </cols>
  <sheetData>
    <row r="1" spans="1:13" ht="33" customHeight="1" x14ac:dyDescent="0.25">
      <c r="A1" s="99" t="str">
        <f>ProyCapt!A1</f>
        <v>BANCO CAPITAL S.A.</v>
      </c>
      <c r="H1" s="929" t="str">
        <f>Premisas!D1</f>
        <v>PRESUPUESTO  2026</v>
      </c>
      <c r="I1" s="930"/>
      <c r="J1" s="930"/>
      <c r="K1" s="931"/>
    </row>
    <row r="2" spans="1:13" x14ac:dyDescent="0.25">
      <c r="B2" s="932"/>
      <c r="C2" s="932"/>
      <c r="D2" s="932"/>
      <c r="E2" s="932"/>
      <c r="F2" s="932"/>
      <c r="G2" s="932"/>
      <c r="H2" s="932"/>
      <c r="I2" s="932"/>
      <c r="J2" s="932"/>
      <c r="K2" s="932"/>
      <c r="L2" s="932"/>
      <c r="M2" s="932"/>
    </row>
    <row r="3" spans="1:13" x14ac:dyDescent="0.25">
      <c r="B3" s="933">
        <v>1</v>
      </c>
      <c r="C3" s="933">
        <v>2</v>
      </c>
      <c r="D3" s="933">
        <v>3</v>
      </c>
      <c r="E3" s="933">
        <v>4</v>
      </c>
      <c r="F3" s="933">
        <v>5</v>
      </c>
      <c r="G3" s="933">
        <v>6</v>
      </c>
      <c r="H3" s="933">
        <v>7</v>
      </c>
      <c r="I3" s="933">
        <v>8</v>
      </c>
      <c r="J3" s="933">
        <v>9</v>
      </c>
      <c r="K3" s="933">
        <v>10</v>
      </c>
      <c r="L3" s="933">
        <v>11</v>
      </c>
      <c r="M3" s="933">
        <v>12</v>
      </c>
    </row>
    <row r="4" spans="1:13" ht="20.100000000000001" customHeight="1" x14ac:dyDescent="0.25">
      <c r="A4" s="934" t="s">
        <v>1342</v>
      </c>
      <c r="B4" s="935" t="s">
        <v>835</v>
      </c>
      <c r="C4" s="935" t="s">
        <v>836</v>
      </c>
      <c r="D4" s="935" t="s">
        <v>837</v>
      </c>
      <c r="E4" s="935" t="s">
        <v>838</v>
      </c>
      <c r="F4" s="935" t="s">
        <v>839</v>
      </c>
      <c r="G4" s="935" t="s">
        <v>840</v>
      </c>
      <c r="H4" s="935" t="s">
        <v>841</v>
      </c>
      <c r="I4" s="935" t="s">
        <v>842</v>
      </c>
      <c r="J4" s="935" t="s">
        <v>843</v>
      </c>
      <c r="K4" s="935" t="s">
        <v>844</v>
      </c>
      <c r="L4" s="935" t="s">
        <v>845</v>
      </c>
      <c r="M4" s="935" t="s">
        <v>846</v>
      </c>
    </row>
    <row r="5" spans="1:13" ht="20.100000000000001" customHeight="1" x14ac:dyDescent="0.25">
      <c r="A5" s="936" t="s">
        <v>1343</v>
      </c>
      <c r="B5" s="937">
        <f>+DesglCapt!$E$6</f>
        <v>3463886.28</v>
      </c>
      <c r="C5" s="937">
        <f>+DesglCapt!$E$7</f>
        <v>3663886.28</v>
      </c>
      <c r="D5" s="937">
        <f>+DesglCapt!$E$8</f>
        <v>3863886.28</v>
      </c>
      <c r="E5" s="937">
        <f>+DesglCapt!$E$9</f>
        <v>4063886.28</v>
      </c>
      <c r="F5" s="937">
        <f>+DesglCapt!$E$10</f>
        <v>4263886.28</v>
      </c>
      <c r="G5" s="937">
        <f>+DesglCapt!$E$11</f>
        <v>4463886.28</v>
      </c>
      <c r="H5" s="937">
        <f>+DesglCapt!$E$12</f>
        <v>4663886.28</v>
      </c>
      <c r="I5" s="937">
        <f>+DesglCapt!$E$13</f>
        <v>4863886.28</v>
      </c>
      <c r="J5" s="937">
        <f>+DesglCapt!$E$14</f>
        <v>4863886.28</v>
      </c>
      <c r="K5" s="937">
        <f>+DesglCapt!$E$15</f>
        <v>5063886.28</v>
      </c>
      <c r="L5" s="937">
        <f>+DesglCapt!$E$16</f>
        <v>5263886.28</v>
      </c>
      <c r="M5" s="937">
        <f>+DesglCapt!$E$17</f>
        <v>5463886.2800000003</v>
      </c>
    </row>
    <row r="6" spans="1:13" ht="20.100000000000001" customHeight="1" x14ac:dyDescent="0.25">
      <c r="A6" s="936" t="s">
        <v>1344</v>
      </c>
      <c r="B6" s="937">
        <f>+DesglCapt!$H$6</f>
        <v>59300337.18</v>
      </c>
      <c r="C6" s="937">
        <f>+DesglCapt!$H$7</f>
        <v>65496837.18</v>
      </c>
      <c r="D6" s="937">
        <f>+DesglCapt!$H$8</f>
        <v>71693337.180000007</v>
      </c>
      <c r="E6" s="937">
        <f>+DesglCapt!$H$9</f>
        <v>77889837.180000007</v>
      </c>
      <c r="F6" s="937">
        <f>+DesglCapt!$H$10</f>
        <v>84086337.180000007</v>
      </c>
      <c r="G6" s="937">
        <f>+DesglCapt!$H$11</f>
        <v>90282837.180000007</v>
      </c>
      <c r="H6" s="937">
        <f>+DesglCapt!$H$12</f>
        <v>96479337.180000007</v>
      </c>
      <c r="I6" s="937">
        <f>+DesglCapt!$H$13</f>
        <v>102675837.18000001</v>
      </c>
      <c r="J6" s="937">
        <f>+DesglCapt!$H$14</f>
        <v>108872337.18000001</v>
      </c>
      <c r="K6" s="937">
        <f>+DesglCapt!$H$15</f>
        <v>115068837.18000001</v>
      </c>
      <c r="L6" s="937">
        <f>+DesglCapt!$H$16</f>
        <v>121265337.18000001</v>
      </c>
      <c r="M6" s="937">
        <f>+DesglCapt!$H$17</f>
        <v>127461837.18000001</v>
      </c>
    </row>
    <row r="7" spans="1:13" ht="20.100000000000001" customHeight="1" x14ac:dyDescent="0.25">
      <c r="A7" s="936" t="s">
        <v>1345</v>
      </c>
      <c r="B7" s="937">
        <f>+DesglCapt!$K$6</f>
        <v>80336.12</v>
      </c>
      <c r="C7" s="937">
        <f>+DesglCapt!$K$7</f>
        <v>80336.12</v>
      </c>
      <c r="D7" s="937">
        <f>+DesglCapt!$K$8</f>
        <v>80336.12</v>
      </c>
      <c r="E7" s="937">
        <f>+DesglCapt!$K$9</f>
        <v>80336.12</v>
      </c>
      <c r="F7" s="937">
        <f>+DesglCapt!$K$10</f>
        <v>80336.12</v>
      </c>
      <c r="G7" s="937">
        <f>+DesglCapt!$K$11</f>
        <v>80336.12</v>
      </c>
      <c r="H7" s="937">
        <f>+DesglCapt!$K$12</f>
        <v>80336.12</v>
      </c>
      <c r="I7" s="937">
        <f>+DesglCapt!$K$13</f>
        <v>80336.12</v>
      </c>
      <c r="J7" s="937">
        <f>+DesglCapt!$K$14</f>
        <v>80336.12</v>
      </c>
      <c r="K7" s="937">
        <f>+DesglCapt!$K$15</f>
        <v>80336.12</v>
      </c>
      <c r="L7" s="937">
        <f>+DesglCapt!$K$16</f>
        <v>80336.12</v>
      </c>
      <c r="M7" s="937">
        <f>+DesglCapt!$K$17</f>
        <v>80336.12</v>
      </c>
    </row>
    <row r="8" spans="1:13" s="938" customFormat="1" ht="20.100000000000001" customHeight="1" x14ac:dyDescent="0.25">
      <c r="A8" s="934" t="s">
        <v>1346</v>
      </c>
      <c r="B8" s="939">
        <f t="shared" ref="B8:L8" si="0">SUM(B5:B7)</f>
        <v>62844559.579999998</v>
      </c>
      <c r="C8" s="939">
        <f t="shared" si="0"/>
        <v>69241059.579999998</v>
      </c>
      <c r="D8" s="939">
        <f t="shared" si="0"/>
        <v>75637559.580000013</v>
      </c>
      <c r="E8" s="939">
        <f t="shared" si="0"/>
        <v>82034059.580000013</v>
      </c>
      <c r="F8" s="939">
        <f t="shared" si="0"/>
        <v>88430559.580000013</v>
      </c>
      <c r="G8" s="939">
        <f t="shared" si="0"/>
        <v>94827059.580000013</v>
      </c>
      <c r="H8" s="939">
        <f t="shared" si="0"/>
        <v>101223559.58000001</v>
      </c>
      <c r="I8" s="939">
        <f t="shared" si="0"/>
        <v>107620059.58000001</v>
      </c>
      <c r="J8" s="939">
        <f t="shared" si="0"/>
        <v>113816559.58000001</v>
      </c>
      <c r="K8" s="939">
        <f t="shared" si="0"/>
        <v>120213059.58000001</v>
      </c>
      <c r="L8" s="939">
        <f t="shared" si="0"/>
        <v>126609559.58000001</v>
      </c>
      <c r="M8" s="939">
        <f>SUM(M5:M7)</f>
        <v>133006059.58000001</v>
      </c>
    </row>
    <row r="9" spans="1:13" ht="20.100000000000001" customHeight="1" x14ac:dyDescent="0.25">
      <c r="B9" s="940"/>
      <c r="C9" s="940"/>
      <c r="D9" s="940"/>
      <c r="E9" s="940"/>
      <c r="F9" s="940"/>
      <c r="G9" s="940"/>
      <c r="H9" s="940"/>
      <c r="I9" s="940"/>
      <c r="J9" s="940"/>
      <c r="K9" s="940"/>
      <c r="L9" s="940"/>
      <c r="M9" s="940"/>
    </row>
    <row r="10" spans="1:13" ht="20.100000000000001" customHeight="1" x14ac:dyDescent="0.25">
      <c r="A10" s="941" t="s">
        <v>388</v>
      </c>
      <c r="B10" s="942">
        <v>0</v>
      </c>
      <c r="C10" s="942">
        <v>0</v>
      </c>
      <c r="D10" s="942">
        <v>0</v>
      </c>
      <c r="E10" s="942">
        <v>0</v>
      </c>
      <c r="F10" s="942">
        <v>0</v>
      </c>
      <c r="G10" s="942">
        <v>0</v>
      </c>
      <c r="H10" s="942">
        <v>0</v>
      </c>
      <c r="I10" s="942">
        <v>0</v>
      </c>
      <c r="J10" s="942">
        <v>0</v>
      </c>
      <c r="K10" s="942">
        <v>0</v>
      </c>
      <c r="L10" s="942">
        <v>0</v>
      </c>
      <c r="M10" s="942">
        <v>0</v>
      </c>
    </row>
    <row r="11" spans="1:13" ht="20.100000000000001" customHeight="1" x14ac:dyDescent="0.25">
      <c r="A11" s="943" t="s">
        <v>1347</v>
      </c>
      <c r="B11" s="942">
        <v>0</v>
      </c>
      <c r="C11" s="942">
        <v>0</v>
      </c>
      <c r="D11" s="942">
        <v>0</v>
      </c>
      <c r="E11" s="942">
        <v>0</v>
      </c>
      <c r="F11" s="942">
        <v>0</v>
      </c>
      <c r="G11" s="942">
        <v>0</v>
      </c>
      <c r="H11" s="942">
        <v>0</v>
      </c>
      <c r="I11" s="942">
        <v>0</v>
      </c>
      <c r="J11" s="942">
        <v>0</v>
      </c>
      <c r="K11" s="942">
        <v>0</v>
      </c>
      <c r="L11" s="942">
        <v>0</v>
      </c>
      <c r="M11" s="942">
        <v>0</v>
      </c>
    </row>
    <row r="12" spans="1:13" ht="20.100000000000001" customHeight="1" x14ac:dyDescent="0.25">
      <c r="A12" s="943" t="s">
        <v>1348</v>
      </c>
      <c r="B12" s="942">
        <v>0</v>
      </c>
      <c r="C12" s="942">
        <v>0</v>
      </c>
      <c r="D12" s="942">
        <v>0</v>
      </c>
      <c r="E12" s="942">
        <v>0</v>
      </c>
      <c r="F12" s="942">
        <v>0</v>
      </c>
      <c r="G12" s="942">
        <v>0</v>
      </c>
      <c r="H12" s="942">
        <v>0</v>
      </c>
      <c r="I12" s="942">
        <v>0</v>
      </c>
      <c r="J12" s="942">
        <v>0</v>
      </c>
      <c r="K12" s="942">
        <v>0</v>
      </c>
      <c r="L12" s="942">
        <v>0</v>
      </c>
      <c r="M12" s="942">
        <v>0</v>
      </c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5" orientation="landscape" useFirstPageNumber="1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0000"/>
    <pageSetUpPr fitToPage="1"/>
  </sheetPr>
  <dimension ref="A1:XEW11"/>
  <sheetViews>
    <sheetView showGridLines="0" zoomScaleNormal="100" workbookViewId="0">
      <pane xSplit="3" ySplit="5" topLeftCell="D6" activePane="bottomRight" state="frozen"/>
      <selection pane="topRight"/>
      <selection pane="bottomLeft"/>
      <selection pane="bottomRight" activeCell="E6" sqref="E6"/>
    </sheetView>
  </sheetViews>
  <sheetFormatPr baseColWidth="10" defaultColWidth="9.140625" defaultRowHeight="0" customHeight="1" zeroHeight="1" x14ac:dyDescent="0.25"/>
  <cols>
    <col min="1" max="1" width="3.28515625" style="1" customWidth="1"/>
    <col min="2" max="2" width="21.28515625" style="1" customWidth="1"/>
    <col min="3" max="4" width="10.85546875" style="1" customWidth="1"/>
    <col min="5" max="14" width="12.42578125" style="1" customWidth="1"/>
    <col min="15" max="16" width="11.5703125" style="1" customWidth="1"/>
    <col min="17" max="17" width="12.42578125" style="1" customWidth="1"/>
    <col min="25" max="27" width="0" style="1" hidden="1" customWidth="1"/>
    <col min="28" max="16377" width="11.42578125" style="1" hidden="1" customWidth="1"/>
    <col min="16378" max="16384" width="0" style="1" hidden="1" customWidth="1"/>
  </cols>
  <sheetData>
    <row r="1" spans="1:17" ht="30" customHeight="1" x14ac:dyDescent="0.25">
      <c r="A1" s="944"/>
      <c r="B1" s="99" t="str">
        <f>CaptObFin!A1</f>
        <v>BANCO CAPITAL S.A.</v>
      </c>
      <c r="K1" s="929" t="str">
        <f>CaptObFin!H1</f>
        <v>PRESUPUESTO  2026</v>
      </c>
      <c r="L1" s="930"/>
      <c r="M1" s="930"/>
      <c r="N1" s="931"/>
      <c r="O1" s="928"/>
      <c r="P1" s="928"/>
    </row>
    <row r="2" spans="1:17" ht="18.75" customHeight="1" x14ac:dyDescent="0.25">
      <c r="B2" s="945" t="s">
        <v>1349</v>
      </c>
      <c r="E2" s="945"/>
    </row>
    <row r="3" spans="1:17" ht="18.75" customHeight="1" x14ac:dyDescent="0.25">
      <c r="B3" s="945"/>
      <c r="D3" s="2" t="s">
        <v>3</v>
      </c>
      <c r="E3" s="105">
        <v>1</v>
      </c>
      <c r="F3" s="105">
        <v>2</v>
      </c>
      <c r="G3" s="105">
        <v>3</v>
      </c>
      <c r="H3" s="105">
        <v>4</v>
      </c>
      <c r="I3" s="105">
        <v>5</v>
      </c>
      <c r="J3" s="105">
        <v>6</v>
      </c>
      <c r="K3" s="105">
        <v>7</v>
      </c>
      <c r="L3" s="105">
        <v>8</v>
      </c>
      <c r="M3" s="105">
        <v>9</v>
      </c>
      <c r="N3" s="105">
        <v>10</v>
      </c>
      <c r="O3" s="105">
        <v>11</v>
      </c>
      <c r="P3" s="105">
        <v>12</v>
      </c>
    </row>
    <row r="4" spans="1:17" s="2" customFormat="1" ht="19.5" customHeight="1" x14ac:dyDescent="0.25">
      <c r="B4" s="946"/>
      <c r="D4" s="2" t="s">
        <v>1350</v>
      </c>
      <c r="E4" s="105">
        <v>31</v>
      </c>
      <c r="F4" s="105">
        <v>28</v>
      </c>
      <c r="G4" s="105">
        <v>31</v>
      </c>
      <c r="H4" s="105">
        <v>30</v>
      </c>
      <c r="I4" s="105">
        <v>31</v>
      </c>
      <c r="J4" s="105">
        <v>30</v>
      </c>
      <c r="K4" s="105">
        <v>31</v>
      </c>
      <c r="L4" s="105">
        <v>31</v>
      </c>
      <c r="M4" s="105">
        <v>30</v>
      </c>
      <c r="N4" s="105">
        <v>31</v>
      </c>
      <c r="O4" s="105">
        <v>30</v>
      </c>
      <c r="P4" s="105">
        <v>31</v>
      </c>
    </row>
    <row r="5" spans="1:17" s="947" customFormat="1" ht="44.25" customHeight="1" x14ac:dyDescent="0.25">
      <c r="B5" s="948" t="s">
        <v>1351</v>
      </c>
      <c r="C5" s="948" t="s">
        <v>1352</v>
      </c>
      <c r="D5" s="948" t="s">
        <v>1352</v>
      </c>
      <c r="E5" s="949" t="s">
        <v>835</v>
      </c>
      <c r="F5" s="949" t="s">
        <v>836</v>
      </c>
      <c r="G5" s="949" t="s">
        <v>837</v>
      </c>
      <c r="H5" s="949" t="s">
        <v>838</v>
      </c>
      <c r="I5" s="949" t="s">
        <v>839</v>
      </c>
      <c r="J5" s="949" t="s">
        <v>840</v>
      </c>
      <c r="K5" s="949" t="s">
        <v>841</v>
      </c>
      <c r="L5" s="949" t="s">
        <v>842</v>
      </c>
      <c r="M5" s="949" t="s">
        <v>843</v>
      </c>
      <c r="N5" s="949" t="s">
        <v>844</v>
      </c>
      <c r="O5" s="949" t="s">
        <v>845</v>
      </c>
      <c r="P5" s="949" t="s">
        <v>846</v>
      </c>
      <c r="Q5" s="949" t="s">
        <v>66</v>
      </c>
    </row>
    <row r="6" spans="1:17" s="806" customFormat="1" ht="20.100000000000001" customHeight="1" x14ac:dyDescent="0.25">
      <c r="B6" s="950" t="s">
        <v>1343</v>
      </c>
      <c r="C6" s="951">
        <f>Premisas!C48</f>
        <v>2.5000000000000001E-2</v>
      </c>
      <c r="D6" s="952">
        <f>C6</f>
        <v>2.5000000000000001E-2</v>
      </c>
      <c r="E6" s="953">
        <f>+CaptObFin!B5*$D$6*E4/365</f>
        <v>7354.8270328767121</v>
      </c>
      <c r="F6" s="953">
        <f>+CaptObFin!C5*$D$6*F4/365</f>
        <v>7026.6312219178089</v>
      </c>
      <c r="G6" s="953">
        <f>+CaptObFin!D5*$D$6*G4/365</f>
        <v>8204.1421013698637</v>
      </c>
      <c r="H6" s="953">
        <f>+CaptObFin!E5*$D$6*H4/365</f>
        <v>8350.4512602739724</v>
      </c>
      <c r="I6" s="953">
        <f>+CaptObFin!F5*$D$6*I4/365</f>
        <v>9053.4571698630134</v>
      </c>
      <c r="J6" s="953">
        <f>+CaptObFin!G5*$D$6*J4/365</f>
        <v>9172.3690684931498</v>
      </c>
      <c r="K6" s="953">
        <f>+CaptObFin!H5*$D$6*K4/365</f>
        <v>9902.772238356165</v>
      </c>
      <c r="L6" s="953">
        <f>+CaptObFin!I5*$D$6*L4/365</f>
        <v>10327.42977260274</v>
      </c>
      <c r="M6" s="953">
        <f>+CaptObFin!J5*$D$6*M4/365</f>
        <v>9994.2868767123291</v>
      </c>
      <c r="N6" s="953">
        <f>+CaptObFin!K5*$D$6*N4/365</f>
        <v>10752.087306849315</v>
      </c>
      <c r="O6" s="953">
        <f>+CaptObFin!L5*$D$6*O4/365</f>
        <v>10816.204684931507</v>
      </c>
      <c r="P6" s="953">
        <f>+CaptObFin!M5*$D$6*P4/365</f>
        <v>11601.402375342468</v>
      </c>
      <c r="Q6" s="954">
        <f>SUM(E6:P6)</f>
        <v>112556.06110958905</v>
      </c>
    </row>
    <row r="7" spans="1:17" s="806" customFormat="1" ht="20.100000000000001" customHeight="1" x14ac:dyDescent="0.25">
      <c r="B7" s="955" t="s">
        <v>1353</v>
      </c>
      <c r="C7" s="951">
        <f>Premisas!C49</f>
        <v>0.08</v>
      </c>
      <c r="D7" s="952">
        <f>C7</f>
        <v>0.08</v>
      </c>
      <c r="E7" s="953">
        <f>CaptObFin!B6*$D$7*E4/360</f>
        <v>408513.43390666659</v>
      </c>
      <c r="F7" s="953">
        <f>CaptObFin!C6*$D$7*F4/360</f>
        <v>407535.87578666664</v>
      </c>
      <c r="G7" s="953">
        <f>CaptObFin!D6*$D$7*G4/360</f>
        <v>493887.4339066667</v>
      </c>
      <c r="H7" s="953">
        <f>CaptObFin!E6*$D$7*H4/360</f>
        <v>519265.58120000007</v>
      </c>
      <c r="I7" s="953">
        <f>CaptObFin!F6*$D$7*I4/360</f>
        <v>579261.4339066667</v>
      </c>
      <c r="J7" s="953">
        <f>CaptObFin!G6*$D$7*J4/360</f>
        <v>601885.58120000002</v>
      </c>
      <c r="K7" s="953">
        <f>CaptObFin!H6*$D$7*K4/360</f>
        <v>664635.4339066667</v>
      </c>
      <c r="L7" s="953">
        <f>CaptObFin!I6*$D$7*L4/360</f>
        <v>707322.4339066667</v>
      </c>
      <c r="M7" s="953">
        <f>CaptObFin!J6*$D$7*M4/360</f>
        <v>725815.58120000002</v>
      </c>
      <c r="N7" s="953">
        <f>CaptObFin!K6*$D$7*N4/360</f>
        <v>792696.43390666682</v>
      </c>
      <c r="O7" s="953">
        <f>CaptObFin!L6*$D$7*O4/360</f>
        <v>808435.58120000002</v>
      </c>
      <c r="P7" s="953">
        <f>CaptObFin!M6*$D$7*P4/360</f>
        <v>878070.43390666682</v>
      </c>
      <c r="Q7" s="954">
        <f>SUM(E7:P7)</f>
        <v>7587325.237933334</v>
      </c>
    </row>
    <row r="8" spans="1:17" s="806" customFormat="1" ht="20.100000000000001" customHeight="1" x14ac:dyDescent="0.25">
      <c r="B8" s="956" t="s">
        <v>66</v>
      </c>
      <c r="C8" s="956"/>
      <c r="D8" s="956"/>
      <c r="E8" s="957">
        <f t="shared" ref="E8:P8" si="0">+SUM(E6:E7)</f>
        <v>415868.26093954331</v>
      </c>
      <c r="F8" s="957">
        <f t="shared" si="0"/>
        <v>414562.50700858445</v>
      </c>
      <c r="G8" s="957">
        <f t="shared" si="0"/>
        <v>502091.57600803656</v>
      </c>
      <c r="H8" s="957">
        <f t="shared" si="0"/>
        <v>527616.03246027406</v>
      </c>
      <c r="I8" s="957">
        <f t="shared" si="0"/>
        <v>588314.89107652975</v>
      </c>
      <c r="J8" s="957">
        <f t="shared" si="0"/>
        <v>611057.95026849315</v>
      </c>
      <c r="K8" s="957">
        <f t="shared" si="0"/>
        <v>674538.20614502288</v>
      </c>
      <c r="L8" s="957">
        <f t="shared" si="0"/>
        <v>717649.86367926945</v>
      </c>
      <c r="M8" s="957">
        <f t="shared" si="0"/>
        <v>735809.86807671236</v>
      </c>
      <c r="N8" s="957">
        <f t="shared" si="0"/>
        <v>803448.52121351613</v>
      </c>
      <c r="O8" s="957">
        <f t="shared" si="0"/>
        <v>819251.78588493157</v>
      </c>
      <c r="P8" s="957">
        <f t="shared" si="0"/>
        <v>889671.83628200926</v>
      </c>
      <c r="Q8" s="957">
        <f>+SUM(Q6:Q7)</f>
        <v>7699881.2990429234</v>
      </c>
    </row>
    <row r="9" spans="1:17" ht="20.100000000000001" customHeight="1" x14ac:dyDescent="0.25">
      <c r="B9" s="543"/>
      <c r="C9" s="515"/>
      <c r="D9" s="515"/>
      <c r="E9" s="97"/>
      <c r="O9" s="515"/>
      <c r="P9" s="515"/>
      <c r="Q9" s="515"/>
    </row>
    <row r="10" spans="1:17" s="806" customFormat="1" ht="20.100000000000001" customHeight="1" x14ac:dyDescent="0.25">
      <c r="B10" s="958" t="s">
        <v>1354</v>
      </c>
      <c r="C10" s="959"/>
      <c r="D10" s="959"/>
      <c r="E10" s="960"/>
      <c r="F10" s="960"/>
      <c r="G10" s="960"/>
      <c r="H10" s="960"/>
      <c r="I10" s="960"/>
      <c r="J10" s="960"/>
      <c r="K10" s="960"/>
      <c r="L10" s="960"/>
      <c r="M10" s="960"/>
      <c r="N10" s="960"/>
      <c r="O10" s="960"/>
      <c r="P10" s="960"/>
      <c r="Q10" s="960"/>
    </row>
    <row r="11" spans="1:17" ht="20.100000000000001" customHeight="1" x14ac:dyDescent="0.25">
      <c r="B11" s="515"/>
      <c r="C11" s="961"/>
      <c r="D11" s="961"/>
      <c r="O11" s="515"/>
      <c r="P11" s="515"/>
      <c r="Q11" s="515"/>
    </row>
  </sheetData>
  <printOptions horizontalCentered="1" verticalCentered="1"/>
  <pageMargins left="0.51181102362204722" right="0.51181102362204722" top="0.74803149606299213" bottom="0.74803149606299213" header="0.31496062992125984" footer="0.31496062992125984"/>
  <pageSetup paperSize="9" orientation="landscape" useFirstPageNumber="1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pageSetUpPr fitToPage="1"/>
  </sheetPr>
  <dimension ref="A1:XEX17"/>
  <sheetViews>
    <sheetView zoomScaleNormal="100" workbookViewId="0">
      <pane xSplit="3" ySplit="5" topLeftCell="E8" activePane="bottomRight" state="frozen"/>
      <selection pane="topRight"/>
      <selection pane="bottomLeft"/>
      <selection pane="bottomRight" activeCell="E15" sqref="E15"/>
    </sheetView>
  </sheetViews>
  <sheetFormatPr baseColWidth="10" defaultColWidth="9.140625" defaultRowHeight="15" x14ac:dyDescent="0.25"/>
  <cols>
    <col min="1" max="1" width="3.28515625" style="1" customWidth="1"/>
    <col min="2" max="2" width="22.28515625" style="1" customWidth="1"/>
    <col min="3" max="3" width="7.5703125" style="1" customWidth="1"/>
    <col min="4" max="4" width="13.42578125" style="1" customWidth="1"/>
    <col min="5" max="5" width="15.140625" style="1" customWidth="1"/>
    <col min="6" max="6" width="15.28515625" style="1" customWidth="1"/>
    <col min="7" max="9" width="15" style="1" customWidth="1"/>
    <col min="10" max="10" width="14.28515625" style="1" customWidth="1"/>
    <col min="11" max="11" width="13.28515625" style="1" customWidth="1"/>
    <col min="12" max="15" width="13" style="1" customWidth="1"/>
    <col min="16" max="16" width="14.140625" style="1" customWidth="1"/>
    <col min="17" max="17" width="13.7109375" style="1" customWidth="1"/>
    <col min="25" max="27" width="0" style="1" hidden="1" customWidth="1"/>
    <col min="28" max="16378" width="11.42578125" style="1" hidden="1" customWidth="1"/>
    <col min="16379" max="16384" width="0" style="1" hidden="1" customWidth="1"/>
  </cols>
  <sheetData>
    <row r="1" spans="1:16" ht="30" customHeight="1" x14ac:dyDescent="0.25">
      <c r="A1" s="99" t="str">
        <f>Premisas!A1</f>
        <v>BANCO CAPITAL S.A.</v>
      </c>
      <c r="B1" s="342"/>
      <c r="H1" s="962" t="str">
        <f>Premisas!D1</f>
        <v>PRESUPUESTO  2026</v>
      </c>
    </row>
    <row r="2" spans="1:16" ht="20.25" customHeight="1" x14ac:dyDescent="0.25">
      <c r="A2" s="963" t="s">
        <v>1355</v>
      </c>
      <c r="B2" s="945"/>
      <c r="D2" s="945"/>
    </row>
    <row r="3" spans="1:16" s="465" customFormat="1" ht="18.75" customHeight="1" x14ac:dyDescent="0.25">
      <c r="B3" s="945"/>
      <c r="D3" s="964">
        <v>45688</v>
      </c>
      <c r="E3" s="964" t="s">
        <v>1356</v>
      </c>
      <c r="F3" s="964">
        <v>45747</v>
      </c>
      <c r="G3" s="964">
        <v>45777</v>
      </c>
      <c r="H3" s="964">
        <v>45808</v>
      </c>
      <c r="I3" s="964">
        <v>45838</v>
      </c>
      <c r="J3" s="964">
        <v>45869</v>
      </c>
      <c r="K3" s="964">
        <v>45900</v>
      </c>
      <c r="L3" s="964">
        <v>45930</v>
      </c>
      <c r="M3" s="964">
        <v>45961</v>
      </c>
      <c r="N3" s="964">
        <v>45991</v>
      </c>
      <c r="O3" s="964">
        <v>46022</v>
      </c>
    </row>
    <row r="4" spans="1:16" s="104" customFormat="1" ht="18.75" customHeight="1" x14ac:dyDescent="0.25">
      <c r="B4" s="946"/>
      <c r="D4" s="617">
        <v>31</v>
      </c>
      <c r="E4" s="617">
        <v>28</v>
      </c>
      <c r="F4" s="617">
        <v>31</v>
      </c>
      <c r="G4" s="617">
        <v>30</v>
      </c>
      <c r="H4" s="617">
        <v>31</v>
      </c>
      <c r="I4" s="617">
        <v>30</v>
      </c>
      <c r="J4" s="617">
        <v>31</v>
      </c>
      <c r="K4" s="617">
        <v>31</v>
      </c>
      <c r="L4" s="617">
        <v>30</v>
      </c>
      <c r="M4" s="617">
        <v>31</v>
      </c>
      <c r="N4" s="617">
        <v>30</v>
      </c>
      <c r="O4" s="617">
        <v>31</v>
      </c>
    </row>
    <row r="5" spans="1:16" s="947" customFormat="1" ht="25.5" customHeight="1" x14ac:dyDescent="0.25">
      <c r="B5" s="769" t="s">
        <v>1351</v>
      </c>
      <c r="C5" s="965"/>
      <c r="D5" s="966" t="s">
        <v>835</v>
      </c>
      <c r="E5" s="966" t="s">
        <v>836</v>
      </c>
      <c r="F5" s="966" t="s">
        <v>837</v>
      </c>
      <c r="G5" s="966" t="s">
        <v>838</v>
      </c>
      <c r="H5" s="966" t="s">
        <v>839</v>
      </c>
      <c r="I5" s="966" t="s">
        <v>840</v>
      </c>
      <c r="J5" s="966" t="s">
        <v>841</v>
      </c>
      <c r="K5" s="966" t="s">
        <v>842</v>
      </c>
      <c r="L5" s="966" t="s">
        <v>843</v>
      </c>
      <c r="M5" s="966" t="s">
        <v>844</v>
      </c>
      <c r="N5" s="966" t="s">
        <v>845</v>
      </c>
      <c r="O5" s="966" t="s">
        <v>846</v>
      </c>
      <c r="P5" s="967" t="s">
        <v>1357</v>
      </c>
    </row>
    <row r="6" spans="1:16" s="806" customFormat="1" ht="20.100000000000001" customHeight="1" x14ac:dyDescent="0.25">
      <c r="B6" s="968" t="s">
        <v>1358</v>
      </c>
      <c r="C6" s="969">
        <v>48</v>
      </c>
      <c r="D6" s="970">
        <v>1500000</v>
      </c>
      <c r="E6" s="970">
        <v>1500000</v>
      </c>
      <c r="F6" s="970">
        <v>1500000</v>
      </c>
      <c r="G6" s="970">
        <v>1500000</v>
      </c>
      <c r="H6" s="970">
        <v>1500000</v>
      </c>
      <c r="I6" s="970">
        <v>1500000</v>
      </c>
      <c r="J6" s="970">
        <v>1500000</v>
      </c>
      <c r="K6" s="970">
        <v>1500000</v>
      </c>
      <c r="L6" s="970">
        <v>1500000</v>
      </c>
      <c r="M6" s="970">
        <v>1500000</v>
      </c>
      <c r="N6" s="970">
        <v>1500000</v>
      </c>
      <c r="O6" s="970">
        <v>1500000</v>
      </c>
      <c r="P6" s="971">
        <f>SUM(D6:O6)</f>
        <v>18000000</v>
      </c>
    </row>
    <row r="7" spans="1:16" s="806" customFormat="1" ht="20.100000000000001" customHeight="1" x14ac:dyDescent="0.25">
      <c r="B7" s="968" t="s">
        <v>1359</v>
      </c>
      <c r="C7" s="972">
        <v>0.1</v>
      </c>
      <c r="D7" s="971">
        <f t="shared" ref="D7:O7" si="0">D6*$C$7</f>
        <v>150000</v>
      </c>
      <c r="E7" s="971">
        <f t="shared" si="0"/>
        <v>150000</v>
      </c>
      <c r="F7" s="971">
        <f t="shared" si="0"/>
        <v>150000</v>
      </c>
      <c r="G7" s="971">
        <f t="shared" si="0"/>
        <v>150000</v>
      </c>
      <c r="H7" s="971">
        <f t="shared" si="0"/>
        <v>150000</v>
      </c>
      <c r="I7" s="971">
        <f t="shared" si="0"/>
        <v>150000</v>
      </c>
      <c r="J7" s="971">
        <f t="shared" si="0"/>
        <v>150000</v>
      </c>
      <c r="K7" s="971">
        <f t="shared" si="0"/>
        <v>150000</v>
      </c>
      <c r="L7" s="971">
        <f t="shared" si="0"/>
        <v>150000</v>
      </c>
      <c r="M7" s="971">
        <f t="shared" si="0"/>
        <v>150000</v>
      </c>
      <c r="N7" s="971">
        <f t="shared" si="0"/>
        <v>150000</v>
      </c>
      <c r="O7" s="971">
        <f t="shared" si="0"/>
        <v>150000</v>
      </c>
      <c r="P7" s="971">
        <f>SUM(D7:O7)</f>
        <v>1800000</v>
      </c>
    </row>
    <row r="8" spans="1:16" s="806" customFormat="1" ht="20.100000000000001" customHeight="1" x14ac:dyDescent="0.25">
      <c r="B8" s="973" t="s">
        <v>1360</v>
      </c>
      <c r="C8" s="965"/>
      <c r="D8" s="974">
        <f>D7</f>
        <v>150000</v>
      </c>
      <c r="E8" s="974">
        <f>E7+D8</f>
        <v>300000</v>
      </c>
      <c r="F8" s="974">
        <f t="shared" ref="F8" si="1">F7+E8</f>
        <v>450000</v>
      </c>
      <c r="G8" s="974">
        <f t="shared" ref="G8" si="2">G7+F8</f>
        <v>600000</v>
      </c>
      <c r="H8" s="974">
        <f t="shared" ref="H8" si="3">H7+G8</f>
        <v>750000</v>
      </c>
      <c r="I8" s="974">
        <f t="shared" ref="I8" si="4">I7+H8</f>
        <v>900000</v>
      </c>
      <c r="J8" s="974">
        <f t="shared" ref="J8" si="5">J7+I8</f>
        <v>1050000</v>
      </c>
      <c r="K8" s="974">
        <f t="shared" ref="K8" si="6">K7+J8</f>
        <v>1200000</v>
      </c>
      <c r="L8" s="974">
        <f t="shared" ref="L8" si="7">L7+K8</f>
        <v>1350000</v>
      </c>
      <c r="M8" s="974">
        <f t="shared" ref="M8" si="8">M7+L8</f>
        <v>1500000</v>
      </c>
      <c r="N8" s="974">
        <f t="shared" ref="N8" si="9">N7+M8</f>
        <v>1650000</v>
      </c>
      <c r="O8" s="974">
        <f t="shared" ref="O8" si="10">O7+N8</f>
        <v>1800000</v>
      </c>
      <c r="P8" s="965"/>
    </row>
    <row r="9" spans="1:16" ht="20.100000000000001" customHeight="1" x14ac:dyDescent="0.25">
      <c r="B9" s="543" t="s">
        <v>1361</v>
      </c>
      <c r="C9" s="515"/>
      <c r="D9" s="975">
        <f>ROUND(D6/Premisas!$B$115,0)</f>
        <v>83</v>
      </c>
      <c r="E9" s="975">
        <f>ROUND(E6/Premisas!$B$115,0)</f>
        <v>83</v>
      </c>
      <c r="F9" s="975">
        <f>ROUND(F6/Premisas!$B$115,0)</f>
        <v>83</v>
      </c>
      <c r="G9" s="975">
        <f>ROUND(G6/Premisas!$B$115,0)</f>
        <v>83</v>
      </c>
      <c r="H9" s="975">
        <f>ROUND(H6/Premisas!$B$115,0)</f>
        <v>83</v>
      </c>
      <c r="I9" s="975">
        <f>ROUND(I6/Premisas!$B$115,0)</f>
        <v>83</v>
      </c>
      <c r="J9" s="976">
        <f>ROUND(J6/Premisas!$B$115,0)</f>
        <v>83</v>
      </c>
      <c r="K9" s="976">
        <f>ROUND(K6/Premisas!$B$115,0)</f>
        <v>83</v>
      </c>
      <c r="L9" s="976">
        <f>ROUND(L6/Premisas!$B$115,0)</f>
        <v>83</v>
      </c>
      <c r="M9" s="976">
        <f>ROUND(M6/Premisas!$B$115,0)</f>
        <v>83</v>
      </c>
      <c r="N9" s="976">
        <f>ROUND(N6/Premisas!$B$115,0)</f>
        <v>83</v>
      </c>
      <c r="O9" s="976">
        <f>ROUND(O6/Premisas!$B$115,0)</f>
        <v>83</v>
      </c>
      <c r="P9" s="515"/>
    </row>
    <row r="10" spans="1:16" ht="20.100000000000001" customHeight="1" x14ac:dyDescent="0.25">
      <c r="B10" s="543" t="s">
        <v>1362</v>
      </c>
      <c r="C10" s="515"/>
      <c r="D10" s="976">
        <f>DesglColoc!L4</f>
        <v>404</v>
      </c>
      <c r="E10" s="976">
        <f>DesglColoc!L5</f>
        <v>404</v>
      </c>
      <c r="F10" s="976">
        <f>DesglColoc!L6</f>
        <v>404</v>
      </c>
      <c r="G10" s="976">
        <f>DesglColoc!L7</f>
        <v>404</v>
      </c>
      <c r="H10" s="976">
        <f>DesglColoc!L8</f>
        <v>404</v>
      </c>
      <c r="I10" s="976">
        <f>DesglColoc!L9</f>
        <v>404</v>
      </c>
      <c r="J10" s="976">
        <f>DesglColoc!L10</f>
        <v>404</v>
      </c>
      <c r="K10" s="976">
        <f>DesglColoc!L11</f>
        <v>404</v>
      </c>
      <c r="L10" s="976">
        <f>DesglColoc!L12</f>
        <v>404</v>
      </c>
      <c r="M10" s="976">
        <f>DesglColoc!L13</f>
        <v>404</v>
      </c>
      <c r="N10" s="976">
        <f>DesglColoc!L14</f>
        <v>404</v>
      </c>
      <c r="O10" s="976">
        <f>DesglColoc!L15</f>
        <v>404</v>
      </c>
      <c r="P10" s="515"/>
    </row>
    <row r="11" spans="1:16" ht="20.100000000000001" customHeight="1" x14ac:dyDescent="0.25">
      <c r="B11" s="543" t="s">
        <v>1363</v>
      </c>
      <c r="C11" s="515"/>
      <c r="D11" s="977">
        <f t="shared" ref="D11:H11" si="11">D10-D9</f>
        <v>321</v>
      </c>
      <c r="E11" s="977">
        <f t="shared" si="11"/>
        <v>321</v>
      </c>
      <c r="F11" s="977">
        <f t="shared" si="11"/>
        <v>321</v>
      </c>
      <c r="G11" s="977">
        <f t="shared" si="11"/>
        <v>321</v>
      </c>
      <c r="H11" s="977">
        <f t="shared" si="11"/>
        <v>321</v>
      </c>
      <c r="I11" s="977">
        <f>I10-I9</f>
        <v>321</v>
      </c>
      <c r="J11" s="977">
        <f>J10-J9</f>
        <v>321</v>
      </c>
      <c r="K11" s="977">
        <f t="shared" ref="K11:O11" si="12">K10-K9</f>
        <v>321</v>
      </c>
      <c r="L11" s="977">
        <f t="shared" si="12"/>
        <v>321</v>
      </c>
      <c r="M11" s="977">
        <f t="shared" si="12"/>
        <v>321</v>
      </c>
      <c r="N11" s="977">
        <f t="shared" si="12"/>
        <v>321</v>
      </c>
      <c r="O11" s="977">
        <f t="shared" si="12"/>
        <v>321</v>
      </c>
      <c r="P11" s="515"/>
    </row>
    <row r="12" spans="1:16" ht="20.100000000000001" customHeight="1" x14ac:dyDescent="0.25">
      <c r="B12" s="543" t="s">
        <v>1270</v>
      </c>
      <c r="C12" s="515"/>
      <c r="D12" s="978">
        <f>DesglColoc!K4</f>
        <v>7308595.683451389</v>
      </c>
      <c r="E12" s="978">
        <f>DesglColoc!K5</f>
        <v>7308595.683451389</v>
      </c>
      <c r="F12" s="978">
        <f>DesglColoc!K6</f>
        <v>7308595.683451389</v>
      </c>
      <c r="G12" s="978">
        <f>DesglColoc!K7</f>
        <v>7308595.683451389</v>
      </c>
      <c r="H12" s="978">
        <f>DesglColoc!K8</f>
        <v>7308595.683451389</v>
      </c>
      <c r="I12" s="978">
        <f>DesglColoc!K9</f>
        <v>7308595.683451389</v>
      </c>
      <c r="J12" s="978">
        <f>DesglColoc!K10</f>
        <v>7308595.683451389</v>
      </c>
      <c r="K12" s="978">
        <f>DesglColoc!K11</f>
        <v>7308595.683451389</v>
      </c>
      <c r="L12" s="978">
        <f>DesglColoc!K12</f>
        <v>7308595.683451389</v>
      </c>
      <c r="M12" s="978">
        <f>DesglColoc!K13</f>
        <v>7308595.683451389</v>
      </c>
      <c r="N12" s="978">
        <f>DesglColoc!K14</f>
        <v>7308595.683451389</v>
      </c>
      <c r="O12" s="978">
        <f>DesglColoc!K15</f>
        <v>7308595.683451389</v>
      </c>
      <c r="P12" s="974">
        <f>SUM(D12:O12)</f>
        <v>87703148.201416671</v>
      </c>
    </row>
    <row r="13" spans="1:16" ht="20.100000000000001" customHeight="1" x14ac:dyDescent="0.25">
      <c r="B13" s="543" t="s">
        <v>1364</v>
      </c>
      <c r="C13" s="515"/>
      <c r="D13" s="974">
        <f t="shared" ref="D13:I13" si="13">D12-D6</f>
        <v>5808595.683451389</v>
      </c>
      <c r="E13" s="974">
        <f t="shared" si="13"/>
        <v>5808595.683451389</v>
      </c>
      <c r="F13" s="974">
        <f t="shared" si="13"/>
        <v>5808595.683451389</v>
      </c>
      <c r="G13" s="974">
        <f t="shared" si="13"/>
        <v>5808595.683451389</v>
      </c>
      <c r="H13" s="974">
        <f t="shared" si="13"/>
        <v>5808595.683451389</v>
      </c>
      <c r="I13" s="974">
        <f t="shared" si="13"/>
        <v>5808595.683451389</v>
      </c>
      <c r="J13" s="974">
        <f>J12-J6</f>
        <v>5808595.683451389</v>
      </c>
      <c r="K13" s="974">
        <f t="shared" ref="K13:O13" si="14">K12-K6</f>
        <v>5808595.683451389</v>
      </c>
      <c r="L13" s="974">
        <f t="shared" si="14"/>
        <v>5808595.683451389</v>
      </c>
      <c r="M13" s="974">
        <f t="shared" si="14"/>
        <v>5808595.683451389</v>
      </c>
      <c r="N13" s="974">
        <f t="shared" si="14"/>
        <v>5808595.683451389</v>
      </c>
      <c r="O13" s="974">
        <f t="shared" si="14"/>
        <v>5808595.683451389</v>
      </c>
      <c r="P13" s="974">
        <f>SUM(D13:O13)</f>
        <v>69703148.201416686</v>
      </c>
    </row>
    <row r="14" spans="1:16" ht="20.100000000000001" customHeight="1" x14ac:dyDescent="0.25">
      <c r="B14" s="543" t="s">
        <v>1365</v>
      </c>
      <c r="C14" s="515"/>
      <c r="D14" s="978">
        <f>RecupProv!C27+RecupProv!C53+DesglColoc!AK4</f>
        <v>1031235.6537361108</v>
      </c>
      <c r="E14" s="978">
        <f>RecupProv!D27+RecupProv!D53+DesglColoc!AK5</f>
        <v>1175827.1374722214</v>
      </c>
      <c r="F14" s="978">
        <f>RecupProv!E27+RecupProv!E53+DesglColoc!AK6</f>
        <v>1269603.811208332</v>
      </c>
      <c r="G14" s="978">
        <f>RecupProv!F27+RecupProv!F53+DesglColoc!AK7</f>
        <v>1680469.1749444443</v>
      </c>
      <c r="H14" s="978">
        <f>RecupProv!G27+RecupProv!G53+DesglColoc!AK8</f>
        <v>1460997.3686805554</v>
      </c>
      <c r="I14" s="978">
        <f>RecupProv!H27+RecupProv!H53+DesglColoc!AK9</f>
        <v>1522089.9724166668</v>
      </c>
      <c r="J14" s="978">
        <f>RecupProv!I27+RecupProv!I53+DesglColoc!AK10</f>
        <v>1600666.9861527774</v>
      </c>
      <c r="K14" s="978">
        <f>RecupProv!J27+RecupProv!J53+DesglColoc!AK11</f>
        <v>1694994.2098888888</v>
      </c>
      <c r="L14" s="978">
        <f>RecupProv!K27+RecupProv!K53+DesglColoc!AK12</f>
        <v>1795705.063625</v>
      </c>
      <c r="M14" s="978">
        <f>RecupProv!L27+RecupProv!L53+DesglColoc!AK13</f>
        <v>1934791.3873611107</v>
      </c>
      <c r="N14" s="978">
        <f>RecupProv!M27+RecupProv!M53+DesglColoc!AK14</f>
        <v>1969632.891097222</v>
      </c>
      <c r="O14" s="978">
        <f>RecupProv!N27+RecupProv!N53+DesglColoc!AK15</f>
        <v>2041236.8448333323</v>
      </c>
      <c r="P14" s="974">
        <f>SUM(D14:O14)</f>
        <v>19177250.501416665</v>
      </c>
    </row>
    <row r="15" spans="1:16" ht="20.100000000000001" customHeight="1" x14ac:dyDescent="0.25">
      <c r="B15" s="543" t="s">
        <v>734</v>
      </c>
      <c r="C15" s="515"/>
      <c r="D15" s="978">
        <f>BGhoriz!AM160-BGhoriz!AL160</f>
        <v>6196499.9999999851</v>
      </c>
      <c r="E15" s="978">
        <f>BGhoriz!AN160-BGhoriz!AM160</f>
        <v>6196500.0000000149</v>
      </c>
      <c r="F15" s="978">
        <f>BGhoriz!AO160-BGhoriz!AN160</f>
        <v>6196499.9999999925</v>
      </c>
      <c r="G15" s="978">
        <f>BGhoriz!AP160-BGhoriz!AO160</f>
        <v>6196500.0000000149</v>
      </c>
      <c r="H15" s="978">
        <f>BGhoriz!AQ160-BGhoriz!AP160</f>
        <v>6196499.9999999851</v>
      </c>
      <c r="I15" s="978">
        <f>BGhoriz!AR160-BGhoriz!AQ160</f>
        <v>6196500.0000000149</v>
      </c>
      <c r="J15" s="978">
        <f>BGhoriz!AS160-BGhoriz!AR160</f>
        <v>6196499.9999999851</v>
      </c>
      <c r="K15" s="978">
        <f>BGhoriz!AT160-BGhoriz!AS160</f>
        <v>6196500.0000000149</v>
      </c>
      <c r="L15" s="978">
        <f>BGhoriz!AU160-BGhoriz!AT160</f>
        <v>6196500</v>
      </c>
      <c r="M15" s="978">
        <f>BGhoriz!AV160-BGhoriz!AU160</f>
        <v>6196499.9999999851</v>
      </c>
      <c r="N15" s="978">
        <f>BGhoriz!AW160-BGhoriz!AV160</f>
        <v>6196500.0000000298</v>
      </c>
      <c r="O15" s="978">
        <f>BGhoriz!AX160-BGhoriz!AW160</f>
        <v>6196499.9999999851</v>
      </c>
      <c r="P15" s="974">
        <f>SUM(D15:O15)</f>
        <v>74358000.000000015</v>
      </c>
    </row>
    <row r="16" spans="1:16" ht="20.100000000000001" customHeight="1" x14ac:dyDescent="0.25">
      <c r="B16" s="543" t="s">
        <v>1366</v>
      </c>
      <c r="C16" s="979">
        <v>0.15</v>
      </c>
      <c r="D16" s="974">
        <f t="shared" ref="D16:I16" si="15">D15*$C$16</f>
        <v>929474.99999999779</v>
      </c>
      <c r="E16" s="974">
        <f t="shared" si="15"/>
        <v>929475.00000000221</v>
      </c>
      <c r="F16" s="974">
        <f t="shared" si="15"/>
        <v>929474.99999999884</v>
      </c>
      <c r="G16" s="974">
        <f t="shared" si="15"/>
        <v>929475.00000000221</v>
      </c>
      <c r="H16" s="974">
        <f t="shared" si="15"/>
        <v>929474.99999999779</v>
      </c>
      <c r="I16" s="974">
        <f t="shared" si="15"/>
        <v>929475.00000000221</v>
      </c>
      <c r="J16" s="974">
        <f>J15*$C$16</f>
        <v>929474.99999999779</v>
      </c>
      <c r="K16" s="974">
        <f t="shared" ref="K16:O16" si="16">K15*$C$16</f>
        <v>929475.00000000221</v>
      </c>
      <c r="L16" s="974">
        <f t="shared" si="16"/>
        <v>929475</v>
      </c>
      <c r="M16" s="974">
        <f t="shared" si="16"/>
        <v>929474.99999999779</v>
      </c>
      <c r="N16" s="974">
        <f t="shared" si="16"/>
        <v>929475.00000000442</v>
      </c>
      <c r="O16" s="974">
        <f t="shared" si="16"/>
        <v>929474.99999999779</v>
      </c>
      <c r="P16" s="974">
        <f>SUM(E16:O16)</f>
        <v>10224225.000000004</v>
      </c>
    </row>
    <row r="17" spans="2:24" s="3" customFormat="1" ht="20.100000000000001" customHeight="1" x14ac:dyDescent="0.25">
      <c r="B17" s="980"/>
      <c r="C17" s="981"/>
      <c r="D17" s="982">
        <f t="shared" ref="D17:I17" si="17">D13-D14-D15-D16</f>
        <v>-2348614.9702847046</v>
      </c>
      <c r="E17" s="982">
        <f t="shared" si="17"/>
        <v>-2493206.4540208499</v>
      </c>
      <c r="F17" s="982">
        <f t="shared" si="17"/>
        <v>-2586983.1277569346</v>
      </c>
      <c r="G17" s="982">
        <f t="shared" si="17"/>
        <v>-2997848.4914930728</v>
      </c>
      <c r="H17" s="982">
        <f t="shared" si="17"/>
        <v>-2778376.6852291492</v>
      </c>
      <c r="I17" s="982">
        <f t="shared" si="17"/>
        <v>-2839469.2889652946</v>
      </c>
      <c r="J17" s="982">
        <f>J13-J14-J15-J16</f>
        <v>-2918046.3027013713</v>
      </c>
      <c r="K17" s="982">
        <f t="shared" ref="K17:O17" si="18">K13-K14-K15-K16</f>
        <v>-3012373.5264375168</v>
      </c>
      <c r="L17" s="982">
        <f t="shared" si="18"/>
        <v>-3113084.380173611</v>
      </c>
      <c r="M17" s="982">
        <f t="shared" si="18"/>
        <v>-3252170.7039097045</v>
      </c>
      <c r="N17" s="982">
        <f t="shared" si="18"/>
        <v>-3287012.207645867</v>
      </c>
      <c r="O17" s="982">
        <f t="shared" si="18"/>
        <v>-3358616.1613819259</v>
      </c>
      <c r="P17" s="982">
        <f t="shared" ref="P17" si="19">SUM(J17:O17)</f>
        <v>-18941303.282249995</v>
      </c>
      <c r="R17" s="439"/>
      <c r="S17" s="439"/>
      <c r="T17" s="439"/>
      <c r="U17" s="439"/>
      <c r="V17" s="439"/>
      <c r="W17" s="439"/>
      <c r="X17" s="439"/>
    </row>
  </sheetData>
  <pageMargins left="0.70866141732283472" right="0.70866141732283472" top="0.74803149606299213" bottom="0.74803149606299213" header="0.31496062992125984" footer="0.31496062992125984"/>
  <pageSetup paperSize="9" scale="67" orientation="landscape" useFirstPageNumber="1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  <pageSetUpPr fitToPage="1"/>
  </sheetPr>
  <dimension ref="A1:XEX9"/>
  <sheetViews>
    <sheetView zoomScaleNormal="100" workbookViewId="0">
      <pane xSplit="3" ySplit="5" topLeftCell="F6" activePane="bottomRight" state="frozen"/>
      <selection pane="topRight"/>
      <selection pane="bottomLeft"/>
      <selection pane="bottomRight" activeCell="D5" sqref="D5"/>
    </sheetView>
  </sheetViews>
  <sheetFormatPr baseColWidth="10" defaultColWidth="9.140625" defaultRowHeight="14.45" customHeight="1" x14ac:dyDescent="0.25"/>
  <cols>
    <col min="1" max="1" width="3.28515625" style="1" customWidth="1"/>
    <col min="2" max="2" width="22.28515625" style="1" customWidth="1"/>
    <col min="3" max="3" width="7.5703125" style="1" customWidth="1"/>
    <col min="4" max="8" width="13.85546875" style="1" customWidth="1"/>
    <col min="9" max="15" width="13" style="1" customWidth="1"/>
    <col min="16" max="16" width="13.42578125" style="1" customWidth="1"/>
    <col min="17" max="17" width="13.7109375" style="1" customWidth="1"/>
    <col min="25" max="27" width="0" style="1" hidden="1" customWidth="1"/>
    <col min="28" max="16378" width="11.42578125" style="1" hidden="1" customWidth="1"/>
    <col min="16379" max="16384" width="0" style="1" hidden="1" customWidth="1"/>
  </cols>
  <sheetData>
    <row r="1" spans="1:16" ht="30" customHeight="1" x14ac:dyDescent="0.25">
      <c r="A1" s="99" t="str">
        <f>Premisas!A1</f>
        <v>BANCO CAPITAL S.A.</v>
      </c>
      <c r="B1" s="342"/>
      <c r="H1" s="962" t="str">
        <f>Premisas!D1</f>
        <v>PRESUPUESTO  2026</v>
      </c>
    </row>
    <row r="2" spans="1:16" ht="20.25" customHeight="1" x14ac:dyDescent="0.25">
      <c r="A2" s="963" t="s">
        <v>1367</v>
      </c>
      <c r="B2" s="945"/>
      <c r="D2" s="945"/>
    </row>
    <row r="3" spans="1:16" s="465" customFormat="1" ht="18.75" customHeight="1" x14ac:dyDescent="0.25">
      <c r="B3" s="945"/>
      <c r="D3" s="964">
        <v>46053</v>
      </c>
      <c r="E3" s="964" t="s">
        <v>1368</v>
      </c>
      <c r="F3" s="964">
        <v>46112</v>
      </c>
      <c r="G3" s="964">
        <v>46142</v>
      </c>
      <c r="H3" s="964">
        <v>46173</v>
      </c>
      <c r="I3" s="964">
        <v>46203</v>
      </c>
      <c r="J3" s="964">
        <v>46234</v>
      </c>
      <c r="K3" s="964">
        <v>46265</v>
      </c>
      <c r="L3" s="964">
        <v>46295</v>
      </c>
      <c r="M3" s="964">
        <v>46326</v>
      </c>
      <c r="N3" s="964">
        <v>46356</v>
      </c>
      <c r="O3" s="964">
        <v>46387</v>
      </c>
    </row>
    <row r="4" spans="1:16" s="104" customFormat="1" ht="18.75" customHeight="1" x14ac:dyDescent="0.25">
      <c r="B4" s="946"/>
      <c r="D4" s="617">
        <v>31</v>
      </c>
      <c r="E4" s="617">
        <v>28</v>
      </c>
      <c r="F4" s="617">
        <v>31</v>
      </c>
      <c r="G4" s="617">
        <v>30</v>
      </c>
      <c r="H4" s="617">
        <v>31</v>
      </c>
      <c r="I4" s="617">
        <v>30</v>
      </c>
      <c r="J4" s="617">
        <v>31</v>
      </c>
      <c r="K4" s="617">
        <v>31</v>
      </c>
      <c r="L4" s="617">
        <v>30</v>
      </c>
      <c r="M4" s="617">
        <v>31</v>
      </c>
      <c r="N4" s="617">
        <v>30</v>
      </c>
      <c r="O4" s="617">
        <v>31</v>
      </c>
    </row>
    <row r="5" spans="1:16" s="947" customFormat="1" ht="25.5" customHeight="1" x14ac:dyDescent="0.25">
      <c r="B5" s="769" t="s">
        <v>834</v>
      </c>
      <c r="C5" s="965"/>
      <c r="D5" s="966" t="s">
        <v>835</v>
      </c>
      <c r="E5" s="966" t="s">
        <v>836</v>
      </c>
      <c r="F5" s="966" t="s">
        <v>837</v>
      </c>
      <c r="G5" s="966" t="s">
        <v>838</v>
      </c>
      <c r="H5" s="966" t="s">
        <v>839</v>
      </c>
      <c r="I5" s="966" t="s">
        <v>840</v>
      </c>
      <c r="J5" s="966" t="s">
        <v>841</v>
      </c>
      <c r="K5" s="966" t="s">
        <v>842</v>
      </c>
      <c r="L5" s="966" t="s">
        <v>843</v>
      </c>
      <c r="M5" s="966" t="s">
        <v>844</v>
      </c>
      <c r="N5" s="966" t="s">
        <v>845</v>
      </c>
      <c r="O5" s="966" t="s">
        <v>846</v>
      </c>
      <c r="P5" s="967" t="s">
        <v>1357</v>
      </c>
    </row>
    <row r="6" spans="1:16" s="806" customFormat="1" ht="20.100000000000001" customHeight="1" x14ac:dyDescent="0.25">
      <c r="B6" s="968" t="s">
        <v>1369</v>
      </c>
      <c r="C6" s="983"/>
      <c r="D6" s="970">
        <v>5081059.1500000004</v>
      </c>
      <c r="E6" s="971">
        <f t="shared" ref="E6:I6" si="0">D6-E7</f>
        <v>4882221.6300000008</v>
      </c>
      <c r="F6" s="971">
        <f t="shared" si="0"/>
        <v>4685492.2100000009</v>
      </c>
      <c r="G6" s="971">
        <f t="shared" si="0"/>
        <v>4488762.7600000007</v>
      </c>
      <c r="H6" s="971">
        <f t="shared" si="0"/>
        <v>4293346.330000001</v>
      </c>
      <c r="I6" s="971">
        <f t="shared" si="0"/>
        <v>4098965.580000001</v>
      </c>
      <c r="J6" s="971">
        <f>I6-J7</f>
        <v>3905804.5800000015</v>
      </c>
      <c r="K6" s="971">
        <f t="shared" ref="K6:O6" si="1">J6-K7</f>
        <v>3714572.5800000019</v>
      </c>
      <c r="L6" s="971">
        <f t="shared" si="1"/>
        <v>3525474.9800000023</v>
      </c>
      <c r="M6" s="971">
        <f t="shared" si="1"/>
        <v>3339113.6100000027</v>
      </c>
      <c r="N6" s="971">
        <f t="shared" si="1"/>
        <v>3156901.2900000028</v>
      </c>
      <c r="O6" s="971">
        <f t="shared" si="1"/>
        <v>2980280.760000003</v>
      </c>
      <c r="P6" s="984"/>
    </row>
    <row r="7" spans="1:16" s="806" customFormat="1" ht="20.100000000000001" customHeight="1" x14ac:dyDescent="0.25">
      <c r="B7" s="968" t="s">
        <v>1370</v>
      </c>
      <c r="C7" s="983"/>
      <c r="D7" s="970">
        <v>198837.56999999972</v>
      </c>
      <c r="E7" s="970">
        <v>198837.51999999973</v>
      </c>
      <c r="F7" s="970">
        <v>196729.41999999975</v>
      </c>
      <c r="G7" s="970">
        <v>196729.44999999978</v>
      </c>
      <c r="H7" s="970">
        <v>195416.42999999976</v>
      </c>
      <c r="I7" s="970">
        <v>194380.74999999977</v>
      </c>
      <c r="J7" s="970">
        <v>193160.99999999974</v>
      </c>
      <c r="K7" s="970">
        <v>191231.99999999977</v>
      </c>
      <c r="L7" s="970">
        <v>189097.59999999977</v>
      </c>
      <c r="M7" s="970">
        <v>186361.36999999979</v>
      </c>
      <c r="N7" s="970">
        <v>182212.31999999989</v>
      </c>
      <c r="O7" s="970">
        <v>176620.52999999991</v>
      </c>
      <c r="P7" s="971">
        <f>SUM(D7:O7)</f>
        <v>2299615.9599999976</v>
      </c>
    </row>
    <row r="8" spans="1:16" s="806" customFormat="1" ht="20.100000000000001" customHeight="1" x14ac:dyDescent="0.25">
      <c r="B8" s="968" t="s">
        <v>1371</v>
      </c>
      <c r="C8" s="985"/>
      <c r="D8" s="970">
        <v>38401.58</v>
      </c>
      <c r="E8" s="970">
        <v>38401.629999999997</v>
      </c>
      <c r="F8" s="970">
        <v>38320.730000000003</v>
      </c>
      <c r="G8" s="970">
        <v>38320.699999999997</v>
      </c>
      <c r="H8" s="970">
        <v>38249.72</v>
      </c>
      <c r="I8" s="970">
        <v>38186.400000000001</v>
      </c>
      <c r="J8" s="970">
        <v>38105.550000000003</v>
      </c>
      <c r="K8" s="970">
        <v>37966.75</v>
      </c>
      <c r="L8" s="970">
        <v>37803.15</v>
      </c>
      <c r="M8" s="970">
        <v>37569.46</v>
      </c>
      <c r="N8" s="970">
        <v>37190.21</v>
      </c>
      <c r="O8" s="970">
        <v>36650.75</v>
      </c>
      <c r="P8" s="971">
        <f>SUM(D8:O8)</f>
        <v>455166.63000000006</v>
      </c>
    </row>
    <row r="9" spans="1:16" s="806" customFormat="1" ht="20.100000000000001" customHeight="1" x14ac:dyDescent="0.25">
      <c r="B9" s="973" t="s">
        <v>1372</v>
      </c>
      <c r="C9" s="965"/>
      <c r="D9" s="974">
        <f>SUM(D7:D8)</f>
        <v>237239.14999999973</v>
      </c>
      <c r="E9" s="974">
        <f t="shared" ref="E9:P9" si="2">SUM(E7:E8)</f>
        <v>237239.14999999973</v>
      </c>
      <c r="F9" s="974">
        <f t="shared" si="2"/>
        <v>235050.14999999976</v>
      </c>
      <c r="G9" s="974">
        <f t="shared" si="2"/>
        <v>235050.14999999979</v>
      </c>
      <c r="H9" s="974">
        <f t="shared" si="2"/>
        <v>233666.14999999976</v>
      </c>
      <c r="I9" s="974">
        <f t="shared" si="2"/>
        <v>232567.14999999976</v>
      </c>
      <c r="J9" s="974">
        <f t="shared" si="2"/>
        <v>231266.54999999976</v>
      </c>
      <c r="K9" s="974">
        <f t="shared" si="2"/>
        <v>229198.74999999977</v>
      </c>
      <c r="L9" s="974">
        <f t="shared" si="2"/>
        <v>226900.74999999977</v>
      </c>
      <c r="M9" s="974">
        <f t="shared" si="2"/>
        <v>223930.82999999978</v>
      </c>
      <c r="N9" s="974">
        <f t="shared" si="2"/>
        <v>219402.52999999988</v>
      </c>
      <c r="O9" s="974">
        <f t="shared" si="2"/>
        <v>213271.27999999991</v>
      </c>
      <c r="P9" s="974">
        <f t="shared" si="2"/>
        <v>2754782.5899999975</v>
      </c>
    </row>
  </sheetData>
  <pageMargins left="0.70866141732283472" right="0.70866141732283472" top="0.74803149606299213" bottom="0.74803149606299213" header="0.31496062992125984" footer="0.31496062992125984"/>
  <pageSetup paperSize="9" scale="67" orientation="landscape" useFirstPageNumber="1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XEX8"/>
  <sheetViews>
    <sheetView zoomScaleNormal="100" workbookViewId="0">
      <pane xSplit="3" ySplit="5" topLeftCell="D6" activePane="bottomRight" state="frozen"/>
      <selection pane="topRight"/>
      <selection pane="bottomLeft"/>
      <selection pane="bottomRight" activeCell="E6" sqref="E6"/>
    </sheetView>
  </sheetViews>
  <sheetFormatPr baseColWidth="10" defaultColWidth="9.140625" defaultRowHeight="14.45" customHeight="1" x14ac:dyDescent="0.25"/>
  <cols>
    <col min="1" max="1" width="3.28515625" style="1" customWidth="1"/>
    <col min="2" max="2" width="28.140625" style="1" customWidth="1"/>
    <col min="3" max="3" width="7.5703125" style="1" customWidth="1"/>
    <col min="4" max="13" width="12.42578125" style="1" customWidth="1"/>
    <col min="14" max="15" width="12.7109375" style="1" customWidth="1"/>
    <col min="16" max="16" width="13.42578125" style="1" customWidth="1"/>
    <col min="17" max="17" width="13.7109375" style="1" customWidth="1"/>
    <col min="25" max="27" width="0" style="1" hidden="1" customWidth="1"/>
    <col min="28" max="16378" width="11.42578125" style="1" hidden="1" customWidth="1"/>
    <col min="16379" max="16384" width="0" style="1" hidden="1" customWidth="1"/>
  </cols>
  <sheetData>
    <row r="1" spans="1:16" ht="30" customHeight="1" x14ac:dyDescent="0.25">
      <c r="A1" s="99" t="str">
        <f>Premisas!A1</f>
        <v>BANCO CAPITAL S.A.</v>
      </c>
      <c r="B1" s="342"/>
      <c r="H1" s="962" t="str">
        <f>Premisas!D1</f>
        <v>PRESUPUESTO  2026</v>
      </c>
    </row>
    <row r="2" spans="1:16" ht="20.25" customHeight="1" x14ac:dyDescent="0.25">
      <c r="A2" s="963" t="s">
        <v>1373</v>
      </c>
      <c r="B2" s="945"/>
      <c r="D2" s="945"/>
    </row>
    <row r="3" spans="1:16" s="465" customFormat="1" ht="18.75" customHeight="1" x14ac:dyDescent="0.25">
      <c r="B3" s="945"/>
      <c r="D3" s="964">
        <v>45688</v>
      </c>
      <c r="E3" s="964" t="s">
        <v>1356</v>
      </c>
      <c r="F3" s="964">
        <v>45747</v>
      </c>
      <c r="G3" s="964">
        <v>45777</v>
      </c>
      <c r="H3" s="964">
        <v>45808</v>
      </c>
      <c r="I3" s="964">
        <v>45838</v>
      </c>
      <c r="J3" s="964">
        <v>45869</v>
      </c>
      <c r="K3" s="964">
        <v>45900</v>
      </c>
      <c r="L3" s="964">
        <v>45930</v>
      </c>
      <c r="M3" s="964">
        <v>45961</v>
      </c>
      <c r="N3" s="964">
        <v>45991</v>
      </c>
      <c r="O3" s="964">
        <v>46022</v>
      </c>
    </row>
    <row r="4" spans="1:16" s="104" customFormat="1" ht="18.75" customHeight="1" x14ac:dyDescent="0.25">
      <c r="B4" s="946"/>
      <c r="D4" s="617">
        <v>31</v>
      </c>
      <c r="E4" s="617">
        <v>28</v>
      </c>
      <c r="F4" s="617">
        <v>31</v>
      </c>
      <c r="G4" s="617">
        <v>30</v>
      </c>
      <c r="H4" s="617">
        <v>31</v>
      </c>
      <c r="I4" s="617">
        <v>30</v>
      </c>
      <c r="J4" s="617">
        <v>31</v>
      </c>
      <c r="K4" s="617">
        <v>31</v>
      </c>
      <c r="L4" s="617">
        <v>30</v>
      </c>
      <c r="M4" s="617">
        <v>31</v>
      </c>
      <c r="N4" s="617">
        <v>30</v>
      </c>
      <c r="O4" s="617">
        <v>31</v>
      </c>
    </row>
    <row r="5" spans="1:16" s="947" customFormat="1" ht="25.5" customHeight="1" x14ac:dyDescent="0.25">
      <c r="B5" s="769" t="s">
        <v>834</v>
      </c>
      <c r="C5" s="965"/>
      <c r="D5" s="966" t="s">
        <v>835</v>
      </c>
      <c r="E5" s="966" t="s">
        <v>836</v>
      </c>
      <c r="F5" s="966" t="s">
        <v>837</v>
      </c>
      <c r="G5" s="966" t="s">
        <v>838</v>
      </c>
      <c r="H5" s="966" t="s">
        <v>839</v>
      </c>
      <c r="I5" s="966" t="s">
        <v>840</v>
      </c>
      <c r="J5" s="966" t="s">
        <v>841</v>
      </c>
      <c r="K5" s="966" t="s">
        <v>842</v>
      </c>
      <c r="L5" s="966" t="s">
        <v>843</v>
      </c>
      <c r="M5" s="966" t="s">
        <v>844</v>
      </c>
      <c r="N5" s="966" t="s">
        <v>845</v>
      </c>
      <c r="O5" s="966" t="s">
        <v>846</v>
      </c>
      <c r="P5" s="967" t="s">
        <v>1357</v>
      </c>
    </row>
    <row r="6" spans="1:16" s="806" customFormat="1" ht="20.100000000000001" customHeight="1" x14ac:dyDescent="0.25">
      <c r="B6" s="968" t="s">
        <v>1374</v>
      </c>
      <c r="C6" s="983"/>
      <c r="D6" s="970">
        <v>0</v>
      </c>
      <c r="E6" s="971">
        <f>+D6-D7</f>
        <v>0</v>
      </c>
      <c r="F6" s="971">
        <f t="shared" ref="F6:J6" si="0">+E6-E7</f>
        <v>0</v>
      </c>
      <c r="G6" s="971">
        <f t="shared" si="0"/>
        <v>0</v>
      </c>
      <c r="H6" s="971">
        <f t="shared" si="0"/>
        <v>0</v>
      </c>
      <c r="I6" s="971">
        <f t="shared" si="0"/>
        <v>0</v>
      </c>
      <c r="J6" s="971">
        <f t="shared" si="0"/>
        <v>0</v>
      </c>
      <c r="K6" s="971">
        <f t="shared" ref="K6:O6" si="1">J6-K7</f>
        <v>0</v>
      </c>
      <c r="L6" s="971">
        <f t="shared" si="1"/>
        <v>0</v>
      </c>
      <c r="M6" s="971">
        <f t="shared" si="1"/>
        <v>0</v>
      </c>
      <c r="N6" s="971">
        <f t="shared" si="1"/>
        <v>0</v>
      </c>
      <c r="O6" s="971">
        <f t="shared" si="1"/>
        <v>0</v>
      </c>
      <c r="P6" s="984"/>
    </row>
    <row r="7" spans="1:16" s="806" customFormat="1" ht="20.100000000000001" customHeight="1" x14ac:dyDescent="0.25">
      <c r="B7" s="968" t="s">
        <v>1375</v>
      </c>
      <c r="C7" s="969">
        <v>36</v>
      </c>
      <c r="D7" s="971">
        <f>+$D$6/$C$7</f>
        <v>0</v>
      </c>
      <c r="E7" s="971">
        <f t="shared" ref="E7:O7" si="2">+$D$6/$C$7</f>
        <v>0</v>
      </c>
      <c r="F7" s="971">
        <f t="shared" si="2"/>
        <v>0</v>
      </c>
      <c r="G7" s="971">
        <f t="shared" si="2"/>
        <v>0</v>
      </c>
      <c r="H7" s="971">
        <f t="shared" si="2"/>
        <v>0</v>
      </c>
      <c r="I7" s="971">
        <f t="shared" si="2"/>
        <v>0</v>
      </c>
      <c r="J7" s="971">
        <f t="shared" si="2"/>
        <v>0</v>
      </c>
      <c r="K7" s="971">
        <f t="shared" si="2"/>
        <v>0</v>
      </c>
      <c r="L7" s="971">
        <f t="shared" si="2"/>
        <v>0</v>
      </c>
      <c r="M7" s="971">
        <f t="shared" si="2"/>
        <v>0</v>
      </c>
      <c r="N7" s="971">
        <f t="shared" si="2"/>
        <v>0</v>
      </c>
      <c r="O7" s="971">
        <f t="shared" si="2"/>
        <v>0</v>
      </c>
      <c r="P7" s="971">
        <f>SUM(D7:O7)</f>
        <v>0</v>
      </c>
    </row>
    <row r="8" spans="1:16" s="806" customFormat="1" ht="20.100000000000001" customHeight="1" x14ac:dyDescent="0.25">
      <c r="B8" s="973" t="s">
        <v>1376</v>
      </c>
      <c r="C8" s="965"/>
      <c r="D8" s="974">
        <f t="shared" ref="D8:I8" si="3">SUM(D7:D7)</f>
        <v>0</v>
      </c>
      <c r="E8" s="974">
        <f t="shared" si="3"/>
        <v>0</v>
      </c>
      <c r="F8" s="974">
        <f t="shared" si="3"/>
        <v>0</v>
      </c>
      <c r="G8" s="974">
        <f t="shared" si="3"/>
        <v>0</v>
      </c>
      <c r="H8" s="974">
        <f t="shared" si="3"/>
        <v>0</v>
      </c>
      <c r="I8" s="974">
        <f t="shared" si="3"/>
        <v>0</v>
      </c>
      <c r="J8" s="974">
        <f>J6-J7</f>
        <v>0</v>
      </c>
      <c r="K8" s="974">
        <f t="shared" ref="K8:O8" si="4">K6-K7</f>
        <v>0</v>
      </c>
      <c r="L8" s="974">
        <f t="shared" si="4"/>
        <v>0</v>
      </c>
      <c r="M8" s="974">
        <f t="shared" si="4"/>
        <v>0</v>
      </c>
      <c r="N8" s="974">
        <f t="shared" si="4"/>
        <v>0</v>
      </c>
      <c r="O8" s="974">
        <f t="shared" si="4"/>
        <v>0</v>
      </c>
      <c r="P8" s="986"/>
    </row>
  </sheetData>
  <pageMargins left="0.70866141732283472" right="0.70866141732283472" top="0.74803149606299213" bottom="0.74803149606299213" header="0.31496062992125984" footer="0.31496062992125984"/>
  <pageSetup paperSize="9" scale="67" orientation="landscape" useFirstPageNumber="1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3"/>
  <sheetViews>
    <sheetView zoomScaleNormal="100" workbookViewId="0">
      <selection activeCell="C3" sqref="C3"/>
    </sheetView>
  </sheetViews>
  <sheetFormatPr baseColWidth="10" defaultColWidth="9.140625" defaultRowHeight="15" x14ac:dyDescent="0.25"/>
  <sheetData>
    <row r="1" spans="1:1" ht="33" customHeight="1" x14ac:dyDescent="0.25">
      <c r="A1" s="99" t="str">
        <f>ProyCapt!A1</f>
        <v>BANCO CAPITAL S.A.</v>
      </c>
    </row>
    <row r="3" spans="1:1" x14ac:dyDescent="0.25">
      <c r="A3" t="s">
        <v>1377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2:C8"/>
  <sheetViews>
    <sheetView zoomScaleNormal="100" workbookViewId="0"/>
  </sheetViews>
  <sheetFormatPr baseColWidth="10" defaultColWidth="9.140625" defaultRowHeight="15" x14ac:dyDescent="0.25"/>
  <cols>
    <col min="1" max="1" width="5" customWidth="1"/>
    <col min="2" max="2" width="40" customWidth="1"/>
    <col min="3" max="3" width="60" customWidth="1"/>
  </cols>
  <sheetData>
    <row r="2" spans="2:3" ht="21" customHeight="1" x14ac:dyDescent="0.25">
      <c r="B2" s="987" t="s">
        <v>1378</v>
      </c>
    </row>
    <row r="4" spans="2:3" x14ac:dyDescent="0.25">
      <c r="B4" s="988" t="s">
        <v>1379</v>
      </c>
      <c r="C4" t="s">
        <v>1380</v>
      </c>
    </row>
    <row r="6" spans="2:3" x14ac:dyDescent="0.25">
      <c r="B6" s="989" t="s">
        <v>1381</v>
      </c>
      <c r="C6" t="s">
        <v>1382</v>
      </c>
    </row>
    <row r="8" spans="2:3" x14ac:dyDescent="0.25">
      <c r="B8" s="990" t="s">
        <v>1383</v>
      </c>
      <c r="C8" t="s">
        <v>1384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26</vt:i4>
      </vt:variant>
      <vt:variant>
        <vt:lpstr>Rangos con nombre</vt:lpstr>
      </vt:variant>
      <vt:variant>
        <vt:i4>19</vt:i4>
      </vt:variant>
    </vt:vector>
  </HeadingPairs>
  <TitlesOfParts>
    <vt:vector size="45" baseType="lpstr">
      <vt:lpstr>Premisas</vt:lpstr>
      <vt:lpstr>EEFFun</vt:lpstr>
      <vt:lpstr>BGhoriz</vt:lpstr>
      <vt:lpstr>BGresu</vt:lpstr>
      <vt:lpstr>BRhoriz</vt:lpstr>
      <vt:lpstr>BRresu</vt:lpstr>
      <vt:lpstr>BRmarg</vt:lpstr>
      <vt:lpstr>FlujoCaja</vt:lpstr>
      <vt:lpstr>INV</vt:lpstr>
      <vt:lpstr>FlujoEfect</vt:lpstr>
      <vt:lpstr>PT</vt:lpstr>
      <vt:lpstr>Nómina</vt:lpstr>
      <vt:lpstr>RecupProv</vt:lpstr>
      <vt:lpstr>DesglColoc</vt:lpstr>
      <vt:lpstr>ProyCartCre</vt:lpstr>
      <vt:lpstr>ColocPorSegm</vt:lpstr>
      <vt:lpstr>CalcIntCart</vt:lpstr>
      <vt:lpstr>ProyCapt</vt:lpstr>
      <vt:lpstr>DesglCapt</vt:lpstr>
      <vt:lpstr>CaptObFin</vt:lpstr>
      <vt:lpstr>IntCaptac</vt:lpstr>
      <vt:lpstr>OVA</vt:lpstr>
      <vt:lpstr>ECU</vt:lpstr>
      <vt:lpstr>DIFERPROV</vt:lpstr>
      <vt:lpstr>SEGUROS</vt:lpstr>
      <vt:lpstr>LEYENDA_MAPA</vt:lpstr>
      <vt:lpstr>_FilterDatabase</vt:lpstr>
      <vt:lpstr>BGhoriz!Área_de_impresión</vt:lpstr>
      <vt:lpstr>BGresu!Área_de_impresión</vt:lpstr>
      <vt:lpstr>BRhoriz!Área_de_impresión</vt:lpstr>
      <vt:lpstr>BRmarg!Área_de_impresión</vt:lpstr>
      <vt:lpstr>BRresu!Área_de_impresión</vt:lpstr>
      <vt:lpstr>IntCaptac!Área_de_impresión</vt:lpstr>
      <vt:lpstr>Nómina!Área_de_impresión</vt:lpstr>
      <vt:lpstr>ProyCapt!Área_de_impresión</vt:lpstr>
      <vt:lpstr>RecupProv!Área_de_impresión</vt:lpstr>
      <vt:lpstr>BGhoriz!Títulos_a_imprimir</vt:lpstr>
      <vt:lpstr>BGresu!Títulos_a_imprimir</vt:lpstr>
      <vt:lpstr>BRhoriz!Títulos_a_imprimir</vt:lpstr>
      <vt:lpstr>BRmarg!Títulos_a_imprimir</vt:lpstr>
      <vt:lpstr>BRresu!Títulos_a_imprimir</vt:lpstr>
      <vt:lpstr>ColocPorSegm!Títulos_a_imprimir</vt:lpstr>
      <vt:lpstr>Nómina!Títulos_a_imprimir</vt:lpstr>
      <vt:lpstr>PT!Títulos_a_imprimir</vt:lpstr>
      <vt:lpstr>RecupProv!Títulos_a_imprimir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2013-10-27T15:05:56Z</dcterms:created>
  <dcterms:modified xsi:type="dcterms:W3CDTF">2026-05-19T21:37:35Z</dcterms:modified>
  <cp:category/>
  <cp:contentStatus/>
</cp:coreProperties>
</file>