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2" sheetId="3" r:id="rId6"/>
    <sheet state="visible" name="2023" sheetId="4" r:id="rId7"/>
    <sheet state="visible" name="CAPM" sheetId="5" r:id="rId8"/>
    <sheet state="visible" name="Custo_dívida" sheetId="6" r:id="rId9"/>
  </sheets>
  <definedNames/>
  <calcPr/>
</workbook>
</file>

<file path=xl/sharedStrings.xml><?xml version="1.0" encoding="utf-8"?>
<sst xmlns="http://schemas.openxmlformats.org/spreadsheetml/2006/main" count="59" uniqueCount="29">
  <si>
    <t>Ke (Custo de capital próprio)</t>
  </si>
  <si>
    <t>Kd (Custo da dívida)</t>
  </si>
  <si>
    <t>We (Peso do capital próprio)</t>
  </si>
  <si>
    <t>Wd (Peso da dívida)</t>
  </si>
  <si>
    <t>CMPC</t>
  </si>
  <si>
    <t>Fluxo de Caixa Operacional</t>
  </si>
  <si>
    <t>Valor de Mercado Intrínseco</t>
  </si>
  <si>
    <t>Quantidade de Ações em Circulação</t>
  </si>
  <si>
    <t>Preço Intrínseco</t>
  </si>
  <si>
    <t>Período</t>
  </si>
  <si>
    <t>Taxa Selic</t>
  </si>
  <si>
    <t>Retorno Ibov</t>
  </si>
  <si>
    <t>Beta Setor</t>
  </si>
  <si>
    <t>2016-2020 (Média)</t>
  </si>
  <si>
    <t>2017-2021 (Média)</t>
  </si>
  <si>
    <t>2018-2022 (Média)</t>
  </si>
  <si>
    <t>2019-2023 (Média)</t>
  </si>
  <si>
    <t>Dívida Bruta</t>
  </si>
  <si>
    <t>PL</t>
  </si>
  <si>
    <t>Beta Neogrid</t>
  </si>
  <si>
    <t>2016-2020</t>
  </si>
  <si>
    <t>2017-2021</t>
  </si>
  <si>
    <t>2018-2022</t>
  </si>
  <si>
    <t>2019-2023</t>
  </si>
  <si>
    <t>Ano</t>
  </si>
  <si>
    <t>CAPM</t>
  </si>
  <si>
    <t>Despesa com Juros
(DFC)</t>
  </si>
  <si>
    <t>Custo da Dívida - Antes do IR</t>
  </si>
  <si>
    <t>Custo da Dívida - Depois do 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</si>
</sst>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5C5F60"/>
      <name val="Montserrat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10" xfId="0" applyAlignment="1" applyBorder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3" xfId="0" applyAlignment="1" applyBorder="1" applyFont="1" applyNumberFormat="1">
      <alignment horizontal="center" readingOrder="0" vertical="bottom"/>
    </xf>
    <xf borderId="0" fillId="2" fontId="3" numFmtId="3" xfId="0" applyAlignment="1" applyFill="1" applyFont="1" applyNumberFormat="1">
      <alignment horizontal="center"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4" xfId="0" applyAlignment="1" applyFont="1" applyNumberFormat="1">
      <alignment horizontal="center"/>
    </xf>
    <xf borderId="0" fillId="0" fontId="2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4" numFmtId="9" xfId="0" applyAlignment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13"/>
    <col customWidth="1" min="3" max="3" width="17.75"/>
  </cols>
  <sheetData>
    <row r="1">
      <c r="B1" s="1"/>
      <c r="C1" s="1"/>
    </row>
    <row r="2">
      <c r="B2" s="2" t="s">
        <v>0</v>
      </c>
      <c r="C2" s="3">
        <f>CAPM!C15</f>
        <v>0.1693739453</v>
      </c>
    </row>
    <row r="3">
      <c r="B3" s="2" t="s">
        <v>1</v>
      </c>
      <c r="C3" s="3">
        <f>'Custo_dívida'!F5</f>
        <v>0.07772428807</v>
      </c>
    </row>
    <row r="4">
      <c r="B4" s="2" t="s">
        <v>2</v>
      </c>
      <c r="C4" s="4">
        <f>CAPM!D9/(CAPM!D9+CAPM!C9)</f>
        <v>0.8139023471</v>
      </c>
    </row>
    <row r="5">
      <c r="B5" s="5" t="s">
        <v>3</v>
      </c>
      <c r="C5" s="4">
        <f>1-C4</f>
        <v>0.1860976529</v>
      </c>
    </row>
    <row r="6">
      <c r="B6" s="5" t="s">
        <v>4</v>
      </c>
      <c r="C6" s="3">
        <f>(C2*C4)+(C5*C3)</f>
        <v>0.1523181592</v>
      </c>
    </row>
    <row r="7">
      <c r="B7" s="5" t="s">
        <v>5</v>
      </c>
      <c r="C7" s="6">
        <v>1.15481E8</v>
      </c>
    </row>
    <row r="8">
      <c r="B8" s="5" t="s">
        <v>6</v>
      </c>
      <c r="C8" s="7">
        <f>C7/C6</f>
        <v>758156484</v>
      </c>
    </row>
    <row r="9">
      <c r="B9" s="8" t="s">
        <v>7</v>
      </c>
      <c r="C9" s="9">
        <f>503561184-56472</f>
        <v>503504712</v>
      </c>
    </row>
    <row r="10">
      <c r="B10" s="5" t="s">
        <v>8</v>
      </c>
      <c r="C10" s="7">
        <f>C8/C9</f>
        <v>1.505758468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13"/>
    <col customWidth="1" min="3" max="3" width="18.38"/>
  </cols>
  <sheetData>
    <row r="1">
      <c r="B1" s="1"/>
      <c r="C1" s="1"/>
    </row>
    <row r="2">
      <c r="B2" s="2" t="s">
        <v>0</v>
      </c>
      <c r="C2" s="3">
        <f>CAPM!C16</f>
        <v>0.1086793084</v>
      </c>
    </row>
    <row r="3">
      <c r="B3" s="2" t="s">
        <v>1</v>
      </c>
      <c r="C3" s="3">
        <f>'Custo_dívida'!F6</f>
        <v>0.08691418615</v>
      </c>
    </row>
    <row r="4">
      <c r="B4" s="2" t="s">
        <v>2</v>
      </c>
      <c r="C4" s="4">
        <f>CAPM!D10/(CAPM!D10+CAPM!C10)</f>
        <v>0.9651787135</v>
      </c>
    </row>
    <row r="5">
      <c r="B5" s="5" t="s">
        <v>3</v>
      </c>
      <c r="C5" s="4">
        <f>1-C4</f>
        <v>0.03482128646</v>
      </c>
    </row>
    <row r="6">
      <c r="B6" s="5" t="s">
        <v>4</v>
      </c>
      <c r="C6" s="3">
        <f>(C2*C4)+(C5*C3)</f>
        <v>0.1079214188</v>
      </c>
    </row>
    <row r="7">
      <c r="B7" s="5" t="s">
        <v>5</v>
      </c>
      <c r="C7" s="6">
        <v>1.68582E8</v>
      </c>
    </row>
    <row r="8">
      <c r="B8" s="5" t="s">
        <v>6</v>
      </c>
      <c r="C8" s="7">
        <f>C7/(C6-0.048)</f>
        <v>2813384651</v>
      </c>
    </row>
    <row r="9">
      <c r="B9" s="8" t="s">
        <v>7</v>
      </c>
      <c r="C9" s="9">
        <f>589581572-2748472</f>
        <v>586833100</v>
      </c>
    </row>
    <row r="10">
      <c r="B10" s="5" t="s">
        <v>8</v>
      </c>
      <c r="C10" s="7">
        <f>C8/C9</f>
        <v>4.794181942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13"/>
    <col customWidth="1" min="3" max="3" width="18.25"/>
  </cols>
  <sheetData>
    <row r="1">
      <c r="B1" s="1"/>
      <c r="C1" s="1"/>
    </row>
    <row r="2">
      <c r="B2" s="2" t="s">
        <v>0</v>
      </c>
      <c r="C2" s="3">
        <f>CAPM!C17</f>
        <v>0.08200819661</v>
      </c>
    </row>
    <row r="3">
      <c r="B3" s="2" t="s">
        <v>1</v>
      </c>
      <c r="C3" s="3">
        <f>'Custo_dívida'!F7</f>
        <v>0.06129412985</v>
      </c>
    </row>
    <row r="4">
      <c r="B4" s="2" t="s">
        <v>2</v>
      </c>
      <c r="C4" s="4">
        <f>CAPM!D11/(CAPM!D11+CAPM!C11)</f>
        <v>0.9746872629</v>
      </c>
    </row>
    <row r="5">
      <c r="B5" s="5" t="s">
        <v>3</v>
      </c>
      <c r="C5" s="4">
        <f>1-C4</f>
        <v>0.02531273713</v>
      </c>
    </row>
    <row r="6">
      <c r="B6" s="5" t="s">
        <v>4</v>
      </c>
      <c r="C6" s="3">
        <f>(C2*C4)+(C5*C3)</f>
        <v>0.08148386688</v>
      </c>
    </row>
    <row r="7">
      <c r="B7" s="5" t="s">
        <v>5</v>
      </c>
      <c r="C7" s="6">
        <v>2.77684E8</v>
      </c>
    </row>
    <row r="8">
      <c r="B8" s="5" t="s">
        <v>6</v>
      </c>
      <c r="C8" s="7">
        <f>C7/(C6-0.03)</f>
        <v>5393611957</v>
      </c>
    </row>
    <row r="9">
      <c r="B9" s="8" t="s">
        <v>7</v>
      </c>
      <c r="C9" s="9">
        <f>592510448-3048472</f>
        <v>589461976</v>
      </c>
    </row>
    <row r="10">
      <c r="B10" s="5" t="s">
        <v>8</v>
      </c>
      <c r="C10" s="7">
        <f>C8/C9</f>
        <v>9.150059166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8.13"/>
    <col customWidth="1" min="3" max="3" width="17.75"/>
  </cols>
  <sheetData>
    <row r="1">
      <c r="B1" s="1"/>
      <c r="C1" s="1"/>
    </row>
    <row r="2">
      <c r="B2" s="2" t="s">
        <v>0</v>
      </c>
      <c r="C2" s="3">
        <f>CAPM!C18</f>
        <v>0.09772610598</v>
      </c>
    </row>
    <row r="3">
      <c r="B3" s="2" t="s">
        <v>1</v>
      </c>
      <c r="C3" s="3">
        <f>'Custo_dívida'!F8</f>
        <v>0.0002986039297</v>
      </c>
    </row>
    <row r="4">
      <c r="B4" s="2" t="s">
        <v>2</v>
      </c>
      <c r="C4" s="4">
        <f>CAPM!D12/(CAPM!D12+CAPM!C12)</f>
        <v>0.9738377977</v>
      </c>
    </row>
    <row r="5">
      <c r="B5" s="5" t="s">
        <v>3</v>
      </c>
      <c r="C5" s="4">
        <f>1-C4</f>
        <v>0.02616220234</v>
      </c>
    </row>
    <row r="6">
      <c r="B6" s="5" t="s">
        <v>4</v>
      </c>
      <c r="C6" s="3">
        <f>(C2*C4)+(C5*C3)</f>
        <v>0.09517718796</v>
      </c>
    </row>
    <row r="7">
      <c r="B7" s="5" t="s">
        <v>5</v>
      </c>
      <c r="C7" s="6">
        <v>3.07789E8</v>
      </c>
    </row>
    <row r="8">
      <c r="B8" s="5" t="s">
        <v>6</v>
      </c>
      <c r="C8" s="7">
        <f>C7/(C6-0.032)</f>
        <v>4871837604</v>
      </c>
    </row>
    <row r="9">
      <c r="B9" s="8" t="s">
        <v>7</v>
      </c>
      <c r="C9" s="9">
        <f>595764158-6228472</f>
        <v>589535686</v>
      </c>
    </row>
    <row r="10">
      <c r="B10" s="5" t="s">
        <v>8</v>
      </c>
      <c r="C10" s="7">
        <f>C8/C9</f>
        <v>8.263855301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0"/>
      <c r="D14" s="11"/>
    </row>
    <row r="15">
      <c r="B15" s="1"/>
      <c r="C15" s="1"/>
      <c r="D15" s="12"/>
    </row>
    <row r="16">
      <c r="B16" s="1"/>
      <c r="C16" s="13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3" width="15.13"/>
    <col customWidth="1" min="4" max="4" width="13.38"/>
  </cols>
  <sheetData>
    <row r="2">
      <c r="B2" s="5" t="s">
        <v>9</v>
      </c>
      <c r="C2" s="5" t="s">
        <v>10</v>
      </c>
      <c r="D2" s="5" t="s">
        <v>11</v>
      </c>
      <c r="E2" s="5" t="s">
        <v>12</v>
      </c>
    </row>
    <row r="3">
      <c r="B3" s="8" t="s">
        <v>13</v>
      </c>
      <c r="C3" s="3">
        <v>0.07967980295566503</v>
      </c>
      <c r="D3" s="3">
        <v>0.23064</v>
      </c>
      <c r="E3" s="4">
        <v>0.5162510920866771</v>
      </c>
    </row>
    <row r="4">
      <c r="B4" s="8" t="s">
        <v>14</v>
      </c>
      <c r="C4" s="3">
        <v>0.06037376779846659</v>
      </c>
      <c r="D4" s="3">
        <v>0.12892</v>
      </c>
      <c r="E4" s="4">
        <v>0.6883249135666707</v>
      </c>
    </row>
    <row r="5">
      <c r="B5" s="8" t="s">
        <v>15</v>
      </c>
      <c r="C5" s="3">
        <v>0.06515607886089814</v>
      </c>
      <c r="D5" s="3">
        <v>0.08458</v>
      </c>
      <c r="E5" s="4">
        <v>0.8529758360889244</v>
      </c>
    </row>
    <row r="6">
      <c r="B6" s="8" t="s">
        <v>16</v>
      </c>
      <c r="C6" s="3">
        <v>0.0785802300109529</v>
      </c>
      <c r="D6" s="3">
        <v>0.09908</v>
      </c>
      <c r="E6" s="4">
        <v>0.9176842495019985</v>
      </c>
    </row>
    <row r="7">
      <c r="B7" s="14"/>
      <c r="C7" s="14"/>
      <c r="D7" s="14"/>
      <c r="E7" s="14"/>
    </row>
    <row r="8">
      <c r="B8" s="5" t="s">
        <v>9</v>
      </c>
      <c r="C8" s="5" t="s">
        <v>17</v>
      </c>
      <c r="D8" s="5" t="s">
        <v>18</v>
      </c>
      <c r="E8" s="5" t="s">
        <v>19</v>
      </c>
    </row>
    <row r="9">
      <c r="B9" s="5" t="s">
        <v>20</v>
      </c>
      <c r="C9" s="7">
        <f>'Custo_dívida'!C5</f>
        <v>154103</v>
      </c>
      <c r="D9" s="15">
        <v>673973.0</v>
      </c>
      <c r="E9" s="4">
        <f t="shared" ref="E9:E12" si="1">E3*(1+((C9*(1-0.34))/D9))</f>
        <v>0.5941575598</v>
      </c>
    </row>
    <row r="10">
      <c r="B10" s="5" t="s">
        <v>21</v>
      </c>
      <c r="C10" s="7">
        <f>'Custo_dívida'!C6</f>
        <v>105890</v>
      </c>
      <c r="D10" s="15">
        <v>2935066.0</v>
      </c>
      <c r="E10" s="4">
        <f t="shared" si="1"/>
        <v>0.7047147455</v>
      </c>
    </row>
    <row r="11">
      <c r="B11" s="5" t="s">
        <v>22</v>
      </c>
      <c r="C11" s="7">
        <f>'Custo_dívida'!C7</f>
        <v>77291</v>
      </c>
      <c r="D11" s="15">
        <v>2976152.0</v>
      </c>
      <c r="E11" s="4">
        <f t="shared" si="1"/>
        <v>0.8675960754</v>
      </c>
    </row>
    <row r="12">
      <c r="B12" s="5" t="s">
        <v>23</v>
      </c>
      <c r="C12" s="7">
        <f>'Custo_dívida'!C8</f>
        <v>77429</v>
      </c>
      <c r="D12" s="15">
        <v>2882146.0</v>
      </c>
      <c r="E12" s="4">
        <f t="shared" si="1"/>
        <v>0.9339556482</v>
      </c>
    </row>
    <row r="13">
      <c r="B13" s="14"/>
      <c r="C13" s="14"/>
      <c r="D13" s="14"/>
      <c r="E13" s="14"/>
    </row>
    <row r="14">
      <c r="B14" s="8" t="s">
        <v>24</v>
      </c>
      <c r="C14" s="5" t="s">
        <v>25</v>
      </c>
      <c r="D14" s="14"/>
      <c r="E14" s="14"/>
    </row>
    <row r="15">
      <c r="B15" s="8">
        <v>2020.0</v>
      </c>
      <c r="C15" s="3">
        <f t="shared" ref="C15:C18" si="2">C3+E9*(D3-C3)</f>
        <v>0.1693739453</v>
      </c>
      <c r="D15" s="14"/>
      <c r="E15" s="14"/>
    </row>
    <row r="16">
      <c r="B16" s="8">
        <v>2021.0</v>
      </c>
      <c r="C16" s="3">
        <f t="shared" si="2"/>
        <v>0.1086793084</v>
      </c>
      <c r="D16" s="14"/>
      <c r="E16" s="14"/>
    </row>
    <row r="17">
      <c r="B17" s="8">
        <v>2022.0</v>
      </c>
      <c r="C17" s="3">
        <f t="shared" si="2"/>
        <v>0.08200819661</v>
      </c>
      <c r="D17" s="14"/>
      <c r="E17" s="14"/>
    </row>
    <row r="18">
      <c r="B18" s="8">
        <v>2023.0</v>
      </c>
      <c r="C18" s="3">
        <f t="shared" si="2"/>
        <v>0.09772610598</v>
      </c>
      <c r="D18" s="14"/>
      <c r="E18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9.38"/>
    <col customWidth="1" min="4" max="4" width="17.5"/>
  </cols>
  <sheetData>
    <row r="2">
      <c r="E2" s="16"/>
    </row>
    <row r="3">
      <c r="A3" s="16"/>
      <c r="B3" s="17" t="s">
        <v>24</v>
      </c>
      <c r="C3" s="17" t="s">
        <v>17</v>
      </c>
      <c r="D3" s="18" t="s">
        <v>26</v>
      </c>
      <c r="E3" s="19" t="s">
        <v>27</v>
      </c>
      <c r="F3" s="20" t="s">
        <v>28</v>
      </c>
      <c r="G3" s="21">
        <v>0.34</v>
      </c>
    </row>
    <row r="4">
      <c r="A4" s="16"/>
      <c r="B4" s="17">
        <v>2019.0</v>
      </c>
      <c r="C4" s="22">
        <v>186731.0</v>
      </c>
      <c r="D4" s="22"/>
      <c r="E4" s="23">
        <f t="shared" ref="E4:E8" si="1">ABS(D4/MEDIAN(C3:C4))</f>
        <v>0</v>
      </c>
      <c r="F4" s="24"/>
      <c r="G4" s="25"/>
    </row>
    <row r="5">
      <c r="A5" s="16"/>
      <c r="B5" s="17">
        <v>2020.0</v>
      </c>
      <c r="C5" s="22">
        <v>154103.0</v>
      </c>
      <c r="D5" s="22">
        <v>20069.0</v>
      </c>
      <c r="E5" s="23">
        <f t="shared" si="1"/>
        <v>0.1177640728</v>
      </c>
      <c r="F5" s="26">
        <f t="shared" ref="F5:F8" si="2">E5*(1-$G$3)</f>
        <v>0.07772428807</v>
      </c>
      <c r="G5" s="25"/>
    </row>
    <row r="6">
      <c r="A6" s="16"/>
      <c r="B6" s="17">
        <v>2021.0</v>
      </c>
      <c r="C6" s="22">
        <v>105890.0</v>
      </c>
      <c r="D6" s="22">
        <v>17119.0</v>
      </c>
      <c r="E6" s="23">
        <f t="shared" si="1"/>
        <v>0.1316881608</v>
      </c>
      <c r="F6" s="26">
        <f t="shared" si="2"/>
        <v>0.08691418615</v>
      </c>
      <c r="G6" s="25"/>
    </row>
    <row r="7">
      <c r="A7" s="16"/>
      <c r="B7" s="17">
        <v>2022.0</v>
      </c>
      <c r="C7" s="22">
        <v>77291.0</v>
      </c>
      <c r="D7" s="22">
        <v>8506.0</v>
      </c>
      <c r="E7" s="23">
        <f t="shared" si="1"/>
        <v>0.09286989371</v>
      </c>
      <c r="F7" s="26">
        <f t="shared" si="2"/>
        <v>0.06129412985</v>
      </c>
      <c r="G7" s="25"/>
    </row>
    <row r="8">
      <c r="A8" s="16"/>
      <c r="B8" s="17">
        <v>2023.0</v>
      </c>
      <c r="C8" s="22">
        <v>77429.0</v>
      </c>
      <c r="D8" s="22">
        <v>35.0</v>
      </c>
      <c r="E8" s="23">
        <f t="shared" si="1"/>
        <v>0.0004524301965</v>
      </c>
      <c r="F8" s="26">
        <f t="shared" si="2"/>
        <v>0.0002986039297</v>
      </c>
      <c r="G8" s="25"/>
    </row>
  </sheetData>
  <drawing r:id="rId1"/>
</worksheet>
</file>