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  <sheet state="visible" name="2023" sheetId="4" r:id="rId7"/>
    <sheet state="visible" name="CAPM" sheetId="5" r:id="rId8"/>
    <sheet state="visible" name="Custo_dívida" sheetId="6" r:id="rId9"/>
  </sheets>
  <definedNames/>
  <calcPr/>
</workbook>
</file>

<file path=xl/sharedStrings.xml><?xml version="1.0" encoding="utf-8"?>
<sst xmlns="http://schemas.openxmlformats.org/spreadsheetml/2006/main" count="63" uniqueCount="29">
  <si>
    <t>Ke (Custo de capital próprio)</t>
  </si>
  <si>
    <t>Kd (Custo da dívida)</t>
  </si>
  <si>
    <t>We (Peso do capital próprio)</t>
  </si>
  <si>
    <t>Wd (Peso da dívida)</t>
  </si>
  <si>
    <t>CMPC</t>
  </si>
  <si>
    <t>Fluxo de Caixa Operacional</t>
  </si>
  <si>
    <t>Valor de Mercado Intrínseco</t>
  </si>
  <si>
    <t>Quantidade de Ações em Circulação</t>
  </si>
  <si>
    <t>Preço Intrínseco</t>
  </si>
  <si>
    <t>Período</t>
  </si>
  <si>
    <t>Taxa Selic</t>
  </si>
  <si>
    <t>Retorno Ibov</t>
  </si>
  <si>
    <t>Beta Setor</t>
  </si>
  <si>
    <t>2016-2020 (Média)</t>
  </si>
  <si>
    <t>2017-2021 (Média)</t>
  </si>
  <si>
    <t>2018-2022 (Média)</t>
  </si>
  <si>
    <t>2019-2023 (Média)</t>
  </si>
  <si>
    <t>Dívida Bruta</t>
  </si>
  <si>
    <t>PL</t>
  </si>
  <si>
    <t>Beta Méliuz</t>
  </si>
  <si>
    <t>2016-2020</t>
  </si>
  <si>
    <t>2017-2021</t>
  </si>
  <si>
    <t>2018-2022</t>
  </si>
  <si>
    <t>2019-2023</t>
  </si>
  <si>
    <t>CAPM</t>
  </si>
  <si>
    <t>Ano</t>
  </si>
  <si>
    <t>Despesa com Juros
(DFC)</t>
  </si>
  <si>
    <t>Custo da Dívida - Antes do IR</t>
  </si>
  <si>
    <t>Custo da Dívida - Depois do 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</si>
</sst>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10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3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0" fillId="0" fontId="3" numFmtId="9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0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75"/>
    <col customWidth="1" min="3" max="3" width="16.13"/>
  </cols>
  <sheetData>
    <row r="1">
      <c r="B1" s="1"/>
      <c r="C1" s="1"/>
    </row>
    <row r="2">
      <c r="B2" s="2" t="s">
        <v>0</v>
      </c>
      <c r="C2" s="3">
        <f>CAPM!C15</f>
        <v>0.1576432412</v>
      </c>
    </row>
    <row r="3">
      <c r="B3" s="2" t="s">
        <v>1</v>
      </c>
      <c r="C3" s="3">
        <f>'Custo_dívida'!F5</f>
        <v>0.4342993522</v>
      </c>
    </row>
    <row r="4">
      <c r="B4" s="2" t="s">
        <v>2</v>
      </c>
      <c r="C4" s="4">
        <f>CAPM!D9/(CAPM!C9+CAPM!D9)</f>
        <v>0.9994157001</v>
      </c>
    </row>
    <row r="5">
      <c r="B5" s="2" t="s">
        <v>3</v>
      </c>
      <c r="C5" s="4">
        <f>1-C4</f>
        <v>0.0005842999444</v>
      </c>
    </row>
    <row r="6">
      <c r="B6" s="2" t="s">
        <v>4</v>
      </c>
      <c r="C6" s="3">
        <f>(C2*C4)+(C3*C5)</f>
        <v>0.1578048913</v>
      </c>
    </row>
    <row r="7">
      <c r="B7" s="5" t="s">
        <v>5</v>
      </c>
      <c r="C7" s="6">
        <v>3.1855E7</v>
      </c>
    </row>
    <row r="8">
      <c r="B8" s="5" t="s">
        <v>6</v>
      </c>
      <c r="C8" s="7">
        <f>C7/(C6)</f>
        <v>201863197.9</v>
      </c>
    </row>
    <row r="9">
      <c r="B9" s="8" t="s">
        <v>7</v>
      </c>
      <c r="C9" s="9">
        <v>5.5779149E7</v>
      </c>
    </row>
    <row r="10">
      <c r="B10" s="5" t="s">
        <v>8</v>
      </c>
      <c r="C10" s="7">
        <f>C8/C9</f>
        <v>3.618972348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75"/>
    <col customWidth="1" min="3" max="3" width="16.75"/>
  </cols>
  <sheetData>
    <row r="1">
      <c r="B1" s="1"/>
      <c r="C1" s="1"/>
    </row>
    <row r="2">
      <c r="B2" s="2" t="s">
        <v>0</v>
      </c>
      <c r="C2" s="3">
        <f>CAPM!C16</f>
        <v>0.1076435164</v>
      </c>
    </row>
    <row r="3">
      <c r="B3" s="2" t="s">
        <v>1</v>
      </c>
      <c r="C3" s="3">
        <f>'Custo_dívida'!F6</f>
        <v>0.07614213198</v>
      </c>
    </row>
    <row r="4">
      <c r="B4" s="2" t="s">
        <v>2</v>
      </c>
      <c r="C4" s="4">
        <f>CAPM!D10/(CAPM!C10+CAPM!D10)</f>
        <v>0.9971925941</v>
      </c>
    </row>
    <row r="5">
      <c r="B5" s="2" t="s">
        <v>3</v>
      </c>
      <c r="C5" s="4">
        <f>1-C4</f>
        <v>0.002807405931</v>
      </c>
    </row>
    <row r="6">
      <c r="B6" s="2" t="s">
        <v>4</v>
      </c>
      <c r="C6" s="3">
        <f>(C2*C4)+(C3*C5)</f>
        <v>0.1075550792</v>
      </c>
    </row>
    <row r="7">
      <c r="B7" s="5" t="s">
        <v>5</v>
      </c>
      <c r="C7" s="6">
        <v>-3.1022E7</v>
      </c>
    </row>
    <row r="8">
      <c r="B8" s="5" t="s">
        <v>6</v>
      </c>
      <c r="C8" s="7">
        <f>C7/(C6-0.048)</f>
        <v>-520895957.4</v>
      </c>
    </row>
    <row r="9">
      <c r="B9" s="8" t="s">
        <v>7</v>
      </c>
      <c r="C9" s="9">
        <v>8.03598E7</v>
      </c>
    </row>
    <row r="10">
      <c r="B10" s="5" t="s">
        <v>8</v>
      </c>
      <c r="C10" s="7">
        <f>C8/C9</f>
        <v>-6.482046463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75"/>
    <col customWidth="1" min="3" max="3" width="18.25"/>
  </cols>
  <sheetData>
    <row r="1">
      <c r="B1" s="1"/>
      <c r="C1" s="1"/>
    </row>
    <row r="2">
      <c r="B2" s="2" t="s">
        <v>0</v>
      </c>
      <c r="C2" s="3">
        <f>CAPM!C17</f>
        <v>0.08172602032</v>
      </c>
    </row>
    <row r="3">
      <c r="B3" s="2" t="s">
        <v>1</v>
      </c>
      <c r="C3" s="3">
        <f>'Custo_dívida'!F7</f>
        <v>0.07705263158</v>
      </c>
    </row>
    <row r="4">
      <c r="B4" s="2" t="s">
        <v>2</v>
      </c>
      <c r="C4" s="4">
        <f>CAPM!D11/(CAPM!C11+CAPM!D11)</f>
        <v>0.9998348617</v>
      </c>
    </row>
    <row r="5">
      <c r="B5" s="2" t="s">
        <v>3</v>
      </c>
      <c r="C5" s="4">
        <f>1-C4</f>
        <v>0.0001651383033</v>
      </c>
    </row>
    <row r="6">
      <c r="B6" s="2" t="s">
        <v>4</v>
      </c>
      <c r="C6" s="3">
        <f>(C2*C4)+(C3*C5)</f>
        <v>0.08172524856</v>
      </c>
    </row>
    <row r="7">
      <c r="B7" s="5" t="s">
        <v>5</v>
      </c>
      <c r="C7" s="6">
        <v>-5.5693E7</v>
      </c>
    </row>
    <row r="8">
      <c r="B8" s="5" t="s">
        <v>6</v>
      </c>
      <c r="C8" s="7">
        <f>C7/(C6-0.03)</f>
        <v>-1076708214</v>
      </c>
    </row>
    <row r="9">
      <c r="B9" s="8" t="s">
        <v>7</v>
      </c>
      <c r="C9" s="9">
        <v>8.3940221E7</v>
      </c>
    </row>
    <row r="10">
      <c r="B10" s="5" t="s">
        <v>8</v>
      </c>
      <c r="C10" s="7">
        <f>C8/C9</f>
        <v>-12.82708338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75"/>
    <col customWidth="1" min="3" max="3" width="15.63"/>
  </cols>
  <sheetData>
    <row r="1">
      <c r="B1" s="1"/>
      <c r="C1" s="1"/>
    </row>
    <row r="2">
      <c r="B2" s="2" t="s">
        <v>0</v>
      </c>
      <c r="C2" s="3">
        <f>CAPM!C18</f>
        <v>0.09740596997</v>
      </c>
    </row>
    <row r="3">
      <c r="B3" s="2" t="s">
        <v>1</v>
      </c>
      <c r="C3" s="3">
        <f>'Custo_dívida'!F8</f>
        <v>0</v>
      </c>
    </row>
    <row r="4">
      <c r="B4" s="2" t="s">
        <v>2</v>
      </c>
      <c r="C4" s="4">
        <f>CAPM!D12/(CAPM!C12+CAPM!D12)</f>
        <v>0.9989199995</v>
      </c>
    </row>
    <row r="5">
      <c r="B5" s="2" t="s">
        <v>3</v>
      </c>
      <c r="C5" s="4">
        <f>1-C4</f>
        <v>0.00108000046</v>
      </c>
    </row>
    <row r="6">
      <c r="B6" s="2" t="s">
        <v>4</v>
      </c>
      <c r="C6" s="3">
        <f>(C2*C4)+(C3*C5)</f>
        <v>0.09730077148</v>
      </c>
    </row>
    <row r="7">
      <c r="B7" s="5" t="s">
        <v>5</v>
      </c>
      <c r="C7" s="6">
        <v>3245000.0</v>
      </c>
    </row>
    <row r="8">
      <c r="B8" s="5" t="s">
        <v>6</v>
      </c>
      <c r="C8" s="7">
        <f>C7/(C6-0.032)</f>
        <v>49693134.19</v>
      </c>
    </row>
    <row r="9">
      <c r="B9" s="8" t="s">
        <v>7</v>
      </c>
      <c r="C9" s="9">
        <v>8.6538031E7</v>
      </c>
    </row>
    <row r="10">
      <c r="B10" s="5" t="s">
        <v>8</v>
      </c>
      <c r="C10" s="7">
        <f>(C8/C9)</f>
        <v>0.5742346298</v>
      </c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13"/>
    <col customWidth="1" min="3" max="3" width="10.13"/>
    <col customWidth="1" min="4" max="4" width="11.88"/>
    <col customWidth="1" min="5" max="5" width="9.75"/>
  </cols>
  <sheetData>
    <row r="2">
      <c r="B2" s="5" t="s">
        <v>9</v>
      </c>
      <c r="C2" s="5" t="s">
        <v>10</v>
      </c>
      <c r="D2" s="5" t="s">
        <v>11</v>
      </c>
      <c r="E2" s="5" t="s">
        <v>12</v>
      </c>
    </row>
    <row r="3">
      <c r="B3" s="5" t="s">
        <v>13</v>
      </c>
      <c r="C3" s="3">
        <v>0.07967980295566503</v>
      </c>
      <c r="D3" s="3">
        <v>0.23064</v>
      </c>
      <c r="E3" s="4">
        <v>0.5162510920866771</v>
      </c>
    </row>
    <row r="4">
      <c r="B4" s="5" t="s">
        <v>14</v>
      </c>
      <c r="C4" s="3">
        <v>0.06037376779846659</v>
      </c>
      <c r="D4" s="3">
        <v>0.12892</v>
      </c>
      <c r="E4" s="4">
        <v>0.6883249135666707</v>
      </c>
    </row>
    <row r="5">
      <c r="B5" s="5" t="s">
        <v>15</v>
      </c>
      <c r="C5" s="3">
        <v>0.06515607886089814</v>
      </c>
      <c r="D5" s="3">
        <v>0.08458</v>
      </c>
      <c r="E5" s="4">
        <v>0.8529758360889244</v>
      </c>
    </row>
    <row r="6">
      <c r="B6" s="5" t="s">
        <v>16</v>
      </c>
      <c r="C6" s="3">
        <v>0.0785802300109529</v>
      </c>
      <c r="D6" s="3">
        <v>0.09908</v>
      </c>
      <c r="E6" s="4">
        <v>0.9176842495019985</v>
      </c>
    </row>
    <row r="7">
      <c r="B7" s="10"/>
      <c r="C7" s="10"/>
      <c r="D7" s="10"/>
      <c r="E7" s="10"/>
    </row>
    <row r="8">
      <c r="B8" s="5" t="s">
        <v>9</v>
      </c>
      <c r="C8" s="5" t="s">
        <v>17</v>
      </c>
      <c r="D8" s="5" t="s">
        <v>18</v>
      </c>
      <c r="E8" s="8" t="s">
        <v>19</v>
      </c>
    </row>
    <row r="9">
      <c r="B9" s="5" t="s">
        <v>20</v>
      </c>
      <c r="C9" s="7">
        <f>'Custo_dívida'!C5</f>
        <v>209</v>
      </c>
      <c r="D9" s="11">
        <v>357484.0</v>
      </c>
      <c r="E9" s="4">
        <f t="shared" ref="E9:E12" si="1">E3*(1+((C9*(1-0.34))/D9))</f>
        <v>0.5164502945</v>
      </c>
    </row>
    <row r="10">
      <c r="B10" s="5" t="s">
        <v>21</v>
      </c>
      <c r="C10" s="7">
        <f>'Custo_dívida'!C6</f>
        <v>1958</v>
      </c>
      <c r="D10" s="11">
        <v>695483.0</v>
      </c>
      <c r="E10" s="4">
        <f t="shared" si="1"/>
        <v>0.6896038931</v>
      </c>
    </row>
    <row r="11">
      <c r="B11" s="5" t="s">
        <v>22</v>
      </c>
      <c r="C11" s="7">
        <f>'Custo_dívida'!C7</f>
        <v>132</v>
      </c>
      <c r="D11" s="11">
        <v>799198.0</v>
      </c>
      <c r="E11" s="4">
        <f t="shared" si="1"/>
        <v>0.8530688184</v>
      </c>
    </row>
    <row r="12">
      <c r="B12" s="5" t="s">
        <v>23</v>
      </c>
      <c r="C12" s="7">
        <f>'Custo_dívida'!C8</f>
        <v>846</v>
      </c>
      <c r="D12" s="11">
        <v>782487.0</v>
      </c>
      <c r="E12" s="4">
        <f t="shared" si="1"/>
        <v>0.9183390823</v>
      </c>
    </row>
    <row r="13">
      <c r="B13" s="10"/>
      <c r="C13" s="10"/>
      <c r="D13" s="10"/>
      <c r="E13" s="10"/>
    </row>
    <row r="14">
      <c r="B14" s="5" t="s">
        <v>9</v>
      </c>
      <c r="C14" s="5" t="s">
        <v>24</v>
      </c>
      <c r="D14" s="10"/>
      <c r="E14" s="10"/>
    </row>
    <row r="15">
      <c r="B15" s="5" t="s">
        <v>20</v>
      </c>
      <c r="C15" s="3">
        <f t="shared" ref="C15:C18" si="2">C3+E9*(D3-C3)</f>
        <v>0.1576432412</v>
      </c>
      <c r="D15" s="10"/>
      <c r="E15" s="10"/>
    </row>
    <row r="16">
      <c r="B16" s="5" t="s">
        <v>21</v>
      </c>
      <c r="C16" s="3">
        <f t="shared" si="2"/>
        <v>0.1076435164</v>
      </c>
      <c r="D16" s="10"/>
      <c r="E16" s="10"/>
    </row>
    <row r="17">
      <c r="B17" s="5" t="s">
        <v>22</v>
      </c>
      <c r="C17" s="3">
        <f t="shared" si="2"/>
        <v>0.08172602032</v>
      </c>
      <c r="D17" s="10"/>
      <c r="E17" s="10"/>
    </row>
    <row r="18">
      <c r="B18" s="5" t="s">
        <v>23</v>
      </c>
      <c r="C18" s="3">
        <f t="shared" si="2"/>
        <v>0.09740596997</v>
      </c>
      <c r="D18" s="10"/>
      <c r="E18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9.38"/>
    <col customWidth="1" min="4" max="4" width="16.5"/>
  </cols>
  <sheetData>
    <row r="1">
      <c r="B1" s="1"/>
      <c r="C1" s="1"/>
      <c r="D1" s="1"/>
      <c r="E1" s="1"/>
      <c r="F1" s="1"/>
    </row>
    <row r="2">
      <c r="B2" s="1"/>
      <c r="C2" s="1"/>
      <c r="D2" s="1"/>
      <c r="E2" s="1"/>
      <c r="F2" s="1"/>
    </row>
    <row r="3">
      <c r="B3" s="12" t="s">
        <v>25</v>
      </c>
      <c r="C3" s="13" t="s">
        <v>17</v>
      </c>
      <c r="D3" s="13" t="s">
        <v>26</v>
      </c>
      <c r="E3" s="14" t="s">
        <v>27</v>
      </c>
      <c r="F3" s="15" t="s">
        <v>28</v>
      </c>
      <c r="G3" s="16">
        <v>0.34</v>
      </c>
    </row>
    <row r="4">
      <c r="A4" s="17"/>
      <c r="B4" s="18">
        <v>2019.0</v>
      </c>
      <c r="C4" s="19">
        <v>2724.0</v>
      </c>
      <c r="D4" s="19"/>
      <c r="E4" s="20"/>
      <c r="F4" s="20"/>
    </row>
    <row r="5">
      <c r="A5" s="17"/>
      <c r="B5" s="18">
        <v>2020.0</v>
      </c>
      <c r="C5" s="19">
        <v>209.0</v>
      </c>
      <c r="D5" s="19">
        <v>965.0</v>
      </c>
      <c r="E5" s="21">
        <f t="shared" ref="E5:E8" si="1">ABS(D5/MEDIAN(C4:C5))</f>
        <v>0.6580293215</v>
      </c>
      <c r="F5" s="22">
        <f t="shared" ref="F5:F8" si="2">E5*(1-$G$3)</f>
        <v>0.4342993522</v>
      </c>
    </row>
    <row r="6">
      <c r="A6" s="17"/>
      <c r="B6" s="18">
        <v>2021.0</v>
      </c>
      <c r="C6" s="19">
        <v>1958.0</v>
      </c>
      <c r="D6" s="19">
        <v>125.0</v>
      </c>
      <c r="E6" s="21">
        <f t="shared" si="1"/>
        <v>0.1153668666</v>
      </c>
      <c r="F6" s="22">
        <f t="shared" si="2"/>
        <v>0.07614213198</v>
      </c>
    </row>
    <row r="7">
      <c r="A7" s="17"/>
      <c r="B7" s="18">
        <v>2022.0</v>
      </c>
      <c r="C7" s="19">
        <v>132.0</v>
      </c>
      <c r="D7" s="19">
        <v>122.0</v>
      </c>
      <c r="E7" s="21">
        <f t="shared" si="1"/>
        <v>0.1167464115</v>
      </c>
      <c r="F7" s="22">
        <f t="shared" si="2"/>
        <v>0.07705263158</v>
      </c>
    </row>
    <row r="8">
      <c r="A8" s="17"/>
      <c r="B8" s="18">
        <v>2023.0</v>
      </c>
      <c r="C8" s="19">
        <v>846.0</v>
      </c>
      <c r="D8" s="19">
        <v>0.0</v>
      </c>
      <c r="E8" s="21">
        <f t="shared" si="1"/>
        <v>0</v>
      </c>
      <c r="F8" s="22">
        <f t="shared" si="2"/>
        <v>0</v>
      </c>
    </row>
    <row r="9">
      <c r="B9" s="1"/>
      <c r="C9" s="1"/>
      <c r="D9" s="1"/>
      <c r="E9" s="1"/>
      <c r="F9" s="1"/>
    </row>
    <row r="10">
      <c r="B10" s="1"/>
      <c r="C10" s="1"/>
      <c r="D10" s="1"/>
      <c r="E10" s="1"/>
      <c r="F10" s="1"/>
    </row>
    <row r="11">
      <c r="B11" s="1"/>
      <c r="C11" s="1"/>
      <c r="D11" s="1"/>
      <c r="E11" s="1"/>
      <c r="F11" s="1"/>
    </row>
    <row r="12">
      <c r="B12" s="1"/>
      <c r="C12" s="1"/>
      <c r="D12" s="1"/>
      <c r="E12" s="1"/>
      <c r="F12" s="1"/>
    </row>
    <row r="13">
      <c r="B13" s="1"/>
      <c r="C13" s="1"/>
      <c r="D13" s="1"/>
      <c r="E13" s="1"/>
      <c r="F13" s="1"/>
    </row>
    <row r="14">
      <c r="B14" s="1"/>
      <c r="C14" s="1"/>
      <c r="D14" s="1"/>
      <c r="E14" s="1"/>
      <c r="F14" s="1"/>
    </row>
    <row r="15">
      <c r="B15" s="1"/>
      <c r="C15" s="1"/>
      <c r="D15" s="1"/>
      <c r="E15" s="1"/>
      <c r="F15" s="1"/>
    </row>
    <row r="16">
      <c r="B16" s="1"/>
      <c r="C16" s="1"/>
      <c r="D16" s="1"/>
      <c r="E16" s="1"/>
      <c r="F16" s="1"/>
    </row>
    <row r="17">
      <c r="B17" s="1"/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1"/>
      <c r="C19" s="1"/>
      <c r="D19" s="1"/>
      <c r="E19" s="1"/>
      <c r="F19" s="1"/>
    </row>
    <row r="20">
      <c r="B20" s="1"/>
      <c r="C20" s="1"/>
      <c r="D20" s="1"/>
      <c r="E20" s="1"/>
      <c r="F20" s="1"/>
    </row>
    <row r="21">
      <c r="B21" s="1"/>
      <c r="C21" s="1"/>
      <c r="D21" s="1"/>
      <c r="E21" s="1"/>
      <c r="F21" s="1"/>
    </row>
    <row r="22">
      <c r="B22" s="1"/>
      <c r="C22" s="1"/>
      <c r="D22" s="1"/>
      <c r="E22" s="1"/>
      <c r="F22" s="1"/>
    </row>
    <row r="23">
      <c r="B23" s="1"/>
      <c r="C23" s="1"/>
      <c r="D23" s="1"/>
      <c r="E23" s="1"/>
      <c r="F23" s="1"/>
    </row>
    <row r="24">
      <c r="B24" s="1"/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B26" s="1"/>
      <c r="C26" s="1"/>
      <c r="D26" s="1"/>
      <c r="E26" s="1"/>
      <c r="F26" s="1"/>
    </row>
    <row r="27">
      <c r="B27" s="1"/>
      <c r="C27" s="1"/>
      <c r="D27" s="1"/>
      <c r="E27" s="1"/>
      <c r="F27" s="1"/>
    </row>
    <row r="28">
      <c r="B28" s="1"/>
      <c r="C28" s="1"/>
      <c r="D28" s="1"/>
      <c r="E28" s="1"/>
      <c r="F28" s="1"/>
    </row>
    <row r="29"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B31" s="1"/>
      <c r="C31" s="1"/>
      <c r="D31" s="1"/>
      <c r="E31" s="1"/>
      <c r="F31" s="1"/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</sheetData>
  <drawing r:id="rId1"/>
</worksheet>
</file>