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AWEI\Downloads\Telegram Desktop\"/>
    </mc:Choice>
  </mc:AlternateContent>
  <xr:revisionPtr revIDLastSave="0" documentId="13_ncr:1_{B02B5A57-F22C-4B34-A131-9B158F6D92FA}" xr6:coauthVersionLast="47" xr6:coauthVersionMax="47" xr10:uidLastSave="{00000000-0000-0000-0000-000000000000}"/>
  <bookViews>
    <workbookView xWindow="-108" yWindow="-108" windowWidth="22320" windowHeight="13176" firstSheet="5" activeTab="7" xr2:uid="{00000000-000D-0000-FFFF-FFFF00000000}"/>
  </bookViews>
  <sheets>
    <sheet name="Инструкция" sheetId="12" r:id="rId1"/>
    <sheet name="Учебный план" sheetId="9" r:id="rId2"/>
    <sheet name="Фин. модель" sheetId="3" r:id="rId3"/>
    <sheet name="Форма калькуляции" sheetId="1" r:id="rId4"/>
    <sheet name="Приглашенные эксперты" sheetId="11" r:id="rId5"/>
    <sheet name="Справочник" sheetId="5" r:id="rId6"/>
    <sheet name="учебный план (модули)" sheetId="13" r:id="rId7"/>
    <sheet name="Фин модель (модули)" sheetId="14" r:id="rId8"/>
    <sheet name="Форма калькуляции (модули)" sheetId="15" r:id="rId9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5" l="1"/>
  <c r="D34" i="15"/>
  <c r="D34" i="1"/>
  <c r="D33" i="15"/>
  <c r="D31" i="15"/>
  <c r="D30" i="15"/>
  <c r="D28" i="15"/>
  <c r="D27" i="15"/>
  <c r="D26" i="15"/>
  <c r="D20" i="15"/>
  <c r="D25" i="15"/>
  <c r="D24" i="15"/>
  <c r="D18" i="15"/>
  <c r="D37" i="15"/>
  <c r="D49" i="3"/>
  <c r="D463" i="14"/>
  <c r="D462" i="14"/>
  <c r="D461" i="14"/>
  <c r="D460" i="14"/>
  <c r="D459" i="14"/>
  <c r="D458" i="14"/>
  <c r="D457" i="14"/>
  <c r="D456" i="14"/>
  <c r="D455" i="14"/>
  <c r="D464" i="14" s="1"/>
  <c r="D454" i="14"/>
  <c r="D424" i="14"/>
  <c r="D423" i="14"/>
  <c r="D422" i="14"/>
  <c r="D421" i="14"/>
  <c r="D420" i="14"/>
  <c r="D419" i="14"/>
  <c r="D418" i="14"/>
  <c r="D417" i="14"/>
  <c r="D416" i="14"/>
  <c r="D415" i="14"/>
  <c r="D425" i="14" s="1"/>
  <c r="D386" i="14"/>
  <c r="D385" i="14"/>
  <c r="D384" i="14"/>
  <c r="D383" i="14"/>
  <c r="D382" i="14"/>
  <c r="D381" i="14"/>
  <c r="D380" i="14"/>
  <c r="D379" i="14"/>
  <c r="D378" i="14"/>
  <c r="D377" i="14"/>
  <c r="D376" i="14"/>
  <c r="D346" i="14"/>
  <c r="D345" i="14"/>
  <c r="D344" i="14"/>
  <c r="D343" i="14"/>
  <c r="D342" i="14"/>
  <c r="D341" i="14"/>
  <c r="D340" i="14"/>
  <c r="D339" i="14"/>
  <c r="D338" i="14"/>
  <c r="D337" i="14"/>
  <c r="D347" i="14" s="1"/>
  <c r="D307" i="14"/>
  <c r="D306" i="14"/>
  <c r="D305" i="14"/>
  <c r="D304" i="14"/>
  <c r="D303" i="14"/>
  <c r="D302" i="14"/>
  <c r="D301" i="14"/>
  <c r="D300" i="14"/>
  <c r="D299" i="14"/>
  <c r="D298" i="14"/>
  <c r="D308" i="14" s="1"/>
  <c r="D268" i="14"/>
  <c r="D267" i="14"/>
  <c r="D266" i="14"/>
  <c r="D265" i="14"/>
  <c r="D264" i="14"/>
  <c r="D263" i="14"/>
  <c r="D262" i="14"/>
  <c r="D261" i="14"/>
  <c r="D260" i="14"/>
  <c r="D259" i="14"/>
  <c r="D269" i="14" s="1"/>
  <c r="D229" i="14"/>
  <c r="D228" i="14"/>
  <c r="D227" i="14"/>
  <c r="D226" i="14"/>
  <c r="D225" i="14"/>
  <c r="D224" i="14"/>
  <c r="D223" i="14"/>
  <c r="D222" i="14"/>
  <c r="D221" i="14"/>
  <c r="D220" i="14"/>
  <c r="D230" i="14" s="1"/>
  <c r="D190" i="14"/>
  <c r="D189" i="14"/>
  <c r="D188" i="14"/>
  <c r="D187" i="14"/>
  <c r="D186" i="14"/>
  <c r="D185" i="14"/>
  <c r="D184" i="14"/>
  <c r="D183" i="14"/>
  <c r="D182" i="14"/>
  <c r="D181" i="14"/>
  <c r="D191" i="14" s="1"/>
  <c r="D151" i="14"/>
  <c r="D150" i="14"/>
  <c r="D149" i="14"/>
  <c r="D148" i="14"/>
  <c r="D147" i="14"/>
  <c r="D146" i="14"/>
  <c r="D145" i="14"/>
  <c r="D144" i="14"/>
  <c r="D143" i="14"/>
  <c r="D142" i="14"/>
  <c r="D152" i="14" s="1"/>
  <c r="D112" i="14"/>
  <c r="D111" i="14"/>
  <c r="D110" i="14"/>
  <c r="D109" i="14"/>
  <c r="D108" i="14"/>
  <c r="D107" i="14"/>
  <c r="D80" i="14" s="1"/>
  <c r="D106" i="14"/>
  <c r="D105" i="14"/>
  <c r="D113" i="14" s="1"/>
  <c r="D104" i="14"/>
  <c r="D103" i="14"/>
  <c r="D67" i="14"/>
  <c r="D66" i="14"/>
  <c r="D65" i="14"/>
  <c r="D64" i="14"/>
  <c r="D63" i="14"/>
  <c r="D62" i="14"/>
  <c r="D61" i="14"/>
  <c r="D60" i="14"/>
  <c r="D59" i="14"/>
  <c r="D58" i="14"/>
  <c r="D68" i="14" s="1"/>
  <c r="G43" i="14"/>
  <c r="H49" i="14"/>
  <c r="C18" i="14"/>
  <c r="B18" i="14"/>
  <c r="G8" i="14" s="1"/>
  <c r="H8" i="14"/>
  <c r="O177" i="13"/>
  <c r="N177" i="13"/>
  <c r="N29" i="13"/>
  <c r="N28" i="13"/>
  <c r="N27" i="13"/>
  <c r="H202" i="13"/>
  <c r="G202" i="13"/>
  <c r="F202" i="13"/>
  <c r="E202" i="13"/>
  <c r="D202" i="13"/>
  <c r="C202" i="13"/>
  <c r="B202" i="13" s="1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I187" i="13" s="1"/>
  <c r="I202" i="13" s="1"/>
  <c r="H182" i="13"/>
  <c r="G182" i="13"/>
  <c r="F182" i="13"/>
  <c r="E182" i="13"/>
  <c r="D182" i="13"/>
  <c r="C182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I167" i="13" s="1"/>
  <c r="I182" i="13" s="1"/>
  <c r="H162" i="13"/>
  <c r="G162" i="13"/>
  <c r="F162" i="13"/>
  <c r="E162" i="13"/>
  <c r="B162" i="13" s="1"/>
  <c r="D162" i="13"/>
  <c r="C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I147" i="13" s="1"/>
  <c r="I162" i="13" s="1"/>
  <c r="H142" i="13"/>
  <c r="G142" i="13"/>
  <c r="F142" i="13"/>
  <c r="E142" i="13"/>
  <c r="D142" i="13"/>
  <c r="C142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I127" i="13" s="1"/>
  <c r="I142" i="13" s="1"/>
  <c r="H122" i="13"/>
  <c r="G122" i="13"/>
  <c r="F122" i="13"/>
  <c r="E122" i="13"/>
  <c r="D122" i="13"/>
  <c r="C122" i="13"/>
  <c r="B122" i="13" s="1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I107" i="13" s="1"/>
  <c r="I122" i="13" s="1"/>
  <c r="H102" i="13"/>
  <c r="G102" i="13"/>
  <c r="F102" i="13"/>
  <c r="E102" i="13"/>
  <c r="D102" i="13"/>
  <c r="C102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I87" i="13" s="1"/>
  <c r="I102" i="13" s="1"/>
  <c r="H82" i="13"/>
  <c r="G82" i="13"/>
  <c r="F82" i="13"/>
  <c r="E82" i="13"/>
  <c r="B82" i="13" s="1"/>
  <c r="D82" i="13"/>
  <c r="C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I67" i="13" s="1"/>
  <c r="I82" i="13" s="1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I47" i="13" s="1"/>
  <c r="I62" i="13" s="1"/>
  <c r="B48" i="13"/>
  <c r="B47" i="13"/>
  <c r="H62" i="13"/>
  <c r="G62" i="13"/>
  <c r="F62" i="13"/>
  <c r="E62" i="13"/>
  <c r="D62" i="13"/>
  <c r="C62" i="13"/>
  <c r="B6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I27" i="13" s="1"/>
  <c r="I42" i="13" s="1"/>
  <c r="B27" i="13"/>
  <c r="H42" i="13"/>
  <c r="G42" i="13"/>
  <c r="F42" i="13"/>
  <c r="E42" i="13"/>
  <c r="D42" i="13"/>
  <c r="C42" i="13"/>
  <c r="B42" i="13"/>
  <c r="E20" i="9"/>
  <c r="I20" i="9"/>
  <c r="I21" i="13"/>
  <c r="C21" i="13"/>
  <c r="G21" i="13"/>
  <c r="H21" i="13"/>
  <c r="F21" i="13"/>
  <c r="E21" i="13"/>
  <c r="D21" i="13"/>
  <c r="I20" i="13"/>
  <c r="I5" i="13"/>
  <c r="B5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F33" i="3"/>
  <c r="A31" i="9"/>
  <c r="C30" i="9"/>
  <c r="B58" i="3"/>
  <c r="D68" i="3"/>
  <c r="D59" i="3"/>
  <c r="H8" i="3"/>
  <c r="G8" i="3"/>
  <c r="F16" i="3"/>
  <c r="D16" i="3"/>
  <c r="D15" i="3"/>
  <c r="F18" i="3"/>
  <c r="D18" i="3"/>
  <c r="E16" i="3"/>
  <c r="C18" i="3"/>
  <c r="E18" i="3"/>
  <c r="B18" i="3"/>
  <c r="C20" i="9"/>
  <c r="B19" i="9"/>
  <c r="I19" i="9" s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D43" i="14"/>
  <c r="F92" i="14"/>
  <c r="F91" i="14"/>
  <c r="F90" i="14"/>
  <c r="F89" i="14"/>
  <c r="F88" i="14"/>
  <c r="F87" i="14"/>
  <c r="F86" i="14"/>
  <c r="F85" i="14"/>
  <c r="D69" i="14" l="1"/>
  <c r="B21" i="13"/>
  <c r="I4" i="9"/>
  <c r="D14" i="15"/>
  <c r="A8" i="15" a="1"/>
  <c r="A8" i="15" s="1"/>
  <c r="G444" i="14"/>
  <c r="G437" i="14"/>
  <c r="G407" i="14"/>
  <c r="G371" i="14"/>
  <c r="G367" i="14"/>
  <c r="G331" i="14"/>
  <c r="G327" i="14"/>
  <c r="G292" i="14"/>
  <c r="G291" i="14"/>
  <c r="G254" i="14"/>
  <c r="G250" i="14"/>
  <c r="G214" i="14"/>
  <c r="G210" i="14"/>
  <c r="G173" i="14"/>
  <c r="G171" i="14"/>
  <c r="G167" i="14"/>
  <c r="G132" i="14"/>
  <c r="G125" i="14"/>
  <c r="G86" i="14"/>
  <c r="G87" i="14"/>
  <c r="G88" i="14"/>
  <c r="G89" i="14"/>
  <c r="G90" i="14"/>
  <c r="G91" i="14"/>
  <c r="G92" i="14"/>
  <c r="G93" i="14"/>
  <c r="G97" i="14"/>
  <c r="G98" i="14"/>
  <c r="G85" i="14"/>
  <c r="F15" i="14"/>
  <c r="P154" i="13"/>
  <c r="P171" i="13"/>
  <c r="O163" i="13"/>
  <c r="P163" i="13"/>
  <c r="Q163" i="13"/>
  <c r="N163" i="13" s="1"/>
  <c r="R163" i="13"/>
  <c r="S163" i="13"/>
  <c r="T163" i="13"/>
  <c r="O164" i="13"/>
  <c r="P164" i="13"/>
  <c r="Q164" i="13"/>
  <c r="R164" i="13"/>
  <c r="S164" i="13"/>
  <c r="T164" i="13"/>
  <c r="O165" i="13"/>
  <c r="N165" i="13" s="1"/>
  <c r="P165" i="13"/>
  <c r="Q165" i="13"/>
  <c r="R165" i="13"/>
  <c r="S165" i="13"/>
  <c r="T165" i="13"/>
  <c r="O166" i="13"/>
  <c r="P166" i="13"/>
  <c r="Q166" i="13"/>
  <c r="R166" i="13"/>
  <c r="S166" i="13"/>
  <c r="T166" i="13"/>
  <c r="O167" i="13"/>
  <c r="P167" i="13"/>
  <c r="Q167" i="13"/>
  <c r="R167" i="13"/>
  <c r="S167" i="13"/>
  <c r="T167" i="13"/>
  <c r="O168" i="13"/>
  <c r="P168" i="13"/>
  <c r="Q168" i="13"/>
  <c r="R168" i="13"/>
  <c r="S168" i="13"/>
  <c r="T168" i="13"/>
  <c r="O169" i="13"/>
  <c r="P169" i="13"/>
  <c r="Q169" i="13"/>
  <c r="R169" i="13"/>
  <c r="S169" i="13"/>
  <c r="T169" i="13"/>
  <c r="O170" i="13"/>
  <c r="P170" i="13"/>
  <c r="Q170" i="13"/>
  <c r="R170" i="13"/>
  <c r="S170" i="13"/>
  <c r="T170" i="13"/>
  <c r="O171" i="13"/>
  <c r="Q171" i="13"/>
  <c r="R171" i="13"/>
  <c r="S171" i="13"/>
  <c r="T171" i="13"/>
  <c r="O172" i="13"/>
  <c r="P172" i="13"/>
  <c r="Q172" i="13"/>
  <c r="R172" i="13"/>
  <c r="S172" i="13"/>
  <c r="T172" i="13"/>
  <c r="O173" i="13"/>
  <c r="P173" i="13"/>
  <c r="Q173" i="13"/>
  <c r="N173" i="13" s="1"/>
  <c r="R173" i="13"/>
  <c r="S173" i="13"/>
  <c r="T173" i="13"/>
  <c r="O174" i="13"/>
  <c r="P174" i="13"/>
  <c r="Q174" i="13"/>
  <c r="R174" i="13"/>
  <c r="S174" i="13"/>
  <c r="T174" i="13"/>
  <c r="O175" i="13"/>
  <c r="P175" i="13"/>
  <c r="Q175" i="13"/>
  <c r="R175" i="13"/>
  <c r="N175" i="13" s="1"/>
  <c r="S175" i="13"/>
  <c r="T175" i="13"/>
  <c r="O176" i="13"/>
  <c r="P176" i="13"/>
  <c r="Q176" i="13"/>
  <c r="R176" i="13"/>
  <c r="S176" i="13"/>
  <c r="T176" i="13"/>
  <c r="P162" i="13"/>
  <c r="Q162" i="13"/>
  <c r="R162" i="13"/>
  <c r="S162" i="13"/>
  <c r="T162" i="13"/>
  <c r="O162" i="13"/>
  <c r="O148" i="13"/>
  <c r="P148" i="13"/>
  <c r="Q148" i="13"/>
  <c r="R148" i="13"/>
  <c r="S148" i="13"/>
  <c r="T148" i="13"/>
  <c r="O149" i="13"/>
  <c r="P149" i="13"/>
  <c r="Q149" i="13"/>
  <c r="R149" i="13"/>
  <c r="N149" i="13" s="1"/>
  <c r="S149" i="13"/>
  <c r="T149" i="13"/>
  <c r="O150" i="13"/>
  <c r="P150" i="13"/>
  <c r="Q150" i="13"/>
  <c r="R150" i="13"/>
  <c r="S150" i="13"/>
  <c r="T150" i="13"/>
  <c r="N150" i="13" s="1"/>
  <c r="O151" i="13"/>
  <c r="P151" i="13"/>
  <c r="Q151" i="13"/>
  <c r="R151" i="13"/>
  <c r="S151" i="13"/>
  <c r="T151" i="13"/>
  <c r="O152" i="13"/>
  <c r="P152" i="13"/>
  <c r="Q152" i="13"/>
  <c r="R152" i="13"/>
  <c r="S152" i="13"/>
  <c r="T152" i="13"/>
  <c r="O153" i="13"/>
  <c r="P153" i="13"/>
  <c r="Q153" i="13"/>
  <c r="R153" i="13"/>
  <c r="N153" i="13" s="1"/>
  <c r="S153" i="13"/>
  <c r="T153" i="13"/>
  <c r="O154" i="13"/>
  <c r="Q154" i="13"/>
  <c r="R154" i="13"/>
  <c r="S154" i="13"/>
  <c r="T154" i="13"/>
  <c r="O155" i="13"/>
  <c r="P155" i="13"/>
  <c r="Q155" i="13"/>
  <c r="R155" i="13"/>
  <c r="S155" i="13"/>
  <c r="T155" i="13"/>
  <c r="O156" i="13"/>
  <c r="P156" i="13"/>
  <c r="N156" i="13" s="1"/>
  <c r="Q156" i="13"/>
  <c r="R156" i="13"/>
  <c r="S156" i="13"/>
  <c r="T156" i="13"/>
  <c r="O157" i="13"/>
  <c r="P157" i="13"/>
  <c r="Q157" i="13"/>
  <c r="R157" i="13"/>
  <c r="S157" i="13"/>
  <c r="T157" i="13"/>
  <c r="O158" i="13"/>
  <c r="P158" i="13"/>
  <c r="N158" i="13" s="1"/>
  <c r="Q158" i="13"/>
  <c r="R158" i="13"/>
  <c r="S158" i="13"/>
  <c r="T158" i="13"/>
  <c r="O159" i="13"/>
  <c r="P159" i="13"/>
  <c r="Q159" i="13"/>
  <c r="R159" i="13"/>
  <c r="S159" i="13"/>
  <c r="T159" i="13"/>
  <c r="O160" i="13"/>
  <c r="P160" i="13"/>
  <c r="Q160" i="13"/>
  <c r="R160" i="13"/>
  <c r="S160" i="13"/>
  <c r="T160" i="13"/>
  <c r="O161" i="13"/>
  <c r="P161" i="13"/>
  <c r="Q161" i="13"/>
  <c r="R161" i="13"/>
  <c r="N161" i="13" s="1"/>
  <c r="S161" i="13"/>
  <c r="T161" i="13"/>
  <c r="P147" i="13"/>
  <c r="Q147" i="13"/>
  <c r="R147" i="13"/>
  <c r="S147" i="13"/>
  <c r="T147" i="13"/>
  <c r="O147" i="13"/>
  <c r="O133" i="13"/>
  <c r="P133" i="13"/>
  <c r="Q133" i="13"/>
  <c r="R133" i="13"/>
  <c r="S133" i="13"/>
  <c r="T133" i="13"/>
  <c r="O134" i="13"/>
  <c r="P134" i="13"/>
  <c r="Q134" i="13"/>
  <c r="R134" i="13"/>
  <c r="S134" i="13"/>
  <c r="T134" i="13"/>
  <c r="O135" i="13"/>
  <c r="P135" i="13"/>
  <c r="Q135" i="13"/>
  <c r="R135" i="13"/>
  <c r="S135" i="13"/>
  <c r="T135" i="13"/>
  <c r="O136" i="13"/>
  <c r="P136" i="13"/>
  <c r="Q136" i="13"/>
  <c r="R136" i="13"/>
  <c r="S136" i="13"/>
  <c r="T136" i="13"/>
  <c r="O137" i="13"/>
  <c r="P137" i="13"/>
  <c r="Q137" i="13"/>
  <c r="N137" i="13" s="1"/>
  <c r="R137" i="13"/>
  <c r="S137" i="13"/>
  <c r="T137" i="13"/>
  <c r="O138" i="13"/>
  <c r="P138" i="13"/>
  <c r="Q138" i="13"/>
  <c r="R138" i="13"/>
  <c r="S138" i="13"/>
  <c r="T138" i="13"/>
  <c r="O139" i="13"/>
  <c r="P139" i="13"/>
  <c r="Q139" i="13"/>
  <c r="R139" i="13"/>
  <c r="S139" i="13"/>
  <c r="T139" i="13"/>
  <c r="O140" i="13"/>
  <c r="P140" i="13"/>
  <c r="Q140" i="13"/>
  <c r="R140" i="13"/>
  <c r="S140" i="13"/>
  <c r="T140" i="13"/>
  <c r="O141" i="13"/>
  <c r="P141" i="13"/>
  <c r="Q141" i="13"/>
  <c r="R141" i="13"/>
  <c r="S141" i="13"/>
  <c r="T141" i="13"/>
  <c r="O142" i="13"/>
  <c r="P142" i="13"/>
  <c r="Q142" i="13"/>
  <c r="R142" i="13"/>
  <c r="S142" i="13"/>
  <c r="T142" i="13"/>
  <c r="O143" i="13"/>
  <c r="P143" i="13"/>
  <c r="Q143" i="13"/>
  <c r="R143" i="13"/>
  <c r="S143" i="13"/>
  <c r="T143" i="13"/>
  <c r="O144" i="13"/>
  <c r="P144" i="13"/>
  <c r="Q144" i="13"/>
  <c r="R144" i="13"/>
  <c r="S144" i="13"/>
  <c r="T144" i="13"/>
  <c r="O145" i="13"/>
  <c r="P145" i="13"/>
  <c r="Q145" i="13"/>
  <c r="R145" i="13"/>
  <c r="S145" i="13"/>
  <c r="T145" i="13"/>
  <c r="O146" i="13"/>
  <c r="P146" i="13"/>
  <c r="Q146" i="13"/>
  <c r="R146" i="13"/>
  <c r="S146" i="13"/>
  <c r="T146" i="13"/>
  <c r="P132" i="13"/>
  <c r="Q132" i="13"/>
  <c r="R132" i="13"/>
  <c r="S132" i="13"/>
  <c r="T132" i="13"/>
  <c r="O132" i="13"/>
  <c r="T131" i="13"/>
  <c r="O118" i="13"/>
  <c r="P118" i="13"/>
  <c r="Q118" i="13"/>
  <c r="R118" i="13"/>
  <c r="S118" i="13"/>
  <c r="T118" i="13"/>
  <c r="O119" i="13"/>
  <c r="P119" i="13"/>
  <c r="Q119" i="13"/>
  <c r="R119" i="13"/>
  <c r="S119" i="13"/>
  <c r="T119" i="13"/>
  <c r="O120" i="13"/>
  <c r="P120" i="13"/>
  <c r="Q120" i="13"/>
  <c r="R120" i="13"/>
  <c r="S120" i="13"/>
  <c r="T120" i="13"/>
  <c r="O121" i="13"/>
  <c r="P121" i="13"/>
  <c r="Q121" i="13"/>
  <c r="R121" i="13"/>
  <c r="S121" i="13"/>
  <c r="T121" i="13"/>
  <c r="O122" i="13"/>
  <c r="P122" i="13"/>
  <c r="Q122" i="13"/>
  <c r="R122" i="13"/>
  <c r="S122" i="13"/>
  <c r="T122" i="13"/>
  <c r="O123" i="13"/>
  <c r="P123" i="13"/>
  <c r="Q123" i="13"/>
  <c r="R123" i="13"/>
  <c r="S123" i="13"/>
  <c r="T123" i="13"/>
  <c r="O124" i="13"/>
  <c r="P124" i="13"/>
  <c r="Q124" i="13"/>
  <c r="R124" i="13"/>
  <c r="S124" i="13"/>
  <c r="T124" i="13"/>
  <c r="O125" i="13"/>
  <c r="P125" i="13"/>
  <c r="Q125" i="13"/>
  <c r="R125" i="13"/>
  <c r="S125" i="13"/>
  <c r="T125" i="13"/>
  <c r="O126" i="13"/>
  <c r="P126" i="13"/>
  <c r="Q126" i="13"/>
  <c r="R126" i="13"/>
  <c r="S126" i="13"/>
  <c r="T126" i="13"/>
  <c r="O127" i="13"/>
  <c r="P127" i="13"/>
  <c r="Q127" i="13"/>
  <c r="R127" i="13"/>
  <c r="S127" i="13"/>
  <c r="T127" i="13"/>
  <c r="O128" i="13"/>
  <c r="P128" i="13"/>
  <c r="Q128" i="13"/>
  <c r="R128" i="13"/>
  <c r="S128" i="13"/>
  <c r="T128" i="13"/>
  <c r="O129" i="13"/>
  <c r="P129" i="13"/>
  <c r="Q129" i="13"/>
  <c r="R129" i="13"/>
  <c r="S129" i="13"/>
  <c r="T129" i="13"/>
  <c r="O130" i="13"/>
  <c r="P130" i="13"/>
  <c r="Q130" i="13"/>
  <c r="R130" i="13"/>
  <c r="S130" i="13"/>
  <c r="T130" i="13"/>
  <c r="O131" i="13"/>
  <c r="P131" i="13"/>
  <c r="Q131" i="13"/>
  <c r="R131" i="13"/>
  <c r="S131" i="13"/>
  <c r="P117" i="13"/>
  <c r="Q117" i="13"/>
  <c r="R117" i="13"/>
  <c r="S117" i="13"/>
  <c r="T117" i="13"/>
  <c r="O117" i="13"/>
  <c r="T116" i="13"/>
  <c r="O103" i="13"/>
  <c r="P103" i="13"/>
  <c r="Q103" i="13"/>
  <c r="R103" i="13"/>
  <c r="S103" i="13"/>
  <c r="T103" i="13"/>
  <c r="O104" i="13"/>
  <c r="N104" i="13" s="1"/>
  <c r="P104" i="13"/>
  <c r="Q104" i="13"/>
  <c r="R104" i="13"/>
  <c r="S104" i="13"/>
  <c r="T104" i="13"/>
  <c r="O105" i="13"/>
  <c r="P105" i="13"/>
  <c r="N105" i="13" s="1"/>
  <c r="Q105" i="13"/>
  <c r="R105" i="13"/>
  <c r="S105" i="13"/>
  <c r="T105" i="13"/>
  <c r="O106" i="13"/>
  <c r="P106" i="13"/>
  <c r="Q106" i="13"/>
  <c r="R106" i="13"/>
  <c r="S106" i="13"/>
  <c r="T106" i="13"/>
  <c r="O107" i="13"/>
  <c r="P107" i="13"/>
  <c r="Q107" i="13"/>
  <c r="R107" i="13"/>
  <c r="S107" i="13"/>
  <c r="T107" i="13"/>
  <c r="O108" i="13"/>
  <c r="P108" i="13"/>
  <c r="Q108" i="13"/>
  <c r="R108" i="13"/>
  <c r="S108" i="13"/>
  <c r="T108" i="13"/>
  <c r="O109" i="13"/>
  <c r="P109" i="13"/>
  <c r="Q109" i="13"/>
  <c r="R109" i="13"/>
  <c r="S109" i="13"/>
  <c r="T109" i="13"/>
  <c r="O110" i="13"/>
  <c r="P110" i="13"/>
  <c r="Q110" i="13"/>
  <c r="R110" i="13"/>
  <c r="S110" i="13"/>
  <c r="N110" i="13" s="1"/>
  <c r="T110" i="13"/>
  <c r="O111" i="13"/>
  <c r="P111" i="13"/>
  <c r="Q111" i="13"/>
  <c r="R111" i="13"/>
  <c r="S111" i="13"/>
  <c r="T111" i="13"/>
  <c r="O112" i="13"/>
  <c r="P112" i="13"/>
  <c r="Q112" i="13"/>
  <c r="R112" i="13"/>
  <c r="S112" i="13"/>
  <c r="T112" i="13"/>
  <c r="O113" i="13"/>
  <c r="P113" i="13"/>
  <c r="Q113" i="13"/>
  <c r="R113" i="13"/>
  <c r="S113" i="13"/>
  <c r="T113" i="13"/>
  <c r="O114" i="13"/>
  <c r="P114" i="13"/>
  <c r="Q114" i="13"/>
  <c r="R114" i="13"/>
  <c r="N114" i="13" s="1"/>
  <c r="S114" i="13"/>
  <c r="T114" i="13"/>
  <c r="O115" i="13"/>
  <c r="P115" i="13"/>
  <c r="Q115" i="13"/>
  <c r="R115" i="13"/>
  <c r="S115" i="13"/>
  <c r="T115" i="13"/>
  <c r="N115" i="13" s="1"/>
  <c r="O116" i="13"/>
  <c r="P116" i="13"/>
  <c r="Q116" i="13"/>
  <c r="R116" i="13"/>
  <c r="S116" i="13"/>
  <c r="P102" i="13"/>
  <c r="Q102" i="13"/>
  <c r="R102" i="13"/>
  <c r="S102" i="13"/>
  <c r="T102" i="13"/>
  <c r="O102" i="13"/>
  <c r="T101" i="13"/>
  <c r="T87" i="13"/>
  <c r="O88" i="13"/>
  <c r="P88" i="13"/>
  <c r="Q88" i="13"/>
  <c r="R88" i="13"/>
  <c r="S88" i="13"/>
  <c r="T88" i="13"/>
  <c r="O89" i="13"/>
  <c r="P89" i="13"/>
  <c r="Q89" i="13"/>
  <c r="R89" i="13"/>
  <c r="S89" i="13"/>
  <c r="T89" i="13"/>
  <c r="O90" i="13"/>
  <c r="P90" i="13"/>
  <c r="Q90" i="13"/>
  <c r="R90" i="13"/>
  <c r="S90" i="13"/>
  <c r="N90" i="13" s="1"/>
  <c r="T90" i="13"/>
  <c r="O91" i="13"/>
  <c r="P91" i="13"/>
  <c r="Q91" i="13"/>
  <c r="R91" i="13"/>
  <c r="S91" i="13"/>
  <c r="T91" i="13"/>
  <c r="O92" i="13"/>
  <c r="P92" i="13"/>
  <c r="Q92" i="13"/>
  <c r="R92" i="13"/>
  <c r="S92" i="13"/>
  <c r="T92" i="13"/>
  <c r="O93" i="13"/>
  <c r="P93" i="13"/>
  <c r="Q93" i="13"/>
  <c r="R93" i="13"/>
  <c r="S93" i="13"/>
  <c r="T93" i="13"/>
  <c r="O94" i="13"/>
  <c r="P94" i="13"/>
  <c r="Q94" i="13"/>
  <c r="R94" i="13"/>
  <c r="S94" i="13"/>
  <c r="T94" i="13"/>
  <c r="O95" i="13"/>
  <c r="P95" i="13"/>
  <c r="Q95" i="13"/>
  <c r="R95" i="13"/>
  <c r="S95" i="13"/>
  <c r="T95" i="13"/>
  <c r="O96" i="13"/>
  <c r="P96" i="13"/>
  <c r="Q96" i="13"/>
  <c r="R96" i="13"/>
  <c r="S96" i="13"/>
  <c r="T96" i="13"/>
  <c r="O97" i="13"/>
  <c r="P97" i="13"/>
  <c r="Q97" i="13"/>
  <c r="R97" i="13"/>
  <c r="S97" i="13"/>
  <c r="T97" i="13"/>
  <c r="O98" i="13"/>
  <c r="P98" i="13"/>
  <c r="Q98" i="13"/>
  <c r="R98" i="13"/>
  <c r="S98" i="13"/>
  <c r="T98" i="13"/>
  <c r="O99" i="13"/>
  <c r="P99" i="13"/>
  <c r="N99" i="13" s="1"/>
  <c r="Q99" i="13"/>
  <c r="R99" i="13"/>
  <c r="S99" i="13"/>
  <c r="T99" i="13"/>
  <c r="O100" i="13"/>
  <c r="P100" i="13"/>
  <c r="Q100" i="13"/>
  <c r="R100" i="13"/>
  <c r="S100" i="13"/>
  <c r="T100" i="13"/>
  <c r="O101" i="13"/>
  <c r="P101" i="13"/>
  <c r="Q101" i="13"/>
  <c r="R101" i="13"/>
  <c r="S101" i="13"/>
  <c r="P87" i="13"/>
  <c r="Q87" i="13"/>
  <c r="R87" i="13"/>
  <c r="S87" i="13"/>
  <c r="O87" i="13"/>
  <c r="O7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62" i="13"/>
  <c r="M161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47" i="13"/>
  <c r="M146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02" i="13"/>
  <c r="M101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87" i="13"/>
  <c r="O27" i="13"/>
  <c r="N162" i="13"/>
  <c r="M145" i="13"/>
  <c r="M144" i="13"/>
  <c r="M143" i="13"/>
  <c r="M142" i="13"/>
  <c r="N141" i="13"/>
  <c r="M141" i="13"/>
  <c r="M140" i="13"/>
  <c r="M139" i="13"/>
  <c r="M138" i="13"/>
  <c r="M137" i="13"/>
  <c r="M136" i="13"/>
  <c r="N135" i="13"/>
  <c r="M135" i="13"/>
  <c r="M134" i="13"/>
  <c r="M133" i="13"/>
  <c r="M132" i="13"/>
  <c r="M131" i="13"/>
  <c r="M130" i="13"/>
  <c r="M129" i="13"/>
  <c r="M128" i="13"/>
  <c r="M127" i="13"/>
  <c r="M126" i="13"/>
  <c r="M125" i="13"/>
  <c r="M124" i="13"/>
  <c r="M123" i="13"/>
  <c r="M122" i="13"/>
  <c r="M121" i="13"/>
  <c r="M120" i="13"/>
  <c r="M119" i="13"/>
  <c r="M118" i="13"/>
  <c r="M117" i="13"/>
  <c r="N108" i="13"/>
  <c r="P177" i="13"/>
  <c r="Q177" i="13"/>
  <c r="R177" i="13"/>
  <c r="S177" i="13"/>
  <c r="A3" i="15"/>
  <c r="A4" i="15"/>
  <c r="A7" i="15"/>
  <c r="A9" i="15"/>
  <c r="D12" i="15"/>
  <c r="C36" i="15"/>
  <c r="F46" i="14"/>
  <c r="G46" i="14" s="1"/>
  <c r="B58" i="14"/>
  <c r="H85" i="14"/>
  <c r="H88" i="14"/>
  <c r="D30" i="14"/>
  <c r="D31" i="14"/>
  <c r="H91" i="14"/>
  <c r="F93" i="14"/>
  <c r="H93" i="14"/>
  <c r="F94" i="14"/>
  <c r="G94" i="14" s="1"/>
  <c r="H94" i="14"/>
  <c r="F95" i="14"/>
  <c r="G95" i="14" s="1"/>
  <c r="H95" i="14"/>
  <c r="F96" i="14"/>
  <c r="G96" i="14" s="1"/>
  <c r="F97" i="14"/>
  <c r="H97" i="14" s="1"/>
  <c r="F98" i="14"/>
  <c r="H98" i="14"/>
  <c r="B103" i="14"/>
  <c r="G124" i="14"/>
  <c r="F124" i="14"/>
  <c r="F125" i="14"/>
  <c r="H125" i="14" s="1"/>
  <c r="F126" i="14"/>
  <c r="G126" i="14" s="1"/>
  <c r="H126" i="14"/>
  <c r="F127" i="14"/>
  <c r="H127" i="14" s="1"/>
  <c r="G128" i="14"/>
  <c r="F128" i="14"/>
  <c r="H128" i="14" s="1"/>
  <c r="F129" i="14"/>
  <c r="G129" i="14" s="1"/>
  <c r="H129" i="14"/>
  <c r="G130" i="14"/>
  <c r="F130" i="14"/>
  <c r="H130" i="14" s="1"/>
  <c r="F131" i="14"/>
  <c r="H131" i="14" s="1"/>
  <c r="F132" i="14"/>
  <c r="H132" i="14" s="1"/>
  <c r="F133" i="14"/>
  <c r="G133" i="14" s="1"/>
  <c r="H133" i="14"/>
  <c r="F134" i="14"/>
  <c r="G134" i="14" s="1"/>
  <c r="F135" i="14"/>
  <c r="G135" i="14" s="1"/>
  <c r="F136" i="14"/>
  <c r="H136" i="14" s="1"/>
  <c r="F137" i="14"/>
  <c r="G137" i="14" s="1"/>
  <c r="H137" i="14"/>
  <c r="B142" i="14"/>
  <c r="F163" i="14"/>
  <c r="H163" i="14" s="1"/>
  <c r="G164" i="14"/>
  <c r="F164" i="14"/>
  <c r="H164" i="14" s="1"/>
  <c r="F165" i="14"/>
  <c r="G165" i="14" s="1"/>
  <c r="H165" i="14"/>
  <c r="F166" i="14"/>
  <c r="G166" i="14" s="1"/>
  <c r="H166" i="14"/>
  <c r="F167" i="14"/>
  <c r="H167" i="14" s="1"/>
  <c r="F168" i="14"/>
  <c r="G168" i="14" s="1"/>
  <c r="H168" i="14"/>
  <c r="F169" i="14"/>
  <c r="G169" i="14" s="1"/>
  <c r="H169" i="14"/>
  <c r="G170" i="14"/>
  <c r="F170" i="14"/>
  <c r="H170" i="14"/>
  <c r="F171" i="14"/>
  <c r="F172" i="14"/>
  <c r="H172" i="14" s="1"/>
  <c r="F173" i="14"/>
  <c r="F174" i="14"/>
  <c r="G174" i="14" s="1"/>
  <c r="H174" i="14"/>
  <c r="F175" i="14"/>
  <c r="G175" i="14" s="1"/>
  <c r="F176" i="14"/>
  <c r="H176" i="14" s="1"/>
  <c r="B181" i="14"/>
  <c r="F202" i="14"/>
  <c r="G202" i="14" s="1"/>
  <c r="H202" i="14"/>
  <c r="G203" i="14"/>
  <c r="F203" i="14"/>
  <c r="H203" i="14"/>
  <c r="F204" i="14"/>
  <c r="H204" i="14" s="1"/>
  <c r="F205" i="14"/>
  <c r="G205" i="14" s="1"/>
  <c r="H205" i="14"/>
  <c r="G206" i="14"/>
  <c r="F206" i="14"/>
  <c r="H206" i="14"/>
  <c r="F207" i="14"/>
  <c r="H207" i="14" s="1"/>
  <c r="G208" i="14"/>
  <c r="F208" i="14"/>
  <c r="H208" i="14"/>
  <c r="G209" i="14"/>
  <c r="F209" i="14"/>
  <c r="H209" i="14" s="1"/>
  <c r="F210" i="14"/>
  <c r="H210" i="14"/>
  <c r="F211" i="14"/>
  <c r="H211" i="14" s="1"/>
  <c r="F212" i="14"/>
  <c r="G212" i="14" s="1"/>
  <c r="F213" i="14"/>
  <c r="G213" i="14" s="1"/>
  <c r="H213" i="14"/>
  <c r="F214" i="14"/>
  <c r="H214" i="14"/>
  <c r="F215" i="14"/>
  <c r="H215" i="14" s="1"/>
  <c r="B220" i="14"/>
  <c r="F241" i="14"/>
  <c r="G241" i="14" s="1"/>
  <c r="H241" i="14"/>
  <c r="F242" i="14"/>
  <c r="G242" i="14" s="1"/>
  <c r="F243" i="14"/>
  <c r="G243" i="14" s="1"/>
  <c r="F244" i="14"/>
  <c r="G244" i="14" s="1"/>
  <c r="G245" i="14"/>
  <c r="F245" i="14"/>
  <c r="H245" i="14"/>
  <c r="F246" i="14"/>
  <c r="G246" i="14" s="1"/>
  <c r="G247" i="14"/>
  <c r="F247" i="14"/>
  <c r="F248" i="14"/>
  <c r="G248" i="14" s="1"/>
  <c r="H248" i="14"/>
  <c r="F249" i="14"/>
  <c r="G249" i="14" s="1"/>
  <c r="H249" i="14"/>
  <c r="F250" i="14"/>
  <c r="H250" i="14"/>
  <c r="F251" i="14"/>
  <c r="G251" i="14" s="1"/>
  <c r="F252" i="14"/>
  <c r="G252" i="14" s="1"/>
  <c r="H252" i="14"/>
  <c r="F253" i="14"/>
  <c r="H253" i="14" s="1"/>
  <c r="F254" i="14"/>
  <c r="H254" i="14" s="1"/>
  <c r="B259" i="14"/>
  <c r="F280" i="14"/>
  <c r="G280" i="14" s="1"/>
  <c r="H280" i="14"/>
  <c r="F281" i="14"/>
  <c r="H281" i="14" s="1"/>
  <c r="F282" i="14"/>
  <c r="H282" i="14" s="1"/>
  <c r="G283" i="14"/>
  <c r="F283" i="14"/>
  <c r="H283" i="14" s="1"/>
  <c r="F284" i="14"/>
  <c r="H284" i="14" s="1"/>
  <c r="F285" i="14"/>
  <c r="H285" i="14" s="1"/>
  <c r="F286" i="14"/>
  <c r="H286" i="14" s="1"/>
  <c r="G287" i="14"/>
  <c r="F287" i="14"/>
  <c r="H287" i="14" s="1"/>
  <c r="F288" i="14"/>
  <c r="G288" i="14" s="1"/>
  <c r="F289" i="14"/>
  <c r="H289" i="14" s="1"/>
  <c r="F290" i="14"/>
  <c r="G290" i="14" s="1"/>
  <c r="H290" i="14"/>
  <c r="F291" i="14"/>
  <c r="F292" i="14"/>
  <c r="H292" i="14" s="1"/>
  <c r="F293" i="14"/>
  <c r="H293" i="14" s="1"/>
  <c r="B298" i="14"/>
  <c r="G319" i="14"/>
  <c r="F319" i="14"/>
  <c r="H319" i="14" s="1"/>
  <c r="G320" i="14"/>
  <c r="F320" i="14"/>
  <c r="H320" i="14"/>
  <c r="G321" i="14"/>
  <c r="F321" i="14"/>
  <c r="H321" i="14"/>
  <c r="F322" i="14"/>
  <c r="H322" i="14" s="1"/>
  <c r="G323" i="14"/>
  <c r="F323" i="14"/>
  <c r="H323" i="14"/>
  <c r="G324" i="14"/>
  <c r="F324" i="14"/>
  <c r="H324" i="14"/>
  <c r="G325" i="14"/>
  <c r="F325" i="14"/>
  <c r="H325" i="14"/>
  <c r="F326" i="14"/>
  <c r="G326" i="14" s="1"/>
  <c r="H326" i="14"/>
  <c r="F327" i="14"/>
  <c r="H327" i="14"/>
  <c r="F328" i="14"/>
  <c r="G328" i="14" s="1"/>
  <c r="F329" i="14"/>
  <c r="G329" i="14" s="1"/>
  <c r="H329" i="14"/>
  <c r="F330" i="14"/>
  <c r="G330" i="14" s="1"/>
  <c r="H330" i="14"/>
  <c r="F331" i="14"/>
  <c r="H331" i="14" s="1"/>
  <c r="F332" i="14"/>
  <c r="G332" i="14" s="1"/>
  <c r="B337" i="14"/>
  <c r="F358" i="14"/>
  <c r="G358" i="14" s="1"/>
  <c r="H358" i="14"/>
  <c r="F359" i="14"/>
  <c r="G359" i="14" s="1"/>
  <c r="H359" i="14"/>
  <c r="F360" i="14"/>
  <c r="G360" i="14" s="1"/>
  <c r="F361" i="14"/>
  <c r="H361" i="14" s="1"/>
  <c r="F362" i="14"/>
  <c r="G362" i="14" s="1"/>
  <c r="H362" i="14"/>
  <c r="F363" i="14"/>
  <c r="G363" i="14" s="1"/>
  <c r="H363" i="14"/>
  <c r="F364" i="14"/>
  <c r="H364" i="14" s="1"/>
  <c r="G365" i="14"/>
  <c r="F365" i="14"/>
  <c r="H365" i="14"/>
  <c r="F366" i="14"/>
  <c r="H366" i="14" s="1"/>
  <c r="F367" i="14"/>
  <c r="F368" i="14"/>
  <c r="G368" i="14" s="1"/>
  <c r="H368" i="14"/>
  <c r="F369" i="14"/>
  <c r="G369" i="14" s="1"/>
  <c r="F370" i="14"/>
  <c r="G370" i="14" s="1"/>
  <c r="H370" i="14"/>
  <c r="F371" i="14"/>
  <c r="B376" i="14"/>
  <c r="F397" i="14"/>
  <c r="G397" i="14" s="1"/>
  <c r="F398" i="14"/>
  <c r="G398" i="14" s="1"/>
  <c r="F399" i="14"/>
  <c r="G399" i="14" s="1"/>
  <c r="F400" i="14"/>
  <c r="G400" i="14" s="1"/>
  <c r="F401" i="14"/>
  <c r="G401" i="14" s="1"/>
  <c r="G402" i="14"/>
  <c r="F402" i="14"/>
  <c r="H402" i="14"/>
  <c r="F403" i="14"/>
  <c r="G403" i="14" s="1"/>
  <c r="F404" i="14"/>
  <c r="H404" i="14" s="1"/>
  <c r="F405" i="14"/>
  <c r="H405" i="14" s="1"/>
  <c r="F406" i="14"/>
  <c r="G406" i="14" s="1"/>
  <c r="H406" i="14"/>
  <c r="F407" i="14"/>
  <c r="F408" i="14"/>
  <c r="H408" i="14" s="1"/>
  <c r="F409" i="14"/>
  <c r="H409" i="14" s="1"/>
  <c r="F410" i="14"/>
  <c r="G410" i="14" s="1"/>
  <c r="H410" i="14"/>
  <c r="B415" i="14"/>
  <c r="G436" i="14"/>
  <c r="F436" i="14"/>
  <c r="H436" i="14" s="1"/>
  <c r="F437" i="14"/>
  <c r="H437" i="14" s="1"/>
  <c r="F438" i="14"/>
  <c r="H438" i="14" s="1"/>
  <c r="F439" i="14"/>
  <c r="H439" i="14" s="1"/>
  <c r="G440" i="14"/>
  <c r="F440" i="14"/>
  <c r="H440" i="14"/>
  <c r="F441" i="14"/>
  <c r="H441" i="14" s="1"/>
  <c r="G442" i="14"/>
  <c r="F442" i="14"/>
  <c r="H442" i="14" s="1"/>
  <c r="F443" i="14"/>
  <c r="H443" i="14" s="1"/>
  <c r="F444" i="14"/>
  <c r="F445" i="14"/>
  <c r="G445" i="14" s="1"/>
  <c r="H445" i="14"/>
  <c r="F446" i="14"/>
  <c r="G446" i="14" s="1"/>
  <c r="F447" i="14"/>
  <c r="G447" i="14" s="1"/>
  <c r="H447" i="14"/>
  <c r="F448" i="14"/>
  <c r="G448" i="14" s="1"/>
  <c r="F449" i="14"/>
  <c r="G449" i="14" s="1"/>
  <c r="B454" i="14"/>
  <c r="B20" i="13"/>
  <c r="T177" i="13" s="1"/>
  <c r="M27" i="13"/>
  <c r="P27" i="13"/>
  <c r="Q27" i="13"/>
  <c r="R27" i="13"/>
  <c r="S27" i="13"/>
  <c r="T27" i="13"/>
  <c r="M28" i="13"/>
  <c r="O28" i="13"/>
  <c r="P28" i="13"/>
  <c r="Q28" i="13"/>
  <c r="R28" i="13"/>
  <c r="S28" i="13"/>
  <c r="T28" i="13"/>
  <c r="M29" i="13"/>
  <c r="O29" i="13"/>
  <c r="P29" i="13"/>
  <c r="Q29" i="13"/>
  <c r="R29" i="13"/>
  <c r="S29" i="13"/>
  <c r="T29" i="13"/>
  <c r="M30" i="13"/>
  <c r="O30" i="13"/>
  <c r="N30" i="13" s="1"/>
  <c r="P30" i="13"/>
  <c r="Q30" i="13"/>
  <c r="R30" i="13"/>
  <c r="S30" i="13"/>
  <c r="T30" i="13"/>
  <c r="M31" i="13"/>
  <c r="O31" i="13"/>
  <c r="P31" i="13"/>
  <c r="Q31" i="13"/>
  <c r="R31" i="13"/>
  <c r="S31" i="13"/>
  <c r="T31" i="13"/>
  <c r="M32" i="13"/>
  <c r="O32" i="13"/>
  <c r="P32" i="13"/>
  <c r="Q32" i="13"/>
  <c r="R32" i="13"/>
  <c r="S32" i="13"/>
  <c r="T32" i="13"/>
  <c r="M33" i="13"/>
  <c r="O33" i="13"/>
  <c r="N33" i="13" s="1"/>
  <c r="P33" i="13"/>
  <c r="Q33" i="13"/>
  <c r="R33" i="13"/>
  <c r="S33" i="13"/>
  <c r="T33" i="13"/>
  <c r="M34" i="13"/>
  <c r="O34" i="13"/>
  <c r="P34" i="13"/>
  <c r="Q34" i="13"/>
  <c r="R34" i="13"/>
  <c r="S34" i="13"/>
  <c r="T34" i="13"/>
  <c r="M35" i="13"/>
  <c r="O35" i="13"/>
  <c r="N35" i="13" s="1"/>
  <c r="P35" i="13"/>
  <c r="Q35" i="13"/>
  <c r="R35" i="13"/>
  <c r="S35" i="13"/>
  <c r="T35" i="13"/>
  <c r="M36" i="13"/>
  <c r="O36" i="13"/>
  <c r="P36" i="13"/>
  <c r="Q36" i="13"/>
  <c r="R36" i="13"/>
  <c r="S36" i="13"/>
  <c r="T36" i="13"/>
  <c r="M37" i="13"/>
  <c r="O37" i="13"/>
  <c r="P37" i="13"/>
  <c r="Q37" i="13"/>
  <c r="R37" i="13"/>
  <c r="S37" i="13"/>
  <c r="T37" i="13"/>
  <c r="M38" i="13"/>
  <c r="O38" i="13"/>
  <c r="P38" i="13"/>
  <c r="Q38" i="13"/>
  <c r="R38" i="13"/>
  <c r="S38" i="13"/>
  <c r="T38" i="13"/>
  <c r="M39" i="13"/>
  <c r="O39" i="13"/>
  <c r="P39" i="13"/>
  <c r="Q39" i="13"/>
  <c r="R39" i="13"/>
  <c r="S39" i="13"/>
  <c r="T39" i="13"/>
  <c r="M40" i="13"/>
  <c r="O40" i="13"/>
  <c r="N40" i="13" s="1"/>
  <c r="P40" i="13"/>
  <c r="Q40" i="13"/>
  <c r="R40" i="13"/>
  <c r="S40" i="13"/>
  <c r="T40" i="13"/>
  <c r="M41" i="13"/>
  <c r="O41" i="13"/>
  <c r="P41" i="13"/>
  <c r="Q41" i="13"/>
  <c r="R41" i="13"/>
  <c r="S41" i="13"/>
  <c r="T41" i="13"/>
  <c r="M42" i="13"/>
  <c r="O42" i="13"/>
  <c r="P42" i="13"/>
  <c r="Q42" i="13"/>
  <c r="R42" i="13"/>
  <c r="S42" i="13"/>
  <c r="T42" i="13"/>
  <c r="M43" i="13"/>
  <c r="O43" i="13"/>
  <c r="N43" i="13" s="1"/>
  <c r="P43" i="13"/>
  <c r="Q43" i="13"/>
  <c r="R43" i="13"/>
  <c r="S43" i="13"/>
  <c r="T43" i="13"/>
  <c r="M44" i="13"/>
  <c r="O44" i="13"/>
  <c r="N44" i="13" s="1"/>
  <c r="P44" i="13"/>
  <c r="Q44" i="13"/>
  <c r="R44" i="13"/>
  <c r="S44" i="13"/>
  <c r="T44" i="13"/>
  <c r="M45" i="13"/>
  <c r="O45" i="13"/>
  <c r="P45" i="13"/>
  <c r="Q45" i="13"/>
  <c r="R45" i="13"/>
  <c r="S45" i="13"/>
  <c r="T45" i="13"/>
  <c r="M46" i="13"/>
  <c r="O46" i="13"/>
  <c r="P46" i="13"/>
  <c r="Q46" i="13"/>
  <c r="N46" i="13" s="1"/>
  <c r="R46" i="13"/>
  <c r="S46" i="13"/>
  <c r="T46" i="13"/>
  <c r="M47" i="13"/>
  <c r="O47" i="13"/>
  <c r="N47" i="13" s="1"/>
  <c r="P47" i="13"/>
  <c r="Q47" i="13"/>
  <c r="R47" i="13"/>
  <c r="S47" i="13"/>
  <c r="T47" i="13"/>
  <c r="M48" i="13"/>
  <c r="O48" i="13"/>
  <c r="P48" i="13"/>
  <c r="Q48" i="13"/>
  <c r="R48" i="13"/>
  <c r="S48" i="13"/>
  <c r="T48" i="13"/>
  <c r="M49" i="13"/>
  <c r="O49" i="13"/>
  <c r="N49" i="13" s="1"/>
  <c r="P49" i="13"/>
  <c r="Q49" i="13"/>
  <c r="R49" i="13"/>
  <c r="S49" i="13"/>
  <c r="T49" i="13"/>
  <c r="M50" i="13"/>
  <c r="O50" i="13"/>
  <c r="P50" i="13"/>
  <c r="Q50" i="13"/>
  <c r="R50" i="13"/>
  <c r="S50" i="13"/>
  <c r="T50" i="13"/>
  <c r="M51" i="13"/>
  <c r="O51" i="13"/>
  <c r="P51" i="13"/>
  <c r="Q51" i="13"/>
  <c r="R51" i="13"/>
  <c r="S51" i="13"/>
  <c r="T51" i="13"/>
  <c r="M52" i="13"/>
  <c r="O52" i="13"/>
  <c r="P52" i="13"/>
  <c r="Q52" i="13"/>
  <c r="R52" i="13"/>
  <c r="S52" i="13"/>
  <c r="T52" i="13"/>
  <c r="M53" i="13"/>
  <c r="O53" i="13"/>
  <c r="P53" i="13"/>
  <c r="Q53" i="13"/>
  <c r="R53" i="13"/>
  <c r="S53" i="13"/>
  <c r="T53" i="13"/>
  <c r="M54" i="13"/>
  <c r="O54" i="13"/>
  <c r="N54" i="13" s="1"/>
  <c r="P54" i="13"/>
  <c r="Q54" i="13"/>
  <c r="R54" i="13"/>
  <c r="S54" i="13"/>
  <c r="T54" i="13"/>
  <c r="M55" i="13"/>
  <c r="O55" i="13"/>
  <c r="P55" i="13"/>
  <c r="Q55" i="13"/>
  <c r="R55" i="13"/>
  <c r="S55" i="13"/>
  <c r="T55" i="13"/>
  <c r="M56" i="13"/>
  <c r="O56" i="13"/>
  <c r="P56" i="13"/>
  <c r="Q56" i="13"/>
  <c r="R56" i="13"/>
  <c r="S56" i="13"/>
  <c r="T56" i="13"/>
  <c r="M57" i="13"/>
  <c r="O57" i="13"/>
  <c r="P57" i="13"/>
  <c r="Q57" i="13"/>
  <c r="R57" i="13"/>
  <c r="S57" i="13"/>
  <c r="T57" i="13"/>
  <c r="M58" i="13"/>
  <c r="O58" i="13"/>
  <c r="P58" i="13"/>
  <c r="Q58" i="13"/>
  <c r="R58" i="13"/>
  <c r="S58" i="13"/>
  <c r="T58" i="13"/>
  <c r="M59" i="13"/>
  <c r="O59" i="13"/>
  <c r="N59" i="13" s="1"/>
  <c r="P59" i="13"/>
  <c r="Q59" i="13"/>
  <c r="R59" i="13"/>
  <c r="S59" i="13"/>
  <c r="T59" i="13"/>
  <c r="M60" i="13"/>
  <c r="O60" i="13"/>
  <c r="P60" i="13"/>
  <c r="Q60" i="13"/>
  <c r="R60" i="13"/>
  <c r="S60" i="13"/>
  <c r="T60" i="13"/>
  <c r="M61" i="13"/>
  <c r="O61" i="13"/>
  <c r="P61" i="13"/>
  <c r="Q61" i="13"/>
  <c r="R61" i="13"/>
  <c r="S61" i="13"/>
  <c r="T61" i="13"/>
  <c r="M62" i="13"/>
  <c r="O62" i="13"/>
  <c r="P62" i="13"/>
  <c r="Q62" i="13"/>
  <c r="R62" i="13"/>
  <c r="S62" i="13"/>
  <c r="T62" i="13"/>
  <c r="M63" i="13"/>
  <c r="O63" i="13"/>
  <c r="P63" i="13"/>
  <c r="Q63" i="13"/>
  <c r="R63" i="13"/>
  <c r="S63" i="13"/>
  <c r="T63" i="13"/>
  <c r="M64" i="13"/>
  <c r="O64" i="13"/>
  <c r="P64" i="13"/>
  <c r="Q64" i="13"/>
  <c r="R64" i="13"/>
  <c r="S64" i="13"/>
  <c r="T64" i="13"/>
  <c r="M65" i="13"/>
  <c r="O65" i="13"/>
  <c r="N65" i="13" s="1"/>
  <c r="P65" i="13"/>
  <c r="Q65" i="13"/>
  <c r="R65" i="13"/>
  <c r="S65" i="13"/>
  <c r="T65" i="13"/>
  <c r="M66" i="13"/>
  <c r="O66" i="13"/>
  <c r="P66" i="13"/>
  <c r="Q66" i="13"/>
  <c r="R66" i="13"/>
  <c r="S66" i="13"/>
  <c r="T66" i="13"/>
  <c r="M67" i="13"/>
  <c r="O67" i="13"/>
  <c r="N67" i="13" s="1"/>
  <c r="P67" i="13"/>
  <c r="Q67" i="13"/>
  <c r="R67" i="13"/>
  <c r="S67" i="13"/>
  <c r="T67" i="13"/>
  <c r="M68" i="13"/>
  <c r="O68" i="13"/>
  <c r="N68" i="13" s="1"/>
  <c r="P68" i="13"/>
  <c r="Q68" i="13"/>
  <c r="R68" i="13"/>
  <c r="S68" i="13"/>
  <c r="T68" i="13"/>
  <c r="M69" i="13"/>
  <c r="O69" i="13"/>
  <c r="P69" i="13"/>
  <c r="Q69" i="13"/>
  <c r="R69" i="13"/>
  <c r="S69" i="13"/>
  <c r="T69" i="13"/>
  <c r="M70" i="13"/>
  <c r="N70" i="13"/>
  <c r="O70" i="13"/>
  <c r="P70" i="13"/>
  <c r="Q70" i="13"/>
  <c r="R70" i="13"/>
  <c r="S70" i="13"/>
  <c r="T70" i="13"/>
  <c r="M71" i="13"/>
  <c r="O71" i="13"/>
  <c r="P71" i="13"/>
  <c r="Q71" i="13"/>
  <c r="R71" i="13"/>
  <c r="S71" i="13"/>
  <c r="T71" i="13"/>
  <c r="M72" i="13"/>
  <c r="P72" i="13"/>
  <c r="Q72" i="13"/>
  <c r="R72" i="13"/>
  <c r="S72" i="13"/>
  <c r="T72" i="13"/>
  <c r="M73" i="13"/>
  <c r="O73" i="13"/>
  <c r="N73" i="13" s="1"/>
  <c r="P73" i="13"/>
  <c r="Q73" i="13"/>
  <c r="R73" i="13"/>
  <c r="S73" i="13"/>
  <c r="T73" i="13"/>
  <c r="M74" i="13"/>
  <c r="O74" i="13"/>
  <c r="P74" i="13"/>
  <c r="Q74" i="13"/>
  <c r="R74" i="13"/>
  <c r="S74" i="13"/>
  <c r="T74" i="13"/>
  <c r="M75" i="13"/>
  <c r="O75" i="13"/>
  <c r="P75" i="13"/>
  <c r="Q75" i="13"/>
  <c r="R75" i="13"/>
  <c r="S75" i="13"/>
  <c r="T75" i="13"/>
  <c r="M76" i="13"/>
  <c r="O76" i="13"/>
  <c r="P76" i="13"/>
  <c r="Q76" i="13"/>
  <c r="R76" i="13"/>
  <c r="S76" i="13"/>
  <c r="T76" i="13"/>
  <c r="M77" i="13"/>
  <c r="O77" i="13"/>
  <c r="P77" i="13"/>
  <c r="Q77" i="13"/>
  <c r="R77" i="13"/>
  <c r="S77" i="13"/>
  <c r="T77" i="13"/>
  <c r="M78" i="13"/>
  <c r="O78" i="13"/>
  <c r="P78" i="13"/>
  <c r="Q78" i="13"/>
  <c r="R78" i="13"/>
  <c r="S78" i="13"/>
  <c r="T78" i="13"/>
  <c r="M79" i="13"/>
  <c r="O79" i="13"/>
  <c r="P79" i="13"/>
  <c r="Q79" i="13"/>
  <c r="R79" i="13"/>
  <c r="S79" i="13"/>
  <c r="T79" i="13"/>
  <c r="M80" i="13"/>
  <c r="O80" i="13"/>
  <c r="P80" i="13"/>
  <c r="Q80" i="13"/>
  <c r="R80" i="13"/>
  <c r="S80" i="13"/>
  <c r="T80" i="13"/>
  <c r="M81" i="13"/>
  <c r="O81" i="13"/>
  <c r="P81" i="13"/>
  <c r="Q81" i="13"/>
  <c r="R81" i="13"/>
  <c r="S81" i="13"/>
  <c r="T81" i="13"/>
  <c r="M82" i="13"/>
  <c r="O82" i="13"/>
  <c r="P82" i="13"/>
  <c r="Q82" i="13"/>
  <c r="R82" i="13"/>
  <c r="S82" i="13"/>
  <c r="T82" i="13"/>
  <c r="M83" i="13"/>
  <c r="O83" i="13"/>
  <c r="P83" i="13"/>
  <c r="Q83" i="13"/>
  <c r="R83" i="13"/>
  <c r="S83" i="13"/>
  <c r="T83" i="13"/>
  <c r="M84" i="13"/>
  <c r="O84" i="13"/>
  <c r="P84" i="13"/>
  <c r="Q84" i="13"/>
  <c r="R84" i="13"/>
  <c r="S84" i="13"/>
  <c r="T84" i="13"/>
  <c r="M85" i="13"/>
  <c r="O85" i="13"/>
  <c r="P85" i="13"/>
  <c r="Q85" i="13"/>
  <c r="R85" i="13"/>
  <c r="S85" i="13"/>
  <c r="T85" i="13"/>
  <c r="M86" i="13"/>
  <c r="O86" i="13"/>
  <c r="P86" i="13"/>
  <c r="Q86" i="13"/>
  <c r="R86" i="13"/>
  <c r="S86" i="13"/>
  <c r="T86" i="13"/>
  <c r="U177" i="13"/>
  <c r="G443" i="14" l="1"/>
  <c r="G284" i="14"/>
  <c r="G131" i="14"/>
  <c r="D35" i="15"/>
  <c r="G211" i="14"/>
  <c r="D197" i="14" s="1"/>
  <c r="G404" i="14"/>
  <c r="D392" i="14" s="1"/>
  <c r="H446" i="14"/>
  <c r="G439" i="14"/>
  <c r="H397" i="14"/>
  <c r="H369" i="14"/>
  <c r="D35" i="14"/>
  <c r="H134" i="14"/>
  <c r="G127" i="14"/>
  <c r="G172" i="14"/>
  <c r="G293" i="14"/>
  <c r="G405" i="14"/>
  <c r="D28" i="14"/>
  <c r="D27" i="14"/>
  <c r="H449" i="14"/>
  <c r="G441" i="14"/>
  <c r="H399" i="14"/>
  <c r="G364" i="14"/>
  <c r="H360" i="14"/>
  <c r="G286" i="14"/>
  <c r="E31" i="14" s="1"/>
  <c r="G282" i="14"/>
  <c r="H242" i="14"/>
  <c r="D38" i="14"/>
  <c r="D26" i="14"/>
  <c r="D21" i="15" s="1"/>
  <c r="G136" i="14"/>
  <c r="G215" i="14"/>
  <c r="G408" i="14"/>
  <c r="E36" i="14" s="1"/>
  <c r="G253" i="14"/>
  <c r="G366" i="14"/>
  <c r="G438" i="14"/>
  <c r="G361" i="14"/>
  <c r="G204" i="14"/>
  <c r="D33" i="14"/>
  <c r="G176" i="14"/>
  <c r="G289" i="14"/>
  <c r="G409" i="14"/>
  <c r="G322" i="14"/>
  <c r="D314" i="14" s="1"/>
  <c r="D34" i="14"/>
  <c r="G285" i="14"/>
  <c r="G281" i="14"/>
  <c r="E26" i="14" s="1"/>
  <c r="H124" i="14"/>
  <c r="F25" i="14" s="1"/>
  <c r="D25" i="14"/>
  <c r="D37" i="14"/>
  <c r="G163" i="14"/>
  <c r="E25" i="14" s="1"/>
  <c r="G207" i="14"/>
  <c r="N168" i="13"/>
  <c r="N171" i="13"/>
  <c r="N174" i="13"/>
  <c r="N159" i="13"/>
  <c r="N155" i="13"/>
  <c r="N132" i="13"/>
  <c r="N145" i="13"/>
  <c r="N138" i="13"/>
  <c r="N144" i="13"/>
  <c r="N129" i="13"/>
  <c r="N117" i="13"/>
  <c r="N127" i="13"/>
  <c r="N113" i="13"/>
  <c r="N106" i="13"/>
  <c r="N111" i="13"/>
  <c r="N116" i="13"/>
  <c r="N93" i="13"/>
  <c r="N89" i="13"/>
  <c r="N96" i="13"/>
  <c r="N91" i="13"/>
  <c r="N86" i="13"/>
  <c r="N80" i="13"/>
  <c r="N75" i="13"/>
  <c r="N84" i="13"/>
  <c r="N147" i="13"/>
  <c r="N87" i="13"/>
  <c r="N152" i="13"/>
  <c r="S178" i="13"/>
  <c r="N92" i="13"/>
  <c r="R178" i="13"/>
  <c r="Q178" i="13"/>
  <c r="P178" i="13"/>
  <c r="N82" i="13"/>
  <c r="N71" i="13"/>
  <c r="N57" i="13"/>
  <c r="N42" i="13"/>
  <c r="U42" i="13" s="1"/>
  <c r="N31" i="13"/>
  <c r="N95" i="13"/>
  <c r="N122" i="13"/>
  <c r="N134" i="13"/>
  <c r="N142" i="13"/>
  <c r="N151" i="13"/>
  <c r="N160" i="13"/>
  <c r="N169" i="13"/>
  <c r="T178" i="13"/>
  <c r="N63" i="13"/>
  <c r="B12" i="14"/>
  <c r="D10" i="15" s="1"/>
  <c r="N76" i="13"/>
  <c r="N50" i="13"/>
  <c r="N41" i="13"/>
  <c r="N36" i="13"/>
  <c r="N81" i="13"/>
  <c r="N66" i="13"/>
  <c r="N55" i="13"/>
  <c r="N45" i="13"/>
  <c r="N101" i="13"/>
  <c r="N103" i="13"/>
  <c r="N112" i="13"/>
  <c r="N124" i="13"/>
  <c r="N139" i="13"/>
  <c r="N164" i="13"/>
  <c r="N85" i="13"/>
  <c r="N74" i="13"/>
  <c r="N69" i="13"/>
  <c r="N60" i="13"/>
  <c r="N48" i="13"/>
  <c r="N34" i="13"/>
  <c r="N97" i="13"/>
  <c r="N119" i="13"/>
  <c r="N131" i="13"/>
  <c r="N146" i="13"/>
  <c r="N39" i="13"/>
  <c r="N88" i="13"/>
  <c r="N136" i="13"/>
  <c r="N148" i="13"/>
  <c r="N157" i="13"/>
  <c r="N170" i="13"/>
  <c r="N78" i="13"/>
  <c r="N52" i="13"/>
  <c r="N120" i="13"/>
  <c r="N83" i="13"/>
  <c r="N72" i="13"/>
  <c r="N58" i="13"/>
  <c r="N32" i="13"/>
  <c r="N107" i="13"/>
  <c r="N121" i="13"/>
  <c r="N126" i="13"/>
  <c r="N166" i="13"/>
  <c r="N172" i="13"/>
  <c r="N38" i="13"/>
  <c r="N64" i="13"/>
  <c r="N53" i="13"/>
  <c r="N77" i="13"/>
  <c r="N62" i="13"/>
  <c r="N51" i="13"/>
  <c r="N37" i="13"/>
  <c r="N94" i="13"/>
  <c r="N109" i="13"/>
  <c r="N128" i="13"/>
  <c r="N133" i="13"/>
  <c r="N143" i="13"/>
  <c r="N176" i="13"/>
  <c r="O178" i="13"/>
  <c r="N79" i="13"/>
  <c r="N61" i="13"/>
  <c r="N56" i="13"/>
  <c r="N98" i="13"/>
  <c r="N100" i="13"/>
  <c r="N102" i="13"/>
  <c r="N118" i="13"/>
  <c r="N123" i="13"/>
  <c r="N130" i="13"/>
  <c r="N140" i="13"/>
  <c r="N154" i="13"/>
  <c r="N125" i="13"/>
  <c r="N167" i="13"/>
  <c r="F45" i="14"/>
  <c r="E29" i="14"/>
  <c r="E35" i="14"/>
  <c r="H46" i="14"/>
  <c r="D236" i="14"/>
  <c r="E37" i="14"/>
  <c r="E27" i="14"/>
  <c r="D29" i="14"/>
  <c r="H173" i="14"/>
  <c r="F48" i="14"/>
  <c r="G48" i="14" s="1"/>
  <c r="F44" i="14"/>
  <c r="G44" i="14" s="1"/>
  <c r="D36" i="14"/>
  <c r="D32" i="14"/>
  <c r="H371" i="14"/>
  <c r="H367" i="14"/>
  <c r="H251" i="14"/>
  <c r="H135" i="14"/>
  <c r="H401" i="14"/>
  <c r="H398" i="14"/>
  <c r="H288" i="14"/>
  <c r="H247" i="14"/>
  <c r="F31" i="14" s="1"/>
  <c r="H244" i="14"/>
  <c r="H90" i="14"/>
  <c r="H87" i="14"/>
  <c r="F47" i="14"/>
  <c r="G47" i="14" s="1"/>
  <c r="F43" i="14"/>
  <c r="H407" i="14"/>
  <c r="H291" i="14"/>
  <c r="H175" i="14"/>
  <c r="F37" i="14" s="1"/>
  <c r="H171" i="14"/>
  <c r="H448" i="14"/>
  <c r="H444" i="14"/>
  <c r="H403" i="14"/>
  <c r="H400" i="14"/>
  <c r="H332" i="14"/>
  <c r="H328" i="14"/>
  <c r="F34" i="14" s="1"/>
  <c r="H246" i="14"/>
  <c r="H243" i="14"/>
  <c r="H212" i="14"/>
  <c r="H96" i="14"/>
  <c r="H92" i="14"/>
  <c r="F32" i="14" s="1"/>
  <c r="H89" i="14"/>
  <c r="F29" i="14" s="1"/>
  <c r="H86" i="14"/>
  <c r="U57" i="13"/>
  <c r="U27" i="13"/>
  <c r="D431" i="14" l="1"/>
  <c r="E28" i="14"/>
  <c r="D353" i="14"/>
  <c r="D275" i="14"/>
  <c r="E30" i="14"/>
  <c r="E38" i="14"/>
  <c r="E32" i="14"/>
  <c r="E33" i="14"/>
  <c r="D119" i="14"/>
  <c r="D158" i="14"/>
  <c r="F35" i="14"/>
  <c r="F36" i="14"/>
  <c r="E34" i="14"/>
  <c r="F26" i="14"/>
  <c r="D49" i="14"/>
  <c r="D11" i="15" s="1"/>
  <c r="F33" i="14"/>
  <c r="F28" i="14"/>
  <c r="F38" i="14"/>
  <c r="U132" i="13"/>
  <c r="U72" i="13"/>
  <c r="H45" i="14"/>
  <c r="G45" i="14"/>
  <c r="U147" i="13"/>
  <c r="U117" i="13"/>
  <c r="U102" i="13"/>
  <c r="N178" i="13"/>
  <c r="U87" i="13"/>
  <c r="U162" i="13"/>
  <c r="F27" i="14"/>
  <c r="H43" i="14"/>
  <c r="F30" i="14"/>
  <c r="H44" i="14"/>
  <c r="H48" i="14"/>
  <c r="H47" i="14"/>
  <c r="G9" i="14" l="1"/>
  <c r="G10" i="14" s="1"/>
  <c r="D23" i="15"/>
  <c r="D29" i="15" s="1"/>
  <c r="G49" i="14"/>
  <c r="U178" i="13"/>
  <c r="D19" i="15"/>
  <c r="K4" i="11"/>
  <c r="D17" i="15" l="1"/>
  <c r="D22" i="15" s="1"/>
  <c r="H9" i="14"/>
  <c r="H10" i="14" s="1"/>
  <c r="F15" i="3"/>
  <c r="E15" i="3"/>
  <c r="A1" i="15" l="1"/>
  <c r="D32" i="15"/>
  <c r="D38" i="15" s="1"/>
  <c r="D39" i="15" s="1"/>
  <c r="D40" i="15" s="1"/>
  <c r="H15" i="3" a="1"/>
  <c r="H15" i="3" s="1"/>
  <c r="H4" i="11"/>
  <c r="I4" i="11" l="1"/>
  <c r="D64" i="3" l="1"/>
  <c r="D65" i="3"/>
  <c r="D66" i="3"/>
  <c r="D67" i="3"/>
  <c r="D33" i="1"/>
  <c r="A9" i="1"/>
  <c r="D43" i="3"/>
  <c r="F43" i="3" s="1"/>
  <c r="H43" i="9"/>
  <c r="D14" i="1"/>
  <c r="D12" i="1"/>
  <c r="C45" i="9"/>
  <c r="D45" i="9"/>
  <c r="E45" i="9"/>
  <c r="F45" i="9"/>
  <c r="G45" i="9"/>
  <c r="H45" i="9"/>
  <c r="A30" i="9"/>
  <c r="C31" i="9"/>
  <c r="D31" i="9"/>
  <c r="E31" i="9"/>
  <c r="F31" i="9"/>
  <c r="G31" i="9"/>
  <c r="H31" i="9"/>
  <c r="C32" i="9"/>
  <c r="D32" i="9"/>
  <c r="E32" i="9"/>
  <c r="F32" i="9"/>
  <c r="G32" i="9"/>
  <c r="H32" i="9"/>
  <c r="C33" i="9"/>
  <c r="D33" i="9"/>
  <c r="E33" i="9"/>
  <c r="F33" i="9"/>
  <c r="G33" i="9"/>
  <c r="H33" i="9"/>
  <c r="C34" i="9"/>
  <c r="D34" i="9"/>
  <c r="E34" i="9"/>
  <c r="F34" i="9"/>
  <c r="G34" i="9"/>
  <c r="H34" i="9"/>
  <c r="C35" i="9"/>
  <c r="D35" i="9"/>
  <c r="E35" i="9"/>
  <c r="F35" i="9"/>
  <c r="G35" i="9"/>
  <c r="H35" i="9"/>
  <c r="C36" i="9"/>
  <c r="D36" i="9"/>
  <c r="E36" i="9"/>
  <c r="F36" i="9"/>
  <c r="G36" i="9"/>
  <c r="H36" i="9"/>
  <c r="C37" i="9"/>
  <c r="D37" i="9"/>
  <c r="E37" i="9"/>
  <c r="F37" i="9"/>
  <c r="G37" i="9"/>
  <c r="H37" i="9"/>
  <c r="C38" i="9"/>
  <c r="D38" i="9"/>
  <c r="E38" i="9"/>
  <c r="F38" i="9"/>
  <c r="G38" i="9"/>
  <c r="H38" i="9"/>
  <c r="C39" i="9"/>
  <c r="D39" i="9"/>
  <c r="E39" i="9"/>
  <c r="F39" i="9"/>
  <c r="G39" i="9"/>
  <c r="H39" i="9"/>
  <c r="C40" i="9"/>
  <c r="D40" i="9"/>
  <c r="E40" i="9"/>
  <c r="F40" i="9"/>
  <c r="G40" i="9"/>
  <c r="H40" i="9"/>
  <c r="C41" i="9"/>
  <c r="D41" i="9"/>
  <c r="E41" i="9"/>
  <c r="F41" i="9"/>
  <c r="G41" i="9"/>
  <c r="H41" i="9"/>
  <c r="C42" i="9"/>
  <c r="D42" i="9"/>
  <c r="E42" i="9"/>
  <c r="F42" i="9"/>
  <c r="G42" i="9"/>
  <c r="H42" i="9"/>
  <c r="C43" i="9"/>
  <c r="D43" i="9"/>
  <c r="E43" i="9"/>
  <c r="F43" i="9"/>
  <c r="G43" i="9"/>
  <c r="C44" i="9"/>
  <c r="D44" i="9"/>
  <c r="E44" i="9"/>
  <c r="F44" i="9"/>
  <c r="G44" i="9"/>
  <c r="H44" i="9"/>
  <c r="D30" i="9"/>
  <c r="E30" i="9"/>
  <c r="F30" i="9"/>
  <c r="G30" i="9"/>
  <c r="H30" i="9"/>
  <c r="F35" i="3"/>
  <c r="H35" i="3" s="1"/>
  <c r="F36" i="3"/>
  <c r="H36" i="3" s="1"/>
  <c r="G36" i="3"/>
  <c r="F37" i="3"/>
  <c r="H37" i="3" s="1"/>
  <c r="G37" i="3"/>
  <c r="A45" i="9"/>
  <c r="A32" i="9"/>
  <c r="A33" i="9"/>
  <c r="A34" i="9"/>
  <c r="A35" i="9"/>
  <c r="A36" i="9"/>
  <c r="A37" i="9"/>
  <c r="A38" i="9"/>
  <c r="A39" i="9"/>
  <c r="A40" i="9"/>
  <c r="A41" i="9"/>
  <c r="A42" i="9"/>
  <c r="A43" i="9"/>
  <c r="H20" i="9"/>
  <c r="A44" i="9"/>
  <c r="F25" i="3"/>
  <c r="G25" i="3" s="1"/>
  <c r="D20" i="9"/>
  <c r="F20" i="9"/>
  <c r="G20" i="9"/>
  <c r="B20" i="9" l="1"/>
  <c r="B12" i="3" s="1"/>
  <c r="B45" i="9"/>
  <c r="I45" i="9" s="1"/>
  <c r="D28" i="1"/>
  <c r="F47" i="3"/>
  <c r="G47" i="3" s="1"/>
  <c r="F48" i="3"/>
  <c r="G48" i="3" s="1"/>
  <c r="F46" i="3"/>
  <c r="G46" i="3" s="1"/>
  <c r="F45" i="3"/>
  <c r="F44" i="3"/>
  <c r="G44" i="3" s="1"/>
  <c r="G35" i="3"/>
  <c r="B42" i="9"/>
  <c r="B35" i="9"/>
  <c r="B39" i="9"/>
  <c r="B32" i="9"/>
  <c r="B41" i="9"/>
  <c r="B34" i="9"/>
  <c r="B43" i="9"/>
  <c r="B36" i="9"/>
  <c r="B37" i="9"/>
  <c r="B38" i="9"/>
  <c r="B31" i="9"/>
  <c r="B40" i="9"/>
  <c r="B44" i="9"/>
  <c r="B33" i="9"/>
  <c r="B30" i="9"/>
  <c r="I30" i="9" l="1"/>
  <c r="D18" i="1"/>
  <c r="G45" i="3"/>
  <c r="F46" i="9"/>
  <c r="G46" i="9"/>
  <c r="E46" i="9"/>
  <c r="D46" i="9"/>
  <c r="C46" i="9"/>
  <c r="H46" i="9"/>
  <c r="I46" i="9" l="1"/>
  <c r="B46" i="9"/>
  <c r="D11" i="1" l="1"/>
  <c r="A8" i="1" a="1"/>
  <c r="A8" i="1" s="1"/>
  <c r="H44" i="3" l="1"/>
  <c r="H45" i="3"/>
  <c r="H46" i="3"/>
  <c r="H47" i="3"/>
  <c r="H48" i="3"/>
  <c r="H43" i="3"/>
  <c r="G43" i="3"/>
  <c r="F26" i="3"/>
  <c r="F27" i="3"/>
  <c r="G27" i="3"/>
  <c r="F28" i="3"/>
  <c r="G28" i="3" s="1"/>
  <c r="F29" i="3"/>
  <c r="D27" i="1" s="1"/>
  <c r="G29" i="3"/>
  <c r="F30" i="3"/>
  <c r="H30" i="3" s="1"/>
  <c r="F31" i="3"/>
  <c r="F32" i="3"/>
  <c r="G32" i="3" s="1"/>
  <c r="G33" i="3"/>
  <c r="F34" i="3"/>
  <c r="H34" i="3" s="1"/>
  <c r="F38" i="3"/>
  <c r="H38" i="3" s="1"/>
  <c r="H25" i="3"/>
  <c r="G9" i="3" l="1"/>
  <c r="G10" i="3" s="1"/>
  <c r="G49" i="3"/>
  <c r="H9" i="3" s="1"/>
  <c r="H10" i="3" s="1"/>
  <c r="D32" i="1" s="1"/>
  <c r="H49" i="3"/>
  <c r="H28" i="3"/>
  <c r="D24" i="1"/>
  <c r="H26" i="3"/>
  <c r="D20" i="1"/>
  <c r="H31" i="3"/>
  <c r="D26" i="1"/>
  <c r="H29" i="3"/>
  <c r="H27" i="3"/>
  <c r="D25" i="1"/>
  <c r="G38" i="3"/>
  <c r="G31" i="3"/>
  <c r="G34" i="3"/>
  <c r="G26" i="3"/>
  <c r="H33" i="3"/>
  <c r="G30" i="3"/>
  <c r="H32" i="3"/>
  <c r="D63" i="3"/>
  <c r="D30" i="1" s="1"/>
  <c r="D60" i="3"/>
  <c r="D61" i="3"/>
  <c r="D62" i="3"/>
  <c r="D58" i="3" l="1"/>
  <c r="C36" i="1" l="1"/>
  <c r="A7" i="1"/>
  <c r="A4" i="1"/>
  <c r="A3" i="1"/>
  <c r="D10" i="1"/>
  <c r="D36" i="1" l="1"/>
  <c r="D37" i="1"/>
  <c r="D31" i="1"/>
  <c r="D21" i="1"/>
  <c r="D19" i="1"/>
  <c r="D23" i="1" l="1"/>
  <c r="D17" i="1"/>
  <c r="D22" i="1" s="1"/>
  <c r="D29" i="1" l="1"/>
  <c r="A1" i="1" l="1"/>
  <c r="D35" i="1" l="1"/>
  <c r="D38" i="1" l="1"/>
  <c r="D39" i="1" s="1"/>
  <c r="D4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Пашко Ксения Алексеевна</author>
  </authors>
  <commentList>
    <comment ref="A4" authorId="0" shapeId="0" xr:uid="{22CC459D-0704-4E3C-A2B2-1177CDA5D3E7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Пашко Ксения Алексеевна</author>
  </authors>
  <commentList>
    <comment ref="A5" authorId="0" shapeId="0" xr:uid="{22CC459D-0704-4E3C-A2B2-1177CDA5D3E7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27" authorId="0" shapeId="0" xr:uid="{05DDFC07-2585-4C2E-9657-151E86CB209E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47" authorId="0" shapeId="0" xr:uid="{27CA9226-BB10-4937-B4A7-FF6272A1D358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67" authorId="0" shapeId="0" xr:uid="{02A14F26-BE4A-44EE-A78C-3A2F9817708B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87" authorId="0" shapeId="0" xr:uid="{F769AC12-36BA-41B2-BF2F-221734CA20D2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107" authorId="0" shapeId="0" xr:uid="{5E99DC6C-2CE5-4E09-8565-22A4D7634A63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127" authorId="0" shapeId="0" xr:uid="{EB793737-2A99-4494-A9B7-05A5912318AD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147" authorId="0" shapeId="0" xr:uid="{BDABDACC-E5D5-49D1-8890-ADA36F91C0B9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167" authorId="0" shapeId="0" xr:uid="{A8CD4454-41ED-48A1-A2D9-CCC54DB234C4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  <comment ref="A187" authorId="0" shapeId="0" xr:uid="{E5221154-2D54-4897-A81B-35D5D148DB87}">
      <text>
        <r>
          <rPr>
            <b/>
            <sz val="9"/>
            <color indexed="81"/>
            <rFont val="Tahoma"/>
            <family val="2"/>
            <charset val="204"/>
          </rPr>
          <t>Пашко Ксения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Необходима возможность добавления строк и расчета промежуточных итогов по каждому модулю!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<sst xmlns="http://schemas.openxmlformats.org/spreadsheetml/2006/main" count="1054" uniqueCount="252">
  <si>
    <t>КАЛЬКУЛЯЦИЯ</t>
  </si>
  <si>
    <t>Общее количество часов</t>
  </si>
  <si>
    <t>Количество учебных часов по программе (к оплате)</t>
  </si>
  <si>
    <t>Количество обучаемых в группе, чел.</t>
  </si>
  <si>
    <t>Стоимость оплаты 1 часа услуг преподавателя, руб.</t>
  </si>
  <si>
    <t>Наименование расходов</t>
  </si>
  <si>
    <t>Сумма, руб.</t>
  </si>
  <si>
    <t>РАСХОДЫ</t>
  </si>
  <si>
    <t>1.</t>
  </si>
  <si>
    <t>2.</t>
  </si>
  <si>
    <t>ИТОГО:</t>
  </si>
  <si>
    <t>Стоимость обучения 1 человека</t>
  </si>
  <si>
    <t>3.</t>
  </si>
  <si>
    <t>Заработная плата АУП и УВП</t>
  </si>
  <si>
    <t>Резерв отпускных 11%</t>
  </si>
  <si>
    <t>Начисления на оплату труда (30,2%)</t>
  </si>
  <si>
    <t>Заработная плата:</t>
  </si>
  <si>
    <t>1.1</t>
  </si>
  <si>
    <t>1.2</t>
  </si>
  <si>
    <t>3.1</t>
  </si>
  <si>
    <t>Оплата  за проведение учебных занятий преподавателя</t>
  </si>
  <si>
    <t>4.</t>
  </si>
  <si>
    <t>5.</t>
  </si>
  <si>
    <t>Расходы на покрытие затрат, рассчитанных по КПД (15%)</t>
  </si>
  <si>
    <t>6.</t>
  </si>
  <si>
    <t>Прочие прямые расходы</t>
  </si>
  <si>
    <t>7.</t>
  </si>
  <si>
    <t>Накладные расходы ДВФУ (15%)</t>
  </si>
  <si>
    <t>8.</t>
  </si>
  <si>
    <t>Итого к оплате с 1 слушателя</t>
  </si>
  <si>
    <t>Отчисления в фонды (30%)</t>
  </si>
  <si>
    <t>Реализующее СП</t>
  </si>
  <si>
    <t>Название программы</t>
  </si>
  <si>
    <t>Выручка</t>
  </si>
  <si>
    <t>Стоимость программы (на 1 слушателя), руб</t>
  </si>
  <si>
    <t>Валовая выручка</t>
  </si>
  <si>
    <t>Прочие расходы</t>
  </si>
  <si>
    <t>ЦФО</t>
  </si>
  <si>
    <t>Даты реализации</t>
  </si>
  <si>
    <t>Количество слушателей, чел</t>
  </si>
  <si>
    <t>Затраты на реализацию программы</t>
  </si>
  <si>
    <t>ИТОГО бюджет программы</t>
  </si>
  <si>
    <t>мин</t>
  </si>
  <si>
    <t>целевой</t>
  </si>
  <si>
    <t>Валовая выручка, руб</t>
  </si>
  <si>
    <t>Планируемые затраты, руб</t>
  </si>
  <si>
    <t>Планируемая прибыль, руб</t>
  </si>
  <si>
    <t>Вид занятости</t>
  </si>
  <si>
    <t>Администрирование программы</t>
  </si>
  <si>
    <t>Функционал</t>
  </si>
  <si>
    <t>Количество часов</t>
  </si>
  <si>
    <t>Стоимость часа</t>
  </si>
  <si>
    <t>Разработка программы</t>
  </si>
  <si>
    <t>ИТОГО</t>
  </si>
  <si>
    <t>Трудовой договор</t>
  </si>
  <si>
    <t>Договор ГПХ</t>
  </si>
  <si>
    <t>Итого с учетом резерва отпусков (при ТД) и страховых взносов</t>
  </si>
  <si>
    <t>Проведение занятий</t>
  </si>
  <si>
    <t>КПД</t>
  </si>
  <si>
    <t>Общехозяйственные</t>
  </si>
  <si>
    <t>Наименование</t>
  </si>
  <si>
    <t>Итого</t>
  </si>
  <si>
    <t>Бланки, сертификаты</t>
  </si>
  <si>
    <t>1.3</t>
  </si>
  <si>
    <t>Заработная плата ППС</t>
  </si>
  <si>
    <t>1.4</t>
  </si>
  <si>
    <t xml:space="preserve">стоимости образовательной услуги </t>
  </si>
  <si>
    <t>ИТОГО оплата труда</t>
  </si>
  <si>
    <t>3.2</t>
  </si>
  <si>
    <t>Приобретение бланков, сертификатов</t>
  </si>
  <si>
    <t xml:space="preserve">Накладные расходы Школы </t>
  </si>
  <si>
    <t>Накладные расходы школы 0-15%</t>
  </si>
  <si>
    <t>Виды работ</t>
  </si>
  <si>
    <t>3.3</t>
  </si>
  <si>
    <t>Количество</t>
  </si>
  <si>
    <t>Цена</t>
  </si>
  <si>
    <t>Резерв отпускных ППС 18%</t>
  </si>
  <si>
    <t>3.4</t>
  </si>
  <si>
    <t>ОБЩИЕ РАЗДЕЛЫ  - ИНФОРМАЦИЯ О ПРОГРАММЕ</t>
  </si>
  <si>
    <t>Организация набора слушателей</t>
  </si>
  <si>
    <t>Методическое сопровождение программмы</t>
  </si>
  <si>
    <t>Руководство программой</t>
  </si>
  <si>
    <t>Вид программы</t>
  </si>
  <si>
    <t>Программа ДПО</t>
  </si>
  <si>
    <t>повышения квалификации</t>
  </si>
  <si>
    <t>профессиональной переподготовки</t>
  </si>
  <si>
    <t>общеразвивающая программа</t>
  </si>
  <si>
    <t>Дизайн рабочих тетрадей</t>
  </si>
  <si>
    <t>Разработка лендинга</t>
  </si>
  <si>
    <t>Оплата за администрирование программы</t>
  </si>
  <si>
    <t>Оплата за разработку программы</t>
  </si>
  <si>
    <t>Оплата прочих услуг по договорам ГПХ</t>
  </si>
  <si>
    <t>Категория должности</t>
  </si>
  <si>
    <t>АУП, УВП</t>
  </si>
  <si>
    <t>ППС</t>
  </si>
  <si>
    <t>Категория должности, по которой будет выплата</t>
  </si>
  <si>
    <t>Справочно - сумма оплаты труда "на руки"</t>
  </si>
  <si>
    <t>профессионального обучения</t>
  </si>
  <si>
    <t>Наименование разделов и дисциплин</t>
  </si>
  <si>
    <t>Общая тр-ть, ак. час.</t>
  </si>
  <si>
    <t>Контактная работа, час.</t>
  </si>
  <si>
    <t>Без применения ЭО и\или ДОТ</t>
  </si>
  <si>
    <t>С применением ЭО и\или ДОТ</t>
  </si>
  <si>
    <t>лекции</t>
  </si>
  <si>
    <t>практика</t>
  </si>
  <si>
    <t>Самостоятельная работа, ак. час.</t>
  </si>
  <si>
    <t>Контроль</t>
  </si>
  <si>
    <t>Итоговая аттестация</t>
  </si>
  <si>
    <t>Расходы на рекламу и продвижение 
(бюджет развития ДО)</t>
  </si>
  <si>
    <t>В общем случае самостоятельная работа не оплачивается, но отдельно (дополнительно) могут оплачиваться консультационные часы, если консультации стоят в расписании.</t>
  </si>
  <si>
    <t>всего</t>
  </si>
  <si>
    <t>Проведение занятий (доп.платные консультации)</t>
  </si>
  <si>
    <t>Количество подгрупп</t>
  </si>
  <si>
    <t>Есть деление на подгруппы</t>
  </si>
  <si>
    <t>Да</t>
  </si>
  <si>
    <t>Нет</t>
  </si>
  <si>
    <t>СПРАВОЧНО: Учебный план с учетом деления на подруппы</t>
  </si>
  <si>
    <t>Количество часов итоговой аттестации по учебному плану</t>
  </si>
  <si>
    <t>Форма ИА</t>
  </si>
  <si>
    <t>Групповая</t>
  </si>
  <si>
    <t>Индивидуальная защита</t>
  </si>
  <si>
    <t>Модуль 1</t>
  </si>
  <si>
    <t>Стоимость на 1 слушателя</t>
  </si>
  <si>
    <t>Проведение итоговой аттестации (без комиссии)</t>
  </si>
  <si>
    <t>Проведение итоговой аттестации (комиссионно)</t>
  </si>
  <si>
    <t>Проведение комиссионной итоговой аттестации</t>
  </si>
  <si>
    <t>Аттестация проводится комиссионно?</t>
  </si>
  <si>
    <t>ИТОГО контакная работа=часы к оплате в финмодели</t>
  </si>
  <si>
    <t>Расходы на рекламу и продвижение (1%)</t>
  </si>
  <si>
    <t>9.</t>
  </si>
  <si>
    <t>ДВЦОО</t>
  </si>
  <si>
    <t>Карьерные траектории</t>
  </si>
  <si>
    <t>Преподаватель высшей школы</t>
  </si>
  <si>
    <t>01.02.2024 - 30.12.2024</t>
  </si>
  <si>
    <t>Проведение итоговой аттестации (комиссионно) - внешний эксперт</t>
  </si>
  <si>
    <t>Оплата по договорам возмездного оказания услуг с физическими лицами</t>
  </si>
  <si>
    <t>Оплата за проведение итоговой аттестации (комиссия)</t>
  </si>
  <si>
    <t>Стоимость оплаты 1 часа услуг преподавателя по договорам ГПХ одинакова для всех?</t>
  </si>
  <si>
    <t>Оплата по договорам возмездного оказания услуг с юр.лицами</t>
  </si>
  <si>
    <t>7.1</t>
  </si>
  <si>
    <t>7.2</t>
  </si>
  <si>
    <t>10.</t>
  </si>
  <si>
    <t>Привлечение сторонних организаций для реализации программы( оплата услуг юр. лиц)</t>
  </si>
  <si>
    <t>можем 1 модуль делить, а другой нет</t>
  </si>
  <si>
    <r>
      <t xml:space="preserve">Оплата проживания приглашенных лекторов - </t>
    </r>
    <r>
      <rPr>
        <sz val="11"/>
        <color rgb="FFFF0000"/>
        <rFont val="Times New Roman"/>
        <family val="1"/>
        <charset val="204"/>
      </rPr>
      <t>если не включается в сумму договора с преподавателем</t>
    </r>
  </si>
  <si>
    <r>
      <t>Оплата проезда приглашенных лекторов -</t>
    </r>
    <r>
      <rPr>
        <sz val="11"/>
        <color rgb="FFFF0000"/>
        <rFont val="Times New Roman"/>
        <family val="1"/>
        <charset val="204"/>
      </rPr>
      <t xml:space="preserve"> если не включается в сумму договора с преподавателем</t>
    </r>
  </si>
  <si>
    <t>Накладные расходы и расходы на рекламу и продвижение</t>
  </si>
  <si>
    <t>Прочие ОБЯЗАТЕЛЬНЫЕ расходы</t>
  </si>
  <si>
    <t>Расходы на оплату труда и вознаграждений по договорам гражданско-правового характера</t>
  </si>
  <si>
    <t>Необходимо учесть в общей сумме расходов</t>
  </si>
  <si>
    <t>ФИО эксперта</t>
  </si>
  <si>
    <t>Кол-во дней проживания</t>
  </si>
  <si>
    <t>Проживание в день</t>
  </si>
  <si>
    <t>Проезд</t>
  </si>
  <si>
    <t>Вид налогообложения</t>
  </si>
  <si>
    <t>Количество дней оказания услуги</t>
  </si>
  <si>
    <t>Сумма гонорара в день на руки</t>
  </si>
  <si>
    <t>Страховые взносы</t>
  </si>
  <si>
    <t>Итого расходы по договору с физлицом</t>
  </si>
  <si>
    <t>Итого расходы по договору с юрлицом</t>
  </si>
  <si>
    <t>Эксперт</t>
  </si>
  <si>
    <t>Юр.лицо/ИП/Самозанятый</t>
  </si>
  <si>
    <t>Физ.лицо</t>
  </si>
  <si>
    <t>Итого сумма договора с физлицом (без учета проезда и проживания)</t>
  </si>
  <si>
    <t>минимальный показатель- точка безубыточности, скидка 15%</t>
  </si>
  <si>
    <t>Скидка 10%</t>
  </si>
  <si>
    <t>Скидка 5%</t>
  </si>
  <si>
    <t>Базовая цена</t>
  </si>
  <si>
    <t>Целевой показатель-базовая стоимость</t>
  </si>
  <si>
    <t>1 ЭТАП</t>
  </si>
  <si>
    <t>1.1. Заполните общую информация по программе в учебном плане</t>
  </si>
  <si>
    <t>ЛИСТ "Фин модель", строчки 7-12, A7:B12</t>
  </si>
  <si>
    <t>2 ЭТАП</t>
  </si>
  <si>
    <t>Инструкция по заполнению документа</t>
  </si>
  <si>
    <t>ЛИСТ "Фин модель", строчки 14-16, B15-B16</t>
  </si>
  <si>
    <t>ЛИСТ "Фин модель", строчки 14-16, С16, F16</t>
  </si>
  <si>
    <t>БЮДЖЕТ ПЛАНИРУЕМЫХ РАСХОДОВ ПО ПРОГРАММЕ. ОПЛАТА ТРУДА</t>
  </si>
  <si>
    <t>ЛИСТ "Фин модель", строчки 25-38, B25:B38</t>
  </si>
  <si>
    <t>3 ЭТАП: Заполните Расходы на оплату труда и вознаграждений по договорам гражданско-правового характера (Фин модель, строчки 24-38, A24:H38) по алгоритму ниже</t>
  </si>
  <si>
    <t>3.1. Укажите вид расходов на ФОТ (Функционал. Список появится, если нажать на ячейку A25-A38)</t>
  </si>
  <si>
    <t>3.2. Для каждого вида расходов на ФОТ обязательно выбирается из списка вид занятости: гражданско-правовой или трудовой договор (список появится, если нажать на ячейку B25-B38)</t>
  </si>
  <si>
    <t>3.3. Укажите категорию должности, по которой будет выплата (Список появится, если нажать на ячейку C25-C38. Также, при нажатии высветится подсказка, следуйте информации в ней)</t>
  </si>
  <si>
    <t>3.5. Укажиик цену. не менее 313 р./час. Если стоимость часа различается в зависимости от преподавателя, необходимо указать стоимость часа по каждому преподавателю 
с целью последуещего беспрепятственного согласования фин.службами ДВФУ указанных выплат (B25-B38)</t>
  </si>
  <si>
    <t>ЛИСТ "Фин модель", строчки 25-38, A25:A38</t>
  </si>
  <si>
    <t>ЛИСТ "Фин модель", строчки 25-38, C25:C38</t>
  </si>
  <si>
    <t>ЛИСТ "Фин модель", строчки 25-38, D25:D38</t>
  </si>
  <si>
    <t>ЛИСТ "Фин модель", строчки 25-38, E25:E38</t>
  </si>
  <si>
    <t>3.4. Заполните количество часов к оплате (D25-D38). При заполнении количества часов в "Проведение занятий" введите результат, получившийся в "ИТОГО контакная работа" в Учебном плане (I20). Это контактная работа + итоговая аттестация</t>
  </si>
  <si>
    <t>2.2. Заполните целевую (желаемую) стоимость программы на 1 слушателя в Фин модели (C16). Если таковой является базовая стоимость, впишите её из ячейки F16</t>
  </si>
  <si>
    <t>ЛИСТ "Фин модель", строчки 40-49, A40:H49</t>
  </si>
  <si>
    <t>3.6. При необходимости выберите Вид занятости (B42-B48) и заполните "Стоимость за 1 слушателя" в "Проведение комиссионной итоговой аттестации" (A40:H49). Следуйте подсказкам.</t>
  </si>
  <si>
    <t>4 ЭТАП</t>
  </si>
  <si>
    <t>ЛИСТ "Фин модель", строчки 51-53, A51:D53</t>
  </si>
  <si>
    <t>4.1. Заполните процент накладных школы (C53) и Расходы на маркетинг и продвижение (D53). (обязательно для новых программ, реализуемых при отсутствии конкретного заказчика на открытый рынок или программ, размещаемых на образовательных платформах)</t>
  </si>
  <si>
    <t>4.2. Заполните объем прочих расходов, ОБЯЗАТЕЛЬНЫХ для реализации программы (A57:D68, на усмотрение инициатора).</t>
  </si>
  <si>
    <t>ЛИСТ "Фин модель", строчки 56-68, A56:D68</t>
  </si>
  <si>
    <t>5 ЭТАП</t>
  </si>
  <si>
    <t>Сумма оплаты за ИА выделяется отдельно и рассчитывается в зависимости от формы проведения аттестации. По программам повышения квалификации комиссионная аттестация проводится на усмотрение руководителя программы, в случае проведения ИА в форме зачета/экзамена без привлечения комиссии. Количество часов ИА просто включается в количество часов к оплате.</t>
  </si>
  <si>
    <t>5.1. Ознакомьтесь с результатами. Калькуляция формируется автоматически в ЛИСТЕ "Форма калькуляции" после заполнения данных на листе "Фин модель" (A15:D40)</t>
  </si>
  <si>
    <t>5.2. Укажите, одинакова ли для всех стоимость оплаты 1 часа услуг преподавателя по договорам ГПХ. (B13:D13)</t>
  </si>
  <si>
    <t>ЛИСТ "Форма калькуляции", строчки 15-40, A15:D40</t>
  </si>
  <si>
    <t>ЛИСТ "Форма калькуляции", строчка 13, B13:D13</t>
  </si>
  <si>
    <t>ЛИСТ "Учебный план"</t>
  </si>
  <si>
    <t>6 ЭТАП</t>
  </si>
  <si>
    <t>6.1. Заполните ЛИСТ "Приглашенные эксперты". Учтите сумма затрат в общих расходах.</t>
  </si>
  <si>
    <t>После согласования открытия программы продуктовым комитетом калькуляция запускается с СЭД Директум проектным офисом СПДО, ссылка на утвержденную калькуляцию будет прикреплена к приказу об открытии программы</t>
  </si>
  <si>
    <t>Ячейки с другим оформлением редактируйте, только если обладаете навыками работы с Excel и разбираетесь в используемых в документе формулах</t>
  </si>
  <si>
    <t>0 ЭТАП: Ознакомьтесь с обозначениями, которые будут встречаться документе:</t>
  </si>
  <si>
    <t>Вы можете редактировать ячейки только с таким оформлением</t>
  </si>
  <si>
    <t>1.2. Заполните общую информацию по программе в Фин модели</t>
  </si>
  <si>
    <t>Если вы не можете понять, как заполнить или использовать одну из ячеек, попробуйте нажать на неё. Скорее всего высветится подсказка с разъснением</t>
  </si>
  <si>
    <t>Итоговая атестация</t>
  </si>
  <si>
    <t>Модуль 4</t>
  </si>
  <si>
    <t>Модуль 3</t>
  </si>
  <si>
    <t>Номер модуля</t>
  </si>
  <si>
    <t>Модуль 2</t>
  </si>
  <si>
    <t>Дист 4</t>
  </si>
  <si>
    <t>Дист 3</t>
  </si>
  <si>
    <t>Дист 2</t>
  </si>
  <si>
    <t>Дист 1</t>
  </si>
  <si>
    <t>Количество подгрупп по каждом модуле</t>
  </si>
  <si>
    <t>бюджет по модулю</t>
  </si>
  <si>
    <t>Затраты на реализацию Модуля 10</t>
  </si>
  <si>
    <t>Затраты на реализацию Модуля 9</t>
  </si>
  <si>
    <t>Затраты на реализацию Модуля 8</t>
  </si>
  <si>
    <t>Затраты на реализацию Модуля 7</t>
  </si>
  <si>
    <t>Затраты на реализацию Модуля 6</t>
  </si>
  <si>
    <t>Затраты на реализацию Модуля 5</t>
  </si>
  <si>
    <t>Затраты на реализацию Модуля 4</t>
  </si>
  <si>
    <t>Затраты на реализацию Модуля 3</t>
  </si>
  <si>
    <t>Затраты на реализацию Модуля 2</t>
  </si>
  <si>
    <t>Затраты на реализацию Модуля 1</t>
  </si>
  <si>
    <t>Итого (с учетом прочих обязательных расходов по модулям 1-10）</t>
  </si>
  <si>
    <t>Общие затраты на реализацию программы</t>
  </si>
  <si>
    <t>целевой показатель-базовая стоимость</t>
  </si>
  <si>
    <t>минимальный показатель- точка безубыточности</t>
  </si>
  <si>
    <t>Модуль 5</t>
  </si>
  <si>
    <t>Модуль 6</t>
  </si>
  <si>
    <t>Модуль 7</t>
  </si>
  <si>
    <t>Модуль 8</t>
  </si>
  <si>
    <t>Модуль 9</t>
  </si>
  <si>
    <t>Модуль 10</t>
  </si>
  <si>
    <t>Делится ли на подгруппы?</t>
  </si>
  <si>
    <t>Количество часов входит в кол-во часов по учебному плану</t>
  </si>
  <si>
    <t>ЛИСТ "Приглашенные эксперты"</t>
  </si>
  <si>
    <t>Перейти обратно к Инструкции</t>
  </si>
  <si>
    <t>Перейти к ЛИСТу "Учебный план"</t>
  </si>
  <si>
    <t>Перейти к ЛИСТу "Учебный план(модули)"</t>
  </si>
  <si>
    <t>Вид занятости "Трудовой договор" выбирается для выплат СОТРУДНИКАМ ДВФУ в любой форме — единовременное вознаграждение/доп.функционал/надбавка за выполнение трудовой функции  — то есть любых выплат, осуществляющихся помимо оплаты в рамках договора ГПХ 
Для сотрудников ДВФУ оплата по ГПХ возможна только по договорам на оказание ОБРАЗОВАТЕЛЬНЫХ УСЛУГ</t>
  </si>
  <si>
    <r>
      <t xml:space="preserve">При необходимости деления группы на подгруппы в процессе обучения (например, при наличии предельного количества обучающихся в группе для реализации практических занятий) количество часов на реализацию </t>
    </r>
    <r>
      <rPr>
        <b/>
        <u/>
        <sz val="14"/>
        <color theme="1"/>
        <rFont val="Times New Roman"/>
        <family val="1"/>
        <charset val="204"/>
      </rPr>
      <t>соответствующего модуля/вида занятий</t>
    </r>
    <r>
      <rPr>
        <b/>
        <sz val="14"/>
        <color theme="1"/>
        <rFont val="Times New Roman"/>
        <family val="1"/>
        <charset val="204"/>
      </rPr>
      <t xml:space="preserve"> увеличивается пропорционально количеству подгрупп.</t>
    </r>
  </si>
  <si>
    <r>
      <t xml:space="preserve">2.1. Заполните </t>
    </r>
    <r>
      <rPr>
        <b/>
        <sz val="14"/>
        <color theme="1"/>
        <rFont val="Times New Roman"/>
        <family val="1"/>
        <charset val="204"/>
      </rPr>
      <t xml:space="preserve">мин. </t>
    </r>
    <r>
      <rPr>
        <sz val="14"/>
        <color theme="1"/>
        <rFont val="Times New Roman"/>
        <family val="1"/>
        <charset val="204"/>
      </rPr>
      <t xml:space="preserve">количество слушателей и </t>
    </r>
    <r>
      <rPr>
        <b/>
        <sz val="14"/>
        <color theme="1"/>
        <rFont val="Times New Roman"/>
        <family val="1"/>
        <charset val="204"/>
      </rPr>
      <t xml:space="preserve">минимальную </t>
    </r>
    <r>
      <rPr>
        <sz val="14"/>
        <color theme="1"/>
        <rFont val="Times New Roman"/>
        <family val="1"/>
        <charset val="204"/>
      </rPr>
      <t>стоимость программы на 1 слушателя  (с учетом максимально возможных скидок) в Фин модели (B15-B16). Так определится точка безубыточности программы. На её основе формируется ценовая политика</t>
    </r>
  </si>
  <si>
    <t>Оставшаяся сумма является потенциальным доходом от программы и включается в форму калькуляции также в состав прочих расходов без детализации. В случае наличия в составе прочих расходов командировочных расходов информацию для расчета можно запросить в проектном офисе или у экономиста, курирующего структурное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</si>
</sst>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4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1"/>
      <color theme="5" tint="-0.249977111117893"/>
      <name val="Calibri"/>
      <family val="2"/>
      <charset val="204"/>
      <scheme val="minor"/>
    </font>
    <font>
      <b/>
      <u/>
      <sz val="14"/>
      <color theme="5" tint="-0.24997711111789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color theme="5" tint="-0.249977111117893"/>
      <name val="Times New Roman"/>
      <family val="1"/>
      <charset val="204"/>
    </font>
    <font>
      <b/>
      <sz val="18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8"/>
      <color theme="0"/>
      <name val="Calibri"/>
      <family val="2"/>
      <charset val="204"/>
      <scheme val="minor"/>
    </font>
    <font>
      <u/>
      <sz val="18"/>
      <name val="Calibri"/>
      <family val="2"/>
      <charset val="204"/>
      <scheme val="minor"/>
    </font>
    <font>
      <u/>
      <sz val="14"/>
      <name val="Calibri"/>
      <family val="2"/>
      <charset val="204"/>
      <scheme val="minor"/>
    </font>
    <font>
      <u/>
      <sz val="11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3EB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0" fontId="35" fillId="0" borderId="0" applyNumberFormat="0" applyFill="0" applyBorder="0" applyAlignment="0" applyProtection="0"/>
  </cellStyleXfs>
  <cellXfs count="372">
    <xf numFmtId="0" fontId="0" fillId="0" borderId="0" xfId="0"/>
    <xf numFmtId="165" fontId="10" fillId="0" borderId="21" xfId="1" applyFont="1" applyBorder="1" applyAlignment="1" applyProtection="1">
      <alignment wrapText="1"/>
    </xf>
    <xf numFmtId="0" fontId="8" fillId="0" borderId="0" xfId="0" applyFont="1" applyProtection="1">
      <protection locked="0"/>
    </xf>
    <xf numFmtId="0" fontId="8" fillId="0" borderId="21" xfId="0" applyFont="1" applyBorder="1" applyAlignment="1" applyProtection="1">
      <alignment wrapText="1"/>
      <protection locked="0"/>
    </xf>
    <xf numFmtId="0" fontId="8" fillId="0" borderId="24" xfId="0" applyFont="1" applyBorder="1" applyAlignment="1" applyProtection="1">
      <alignment horizontal="center" wrapText="1"/>
      <protection locked="0"/>
    </xf>
    <xf numFmtId="0" fontId="11" fillId="0" borderId="37" xfId="0" applyFont="1" applyBorder="1" applyAlignment="1" applyProtection="1">
      <alignment horizontal="left" wrapText="1"/>
      <protection locked="0"/>
    </xf>
    <xf numFmtId="0" fontId="13" fillId="6" borderId="17" xfId="0" applyFont="1" applyFill="1" applyBorder="1" applyAlignment="1" applyProtection="1">
      <alignment horizontal="center" vertical="center" wrapText="1"/>
      <protection locked="0"/>
    </xf>
    <xf numFmtId="0" fontId="13" fillId="6" borderId="18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0" fillId="0" borderId="20" xfId="0" applyFont="1" applyBorder="1" applyAlignment="1" applyProtection="1">
      <alignment wrapText="1"/>
      <protection locked="0"/>
    </xf>
    <xf numFmtId="0" fontId="10" fillId="0" borderId="3" xfId="0" applyFont="1" applyBorder="1" applyAlignment="1" applyProtection="1">
      <alignment wrapText="1"/>
      <protection locked="0"/>
    </xf>
    <xf numFmtId="165" fontId="10" fillId="0" borderId="3" xfId="1" applyFont="1" applyBorder="1" applyAlignment="1" applyProtection="1">
      <alignment wrapText="1"/>
      <protection locked="0"/>
    </xf>
    <xf numFmtId="0" fontId="8" fillId="0" borderId="25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Protection="1">
      <protection locked="0"/>
    </xf>
    <xf numFmtId="165" fontId="8" fillId="0" borderId="3" xfId="1" applyFont="1" applyBorder="1" applyProtection="1">
      <protection locked="0"/>
    </xf>
    <xf numFmtId="165" fontId="11" fillId="4" borderId="38" xfId="1" applyFont="1" applyFill="1" applyBorder="1" applyAlignment="1" applyProtection="1">
      <alignment horizontal="right" wrapText="1"/>
    </xf>
    <xf numFmtId="165" fontId="11" fillId="4" borderId="39" xfId="1" applyFont="1" applyFill="1" applyBorder="1" applyAlignment="1" applyProtection="1">
      <alignment horizontal="right" wrapText="1"/>
    </xf>
    <xf numFmtId="9" fontId="8" fillId="0" borderId="3" xfId="2" applyFont="1" applyBorder="1" applyAlignment="1" applyProtection="1">
      <alignment horizontal="center" vertical="center"/>
    </xf>
    <xf numFmtId="165" fontId="11" fillId="4" borderId="28" xfId="1" applyFont="1" applyFill="1" applyBorder="1" applyAlignment="1" applyProtection="1">
      <alignment horizontal="right" wrapText="1"/>
    </xf>
    <xf numFmtId="165" fontId="11" fillId="4" borderId="29" xfId="1" applyFont="1" applyFill="1" applyBorder="1" applyAlignment="1" applyProtection="1">
      <alignment horizontal="right" wrapText="1"/>
    </xf>
    <xf numFmtId="165" fontId="11" fillId="4" borderId="28" xfId="1" applyFont="1" applyFill="1" applyBorder="1" applyAlignment="1" applyProtection="1">
      <alignment horizontal="center" wrapText="1"/>
    </xf>
    <xf numFmtId="165" fontId="11" fillId="4" borderId="29" xfId="1" applyFont="1" applyFill="1" applyBorder="1" applyAlignment="1" applyProtection="1">
      <alignment horizontal="center" wrapText="1"/>
    </xf>
    <xf numFmtId="165" fontId="11" fillId="4" borderId="26" xfId="1" applyFont="1" applyFill="1" applyBorder="1" applyAlignment="1" applyProtection="1">
      <alignment horizontal="right" wrapText="1"/>
    </xf>
    <xf numFmtId="165" fontId="11" fillId="4" borderId="27" xfId="1" applyFont="1" applyFill="1" applyBorder="1" applyAlignment="1" applyProtection="1">
      <alignment horizontal="right" wrapText="1"/>
    </xf>
    <xf numFmtId="0" fontId="0" fillId="0" borderId="0" xfId="0" applyProtection="1"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49" fontId="8" fillId="0" borderId="3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 vertical="center"/>
      <protection locked="0"/>
    </xf>
    <xf numFmtId="3" fontId="0" fillId="0" borderId="0" xfId="0" applyNumberFormat="1" applyProtection="1">
      <protection locked="0"/>
    </xf>
    <xf numFmtId="0" fontId="8" fillId="0" borderId="8" xfId="0" applyFont="1" applyBorder="1" applyAlignment="1" applyProtection="1">
      <alignment vertical="center"/>
      <protection locked="0"/>
    </xf>
    <xf numFmtId="49" fontId="7" fillId="0" borderId="3" xfId="0" applyNumberFormat="1" applyFont="1" applyBorder="1" applyAlignment="1" applyProtection="1">
      <alignment horizontal="center"/>
      <protection locked="0"/>
    </xf>
    <xf numFmtId="49" fontId="7" fillId="0" borderId="8" xfId="0" applyNumberFormat="1" applyFont="1" applyBorder="1" applyAlignment="1" applyProtection="1">
      <alignment horizontal="left"/>
      <protection locked="0"/>
    </xf>
    <xf numFmtId="49" fontId="8" fillId="0" borderId="3" xfId="0" applyNumberFormat="1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7" fillId="0" borderId="44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9" fontId="7" fillId="0" borderId="8" xfId="0" applyNumberFormat="1" applyFont="1" applyBorder="1" applyAlignment="1" applyProtection="1">
      <alignment horizontal="left"/>
      <protection locked="0"/>
    </xf>
    <xf numFmtId="0" fontId="9" fillId="0" borderId="0" xfId="0" applyFont="1" applyProtection="1">
      <protection locked="0"/>
    </xf>
    <xf numFmtId="164" fontId="7" fillId="0" borderId="3" xfId="1" applyNumberFormat="1" applyFont="1" applyBorder="1" applyAlignment="1" applyProtection="1">
      <alignment horizontal="center" vertical="center"/>
    </xf>
    <xf numFmtId="164" fontId="8" fillId="0" borderId="3" xfId="1" applyNumberFormat="1" applyFont="1" applyBorder="1" applyAlignment="1" applyProtection="1">
      <alignment horizontal="center" vertical="center"/>
    </xf>
    <xf numFmtId="164" fontId="7" fillId="0" borderId="3" xfId="1" applyNumberFormat="1" applyFont="1" applyFill="1" applyBorder="1" applyAlignment="1" applyProtection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5" fontId="10" fillId="9" borderId="3" xfId="1" applyFont="1" applyFill="1" applyBorder="1" applyAlignment="1" applyProtection="1">
      <alignment wrapText="1"/>
      <protection locked="0"/>
    </xf>
    <xf numFmtId="9" fontId="8" fillId="9" borderId="3" xfId="2" applyFont="1" applyFill="1" applyBorder="1" applyAlignment="1" applyProtection="1">
      <alignment horizontal="center" vertical="center"/>
      <protection locked="0"/>
    </xf>
    <xf numFmtId="165" fontId="8" fillId="9" borderId="3" xfId="1" applyFont="1" applyFill="1" applyBorder="1" applyProtection="1">
      <protection locked="0"/>
    </xf>
    <xf numFmtId="165" fontId="8" fillId="0" borderId="3" xfId="1" applyFont="1" applyFill="1" applyBorder="1" applyProtection="1"/>
    <xf numFmtId="165" fontId="10" fillId="9" borderId="6" xfId="1" applyFont="1" applyFill="1" applyBorder="1" applyAlignment="1" applyProtection="1">
      <alignment wrapText="1"/>
      <protection locked="0"/>
    </xf>
    <xf numFmtId="165" fontId="10" fillId="0" borderId="6" xfId="1" applyFont="1" applyBorder="1" applyAlignment="1" applyProtection="1">
      <alignment wrapText="1"/>
      <protection locked="0"/>
    </xf>
    <xf numFmtId="0" fontId="10" fillId="7" borderId="40" xfId="0" applyFont="1" applyFill="1" applyBorder="1" applyAlignment="1" applyProtection="1">
      <alignment wrapText="1"/>
      <protection locked="0"/>
    </xf>
    <xf numFmtId="0" fontId="11" fillId="7" borderId="36" xfId="0" applyFont="1" applyFill="1" applyBorder="1" applyAlignment="1" applyProtection="1">
      <alignment horizontal="right" wrapText="1"/>
      <protection locked="0"/>
    </xf>
    <xf numFmtId="9" fontId="8" fillId="7" borderId="0" xfId="2" applyFont="1" applyFill="1" applyBorder="1" applyAlignment="1" applyProtection="1">
      <alignment horizontal="center" vertical="center"/>
      <protection locked="0"/>
    </xf>
    <xf numFmtId="0" fontId="10" fillId="7" borderId="48" xfId="0" applyFont="1" applyFill="1" applyBorder="1" applyAlignment="1" applyProtection="1">
      <alignment wrapText="1"/>
      <protection locked="0"/>
    </xf>
    <xf numFmtId="0" fontId="10" fillId="7" borderId="0" xfId="0" applyFont="1" applyFill="1" applyAlignment="1" applyProtection="1">
      <alignment wrapText="1"/>
      <protection locked="0"/>
    </xf>
    <xf numFmtId="0" fontId="8" fillId="7" borderId="0" xfId="0" applyFont="1" applyFill="1" applyProtection="1">
      <protection locked="0"/>
    </xf>
    <xf numFmtId="0" fontId="8" fillId="7" borderId="49" xfId="0" applyFont="1" applyFill="1" applyBorder="1" applyProtection="1">
      <protection locked="0"/>
    </xf>
    <xf numFmtId="0" fontId="10" fillId="7" borderId="50" xfId="0" applyFont="1" applyFill="1" applyBorder="1" applyAlignment="1" applyProtection="1">
      <alignment wrapText="1"/>
      <protection locked="0"/>
    </xf>
    <xf numFmtId="0" fontId="11" fillId="7" borderId="53" xfId="0" applyFont="1" applyFill="1" applyBorder="1" applyAlignment="1" applyProtection="1">
      <alignment horizontal="right" wrapText="1"/>
      <protection locked="0"/>
    </xf>
    <xf numFmtId="0" fontId="8" fillId="7" borderId="54" xfId="0" applyFont="1" applyFill="1" applyBorder="1" applyProtection="1">
      <protection locked="0"/>
    </xf>
    <xf numFmtId="0" fontId="8" fillId="0" borderId="55" xfId="0" applyFont="1" applyBorder="1" applyAlignment="1" applyProtection="1">
      <alignment horizontal="center" vertical="center" wrapText="1"/>
      <protection locked="0"/>
    </xf>
    <xf numFmtId="9" fontId="8" fillId="0" borderId="20" xfId="2" applyFont="1" applyBorder="1" applyAlignment="1" applyProtection="1">
      <alignment horizontal="center" vertical="center"/>
    </xf>
    <xf numFmtId="9" fontId="8" fillId="7" borderId="54" xfId="2" applyFont="1" applyFill="1" applyBorder="1" applyAlignment="1" applyProtection="1">
      <alignment horizontal="center" vertical="center"/>
      <protection locked="0"/>
    </xf>
    <xf numFmtId="0" fontId="7" fillId="0" borderId="20" xfId="0" applyFont="1" applyBorder="1" applyProtection="1">
      <protection locked="0"/>
    </xf>
    <xf numFmtId="0" fontId="8" fillId="0" borderId="20" xfId="0" applyFont="1" applyBorder="1"/>
    <xf numFmtId="0" fontId="8" fillId="0" borderId="20" xfId="0" applyFont="1" applyBorder="1" applyProtection="1">
      <protection locked="0"/>
    </xf>
    <xf numFmtId="0" fontId="7" fillId="0" borderId="22" xfId="0" applyFont="1" applyBorder="1" applyProtection="1">
      <protection locked="0"/>
    </xf>
    <xf numFmtId="165" fontId="8" fillId="7" borderId="23" xfId="1" applyFont="1" applyFill="1" applyBorder="1" applyProtection="1"/>
    <xf numFmtId="0" fontId="8" fillId="7" borderId="56" xfId="0" applyFont="1" applyFill="1" applyBorder="1" applyProtection="1">
      <protection locked="0"/>
    </xf>
    <xf numFmtId="0" fontId="8" fillId="7" borderId="57" xfId="0" applyFont="1" applyFill="1" applyBorder="1" applyProtection="1">
      <protection locked="0"/>
    </xf>
    <xf numFmtId="0" fontId="14" fillId="5" borderId="38" xfId="0" applyFont="1" applyFill="1" applyBorder="1" applyAlignment="1" applyProtection="1">
      <alignment horizontal="center" wrapText="1"/>
      <protection locked="0"/>
    </xf>
    <xf numFmtId="0" fontId="14" fillId="5" borderId="39" xfId="0" applyFont="1" applyFill="1" applyBorder="1" applyAlignment="1" applyProtection="1">
      <alignment horizontal="center" wrapText="1"/>
      <protection locked="0"/>
    </xf>
    <xf numFmtId="0" fontId="8" fillId="11" borderId="0" xfId="0" applyFont="1" applyFill="1" applyProtection="1">
      <protection locked="0"/>
    </xf>
    <xf numFmtId="164" fontId="8" fillId="11" borderId="0" xfId="0" applyNumberFormat="1" applyFont="1" applyFill="1" applyProtection="1">
      <protection locked="0"/>
    </xf>
    <xf numFmtId="0" fontId="13" fillId="11" borderId="0" xfId="0" applyFont="1" applyFill="1" applyAlignment="1" applyProtection="1">
      <alignment wrapText="1"/>
      <protection locked="0"/>
    </xf>
    <xf numFmtId="0" fontId="8" fillId="0" borderId="20" xfId="0" applyFont="1" applyBorder="1" applyAlignment="1" applyProtection="1">
      <alignment wrapText="1"/>
      <protection locked="0"/>
    </xf>
    <xf numFmtId="0" fontId="15" fillId="6" borderId="19" xfId="0" applyFont="1" applyFill="1" applyBorder="1" applyAlignment="1" applyProtection="1">
      <alignment horizontal="center" vertical="center" wrapText="1"/>
      <protection locked="0"/>
    </xf>
    <xf numFmtId="165" fontId="16" fillId="0" borderId="21" xfId="1" applyFont="1" applyBorder="1" applyAlignment="1" applyProtection="1">
      <alignment wrapText="1"/>
    </xf>
    <xf numFmtId="0" fontId="10" fillId="7" borderId="53" xfId="0" applyFont="1" applyFill="1" applyBorder="1" applyAlignment="1" applyProtection="1">
      <alignment wrapText="1"/>
      <protection locked="0"/>
    </xf>
    <xf numFmtId="0" fontId="10" fillId="7" borderId="36" xfId="0" applyFont="1" applyFill="1" applyBorder="1" applyAlignment="1" applyProtection="1">
      <alignment wrapText="1"/>
      <protection locked="0"/>
    </xf>
    <xf numFmtId="0" fontId="18" fillId="4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5" borderId="17" xfId="0" applyFont="1" applyFill="1" applyBorder="1" applyAlignment="1" applyProtection="1">
      <alignment horizontal="left" vertical="top" wrapText="1"/>
      <protection locked="0"/>
    </xf>
    <xf numFmtId="0" fontId="11" fillId="5" borderId="20" xfId="0" applyFont="1" applyFill="1" applyBorder="1" applyAlignment="1" applyProtection="1">
      <alignment horizontal="left" vertical="top" wrapText="1"/>
      <protection locked="0"/>
    </xf>
    <xf numFmtId="0" fontId="11" fillId="5" borderId="22" xfId="0" applyFont="1" applyFill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center" wrapText="1"/>
      <protection locked="0"/>
    </xf>
    <xf numFmtId="0" fontId="10" fillId="0" borderId="6" xfId="0" applyFont="1" applyBorder="1" applyAlignment="1" applyProtection="1">
      <alignment horizontal="center" wrapText="1"/>
      <protection locked="0"/>
    </xf>
    <xf numFmtId="0" fontId="13" fillId="0" borderId="61" xfId="0" applyFont="1" applyBorder="1" applyAlignment="1" applyProtection="1">
      <alignment horizontal="center" vertical="center" wrapText="1"/>
      <protection locked="0"/>
    </xf>
    <xf numFmtId="0" fontId="10" fillId="9" borderId="62" xfId="0" applyFont="1" applyFill="1" applyBorder="1" applyAlignment="1" applyProtection="1">
      <alignment horizontal="center" wrapText="1"/>
      <protection locked="0"/>
    </xf>
    <xf numFmtId="0" fontId="10" fillId="9" borderId="63" xfId="0" applyFont="1" applyFill="1" applyBorder="1" applyAlignment="1" applyProtection="1">
      <alignment horizontal="center" wrapText="1"/>
      <protection locked="0"/>
    </xf>
    <xf numFmtId="0" fontId="10" fillId="9" borderId="47" xfId="0" applyFont="1" applyFill="1" applyBorder="1" applyAlignment="1" applyProtection="1">
      <alignment horizontal="center" wrapText="1"/>
      <protection locked="0"/>
    </xf>
    <xf numFmtId="0" fontId="10" fillId="0" borderId="62" xfId="0" applyFont="1" applyBorder="1" applyAlignment="1" applyProtection="1">
      <alignment horizontal="center" wrapText="1"/>
      <protection locked="0"/>
    </xf>
    <xf numFmtId="0" fontId="8" fillId="9" borderId="3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0" fillId="9" borderId="80" xfId="0" applyFont="1" applyFill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wrapText="1"/>
      <protection locked="0"/>
    </xf>
    <xf numFmtId="0" fontId="7" fillId="0" borderId="6" xfId="0" applyFont="1" applyBorder="1" applyAlignment="1">
      <alignment horizontal="center" vertical="center" wrapText="1"/>
    </xf>
    <xf numFmtId="0" fontId="19" fillId="5" borderId="55" xfId="0" applyFont="1" applyFill="1" applyBorder="1" applyAlignment="1">
      <alignment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5" borderId="71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18" fillId="9" borderId="25" xfId="0" applyFont="1" applyFill="1" applyBorder="1" applyAlignment="1">
      <alignment horizontal="center" vertical="center" wrapText="1"/>
    </xf>
    <xf numFmtId="0" fontId="7" fillId="9" borderId="71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18" fillId="4" borderId="81" xfId="0" applyFont="1" applyFill="1" applyBorder="1" applyAlignment="1">
      <alignment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8" fillId="9" borderId="82" xfId="0" applyFont="1" applyFill="1" applyBorder="1" applyAlignment="1">
      <alignment horizontal="center" vertical="center" wrapText="1"/>
    </xf>
    <xf numFmtId="0" fontId="18" fillId="9" borderId="82" xfId="0" applyFont="1" applyFill="1" applyBorder="1" applyAlignment="1">
      <alignment horizontal="center" vertical="center" wrapText="1"/>
    </xf>
    <xf numFmtId="0" fontId="8" fillId="9" borderId="83" xfId="0" applyFont="1" applyFill="1" applyBorder="1" applyAlignment="1">
      <alignment horizontal="center" vertical="center" wrapText="1"/>
    </xf>
    <xf numFmtId="0" fontId="8" fillId="0" borderId="82" xfId="0" applyFont="1" applyBorder="1" applyAlignment="1">
      <alignment horizontal="center" vertical="center" wrapText="1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4" borderId="45" xfId="0" applyFont="1" applyFill="1" applyBorder="1" applyAlignment="1">
      <alignment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46" xfId="0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18" fillId="4" borderId="55" xfId="0" applyFont="1" applyFill="1" applyBorder="1" applyAlignment="1">
      <alignment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" fillId="14" borderId="4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8" fillId="12" borderId="19" xfId="0" applyFont="1" applyFill="1" applyBorder="1" applyAlignment="1" applyProtection="1">
      <alignment wrapText="1"/>
      <protection locked="0"/>
    </xf>
    <xf numFmtId="0" fontId="8" fillId="12" borderId="21" xfId="0" applyFont="1" applyFill="1" applyBorder="1" applyAlignment="1" applyProtection="1">
      <alignment wrapText="1"/>
      <protection locked="0"/>
    </xf>
    <xf numFmtId="0" fontId="20" fillId="0" borderId="0" xfId="0" applyFont="1" applyAlignment="1">
      <alignment vertical="center" wrapText="1"/>
    </xf>
    <xf numFmtId="0" fontId="0" fillId="12" borderId="47" xfId="0" applyFill="1" applyBorder="1" applyAlignment="1">
      <alignment horizontal="center" vertical="center"/>
    </xf>
    <xf numFmtId="49" fontId="7" fillId="0" borderId="87" xfId="0" applyNumberFormat="1" applyFont="1" applyBorder="1" applyAlignment="1" applyProtection="1">
      <alignment horizontal="center"/>
      <protection locked="0"/>
    </xf>
    <xf numFmtId="9" fontId="7" fillId="0" borderId="60" xfId="0" applyNumberFormat="1" applyFont="1" applyBorder="1" applyAlignment="1" applyProtection="1">
      <alignment horizontal="left"/>
      <protection locked="0"/>
    </xf>
    <xf numFmtId="164" fontId="7" fillId="0" borderId="6" xfId="1" applyNumberFormat="1" applyFont="1" applyFill="1" applyBorder="1" applyAlignment="1" applyProtection="1">
      <alignment horizontal="center" vertical="center"/>
    </xf>
    <xf numFmtId="49" fontId="7" fillId="0" borderId="7" xfId="0" applyNumberFormat="1" applyFont="1" applyBorder="1" applyAlignment="1" applyProtection="1">
      <alignment horizontal="left" wrapText="1"/>
      <protection locked="0"/>
    </xf>
    <xf numFmtId="49" fontId="8" fillId="0" borderId="7" xfId="0" applyNumberFormat="1" applyFont="1" applyBorder="1" applyAlignment="1" applyProtection="1">
      <alignment vertical="center" wrapText="1"/>
      <protection locked="0"/>
    </xf>
    <xf numFmtId="49" fontId="8" fillId="0" borderId="8" xfId="0" applyNumberFormat="1" applyFont="1" applyBorder="1" applyAlignment="1" applyProtection="1">
      <alignment vertical="center"/>
      <protection locked="0"/>
    </xf>
    <xf numFmtId="49" fontId="8" fillId="0" borderId="7" xfId="0" applyNumberFormat="1" applyFont="1" applyBorder="1" applyAlignment="1" applyProtection="1">
      <alignment vertical="center"/>
      <protection locked="0"/>
    </xf>
    <xf numFmtId="49" fontId="7" fillId="0" borderId="7" xfId="0" applyNumberFormat="1" applyFont="1" applyBorder="1" applyAlignment="1" applyProtection="1">
      <alignment horizontal="left" vertical="center" wrapText="1"/>
      <protection locked="0"/>
    </xf>
    <xf numFmtId="164" fontId="8" fillId="8" borderId="23" xfId="0" applyNumberFormat="1" applyFont="1" applyFill="1" applyBorder="1" applyAlignment="1">
      <alignment horizontal="center" vertical="center" wrapText="1"/>
    </xf>
    <xf numFmtId="165" fontId="7" fillId="7" borderId="24" xfId="1" applyFont="1" applyFill="1" applyBorder="1" applyAlignment="1" applyProtection="1">
      <alignment vertical="center"/>
    </xf>
    <xf numFmtId="165" fontId="14" fillId="7" borderId="24" xfId="1" applyFont="1" applyFill="1" applyBorder="1" applyAlignment="1" applyProtection="1">
      <alignment vertical="center"/>
    </xf>
    <xf numFmtId="0" fontId="8" fillId="11" borderId="0" xfId="0" applyFont="1" applyFill="1" applyAlignment="1" applyProtection="1">
      <alignment vertical="center"/>
      <protection locked="0"/>
    </xf>
    <xf numFmtId="0" fontId="1" fillId="0" borderId="0" xfId="0" applyFont="1" applyAlignment="1">
      <alignment horizontal="center" wrapText="1"/>
    </xf>
    <xf numFmtId="0" fontId="27" fillId="4" borderId="17" xfId="0" applyFont="1" applyFill="1" applyBorder="1" applyAlignment="1">
      <alignment vertical="center" wrapText="1"/>
    </xf>
    <xf numFmtId="0" fontId="10" fillId="10" borderId="20" xfId="0" applyFont="1" applyFill="1" applyBorder="1" applyAlignment="1" applyProtection="1">
      <alignment wrapText="1"/>
      <protection locked="0"/>
    </xf>
    <xf numFmtId="0" fontId="28" fillId="0" borderId="0" xfId="0" applyFont="1"/>
    <xf numFmtId="0" fontId="8" fillId="0" borderId="0" xfId="0" applyFont="1" applyAlignment="1">
      <alignment horizontal="center" vertical="center"/>
    </xf>
    <xf numFmtId="0" fontId="32" fillId="15" borderId="12" xfId="1" applyNumberFormat="1" applyFont="1" applyFill="1" applyBorder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wrapText="1"/>
      <protection locked="0"/>
    </xf>
    <xf numFmtId="0" fontId="12" fillId="3" borderId="51" xfId="0" applyFont="1" applyFill="1" applyBorder="1" applyAlignment="1" applyProtection="1">
      <alignment wrapText="1"/>
      <protection locked="0"/>
    </xf>
    <xf numFmtId="0" fontId="10" fillId="0" borderId="51" xfId="0" applyFont="1" applyBorder="1" applyAlignment="1" applyProtection="1">
      <alignment wrapText="1"/>
      <protection locked="0"/>
    </xf>
    <xf numFmtId="0" fontId="10" fillId="7" borderId="52" xfId="0" applyFont="1" applyFill="1" applyBorder="1" applyAlignment="1" applyProtection="1">
      <alignment wrapText="1"/>
      <protection locked="0"/>
    </xf>
    <xf numFmtId="0" fontId="31" fillId="0" borderId="12" xfId="0" applyFont="1" applyBorder="1" applyAlignment="1" applyProtection="1">
      <alignment horizontal="center" vertical="center" wrapText="1"/>
      <protection locked="0"/>
    </xf>
    <xf numFmtId="0" fontId="32" fillId="15" borderId="12" xfId="0" applyFont="1" applyFill="1" applyBorder="1" applyAlignment="1" applyProtection="1">
      <alignment horizontal="center" wrapText="1"/>
      <protection locked="0"/>
    </xf>
    <xf numFmtId="0" fontId="32" fillId="16" borderId="12" xfId="1" applyNumberFormat="1" applyFont="1" applyFill="1" applyBorder="1" applyAlignment="1" applyProtection="1">
      <alignment horizontal="center" wrapText="1"/>
      <protection locked="0"/>
    </xf>
    <xf numFmtId="0" fontId="31" fillId="0" borderId="88" xfId="0" applyFont="1" applyBorder="1" applyAlignment="1" applyProtection="1">
      <alignment horizontal="center" vertical="center" wrapText="1"/>
      <protection locked="0"/>
    </xf>
    <xf numFmtId="0" fontId="32" fillId="16" borderId="89" xfId="0" applyFont="1" applyFill="1" applyBorder="1" applyAlignment="1" applyProtection="1">
      <alignment horizontal="center" wrapText="1"/>
      <protection locked="0"/>
    </xf>
    <xf numFmtId="0" fontId="31" fillId="0" borderId="47" xfId="0" applyFont="1" applyBorder="1" applyAlignment="1" applyProtection="1">
      <alignment horizontal="center" vertical="center" wrapText="1"/>
      <protection locked="0"/>
    </xf>
    <xf numFmtId="0" fontId="31" fillId="13" borderId="4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/>
    </xf>
    <xf numFmtId="0" fontId="33" fillId="0" borderId="0" xfId="0" applyFont="1" applyAlignment="1">
      <alignment vertical="center" wrapText="1"/>
    </xf>
    <xf numFmtId="0" fontId="10" fillId="7" borderId="75" xfId="0" applyFont="1" applyFill="1" applyBorder="1" applyAlignment="1" applyProtection="1">
      <alignment horizontal="center" wrapText="1"/>
      <protection locked="0"/>
    </xf>
    <xf numFmtId="0" fontId="10" fillId="7" borderId="74" xfId="0" applyFont="1" applyFill="1" applyBorder="1" applyAlignment="1" applyProtection="1">
      <alignment horizontal="center" wrapText="1"/>
      <protection locked="0"/>
    </xf>
    <xf numFmtId="0" fontId="10" fillId="7" borderId="76" xfId="0" applyFont="1" applyFill="1" applyBorder="1" applyAlignment="1" applyProtection="1">
      <alignment horizontal="center" wrapText="1"/>
      <protection locked="0"/>
    </xf>
    <xf numFmtId="0" fontId="18" fillId="4" borderId="26" xfId="0" applyFont="1" applyFill="1" applyBorder="1" applyAlignment="1">
      <alignment horizontal="center" vertical="center" wrapText="1"/>
    </xf>
    <xf numFmtId="0" fontId="0" fillId="0" borderId="56" xfId="0" applyBorder="1"/>
    <xf numFmtId="0" fontId="8" fillId="5" borderId="19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18" fillId="4" borderId="22" xfId="0" applyFont="1" applyFill="1" applyBorder="1" applyAlignment="1">
      <alignment vertical="center" wrapText="1"/>
    </xf>
    <xf numFmtId="0" fontId="0" fillId="13" borderId="0" xfId="0" applyFill="1"/>
    <xf numFmtId="0" fontId="7" fillId="13" borderId="0" xfId="0" applyFont="1" applyFill="1" applyAlignment="1">
      <alignment horizontal="center" vertical="center" wrapText="1"/>
    </xf>
    <xf numFmtId="0" fontId="17" fillId="13" borderId="0" xfId="0" applyFont="1" applyFill="1" applyAlignment="1">
      <alignment horizontal="center" vertical="center" wrapText="1"/>
    </xf>
    <xf numFmtId="0" fontId="17" fillId="13" borderId="0" xfId="0" applyFont="1" applyFill="1" applyAlignment="1">
      <alignment vertical="center" wrapText="1"/>
    </xf>
    <xf numFmtId="0" fontId="8" fillId="13" borderId="0" xfId="0" applyFont="1" applyFill="1" applyAlignment="1">
      <alignment horizontal="center" vertical="center" wrapText="1"/>
    </xf>
    <xf numFmtId="0" fontId="18" fillId="13" borderId="0" xfId="0" applyFont="1" applyFill="1" applyAlignment="1">
      <alignment horizontal="center" vertical="center" wrapText="1"/>
    </xf>
    <xf numFmtId="0" fontId="19" fillId="13" borderId="0" xfId="0" applyFont="1" applyFill="1" applyAlignment="1">
      <alignment vertical="center" wrapText="1"/>
    </xf>
    <xf numFmtId="0" fontId="10" fillId="13" borderId="0" xfId="0" applyFont="1" applyFill="1" applyAlignment="1" applyProtection="1">
      <alignment horizontal="center" wrapText="1"/>
      <protection locked="0"/>
    </xf>
    <xf numFmtId="0" fontId="10" fillId="9" borderId="92" xfId="0" applyFont="1" applyFill="1" applyBorder="1" applyAlignment="1" applyProtection="1">
      <alignment horizontal="center" wrapText="1"/>
      <protection locked="0"/>
    </xf>
    <xf numFmtId="0" fontId="10" fillId="9" borderId="93" xfId="0" applyFont="1" applyFill="1" applyBorder="1" applyAlignment="1" applyProtection="1">
      <alignment horizontal="center" wrapText="1"/>
      <protection locked="0"/>
    </xf>
    <xf numFmtId="0" fontId="8" fillId="17" borderId="0" xfId="0" applyFont="1" applyFill="1" applyProtection="1">
      <protection locked="0"/>
    </xf>
    <xf numFmtId="9" fontId="8" fillId="0" borderId="3" xfId="2" applyFont="1" applyFill="1" applyBorder="1" applyAlignment="1" applyProtection="1">
      <alignment horizontal="center" vertical="center"/>
      <protection locked="0"/>
    </xf>
    <xf numFmtId="0" fontId="10" fillId="9" borderId="12" xfId="1" applyNumberFormat="1" applyFont="1" applyFill="1" applyBorder="1" applyAlignment="1" applyProtection="1">
      <alignment horizontal="center" wrapText="1"/>
      <protection locked="0"/>
    </xf>
    <xf numFmtId="0" fontId="10" fillId="9" borderId="12" xfId="0" applyFont="1" applyFill="1" applyBorder="1" applyAlignment="1" applyProtection="1">
      <alignment horizontal="center" wrapText="1"/>
      <protection locked="0"/>
    </xf>
    <xf numFmtId="0" fontId="13" fillId="0" borderId="12" xfId="0" applyFont="1" applyBorder="1" applyAlignment="1" applyProtection="1">
      <alignment horizontal="center" vertical="center" wrapText="1"/>
      <protection locked="0"/>
    </xf>
    <xf numFmtId="0" fontId="10" fillId="9" borderId="3" xfId="1" applyNumberFormat="1" applyFont="1" applyFill="1" applyBorder="1" applyAlignment="1" applyProtection="1">
      <alignment wrapText="1"/>
      <protection locked="0"/>
    </xf>
    <xf numFmtId="2" fontId="10" fillId="9" borderId="3" xfId="1" applyNumberFormat="1" applyFont="1" applyFill="1" applyBorder="1" applyAlignment="1" applyProtection="1">
      <alignment wrapText="1"/>
      <protection locked="0"/>
    </xf>
    <xf numFmtId="0" fontId="33" fillId="0" borderId="0" xfId="0" applyFont="1" applyAlignment="1">
      <alignment vertical="top"/>
    </xf>
    <xf numFmtId="0" fontId="33" fillId="0" borderId="0" xfId="0" applyFont="1"/>
    <xf numFmtId="0" fontId="33" fillId="0" borderId="54" xfId="0" applyFont="1" applyBorder="1"/>
    <xf numFmtId="0" fontId="33" fillId="0" borderId="49" xfId="0" applyFont="1" applyBorder="1"/>
    <xf numFmtId="0" fontId="33" fillId="0" borderId="54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49" xfId="0" applyFont="1" applyBorder="1" applyAlignment="1">
      <alignment horizontal="left" vertical="center" wrapText="1"/>
    </xf>
    <xf numFmtId="0" fontId="0" fillId="0" borderId="66" xfId="0" applyBorder="1"/>
    <xf numFmtId="0" fontId="0" fillId="0" borderId="92" xfId="0" applyBorder="1"/>
    <xf numFmtId="0" fontId="4" fillId="0" borderId="97" xfId="0" applyFont="1" applyBorder="1" applyAlignment="1">
      <alignment horizontal="center"/>
    </xf>
    <xf numFmtId="0" fontId="4" fillId="0" borderId="98" xfId="0" applyFont="1" applyBorder="1" applyAlignment="1">
      <alignment horizontal="center"/>
    </xf>
    <xf numFmtId="0" fontId="12" fillId="20" borderId="14" xfId="0" applyFont="1" applyFill="1" applyBorder="1" applyAlignment="1">
      <alignment horizontal="center" vertical="center"/>
    </xf>
    <xf numFmtId="0" fontId="12" fillId="20" borderId="15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/>
    </xf>
    <xf numFmtId="0" fontId="34" fillId="0" borderId="91" xfId="0" applyFont="1" applyBorder="1" applyAlignment="1">
      <alignment horizontal="center" vertical="center"/>
    </xf>
    <xf numFmtId="0" fontId="34" fillId="0" borderId="48" xfId="0" applyFont="1" applyBorder="1" applyAlignment="1">
      <alignment horizontal="center" vertical="center"/>
    </xf>
    <xf numFmtId="0" fontId="34" fillId="0" borderId="90" xfId="0" applyFont="1" applyBorder="1" applyAlignment="1">
      <alignment horizontal="center" vertical="center"/>
    </xf>
    <xf numFmtId="0" fontId="34" fillId="0" borderId="79" xfId="0" applyFont="1" applyBorder="1" applyAlignment="1">
      <alignment horizontal="center" vertical="center"/>
    </xf>
    <xf numFmtId="0" fontId="34" fillId="0" borderId="56" xfId="0" applyFont="1" applyBorder="1" applyAlignment="1">
      <alignment horizontal="center" vertical="center"/>
    </xf>
    <xf numFmtId="0" fontId="34" fillId="0" borderId="57" xfId="0" applyFont="1" applyBorder="1" applyAlignment="1">
      <alignment horizontal="center" vertical="center"/>
    </xf>
    <xf numFmtId="49" fontId="12" fillId="20" borderId="14" xfId="0" applyNumberFormat="1" applyFont="1" applyFill="1" applyBorder="1" applyAlignment="1">
      <alignment horizontal="center" vertical="center"/>
    </xf>
    <xf numFmtId="49" fontId="12" fillId="20" borderId="15" xfId="0" applyNumberFormat="1" applyFont="1" applyFill="1" applyBorder="1" applyAlignment="1">
      <alignment horizontal="center" vertical="center"/>
    </xf>
    <xf numFmtId="49" fontId="12" fillId="20" borderId="16" xfId="0" applyNumberFormat="1" applyFont="1" applyFill="1" applyBorder="1" applyAlignment="1">
      <alignment horizontal="center" vertical="center"/>
    </xf>
    <xf numFmtId="0" fontId="12" fillId="19" borderId="14" xfId="0" applyFont="1" applyFill="1" applyBorder="1" applyAlignment="1">
      <alignment horizontal="center" vertical="center"/>
    </xf>
    <xf numFmtId="0" fontId="12" fillId="19" borderId="15" xfId="0" applyFont="1" applyFill="1" applyBorder="1" applyAlignment="1">
      <alignment horizontal="center" vertical="center"/>
    </xf>
    <xf numFmtId="0" fontId="12" fillId="19" borderId="16" xfId="0" applyFont="1" applyFill="1" applyBorder="1" applyAlignment="1">
      <alignment horizontal="center" vertical="center"/>
    </xf>
    <xf numFmtId="0" fontId="12" fillId="18" borderId="91" xfId="0" applyFont="1" applyFill="1" applyBorder="1" applyAlignment="1">
      <alignment horizontal="center" vertical="center" wrapText="1"/>
    </xf>
    <xf numFmtId="0" fontId="12" fillId="18" borderId="48" xfId="0" applyFont="1" applyFill="1" applyBorder="1" applyAlignment="1">
      <alignment horizontal="center" vertical="center" wrapText="1"/>
    </xf>
    <xf numFmtId="0" fontId="12" fillId="18" borderId="90" xfId="0" applyFont="1" applyFill="1" applyBorder="1" applyAlignment="1">
      <alignment horizontal="center" vertical="center" wrapText="1"/>
    </xf>
    <xf numFmtId="0" fontId="12" fillId="18" borderId="79" xfId="0" applyFont="1" applyFill="1" applyBorder="1" applyAlignment="1">
      <alignment horizontal="center" vertical="center" wrapText="1"/>
    </xf>
    <xf numFmtId="0" fontId="12" fillId="18" borderId="56" xfId="0" applyFont="1" applyFill="1" applyBorder="1" applyAlignment="1">
      <alignment horizontal="center" vertical="center" wrapText="1"/>
    </xf>
    <xf numFmtId="0" fontId="12" fillId="18" borderId="57" xfId="0" applyFont="1" applyFill="1" applyBorder="1" applyAlignment="1">
      <alignment horizontal="center" vertical="center" wrapText="1"/>
    </xf>
    <xf numFmtId="0" fontId="12" fillId="18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33" fillId="0" borderId="94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40" fillId="9" borderId="7" xfId="4" applyFont="1" applyFill="1" applyBorder="1" applyAlignment="1">
      <alignment horizontal="center" vertical="center" wrapText="1"/>
    </xf>
    <xf numFmtId="0" fontId="40" fillId="9" borderId="96" xfId="4" applyFont="1" applyFill="1" applyBorder="1" applyAlignment="1">
      <alignment horizontal="center" vertical="center" wrapText="1"/>
    </xf>
    <xf numFmtId="0" fontId="12" fillId="19" borderId="14" xfId="0" applyFont="1" applyFill="1" applyBorder="1" applyAlignment="1">
      <alignment horizontal="center" vertical="center" wrapText="1"/>
    </xf>
    <xf numFmtId="0" fontId="12" fillId="19" borderId="15" xfId="0" applyFont="1" applyFill="1" applyBorder="1" applyAlignment="1">
      <alignment horizontal="center" vertical="center" wrapText="1"/>
    </xf>
    <xf numFmtId="0" fontId="12" fillId="19" borderId="16" xfId="0" applyFont="1" applyFill="1" applyBorder="1" applyAlignment="1">
      <alignment horizontal="center" vertical="center" wrapText="1"/>
    </xf>
    <xf numFmtId="0" fontId="33" fillId="0" borderId="55" xfId="0" applyFont="1" applyBorder="1" applyAlignment="1">
      <alignment horizontal="left" vertical="center" wrapText="1"/>
    </xf>
    <xf numFmtId="0" fontId="33" fillId="0" borderId="25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40" fillId="9" borderId="25" xfId="4" applyFont="1" applyFill="1" applyBorder="1" applyAlignment="1">
      <alignment horizontal="center" vertical="center" wrapText="1"/>
    </xf>
    <xf numFmtId="0" fontId="40" fillId="9" borderId="71" xfId="4" applyFont="1" applyFill="1" applyBorder="1" applyAlignment="1">
      <alignment horizontal="center" vertical="center" wrapText="1"/>
    </xf>
    <xf numFmtId="0" fontId="40" fillId="9" borderId="3" xfId="4" applyFont="1" applyFill="1" applyBorder="1" applyAlignment="1">
      <alignment horizontal="center" vertical="center" wrapText="1"/>
    </xf>
    <xf numFmtId="0" fontId="40" fillId="9" borderId="21" xfId="4" applyFont="1" applyFill="1" applyBorder="1" applyAlignment="1">
      <alignment horizontal="center" vertical="center" wrapText="1"/>
    </xf>
    <xf numFmtId="0" fontId="12" fillId="19" borderId="91" xfId="0" applyFont="1" applyFill="1" applyBorder="1" applyAlignment="1">
      <alignment horizontal="center" vertical="center" wrapText="1"/>
    </xf>
    <xf numFmtId="0" fontId="12" fillId="19" borderId="48" xfId="0" applyFont="1" applyFill="1" applyBorder="1" applyAlignment="1">
      <alignment horizontal="center" vertical="center" wrapText="1"/>
    </xf>
    <xf numFmtId="0" fontId="12" fillId="19" borderId="90" xfId="0" applyFont="1" applyFill="1" applyBorder="1" applyAlignment="1">
      <alignment horizontal="center" vertical="center" wrapText="1"/>
    </xf>
    <xf numFmtId="0" fontId="12" fillId="19" borderId="79" xfId="0" applyFont="1" applyFill="1" applyBorder="1" applyAlignment="1">
      <alignment horizontal="center" vertical="center" wrapText="1"/>
    </xf>
    <xf numFmtId="0" fontId="12" fillId="19" borderId="56" xfId="0" applyFont="1" applyFill="1" applyBorder="1" applyAlignment="1">
      <alignment horizontal="center" vertical="center" wrapText="1"/>
    </xf>
    <xf numFmtId="0" fontId="12" fillId="19" borderId="57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left" vertical="center" wrapText="1"/>
    </xf>
    <xf numFmtId="0" fontId="12" fillId="6" borderId="71" xfId="0" applyFont="1" applyFill="1" applyBorder="1" applyAlignment="1">
      <alignment horizontal="left" vertical="center" wrapText="1"/>
    </xf>
    <xf numFmtId="0" fontId="12" fillId="9" borderId="95" xfId="0" applyFont="1" applyFill="1" applyBorder="1" applyAlignment="1">
      <alignment horizontal="left" vertical="center" wrapText="1"/>
    </xf>
    <xf numFmtId="0" fontId="12" fillId="9" borderId="87" xfId="0" applyFont="1" applyFill="1" applyBorder="1" applyAlignment="1">
      <alignment horizontal="left" vertical="center" wrapText="1"/>
    </xf>
    <xf numFmtId="0" fontId="12" fillId="9" borderId="60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84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8" fillId="0" borderId="8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8" fillId="0" borderId="0" xfId="4" applyFont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0" fontId="11" fillId="0" borderId="79" xfId="0" applyFont="1" applyBorder="1" applyAlignment="1" applyProtection="1">
      <alignment horizontal="center" vertical="center" wrapText="1"/>
      <protection locked="0"/>
    </xf>
    <xf numFmtId="0" fontId="11" fillId="0" borderId="57" xfId="0" applyFont="1" applyBorder="1" applyAlignment="1" applyProtection="1">
      <alignment horizontal="center" vertical="center" wrapText="1"/>
      <protection locked="0"/>
    </xf>
    <xf numFmtId="0" fontId="15" fillId="6" borderId="65" xfId="0" applyFont="1" applyFill="1" applyBorder="1" applyAlignment="1" applyProtection="1">
      <alignment horizontal="center" vertical="center" wrapText="1"/>
      <protection locked="0"/>
    </xf>
    <xf numFmtId="0" fontId="15" fillId="6" borderId="78" xfId="0" applyFont="1" applyFill="1" applyBorder="1" applyAlignment="1" applyProtection="1">
      <alignment horizontal="center" vertical="center" wrapText="1"/>
      <protection locked="0"/>
    </xf>
    <xf numFmtId="0" fontId="13" fillId="6" borderId="73" xfId="0" applyFont="1" applyFill="1" applyBorder="1" applyAlignment="1" applyProtection="1">
      <alignment horizontal="center" vertical="center" wrapText="1"/>
      <protection locked="0"/>
    </xf>
    <xf numFmtId="0" fontId="13" fillId="6" borderId="25" xfId="0" applyFont="1" applyFill="1" applyBorder="1" applyAlignment="1" applyProtection="1">
      <alignment horizontal="center" vertical="center" wrapText="1"/>
      <protection locked="0"/>
    </xf>
    <xf numFmtId="0" fontId="13" fillId="6" borderId="77" xfId="0" applyFont="1" applyFill="1" applyBorder="1" applyAlignment="1" applyProtection="1">
      <alignment horizontal="center" vertical="center" wrapText="1"/>
      <protection locked="0"/>
    </xf>
    <xf numFmtId="0" fontId="13" fillId="6" borderId="71" xfId="0" applyFont="1" applyFill="1" applyBorder="1" applyAlignment="1" applyProtection="1">
      <alignment horizontal="center" vertical="center" wrapText="1"/>
      <protection locked="0"/>
    </xf>
    <xf numFmtId="0" fontId="36" fillId="11" borderId="0" xfId="4" applyFont="1" applyFill="1" applyAlignment="1" applyProtection="1">
      <alignment horizontal="center" wrapText="1"/>
      <protection locked="0"/>
    </xf>
    <xf numFmtId="0" fontId="13" fillId="3" borderId="14" xfId="0" applyFont="1" applyFill="1" applyBorder="1" applyAlignment="1" applyProtection="1">
      <alignment horizontal="center" wrapText="1"/>
      <protection locked="0"/>
    </xf>
    <xf numFmtId="0" fontId="13" fillId="3" borderId="15" xfId="0" applyFont="1" applyFill="1" applyBorder="1" applyAlignment="1" applyProtection="1">
      <alignment horizontal="center" wrapText="1"/>
      <protection locked="0"/>
    </xf>
    <xf numFmtId="0" fontId="13" fillId="3" borderId="16" xfId="0" applyFont="1" applyFill="1" applyBorder="1" applyAlignment="1" applyProtection="1">
      <alignment horizontal="center" wrapText="1"/>
      <protection locked="0"/>
    </xf>
    <xf numFmtId="0" fontId="39" fillId="0" borderId="67" xfId="4" applyFont="1" applyBorder="1" applyAlignment="1">
      <alignment horizontal="center" vertical="center"/>
    </xf>
    <xf numFmtId="0" fontId="39" fillId="0" borderId="68" xfId="4" applyFont="1" applyBorder="1" applyAlignment="1">
      <alignment horizontal="center" vertical="center"/>
    </xf>
    <xf numFmtId="0" fontId="7" fillId="0" borderId="69" xfId="0" applyFont="1" applyBorder="1" applyAlignment="1" applyProtection="1">
      <alignment horizontal="center" vertical="center"/>
      <protection locked="0"/>
    </xf>
    <xf numFmtId="0" fontId="7" fillId="0" borderId="70" xfId="0" applyFont="1" applyBorder="1" applyAlignment="1" applyProtection="1">
      <alignment horizontal="center" vertical="center"/>
      <protection locked="0"/>
    </xf>
    <xf numFmtId="0" fontId="7" fillId="0" borderId="6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6" borderId="58" xfId="0" applyFont="1" applyFill="1" applyBorder="1" applyAlignment="1" applyProtection="1">
      <alignment horizontal="center" vertical="center" wrapText="1"/>
      <protection locked="0"/>
    </xf>
    <xf numFmtId="0" fontId="11" fillId="5" borderId="41" xfId="0" applyFont="1" applyFill="1" applyBorder="1" applyAlignment="1" applyProtection="1">
      <alignment horizontal="center" wrapText="1"/>
      <protection locked="0"/>
    </xf>
    <xf numFmtId="0" fontId="11" fillId="5" borderId="42" xfId="0" applyFont="1" applyFill="1" applyBorder="1" applyAlignment="1" applyProtection="1">
      <alignment horizontal="center" wrapText="1"/>
      <protection locked="0"/>
    </xf>
    <xf numFmtId="0" fontId="11" fillId="5" borderId="43" xfId="0" applyFont="1" applyFill="1" applyBorder="1" applyAlignment="1" applyProtection="1">
      <alignment horizontal="center" wrapText="1"/>
      <protection locked="0"/>
    </xf>
    <xf numFmtId="0" fontId="11" fillId="0" borderId="30" xfId="0" applyFont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1" fillId="0" borderId="33" xfId="0" applyFont="1" applyBorder="1" applyAlignment="1" applyProtection="1">
      <alignment horizontal="center" vertical="center" wrapText="1"/>
      <protection locked="0"/>
    </xf>
    <xf numFmtId="0" fontId="11" fillId="0" borderId="34" xfId="0" applyFont="1" applyBorder="1" applyAlignment="1" applyProtection="1">
      <alignment horizontal="center" vertical="center" wrapText="1"/>
      <protection locked="0"/>
    </xf>
    <xf numFmtId="0" fontId="11" fillId="0" borderId="35" xfId="0" applyFont="1" applyBorder="1" applyAlignment="1" applyProtection="1">
      <alignment horizontal="center" vertical="center" wrapText="1"/>
      <protection locked="0"/>
    </xf>
    <xf numFmtId="0" fontId="12" fillId="3" borderId="14" xfId="0" applyFont="1" applyFill="1" applyBorder="1" applyAlignment="1" applyProtection="1">
      <alignment horizontal="center" wrapText="1"/>
      <protection locked="0"/>
    </xf>
    <xf numFmtId="0" fontId="12" fillId="3" borderId="15" xfId="0" applyFont="1" applyFill="1" applyBorder="1" applyAlignment="1" applyProtection="1">
      <alignment horizontal="center" wrapText="1"/>
      <protection locked="0"/>
    </xf>
    <xf numFmtId="0" fontId="12" fillId="3" borderId="16" xfId="0" applyFont="1" applyFill="1" applyBorder="1" applyAlignment="1" applyProtection="1">
      <alignment horizontal="center" wrapText="1"/>
      <protection locked="0"/>
    </xf>
    <xf numFmtId="0" fontId="10" fillId="7" borderId="75" xfId="0" applyFont="1" applyFill="1" applyBorder="1" applyAlignment="1" applyProtection="1">
      <alignment horizontal="center" wrapText="1"/>
      <protection locked="0"/>
    </xf>
    <xf numFmtId="0" fontId="10" fillId="7" borderId="74" xfId="0" applyFont="1" applyFill="1" applyBorder="1" applyAlignment="1" applyProtection="1">
      <alignment horizontal="center" wrapText="1"/>
      <protection locked="0"/>
    </xf>
    <xf numFmtId="0" fontId="10" fillId="7" borderId="76" xfId="0" applyFont="1" applyFill="1" applyBorder="1" applyAlignment="1" applyProtection="1">
      <alignment horizontal="center" wrapText="1"/>
      <protection locked="0"/>
    </xf>
    <xf numFmtId="0" fontId="13" fillId="6" borderId="72" xfId="0" applyFont="1" applyFill="1" applyBorder="1" applyAlignment="1" applyProtection="1">
      <alignment horizontal="center" vertical="center" wrapText="1"/>
      <protection locked="0"/>
    </xf>
    <xf numFmtId="0" fontId="13" fillId="6" borderId="5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0" xfId="0" applyFont="1" applyProtection="1">
      <protection locked="0"/>
    </xf>
    <xf numFmtId="49" fontId="5" fillId="0" borderId="3" xfId="0" applyNumberFormat="1" applyFont="1" applyBorder="1" applyAlignment="1" applyProtection="1">
      <alignment horizontal="left" wrapText="1"/>
      <protection locked="0"/>
    </xf>
    <xf numFmtId="0" fontId="2" fillId="0" borderId="86" xfId="0" applyFont="1" applyBorder="1" applyAlignment="1" applyProtection="1">
      <alignment vertical="top"/>
      <protection locked="0"/>
    </xf>
    <xf numFmtId="0" fontId="2" fillId="0" borderId="10" xfId="0" applyFont="1" applyBorder="1" applyAlignment="1" applyProtection="1">
      <alignment vertical="top"/>
      <protection locked="0"/>
    </xf>
    <xf numFmtId="0" fontId="2" fillId="0" borderId="11" xfId="0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0" fontId="2" fillId="0" borderId="9" xfId="0" applyFont="1" applyBorder="1" applyAlignment="1" applyProtection="1">
      <alignment vertical="top"/>
      <protection locked="0"/>
    </xf>
    <xf numFmtId="0" fontId="2" fillId="0" borderId="8" xfId="0" applyFont="1" applyBorder="1" applyAlignment="1" applyProtection="1">
      <alignment vertical="top"/>
      <protection locked="0"/>
    </xf>
    <xf numFmtId="2" fontId="7" fillId="0" borderId="7" xfId="0" applyNumberFormat="1" applyFont="1" applyBorder="1" applyAlignment="1" applyProtection="1">
      <alignment horizontal="left"/>
      <protection locked="0"/>
    </xf>
    <xf numFmtId="2" fontId="7" fillId="0" borderId="8" xfId="0" applyNumberFormat="1" applyFont="1" applyBorder="1" applyAlignment="1" applyProtection="1">
      <alignment horizontal="left"/>
      <protection locked="0"/>
    </xf>
    <xf numFmtId="49" fontId="8" fillId="0" borderId="7" xfId="0" applyNumberFormat="1" applyFont="1" applyBorder="1" applyAlignment="1" applyProtection="1">
      <alignment horizontal="left" vertical="center" wrapText="1"/>
      <protection locked="0"/>
    </xf>
    <xf numFmtId="49" fontId="8" fillId="0" borderId="8" xfId="0" applyNumberFormat="1" applyFont="1" applyBorder="1" applyAlignment="1" applyProtection="1">
      <alignment horizontal="left" vertical="center"/>
      <protection locked="0"/>
    </xf>
    <xf numFmtId="49" fontId="8" fillId="0" borderId="7" xfId="0" applyNumberFormat="1" applyFont="1" applyBorder="1" applyAlignment="1" applyProtection="1">
      <alignment horizontal="left" vertical="center"/>
      <protection locked="0"/>
    </xf>
    <xf numFmtId="0" fontId="37" fillId="0" borderId="0" xfId="4" applyFont="1" applyAlignment="1" applyProtection="1">
      <alignment horizontal="center"/>
      <protection locked="0"/>
    </xf>
    <xf numFmtId="4" fontId="1" fillId="2" borderId="6" xfId="0" applyNumberFormat="1" applyFont="1" applyFill="1" applyBorder="1" applyAlignment="1" applyProtection="1">
      <alignment horizontal="center" vertical="center"/>
      <protection locked="0"/>
    </xf>
    <xf numFmtId="4" fontId="1" fillId="2" borderId="2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Alignment="1" applyProtection="1">
      <alignment horizontal="center" vertical="top"/>
      <protection locked="0"/>
    </xf>
    <xf numFmtId="0" fontId="1" fillId="0" borderId="5" xfId="0" applyFont="1" applyBorder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left"/>
      <protection locked="0"/>
    </xf>
    <xf numFmtId="0" fontId="23" fillId="14" borderId="14" xfId="0" applyFont="1" applyFill="1" applyBorder="1" applyAlignment="1" applyProtection="1">
      <alignment horizontal="center" vertical="center" wrapText="1"/>
      <protection locked="0"/>
    </xf>
    <xf numFmtId="0" fontId="23" fillId="14" borderId="15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11" fillId="13" borderId="0" xfId="0" applyFont="1" applyFill="1" applyAlignment="1" applyProtection="1">
      <alignment horizontal="center" vertical="center" wrapText="1"/>
      <protection locked="0"/>
    </xf>
    <xf numFmtId="0" fontId="0" fillId="0" borderId="91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57" xfId="0" applyBorder="1" applyAlignment="1">
      <alignment horizontal="center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8" fillId="0" borderId="92" xfId="0" applyFont="1" applyBorder="1" applyAlignment="1">
      <alignment horizontal="center" vertical="center" wrapText="1"/>
    </xf>
    <xf numFmtId="0" fontId="8" fillId="0" borderId="7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8" fillId="7" borderId="0" xfId="0" applyNumberFormat="1" applyFont="1" applyFill="1" applyProtection="1">
      <protection locked="0"/>
    </xf>
    <xf numFmtId="165" fontId="8" fillId="7" borderId="49" xfId="0" applyNumberFormat="1" applyFont="1" applyFill="1" applyBorder="1" applyProtection="1">
      <protection locked="0"/>
    </xf>
  </cellXfs>
  <cellStyles count="5">
    <cellStyle name="Comma" xfId="1" builtinId="3"/>
    <cellStyle name="Hyperlink" xfId="4" builtinId="8"/>
    <cellStyle name="Normal" xfId="0" builtinId="0"/>
    <cellStyle name="Percent" xfId="2" builtinId="5"/>
    <cellStyle name="Обычный 2" xfId="3" xr:uid="{BE0F9E08-8B91-4F7A-9CB6-C08291FA95D6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D85D"/>
      <color rgb="FFFF33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515471</xdr:colOff>
      <xdr:row>3</xdr:row>
      <xdr:rowOff>265133</xdr:rowOff>
    </xdr:from>
    <xdr:to>
      <xdr:col>30</xdr:col>
      <xdr:colOff>17482</xdr:colOff>
      <xdr:row>5</xdr:row>
      <xdr:rowOff>57488</xdr:rowOff>
    </xdr:to>
    <xdr:pic>
      <xdr:nvPicPr>
        <xdr:cNvPr id="3" name="Рисунок 2" descr="Восклицательный знак со сплошной заливкой">
          <a:extLst>
            <a:ext uri="{FF2B5EF4-FFF2-40B4-BE49-F238E27FC236}">
              <a16:creationId xmlns:a16="http://schemas.microsoft.com/office/drawing/2014/main" id="{86F27693-DB64-C3CF-6268-FBFC6ED0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332824" y="1508986"/>
          <a:ext cx="902970" cy="929640"/>
        </a:xfrm>
        <a:prstGeom prst="rect">
          <a:avLst/>
        </a:prstGeom>
      </xdr:spPr>
    </xdr:pic>
    <xdr:clientData/>
  </xdr:twoCellAnchor>
  <xdr:twoCellAnchor editAs="oneCell">
    <xdr:from>
      <xdr:col>28</xdr:col>
      <xdr:colOff>537883</xdr:colOff>
      <xdr:row>7</xdr:row>
      <xdr:rowOff>403411</xdr:rowOff>
    </xdr:from>
    <xdr:to>
      <xdr:col>30</xdr:col>
      <xdr:colOff>58944</xdr:colOff>
      <xdr:row>9</xdr:row>
      <xdr:rowOff>1456</xdr:rowOff>
    </xdr:to>
    <xdr:pic>
      <xdr:nvPicPr>
        <xdr:cNvPr id="4" name="Рисунок 3" descr="Восклицательный знак со сплошной заливкой">
          <a:extLst>
            <a:ext uri="{FF2B5EF4-FFF2-40B4-BE49-F238E27FC236}">
              <a16:creationId xmlns:a16="http://schemas.microsoft.com/office/drawing/2014/main" id="{FBA20926-D3EC-4428-BAF3-07C8F5FE1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355236" y="3563470"/>
          <a:ext cx="901065" cy="931545"/>
        </a:xfrm>
        <a:prstGeom prst="rect">
          <a:avLst/>
        </a:prstGeom>
      </xdr:spPr>
    </xdr:pic>
    <xdr:clientData/>
  </xdr:twoCellAnchor>
  <xdr:twoCellAnchor editAs="oneCell">
    <xdr:from>
      <xdr:col>28</xdr:col>
      <xdr:colOff>649941</xdr:colOff>
      <xdr:row>17</xdr:row>
      <xdr:rowOff>168088</xdr:rowOff>
    </xdr:from>
    <xdr:to>
      <xdr:col>30</xdr:col>
      <xdr:colOff>172907</xdr:colOff>
      <xdr:row>18</xdr:row>
      <xdr:rowOff>608255</xdr:rowOff>
    </xdr:to>
    <xdr:pic>
      <xdr:nvPicPr>
        <xdr:cNvPr id="5" name="Рисунок 4" descr="Восклицательный знак со сплошной заливкой">
          <a:extLst>
            <a:ext uri="{FF2B5EF4-FFF2-40B4-BE49-F238E27FC236}">
              <a16:creationId xmlns:a16="http://schemas.microsoft.com/office/drawing/2014/main" id="{35958C44-A74C-458A-8D0C-243CF9AE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67294" y="8426823"/>
          <a:ext cx="897255" cy="916305"/>
        </a:xfrm>
        <a:prstGeom prst="rect">
          <a:avLst/>
        </a:prstGeom>
      </xdr:spPr>
    </xdr:pic>
    <xdr:clientData/>
  </xdr:twoCellAnchor>
  <xdr:twoCellAnchor editAs="oneCell">
    <xdr:from>
      <xdr:col>28</xdr:col>
      <xdr:colOff>649941</xdr:colOff>
      <xdr:row>19</xdr:row>
      <xdr:rowOff>597721</xdr:rowOff>
    </xdr:from>
    <xdr:to>
      <xdr:col>30</xdr:col>
      <xdr:colOff>172907</xdr:colOff>
      <xdr:row>20</xdr:row>
      <xdr:rowOff>684567</xdr:rowOff>
    </xdr:to>
    <xdr:pic>
      <xdr:nvPicPr>
        <xdr:cNvPr id="6" name="Рисунок 5" descr="Восклицательный знак со сплошной заливкой">
          <a:extLst>
            <a:ext uri="{FF2B5EF4-FFF2-40B4-BE49-F238E27FC236}">
              <a16:creationId xmlns:a16="http://schemas.microsoft.com/office/drawing/2014/main" id="{E62582D7-E9FF-405E-BD95-8B0987A1E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67294" y="10111515"/>
          <a:ext cx="901065" cy="912495"/>
        </a:xfrm>
        <a:prstGeom prst="rect">
          <a:avLst/>
        </a:prstGeom>
      </xdr:spPr>
    </xdr:pic>
    <xdr:clientData/>
  </xdr:twoCellAnchor>
  <xdr:twoCellAnchor editAs="oneCell">
    <xdr:from>
      <xdr:col>28</xdr:col>
      <xdr:colOff>616324</xdr:colOff>
      <xdr:row>22</xdr:row>
      <xdr:rowOff>22411</xdr:rowOff>
    </xdr:from>
    <xdr:to>
      <xdr:col>30</xdr:col>
      <xdr:colOff>135480</xdr:colOff>
      <xdr:row>23</xdr:row>
      <xdr:rowOff>131668</xdr:rowOff>
    </xdr:to>
    <xdr:pic>
      <xdr:nvPicPr>
        <xdr:cNvPr id="7" name="Рисунок 6" descr="Восклицательный знак со сплошной заливкой">
          <a:extLst>
            <a:ext uri="{FF2B5EF4-FFF2-40B4-BE49-F238E27FC236}">
              <a16:creationId xmlns:a16="http://schemas.microsoft.com/office/drawing/2014/main" id="{E62E594A-A247-4173-8209-C40018D9B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33677" y="11822205"/>
          <a:ext cx="901065" cy="912495"/>
        </a:xfrm>
        <a:prstGeom prst="rect">
          <a:avLst/>
        </a:prstGeom>
      </xdr:spPr>
    </xdr:pic>
    <xdr:clientData/>
  </xdr:twoCellAnchor>
  <xdr:twoCellAnchor editAs="oneCell">
    <xdr:from>
      <xdr:col>28</xdr:col>
      <xdr:colOff>663053</xdr:colOff>
      <xdr:row>25</xdr:row>
      <xdr:rowOff>612512</xdr:rowOff>
    </xdr:from>
    <xdr:to>
      <xdr:col>30</xdr:col>
      <xdr:colOff>168874</xdr:colOff>
      <xdr:row>26</xdr:row>
      <xdr:rowOff>516253</xdr:rowOff>
    </xdr:to>
    <xdr:pic>
      <xdr:nvPicPr>
        <xdr:cNvPr id="8" name="Рисунок 7" descr="Восклицательный знак со сплошной заливкой">
          <a:extLst>
            <a:ext uri="{FF2B5EF4-FFF2-40B4-BE49-F238E27FC236}">
              <a16:creationId xmlns:a16="http://schemas.microsoft.com/office/drawing/2014/main" id="{976B66A6-27CB-4824-9586-8F73F902A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80406" y="13869071"/>
          <a:ext cx="902970" cy="9163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2156115</xdr:colOff>
      <xdr:row>0</xdr:row>
      <xdr:rowOff>0</xdr:rowOff>
    </xdr:from>
    <xdr:to>
      <xdr:col>5</xdr:col>
      <xdr:colOff>480520</xdr:colOff>
      <xdr:row>5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1F2D53-83CE-4961-8F98-45EBC6A3B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115" y="0"/>
          <a:ext cx="7256108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2156115</xdr:colOff>
      <xdr:row>0</xdr:row>
      <xdr:rowOff>0</xdr:rowOff>
    </xdr:from>
    <xdr:ext cx="7503789" cy="1260844"/>
    <xdr:pic>
      <xdr:nvPicPr>
        <xdr:cNvPr id="2" name="Рисунок 1">
          <a:extLst>
            <a:ext uri="{FF2B5EF4-FFF2-40B4-BE49-F238E27FC236}">
              <a16:creationId xmlns:a16="http://schemas.microsoft.com/office/drawing/2014/main" id="{5EF250D5-849B-4DBD-9F89-2ED09DE2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255" y="0"/>
          <a:ext cx="7503789" cy="1260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Интеграл">
  <a:themeElements>
    <a:clrScheme name="Интеграл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Интеграл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Интеграл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BFD5-D4C2-4579-BC49-1DE7300A7D42}">
  <dimension ref="A1:AC37"/>
  <sheetViews>
    <sheetView topLeftCell="A28" zoomScale="85" zoomScaleNormal="85" workbookViewId="0">
      <selection activeCell="Q33" sqref="Q33"/>
    </sheetView>
  </sheetViews>
  <sheetFormatPr defaultRowHeight="33" customHeight="1" x14ac:dyDescent="0.3"/>
  <cols>
    <col min="1" max="1" width="10.44140625" customWidth="1"/>
    <col min="12" max="12" width="11.33203125" customWidth="1"/>
    <col min="13" max="14" width="13" customWidth="1"/>
    <col min="29" max="29" width="11.44140625" customWidth="1"/>
  </cols>
  <sheetData>
    <row r="1" spans="1:29" ht="33" customHeight="1" thickBot="1" x14ac:dyDescent="0.35"/>
    <row r="2" spans="1:29" ht="33" customHeight="1" x14ac:dyDescent="0.3">
      <c r="B2" s="216" t="s">
        <v>173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8"/>
    </row>
    <row r="3" spans="1:29" ht="33" customHeight="1" thickBot="1" x14ac:dyDescent="0.35">
      <c r="B3" s="219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1"/>
    </row>
    <row r="4" spans="1:29" s="172" customFormat="1" ht="33" customHeight="1" thickBot="1" x14ac:dyDescent="0.35">
      <c r="B4" s="225" t="s">
        <v>207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7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</row>
    <row r="5" spans="1:29" ht="57" customHeight="1" thickBot="1" x14ac:dyDescent="0.4">
      <c r="B5" s="261" t="s">
        <v>208</v>
      </c>
      <c r="C5" s="262"/>
      <c r="D5" s="262"/>
      <c r="E5" s="263"/>
      <c r="F5" s="203"/>
      <c r="G5" s="259" t="s">
        <v>206</v>
      </c>
      <c r="H5" s="259"/>
      <c r="I5" s="259"/>
      <c r="J5" s="259"/>
      <c r="K5" s="259"/>
      <c r="L5" s="259"/>
      <c r="M5" s="259"/>
      <c r="N5" s="260"/>
      <c r="O5" s="203"/>
      <c r="P5" s="234" t="s">
        <v>210</v>
      </c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6"/>
    </row>
    <row r="6" spans="1:29" ht="33" customHeight="1" thickBot="1" x14ac:dyDescent="0.4">
      <c r="B6" s="204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5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</row>
    <row r="7" spans="1:29" ht="33" customHeight="1" thickBot="1" x14ac:dyDescent="0.4">
      <c r="A7" s="172"/>
      <c r="B7" s="213" t="s">
        <v>78</v>
      </c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5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spans="1:29" ht="33" customHeight="1" thickBot="1" x14ac:dyDescent="0.4">
      <c r="B8" s="225" t="s">
        <v>169</v>
      </c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7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</row>
    <row r="9" spans="1:29" ht="72" customHeight="1" thickBot="1" x14ac:dyDescent="0.4">
      <c r="B9" s="245" t="s">
        <v>170</v>
      </c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9" t="s">
        <v>202</v>
      </c>
      <c r="N9" s="250"/>
      <c r="O9" s="203"/>
      <c r="P9" s="234" t="s">
        <v>249</v>
      </c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6"/>
    </row>
    <row r="10" spans="1:29" ht="33" customHeight="1" x14ac:dyDescent="0.35">
      <c r="B10" s="247" t="s">
        <v>209</v>
      </c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51" t="s">
        <v>171</v>
      </c>
      <c r="N10" s="25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</row>
    <row r="11" spans="1:29" ht="33" customHeight="1" thickBot="1" x14ac:dyDescent="0.4">
      <c r="B11" s="206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8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</row>
    <row r="12" spans="1:29" ht="33" customHeight="1" thickBot="1" x14ac:dyDescent="0.4">
      <c r="B12" s="225" t="s">
        <v>172</v>
      </c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7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</row>
    <row r="13" spans="1:29" ht="75.599999999999994" customHeight="1" x14ac:dyDescent="0.35">
      <c r="B13" s="247" t="s">
        <v>250</v>
      </c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51" t="s">
        <v>174</v>
      </c>
      <c r="N13" s="252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</row>
    <row r="14" spans="1:29" ht="59.4" customHeight="1" x14ac:dyDescent="0.35">
      <c r="B14" s="247" t="s">
        <v>188</v>
      </c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51" t="s">
        <v>175</v>
      </c>
      <c r="N14" s="252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</row>
    <row r="15" spans="1:29" ht="33" customHeight="1" thickBot="1" x14ac:dyDescent="0.4">
      <c r="B15" s="204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5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</row>
    <row r="16" spans="1:29" ht="33" customHeight="1" thickBot="1" x14ac:dyDescent="0.4">
      <c r="A16" s="172"/>
      <c r="B16" s="222" t="s">
        <v>176</v>
      </c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4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</row>
    <row r="17" spans="2:29" ht="51" customHeight="1" thickBot="1" x14ac:dyDescent="0.4">
      <c r="B17" s="242" t="s">
        <v>178</v>
      </c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4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</row>
    <row r="18" spans="2:29" ht="38.4" customHeight="1" x14ac:dyDescent="0.35">
      <c r="B18" s="237" t="s">
        <v>179</v>
      </c>
      <c r="C18" s="238"/>
      <c r="D18" s="238"/>
      <c r="E18" s="238"/>
      <c r="F18" s="238"/>
      <c r="G18" s="238"/>
      <c r="H18" s="238"/>
      <c r="I18" s="238"/>
      <c r="J18" s="238"/>
      <c r="K18" s="238"/>
      <c r="L18" s="239"/>
      <c r="M18" s="240" t="s">
        <v>183</v>
      </c>
      <c r="N18" s="241"/>
      <c r="O18" s="203"/>
      <c r="P18" s="228" t="s">
        <v>248</v>
      </c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30"/>
    </row>
    <row r="19" spans="2:29" ht="58.8" customHeight="1" thickBot="1" x14ac:dyDescent="0.4">
      <c r="B19" s="237" t="s">
        <v>180</v>
      </c>
      <c r="C19" s="238"/>
      <c r="D19" s="238"/>
      <c r="E19" s="238"/>
      <c r="F19" s="238"/>
      <c r="G19" s="238"/>
      <c r="H19" s="238"/>
      <c r="I19" s="238"/>
      <c r="J19" s="238"/>
      <c r="K19" s="238"/>
      <c r="L19" s="239"/>
      <c r="M19" s="240" t="s">
        <v>177</v>
      </c>
      <c r="N19" s="241"/>
      <c r="O19" s="203"/>
      <c r="P19" s="231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3"/>
    </row>
    <row r="20" spans="2:29" ht="64.5" customHeight="1" thickBot="1" x14ac:dyDescent="0.4">
      <c r="B20" s="237" t="s">
        <v>181</v>
      </c>
      <c r="C20" s="238"/>
      <c r="D20" s="238"/>
      <c r="E20" s="238"/>
      <c r="F20" s="238"/>
      <c r="G20" s="238"/>
      <c r="H20" s="238"/>
      <c r="I20" s="238"/>
      <c r="J20" s="238"/>
      <c r="K20" s="238"/>
      <c r="L20" s="239"/>
      <c r="M20" s="240" t="s">
        <v>184</v>
      </c>
      <c r="N20" s="241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</row>
    <row r="21" spans="2:29" ht="55.2" customHeight="1" thickBot="1" x14ac:dyDescent="0.4">
      <c r="B21" s="237" t="s">
        <v>187</v>
      </c>
      <c r="C21" s="238"/>
      <c r="D21" s="238"/>
      <c r="E21" s="238"/>
      <c r="F21" s="238"/>
      <c r="G21" s="238"/>
      <c r="H21" s="238"/>
      <c r="I21" s="238"/>
      <c r="J21" s="238"/>
      <c r="K21" s="238"/>
      <c r="L21" s="239"/>
      <c r="M21" s="240" t="s">
        <v>185</v>
      </c>
      <c r="N21" s="241"/>
      <c r="O21" s="203"/>
      <c r="P21" s="234" t="s">
        <v>109</v>
      </c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6"/>
    </row>
    <row r="22" spans="2:29" ht="77.400000000000006" customHeight="1" thickBot="1" x14ac:dyDescent="0.4">
      <c r="B22" s="237" t="s">
        <v>182</v>
      </c>
      <c r="C22" s="238"/>
      <c r="D22" s="238"/>
      <c r="E22" s="238"/>
      <c r="F22" s="238"/>
      <c r="G22" s="238"/>
      <c r="H22" s="238"/>
      <c r="I22" s="238"/>
      <c r="J22" s="238"/>
      <c r="K22" s="238"/>
      <c r="L22" s="239"/>
      <c r="M22" s="240" t="s">
        <v>186</v>
      </c>
      <c r="N22" s="241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</row>
    <row r="23" spans="2:29" ht="62.4" customHeight="1" x14ac:dyDescent="0.35">
      <c r="B23" s="237" t="s">
        <v>190</v>
      </c>
      <c r="C23" s="238"/>
      <c r="D23" s="238"/>
      <c r="E23" s="238"/>
      <c r="F23" s="238"/>
      <c r="G23" s="238"/>
      <c r="H23" s="238"/>
      <c r="I23" s="238"/>
      <c r="J23" s="238"/>
      <c r="K23" s="238"/>
      <c r="L23" s="239"/>
      <c r="M23" s="240" t="s">
        <v>189</v>
      </c>
      <c r="N23" s="241"/>
      <c r="O23" s="203"/>
      <c r="P23" s="228" t="s">
        <v>197</v>
      </c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30"/>
    </row>
    <row r="24" spans="2:29" ht="33" customHeight="1" thickBot="1" x14ac:dyDescent="0.4">
      <c r="B24" s="204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5"/>
      <c r="O24" s="203"/>
      <c r="P24" s="231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3"/>
    </row>
    <row r="25" spans="2:29" ht="33" customHeight="1" thickBot="1" x14ac:dyDescent="0.4">
      <c r="B25" s="225" t="s">
        <v>191</v>
      </c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7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</row>
    <row r="26" spans="2:29" ht="78.599999999999994" customHeight="1" thickBot="1" x14ac:dyDescent="0.4">
      <c r="B26" s="237" t="s">
        <v>193</v>
      </c>
      <c r="C26" s="238"/>
      <c r="D26" s="238"/>
      <c r="E26" s="238"/>
      <c r="F26" s="238"/>
      <c r="G26" s="238"/>
      <c r="H26" s="238"/>
      <c r="I26" s="238"/>
      <c r="J26" s="238"/>
      <c r="K26" s="238"/>
      <c r="L26" s="239"/>
      <c r="M26" s="240" t="s">
        <v>192</v>
      </c>
      <c r="N26" s="241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</row>
    <row r="27" spans="2:29" ht="55.8" customHeight="1" x14ac:dyDescent="0.35">
      <c r="B27" s="247" t="s">
        <v>194</v>
      </c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51" t="s">
        <v>195</v>
      </c>
      <c r="N27" s="252"/>
      <c r="O27" s="203"/>
      <c r="P27" s="228" t="s">
        <v>251</v>
      </c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30"/>
    </row>
    <row r="28" spans="2:29" ht="39.6" customHeight="1" thickBot="1" x14ac:dyDescent="0.4">
      <c r="B28" s="204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5"/>
      <c r="O28" s="203"/>
      <c r="P28" s="231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3"/>
    </row>
    <row r="29" spans="2:29" ht="33" customHeight="1" thickBot="1" x14ac:dyDescent="0.4">
      <c r="B29" s="225" t="s">
        <v>196</v>
      </c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7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</row>
    <row r="30" spans="2:29" ht="38.4" customHeight="1" x14ac:dyDescent="0.35">
      <c r="B30" s="237" t="s">
        <v>198</v>
      </c>
      <c r="C30" s="238"/>
      <c r="D30" s="238"/>
      <c r="E30" s="238"/>
      <c r="F30" s="238"/>
      <c r="G30" s="238"/>
      <c r="H30" s="238"/>
      <c r="I30" s="238"/>
      <c r="J30" s="238"/>
      <c r="K30" s="238"/>
      <c r="L30" s="239"/>
      <c r="M30" s="240" t="s">
        <v>200</v>
      </c>
      <c r="N30" s="241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</row>
    <row r="31" spans="2:29" ht="43.8" customHeight="1" x14ac:dyDescent="0.35">
      <c r="B31" s="237" t="s">
        <v>199</v>
      </c>
      <c r="C31" s="238"/>
      <c r="D31" s="238"/>
      <c r="E31" s="238"/>
      <c r="F31" s="238"/>
      <c r="G31" s="238"/>
      <c r="H31" s="238"/>
      <c r="I31" s="238"/>
      <c r="J31" s="238"/>
      <c r="K31" s="238"/>
      <c r="L31" s="239"/>
      <c r="M31" s="240" t="s">
        <v>201</v>
      </c>
      <c r="N31" s="241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</row>
    <row r="32" spans="2:29" ht="33" customHeight="1" thickBot="1" x14ac:dyDescent="0.4">
      <c r="B32" s="204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5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</row>
    <row r="33" spans="2:29" ht="33" customHeight="1" thickBot="1" x14ac:dyDescent="0.4">
      <c r="B33" s="225" t="s">
        <v>203</v>
      </c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7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</row>
    <row r="34" spans="2:29" ht="33" customHeight="1" x14ac:dyDescent="0.35">
      <c r="B34" s="237" t="s">
        <v>204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9"/>
      <c r="M34" s="240" t="s">
        <v>244</v>
      </c>
      <c r="N34" s="241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</row>
    <row r="35" spans="2:29" ht="33" customHeight="1" thickBot="1" x14ac:dyDescent="0.4">
      <c r="B35" s="204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5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</row>
    <row r="36" spans="2:29" ht="33" customHeight="1" x14ac:dyDescent="0.35">
      <c r="B36" s="253" t="s">
        <v>205</v>
      </c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5"/>
      <c r="O36" s="17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</row>
    <row r="37" spans="2:29" ht="33" customHeight="1" thickBot="1" x14ac:dyDescent="0.4">
      <c r="B37" s="256"/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8"/>
      <c r="O37" s="17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</row>
  </sheetData>
  <mergeCells count="49">
    <mergeCell ref="P5:AC5"/>
    <mergeCell ref="B4:N4"/>
    <mergeCell ref="G5:N5"/>
    <mergeCell ref="B5:E5"/>
    <mergeCell ref="B31:L31"/>
    <mergeCell ref="M31:N31"/>
    <mergeCell ref="P23:AC24"/>
    <mergeCell ref="B23:L23"/>
    <mergeCell ref="M23:N23"/>
    <mergeCell ref="B26:L26"/>
    <mergeCell ref="M26:N26"/>
    <mergeCell ref="B21:L21"/>
    <mergeCell ref="M21:N21"/>
    <mergeCell ref="B22:L22"/>
    <mergeCell ref="M22:N22"/>
    <mergeCell ref="P27:AC28"/>
    <mergeCell ref="B30:L30"/>
    <mergeCell ref="M30:N30"/>
    <mergeCell ref="B27:L27"/>
    <mergeCell ref="M27:N27"/>
    <mergeCell ref="B34:L34"/>
    <mergeCell ref="M34:N34"/>
    <mergeCell ref="M14:N14"/>
    <mergeCell ref="B33:N33"/>
    <mergeCell ref="B36:N37"/>
    <mergeCell ref="B25:N25"/>
    <mergeCell ref="B29:N29"/>
    <mergeCell ref="P18:AC19"/>
    <mergeCell ref="P21:AC21"/>
    <mergeCell ref="P9:AC9"/>
    <mergeCell ref="B20:L20"/>
    <mergeCell ref="M20:N20"/>
    <mergeCell ref="B18:L18"/>
    <mergeCell ref="M18:N18"/>
    <mergeCell ref="B19:L19"/>
    <mergeCell ref="M19:N19"/>
    <mergeCell ref="B17:N17"/>
    <mergeCell ref="B9:L9"/>
    <mergeCell ref="B10:L10"/>
    <mergeCell ref="B13:L13"/>
    <mergeCell ref="B14:L14"/>
    <mergeCell ref="B7:N7"/>
    <mergeCell ref="B2:N3"/>
    <mergeCell ref="B16:N16"/>
    <mergeCell ref="B8:N8"/>
    <mergeCell ref="B12:N12"/>
    <mergeCell ref="M9:N9"/>
    <mergeCell ref="M10:N10"/>
    <mergeCell ref="M13:N13"/>
  </mergeCells>
  <hyperlinks>
    <hyperlink ref="M9:N9" location="'Учебный план'!A1" display="ЛИСТ &quot;Учебный план&quot;" xr:uid="{FDE16A75-3133-475A-8626-529DD33D522D}"/>
    <hyperlink ref="M10:N10" location="'Учебный план'!A7:B12" display="ЛИСТ &quot;Фин модель&quot;, строчки 7-12, A7:B12" xr:uid="{512A9A56-C242-468F-9B4A-9E583A9229B0}"/>
    <hyperlink ref="M13:N13" location="'Фин. модель'!B15:B16" display="ЛИСТ &quot;Фин модель&quot;, строчки 14-16, B15-B16" xr:uid="{2CC8E32B-C384-464D-B477-627E653E0C09}"/>
    <hyperlink ref="M14:N14" location="'Фин. модель'!C16" display="ЛИСТ &quot;Фин модель&quot;, строчки 14-16, С16, F16" xr:uid="{4339E81F-4FA6-4707-964F-7F4AEAF6F236}"/>
    <hyperlink ref="M18:N18" location="'Фин. модель'!A25:A38" display="ЛИСТ &quot;Фин модель&quot;, строчки 25-38, A25:A38" xr:uid="{D32D1FB6-7714-496E-9D14-68C09FE10F46}"/>
    <hyperlink ref="M19:N19" location="'Фин. модель'!B25:B38" display="ЛИСТ &quot;Фин модель&quot;, строчки 25-38, B25:B38" xr:uid="{1421C75A-5C2A-4EE9-90B6-8C04461C15D1}"/>
    <hyperlink ref="M20:N20" location="'Фин. модель'!C25:C38" display="ЛИСТ &quot;Фин модель&quot;, строчки 25-38, C25:C38" xr:uid="{B45B04AE-FDC0-4263-A235-1B3FAFEC8E2D}"/>
    <hyperlink ref="M21:N21" location="'Фин. модель'!D25:D38" display="ЛИСТ &quot;Фин модель&quot;, строчки 25-38, D25:D38" xr:uid="{5EE140AE-2F18-43D0-8BD0-D55D4D25C62B}"/>
    <hyperlink ref="M22:N22" location="'Фин. модель'!E25:E38" display="ЛИСТ &quot;Фин модель&quot;, строчки 25-38, E25:E38" xr:uid="{A7EE638F-EF76-4758-8BE2-EC0212138605}"/>
    <hyperlink ref="M23:N23" location="'Фин. модель'!A40:H49" display="ЛИСТ &quot;Фин модель&quot;, строчки 40-49, A40:H49" xr:uid="{17A6AC5A-70E9-45A1-A482-2AFDEEADF1B1}"/>
    <hyperlink ref="M26:N26" location="'Фин. модель'!C53:D53" display="ЛИСТ &quot;Фин модель&quot;, строчки 51-53, A51:D53" xr:uid="{C8A9136F-D79D-4A27-A9E5-77E8249A22B4}"/>
    <hyperlink ref="M27:N27" location="'Фин. модель'!A56:D68" display="ЛИСТ &quot;Фин модель&quot;, строчки 56-68, A56:D68" xr:uid="{8A07535D-CB91-4ACD-9AA1-EBA1FD3CC1CD}"/>
    <hyperlink ref="M30:N30" location="'Форма калькуляции'!A15:D40" display="ЛИСТ &quot;Форма калькуляции&quot;, строчки 15-40, A15:D40" xr:uid="{661481CE-69EE-4FBA-9C51-6D5FE9D12F8C}"/>
    <hyperlink ref="M31:N31" location="'Форма калькуляции'!B13:D13" display="ЛИСТ &quot;Форма калькуляции&quot;, строчка 13, B13:D13" xr:uid="{8CE19486-1A71-4810-B16E-D9428A1D8913}"/>
    <hyperlink ref="M34:N34" location="'Приглашенные эксперты'!E1" display="ЛИСТ &quot;Приглашенные эксперты&quot;" xr:uid="{FBA4229F-3703-4E33-8958-F57EC2FE997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6D99-008D-48A7-8A7E-107C0D7E4995}">
  <dimension ref="A1:N47"/>
  <sheetViews>
    <sheetView showGridLines="0" zoomScale="82" zoomScaleNormal="90" workbookViewId="0">
      <pane ySplit="21" topLeftCell="A22" activePane="bottomLeft" state="frozen"/>
      <selection pane="bottomLeft" activeCell="A26" sqref="A26"/>
    </sheetView>
  </sheetViews>
  <sheetFormatPr defaultRowHeight="14.4" outlineLevelRow="1" x14ac:dyDescent="0.3"/>
  <cols>
    <col min="1" max="1" width="25.44140625" customWidth="1"/>
    <col min="2" max="2" width="14.6640625" customWidth="1"/>
    <col min="3" max="3" width="16.88671875" customWidth="1"/>
    <col min="4" max="4" width="13.44140625" customWidth="1"/>
    <col min="5" max="5" width="15.33203125" customWidth="1"/>
    <col min="6" max="6" width="13.88671875" customWidth="1"/>
    <col min="7" max="7" width="17.5546875" customWidth="1"/>
    <col min="8" max="8" width="19.109375" customWidth="1"/>
    <col min="9" max="9" width="18.109375" customWidth="1"/>
    <col min="10" max="10" width="25.109375" customWidth="1"/>
  </cols>
  <sheetData>
    <row r="1" spans="1:14" ht="15" customHeight="1" x14ac:dyDescent="0.3">
      <c r="A1" s="279" t="s">
        <v>98</v>
      </c>
      <c r="B1" s="282" t="s">
        <v>99</v>
      </c>
      <c r="C1" s="282" t="s">
        <v>100</v>
      </c>
      <c r="D1" s="282"/>
      <c r="E1" s="282"/>
      <c r="F1" s="282"/>
      <c r="G1" s="277" t="s">
        <v>105</v>
      </c>
      <c r="H1" s="274" t="s">
        <v>106</v>
      </c>
      <c r="I1" s="264" t="s">
        <v>127</v>
      </c>
      <c r="L1" s="141"/>
      <c r="M1" s="141"/>
      <c r="N1" s="141"/>
    </row>
    <row r="2" spans="1:14" x14ac:dyDescent="0.3">
      <c r="A2" s="280"/>
      <c r="B2" s="273"/>
      <c r="C2" s="273" t="s">
        <v>101</v>
      </c>
      <c r="D2" s="273"/>
      <c r="E2" s="273" t="s">
        <v>102</v>
      </c>
      <c r="F2" s="273"/>
      <c r="G2" s="278"/>
      <c r="H2" s="275"/>
      <c r="I2" s="265"/>
      <c r="K2" s="141"/>
      <c r="L2" s="141"/>
      <c r="M2" s="141"/>
      <c r="N2" s="141"/>
    </row>
    <row r="3" spans="1:14" ht="15" thickBot="1" x14ac:dyDescent="0.35">
      <c r="A3" s="281"/>
      <c r="B3" s="283"/>
      <c r="C3" s="105" t="s">
        <v>103</v>
      </c>
      <c r="D3" s="105" t="s">
        <v>104</v>
      </c>
      <c r="E3" s="105" t="s">
        <v>103</v>
      </c>
      <c r="F3" s="105" t="s">
        <v>104</v>
      </c>
      <c r="G3" s="105" t="s">
        <v>110</v>
      </c>
      <c r="H3" s="276"/>
      <c r="I3" s="266"/>
      <c r="K3" s="141"/>
      <c r="L3" s="141"/>
      <c r="M3" s="141"/>
      <c r="N3" s="141"/>
    </row>
    <row r="4" spans="1:14" ht="15" thickBot="1" x14ac:dyDescent="0.35">
      <c r="A4" s="156" t="s">
        <v>121</v>
      </c>
      <c r="B4" s="110">
        <f>C4+D4+E4+F4+G4+H4</f>
        <v>8</v>
      </c>
      <c r="C4" s="114">
        <v>3</v>
      </c>
      <c r="D4" s="114">
        <v>0</v>
      </c>
      <c r="E4" s="114">
        <v>2</v>
      </c>
      <c r="F4" s="114">
        <v>2</v>
      </c>
      <c r="G4" s="115">
        <v>1</v>
      </c>
      <c r="H4" s="116">
        <v>0</v>
      </c>
      <c r="I4" s="267">
        <f>SUM(B4:B18)-SUM(G4:G18)</f>
        <v>7</v>
      </c>
    </row>
    <row r="5" spans="1:14" ht="15" thickBot="1" x14ac:dyDescent="0.35">
      <c r="A5" s="97">
        <v>1</v>
      </c>
      <c r="B5" s="110">
        <f t="shared" ref="B5:B18" si="0">C5+D5+E5+F5+G5+H5</f>
        <v>0</v>
      </c>
      <c r="C5" s="95"/>
      <c r="D5" s="95"/>
      <c r="E5" s="95"/>
      <c r="F5" s="95"/>
      <c r="G5" s="96"/>
      <c r="H5" s="98"/>
      <c r="I5" s="268"/>
    </row>
    <row r="6" spans="1:14" ht="15" thickBot="1" x14ac:dyDescent="0.35">
      <c r="A6" s="97">
        <v>2</v>
      </c>
      <c r="B6" s="110">
        <f t="shared" si="0"/>
        <v>0</v>
      </c>
      <c r="C6" s="95"/>
      <c r="D6" s="95"/>
      <c r="E6" s="95"/>
      <c r="F6" s="95"/>
      <c r="G6" s="96"/>
      <c r="H6" s="98"/>
      <c r="I6" s="268"/>
    </row>
    <row r="7" spans="1:14" ht="15" thickBot="1" x14ac:dyDescent="0.35">
      <c r="A7" s="97">
        <v>3</v>
      </c>
      <c r="B7" s="110">
        <f t="shared" si="0"/>
        <v>0</v>
      </c>
      <c r="C7" s="95"/>
      <c r="D7" s="95"/>
      <c r="E7" s="95"/>
      <c r="F7" s="95"/>
      <c r="G7" s="96"/>
      <c r="H7" s="98"/>
      <c r="I7" s="268"/>
    </row>
    <row r="8" spans="1:14" ht="15" thickBot="1" x14ac:dyDescent="0.35">
      <c r="A8" s="97"/>
      <c r="B8" s="110">
        <f t="shared" si="0"/>
        <v>0</v>
      </c>
      <c r="C8" s="95"/>
      <c r="D8" s="95"/>
      <c r="E8" s="95"/>
      <c r="F8" s="95"/>
      <c r="G8" s="96"/>
      <c r="H8" s="98"/>
      <c r="I8" s="268"/>
    </row>
    <row r="9" spans="1:14" ht="18.600000000000001" customHeight="1" thickBot="1" x14ac:dyDescent="0.35">
      <c r="A9" s="97"/>
      <c r="B9" s="110">
        <f t="shared" si="0"/>
        <v>0</v>
      </c>
      <c r="C9" s="95"/>
      <c r="D9" s="95"/>
      <c r="E9" s="95"/>
      <c r="F9" s="95"/>
      <c r="G9" s="96"/>
      <c r="H9" s="98"/>
      <c r="I9" s="268"/>
      <c r="K9" s="284" t="s">
        <v>245</v>
      </c>
      <c r="L9" s="284"/>
      <c r="M9" s="284"/>
      <c r="N9" s="284"/>
    </row>
    <row r="10" spans="1:14" ht="15" thickBot="1" x14ac:dyDescent="0.35">
      <c r="A10" s="97"/>
      <c r="B10" s="110">
        <f t="shared" si="0"/>
        <v>0</v>
      </c>
      <c r="C10" s="95"/>
      <c r="D10" s="95"/>
      <c r="E10" s="95"/>
      <c r="F10" s="95"/>
      <c r="G10" s="96"/>
      <c r="H10" s="98"/>
      <c r="I10" s="268"/>
      <c r="K10" s="284"/>
      <c r="L10" s="284"/>
      <c r="M10" s="284"/>
      <c r="N10" s="284"/>
    </row>
    <row r="11" spans="1:14" ht="15" customHeight="1" thickBot="1" x14ac:dyDescent="0.35">
      <c r="A11" s="97"/>
      <c r="B11" s="110">
        <f t="shared" si="0"/>
        <v>0</v>
      </c>
      <c r="C11" s="96"/>
      <c r="D11" s="95"/>
      <c r="E11" s="95"/>
      <c r="F11" s="95"/>
      <c r="G11" s="96"/>
      <c r="H11" s="98"/>
      <c r="I11" s="268"/>
    </row>
    <row r="12" spans="1:14" ht="15" customHeight="1" thickBot="1" x14ac:dyDescent="0.35">
      <c r="A12" s="126"/>
      <c r="B12" s="110">
        <f t="shared" si="0"/>
        <v>0</v>
      </c>
      <c r="C12" s="127"/>
      <c r="D12" s="128"/>
      <c r="E12" s="128"/>
      <c r="F12" s="128"/>
      <c r="G12" s="127"/>
      <c r="H12" s="129"/>
      <c r="I12" s="268"/>
    </row>
    <row r="13" spans="1:14" ht="15" thickBot="1" x14ac:dyDescent="0.35">
      <c r="A13" s="126"/>
      <c r="B13" s="110">
        <f t="shared" si="0"/>
        <v>0</v>
      </c>
      <c r="C13" s="127"/>
      <c r="D13" s="128"/>
      <c r="E13" s="128"/>
      <c r="F13" s="128"/>
      <c r="G13" s="127"/>
      <c r="H13" s="129"/>
      <c r="I13" s="268"/>
    </row>
    <row r="14" spans="1:14" ht="15" thickBot="1" x14ac:dyDescent="0.35">
      <c r="A14" s="126"/>
      <c r="B14" s="110">
        <f t="shared" si="0"/>
        <v>0</v>
      </c>
      <c r="C14" s="127"/>
      <c r="D14" s="128"/>
      <c r="E14" s="128"/>
      <c r="F14" s="128"/>
      <c r="G14" s="127"/>
      <c r="H14" s="129"/>
      <c r="I14" s="268"/>
    </row>
    <row r="15" spans="1:14" ht="15" thickBot="1" x14ac:dyDescent="0.35">
      <c r="A15" s="126"/>
      <c r="B15" s="110">
        <f t="shared" si="0"/>
        <v>0</v>
      </c>
      <c r="C15" s="127"/>
      <c r="D15" s="128"/>
      <c r="E15" s="128"/>
      <c r="F15" s="128"/>
      <c r="G15" s="127"/>
      <c r="H15" s="129"/>
      <c r="I15" s="268"/>
    </row>
    <row r="16" spans="1:14" ht="15" thickBot="1" x14ac:dyDescent="0.35">
      <c r="A16" s="126"/>
      <c r="B16" s="110">
        <f t="shared" si="0"/>
        <v>0</v>
      </c>
      <c r="C16" s="127"/>
      <c r="D16" s="128"/>
      <c r="E16" s="128"/>
      <c r="F16" s="128"/>
      <c r="G16" s="127"/>
      <c r="H16" s="129"/>
      <c r="I16" s="268"/>
    </row>
    <row r="17" spans="1:11" ht="15" thickBot="1" x14ac:dyDescent="0.35">
      <c r="A17" s="126"/>
      <c r="B17" s="110">
        <f t="shared" si="0"/>
        <v>0</v>
      </c>
      <c r="C17" s="127"/>
      <c r="D17" s="128"/>
      <c r="E17" s="128"/>
      <c r="F17" s="128"/>
      <c r="G17" s="127"/>
      <c r="H17" s="129"/>
      <c r="I17" s="268"/>
    </row>
    <row r="18" spans="1:11" ht="15" thickBot="1" x14ac:dyDescent="0.35">
      <c r="A18" s="117"/>
      <c r="B18" s="110">
        <f t="shared" si="0"/>
        <v>0</v>
      </c>
      <c r="C18" s="119"/>
      <c r="D18" s="119"/>
      <c r="E18" s="119"/>
      <c r="F18" s="119"/>
      <c r="G18" s="120"/>
      <c r="H18" s="121"/>
      <c r="I18" s="269"/>
    </row>
    <row r="19" spans="1:11" ht="37.5" customHeight="1" thickTop="1" thickBot="1" x14ac:dyDescent="0.35">
      <c r="A19" s="106" t="s">
        <v>107</v>
      </c>
      <c r="B19" s="107">
        <f>C19+D19+E19+F19+G19+H19</f>
        <v>5</v>
      </c>
      <c r="C19" s="111"/>
      <c r="D19" s="111"/>
      <c r="E19" s="111"/>
      <c r="F19" s="111"/>
      <c r="G19" s="112">
        <v>3</v>
      </c>
      <c r="H19" s="113">
        <v>2</v>
      </c>
      <c r="I19" s="109">
        <f>B19-G19</f>
        <v>2</v>
      </c>
      <c r="J19" s="141" t="s">
        <v>126</v>
      </c>
      <c r="K19" s="142" t="s">
        <v>114</v>
      </c>
    </row>
    <row r="20" spans="1:11" ht="15" thickBot="1" x14ac:dyDescent="0.35">
      <c r="A20" s="99" t="s">
        <v>53</v>
      </c>
      <c r="B20" s="100">
        <f>C20+D20+E20+F20+G20+H20</f>
        <v>13</v>
      </c>
      <c r="C20" s="101">
        <f>SUM(C4:C19)</f>
        <v>3</v>
      </c>
      <c r="D20" s="101">
        <f t="shared" ref="D20:H20" si="1">SUM(D4:D19)</f>
        <v>0</v>
      </c>
      <c r="E20" s="101">
        <f>SUM(E4:E19)</f>
        <v>2</v>
      </c>
      <c r="F20" s="101">
        <f t="shared" si="1"/>
        <v>2</v>
      </c>
      <c r="G20" s="101">
        <f t="shared" si="1"/>
        <v>4</v>
      </c>
      <c r="H20" s="102">
        <f t="shared" si="1"/>
        <v>2</v>
      </c>
      <c r="I20" s="102">
        <f>SUM(I4:I19)</f>
        <v>9</v>
      </c>
    </row>
    <row r="21" spans="1:11" x14ac:dyDescent="0.3">
      <c r="A21" s="123"/>
      <c r="B21" s="124"/>
      <c r="C21" s="125"/>
      <c r="D21" s="125"/>
      <c r="E21" s="125"/>
      <c r="F21" s="125"/>
      <c r="G21" s="125"/>
      <c r="H21" s="125"/>
      <c r="I21" s="125"/>
    </row>
    <row r="22" spans="1:11" ht="15" thickBot="1" x14ac:dyDescent="0.35">
      <c r="D22" s="158" t="s">
        <v>143</v>
      </c>
    </row>
    <row r="23" spans="1:11" ht="16.2" thickBot="1" x14ac:dyDescent="0.35">
      <c r="A23" s="287" t="s">
        <v>113</v>
      </c>
      <c r="B23" s="288"/>
      <c r="C23" s="92" t="s">
        <v>115</v>
      </c>
      <c r="D23" s="92" t="s">
        <v>114</v>
      </c>
      <c r="E23" s="92" t="s">
        <v>115</v>
      </c>
      <c r="F23" s="92" t="s">
        <v>115</v>
      </c>
      <c r="G23" s="92" t="s">
        <v>115</v>
      </c>
      <c r="H23" s="93" t="s">
        <v>115</v>
      </c>
      <c r="I23" s="104"/>
    </row>
    <row r="24" spans="1:11" ht="16.2" thickBot="1" x14ac:dyDescent="0.35">
      <c r="A24" s="289" t="s">
        <v>112</v>
      </c>
      <c r="B24" s="290"/>
      <c r="C24" s="91"/>
      <c r="D24" s="91"/>
      <c r="E24" s="91"/>
      <c r="F24" s="91"/>
      <c r="G24" s="91"/>
      <c r="H24" s="103"/>
      <c r="I24" s="104"/>
    </row>
    <row r="26" spans="1:11" ht="18" x14ac:dyDescent="0.35">
      <c r="A26" s="130" t="s">
        <v>116</v>
      </c>
      <c r="B26" s="131"/>
      <c r="C26" s="131"/>
      <c r="D26" s="131"/>
    </row>
    <row r="27" spans="1:11" ht="15" hidden="1" customHeight="1" outlineLevel="1" x14ac:dyDescent="0.3">
      <c r="A27" s="279" t="s">
        <v>98</v>
      </c>
      <c r="B27" s="282" t="s">
        <v>99</v>
      </c>
      <c r="C27" s="282" t="s">
        <v>100</v>
      </c>
      <c r="D27" s="282"/>
      <c r="E27" s="282"/>
      <c r="F27" s="282"/>
      <c r="G27" s="277" t="s">
        <v>105</v>
      </c>
      <c r="H27" s="282" t="s">
        <v>106</v>
      </c>
      <c r="I27" s="264" t="s">
        <v>127</v>
      </c>
    </row>
    <row r="28" spans="1:11" hidden="1" outlineLevel="1" x14ac:dyDescent="0.3">
      <c r="A28" s="280"/>
      <c r="B28" s="273"/>
      <c r="C28" s="273" t="s">
        <v>101</v>
      </c>
      <c r="D28" s="273"/>
      <c r="E28" s="273" t="s">
        <v>102</v>
      </c>
      <c r="F28" s="273"/>
      <c r="G28" s="278"/>
      <c r="H28" s="273"/>
      <c r="I28" s="265"/>
    </row>
    <row r="29" spans="1:11" ht="15" hidden="1" outlineLevel="1" thickBot="1" x14ac:dyDescent="0.35">
      <c r="A29" s="285"/>
      <c r="B29" s="286"/>
      <c r="C29" s="101" t="s">
        <v>103</v>
      </c>
      <c r="D29" s="101" t="s">
        <v>104</v>
      </c>
      <c r="E29" s="101" t="s">
        <v>103</v>
      </c>
      <c r="F29" s="101" t="s">
        <v>104</v>
      </c>
      <c r="G29" s="101" t="s">
        <v>110</v>
      </c>
      <c r="H29" s="286"/>
      <c r="I29" s="266"/>
    </row>
    <row r="30" spans="1:11" hidden="1" outlineLevel="1" x14ac:dyDescent="0.3">
      <c r="A30" s="132" t="str">
        <f>A4</f>
        <v>Модуль 1</v>
      </c>
      <c r="B30" s="133">
        <f t="shared" ref="B30:B44" si="2">C30+D30+E30+F30+G30+H30</f>
        <v>8</v>
      </c>
      <c r="C30" s="108">
        <f>IF(AND(C$23=Справочник!$A$27, C$24&gt;0), C4*C$24, 'Учебный план'!C4)</f>
        <v>3</v>
      </c>
      <c r="D30" s="108">
        <f>IF(AND(D$23=Справочник!$A$27, D$24&gt;0), D4*D$24, 'Учебный план'!D4)</f>
        <v>0</v>
      </c>
      <c r="E30" s="108">
        <f>IF(AND(E$23=Справочник!$A$27, E$24&gt;0), E4*E$24, 'Учебный план'!E4)</f>
        <v>2</v>
      </c>
      <c r="F30" s="108">
        <f>IF(AND(F$23=Справочник!$A$27, F$24&gt;0), F4*F$24, 'Учебный план'!F4)</f>
        <v>2</v>
      </c>
      <c r="G30" s="108">
        <f>IF(AND(G$23=Справочник!$A$27, G$24&gt;0), G4*G$24, 'Учебный план'!G4)</f>
        <v>1</v>
      </c>
      <c r="H30" s="108">
        <f>IF(AND(H$23=Справочник!$A$27, H$24&gt;0), H4*H$24, 'Учебный план'!H4)</f>
        <v>0</v>
      </c>
      <c r="I30" s="270">
        <f>SUM(B30:B44)-SUM(G30:G44)</f>
        <v>7</v>
      </c>
    </row>
    <row r="31" spans="1:11" hidden="1" outlineLevel="1" x14ac:dyDescent="0.3">
      <c r="A31" s="97">
        <f>A5</f>
        <v>1</v>
      </c>
      <c r="B31" s="83">
        <f t="shared" si="2"/>
        <v>0</v>
      </c>
      <c r="C31" s="84">
        <f>IF(AND(C$23=Справочник!$A$27, C$24&gt;0), C5*C$24, 'Учебный план'!C5)</f>
        <v>0</v>
      </c>
      <c r="D31" s="84">
        <f>IF(AND(D$23=Справочник!$A$27, D$24&gt;0), D5*D$24, 'Учебный план'!D5)</f>
        <v>0</v>
      </c>
      <c r="E31" s="84">
        <f>IF(AND(E$23=Справочник!$A$27, E$24&gt;0), E5*E$24, 'Учебный план'!E5)</f>
        <v>0</v>
      </c>
      <c r="F31" s="84">
        <f>IF(AND(F$23=Справочник!$A$27, F$24&gt;0), F5*F$24, 'Учебный план'!F5)</f>
        <v>0</v>
      </c>
      <c r="G31" s="84">
        <f>IF(AND(G$23=Справочник!$A$27, G$24&gt;0), G5*G$24, 'Учебный план'!G5)</f>
        <v>0</v>
      </c>
      <c r="H31" s="84">
        <f>IF(AND(H$23=Справочник!$A$27, H$24&gt;0), H5*H$24, 'Учебный план'!H5)</f>
        <v>0</v>
      </c>
      <c r="I31" s="271"/>
    </row>
    <row r="32" spans="1:11" hidden="1" outlineLevel="1" x14ac:dyDescent="0.3">
      <c r="A32" s="97">
        <f t="shared" ref="A32:A43" si="3">A6</f>
        <v>2</v>
      </c>
      <c r="B32" s="83">
        <f t="shared" si="2"/>
        <v>0</v>
      </c>
      <c r="C32" s="84">
        <f>IF(AND(C$23=Справочник!$A$27, C$24&gt;0), C6*C$24, 'Учебный план'!C6)</f>
        <v>0</v>
      </c>
      <c r="D32" s="84">
        <f>IF(AND(D$23=Справочник!$A$27, D$24&gt;0), D6*D$24, 'Учебный план'!D6)</f>
        <v>0</v>
      </c>
      <c r="E32" s="84">
        <f>IF(AND(E$23=Справочник!$A$27, E$24&gt;0), E6*E$24, 'Учебный план'!E6)</f>
        <v>0</v>
      </c>
      <c r="F32" s="84">
        <f>IF(AND(F$23=Справочник!$A$27, F$24&gt;0), F6*F$24, 'Учебный план'!F6)</f>
        <v>0</v>
      </c>
      <c r="G32" s="84">
        <f>IF(AND(G$23=Справочник!$A$27, G$24&gt;0), G6*G$24, 'Учебный план'!G6)</f>
        <v>0</v>
      </c>
      <c r="H32" s="84">
        <f>IF(AND(H$23=Справочник!$A$27, H$24&gt;0), H6*H$24, 'Учебный план'!H6)</f>
        <v>0</v>
      </c>
      <c r="I32" s="271"/>
    </row>
    <row r="33" spans="1:9" hidden="1" outlineLevel="1" x14ac:dyDescent="0.3">
      <c r="A33" s="97">
        <f t="shared" si="3"/>
        <v>3</v>
      </c>
      <c r="B33" s="83">
        <f t="shared" si="2"/>
        <v>0</v>
      </c>
      <c r="C33" s="84">
        <f>IF(AND(C$23=Справочник!$A$27, C$24&gt;0), C7*C$24, 'Учебный план'!C7)</f>
        <v>0</v>
      </c>
      <c r="D33" s="84">
        <f>IF(AND(D$23=Справочник!$A$27, D$24&gt;0), D7*D$24, 'Учебный план'!D7)</f>
        <v>0</v>
      </c>
      <c r="E33" s="84">
        <f>IF(AND(E$23=Справочник!$A$27, E$24&gt;0), E7*E$24, 'Учебный план'!E7)</f>
        <v>0</v>
      </c>
      <c r="F33" s="84">
        <f>IF(AND(F$23=Справочник!$A$27, F$24&gt;0), F7*F$24, 'Учебный план'!F7)</f>
        <v>0</v>
      </c>
      <c r="G33" s="84">
        <f>IF(AND(G$23=Справочник!$A$27, G$24&gt;0), G7*G$24, 'Учебный план'!G7)</f>
        <v>0</v>
      </c>
      <c r="H33" s="84">
        <f>IF(AND(H$23=Справочник!$A$27, H$24&gt;0), H7*H$24, 'Учебный план'!H7)</f>
        <v>0</v>
      </c>
      <c r="I33" s="271"/>
    </row>
    <row r="34" spans="1:9" hidden="1" outlineLevel="1" x14ac:dyDescent="0.3">
      <c r="A34" s="97">
        <f t="shared" si="3"/>
        <v>0</v>
      </c>
      <c r="B34" s="83">
        <f t="shared" si="2"/>
        <v>0</v>
      </c>
      <c r="C34" s="84">
        <f>IF(AND(C$23=Справочник!$A$27, C$24&gt;0), C8*C$24, 'Учебный план'!C8)</f>
        <v>0</v>
      </c>
      <c r="D34" s="84">
        <f>IF(AND(D$23=Справочник!$A$27, D$24&gt;0), D8*D$24, 'Учебный план'!D8)</f>
        <v>0</v>
      </c>
      <c r="E34" s="84">
        <f>IF(AND(E$23=Справочник!$A$27, E$24&gt;0), E8*E$24, 'Учебный план'!E8)</f>
        <v>0</v>
      </c>
      <c r="F34" s="84">
        <f>IF(AND(F$23=Справочник!$A$27, F$24&gt;0), F8*F$24, 'Учебный план'!F8)</f>
        <v>0</v>
      </c>
      <c r="G34" s="84">
        <f>IF(AND(G$23=Справочник!$A$27, G$24&gt;0), G8*G$24, 'Учебный план'!G8)</f>
        <v>0</v>
      </c>
      <c r="H34" s="84">
        <f>IF(AND(H$23=Справочник!$A$27, H$24&gt;0), H8*H$24, 'Учебный план'!H8)</f>
        <v>0</v>
      </c>
      <c r="I34" s="271"/>
    </row>
    <row r="35" spans="1:9" hidden="1" outlineLevel="1" x14ac:dyDescent="0.3">
      <c r="A35" s="97">
        <f t="shared" si="3"/>
        <v>0</v>
      </c>
      <c r="B35" s="83">
        <f t="shared" si="2"/>
        <v>0</v>
      </c>
      <c r="C35" s="84">
        <f>IF(AND(C$23=Справочник!$A$27, C$24&gt;0), C9*C$24, 'Учебный план'!C9)</f>
        <v>0</v>
      </c>
      <c r="D35" s="84">
        <f>IF(AND(D$23=Справочник!$A$27, D$24&gt;0), D9*D$24, 'Учебный план'!D9)</f>
        <v>0</v>
      </c>
      <c r="E35" s="84">
        <f>IF(AND(E$23=Справочник!$A$27, E$24&gt;0), E9*E$24, 'Учебный план'!E9)</f>
        <v>0</v>
      </c>
      <c r="F35" s="84">
        <f>IF(AND(F$23=Справочник!$A$27, F$24&gt;0), F9*F$24, 'Учебный план'!F9)</f>
        <v>0</v>
      </c>
      <c r="G35" s="84">
        <f>IF(AND(G$23=Справочник!$A$27, G$24&gt;0), G9*G$24, 'Учебный план'!G9)</f>
        <v>0</v>
      </c>
      <c r="H35" s="84">
        <f>IF(AND(H$23=Справочник!$A$27, H$24&gt;0), H9*H$24, 'Учебный план'!H9)</f>
        <v>0</v>
      </c>
      <c r="I35" s="271"/>
    </row>
    <row r="36" spans="1:9" hidden="1" outlineLevel="1" x14ac:dyDescent="0.3">
      <c r="A36" s="97">
        <f t="shared" si="3"/>
        <v>0</v>
      </c>
      <c r="B36" s="83">
        <f t="shared" si="2"/>
        <v>0</v>
      </c>
      <c r="C36" s="84">
        <f>IF(AND(C$23=Справочник!$A$27, C$24&gt;0), C10*C$24, 'Учебный план'!C10)</f>
        <v>0</v>
      </c>
      <c r="D36" s="84">
        <f>IF(AND(D$23=Справочник!$A$27, D$24&gt;0), D10*D$24, 'Учебный план'!D10)</f>
        <v>0</v>
      </c>
      <c r="E36" s="84">
        <f>IF(AND(E$23=Справочник!$A$27, E$24&gt;0), E10*E$24, 'Учебный план'!E10)</f>
        <v>0</v>
      </c>
      <c r="F36" s="84">
        <f>IF(AND(F$23=Справочник!$A$27, F$24&gt;0), F10*F$24, 'Учебный план'!F10)</f>
        <v>0</v>
      </c>
      <c r="G36" s="84">
        <f>IF(AND(G$23=Справочник!$A$27, G$24&gt;0), G10*G$24, 'Учебный план'!G10)</f>
        <v>0</v>
      </c>
      <c r="H36" s="84">
        <f>IF(AND(H$23=Справочник!$A$27, H$24&gt;0), H10*H$24, 'Учебный план'!H10)</f>
        <v>0</v>
      </c>
      <c r="I36" s="271"/>
    </row>
    <row r="37" spans="1:9" hidden="1" outlineLevel="1" x14ac:dyDescent="0.3">
      <c r="A37" s="97">
        <f t="shared" si="3"/>
        <v>0</v>
      </c>
      <c r="B37" s="83">
        <f t="shared" si="2"/>
        <v>0</v>
      </c>
      <c r="C37" s="84">
        <f>IF(AND(C$23=Справочник!$A$27, C$24&gt;0), C11*C$24, 'Учебный план'!C11)</f>
        <v>0</v>
      </c>
      <c r="D37" s="84">
        <f>IF(AND(D$23=Справочник!$A$27, D$24&gt;0), D11*D$24, 'Учебный план'!D11)</f>
        <v>0</v>
      </c>
      <c r="E37" s="84">
        <f>IF(AND(E$23=Справочник!$A$27, E$24&gt;0), E11*E$24, 'Учебный план'!E11)</f>
        <v>0</v>
      </c>
      <c r="F37" s="84">
        <f>IF(AND(F$23=Справочник!$A$27, F$24&gt;0), F11*F$24, 'Учебный план'!F11)</f>
        <v>0</v>
      </c>
      <c r="G37" s="84">
        <f>IF(AND(G$23=Справочник!$A$27, G$24&gt;0), G11*G$24, 'Учебный план'!G11)</f>
        <v>0</v>
      </c>
      <c r="H37" s="84">
        <f>IF(AND(H$23=Справочник!$A$27, H$24&gt;0), H11*H$24, 'Учебный план'!H11)</f>
        <v>0</v>
      </c>
      <c r="I37" s="271"/>
    </row>
    <row r="38" spans="1:9" hidden="1" outlineLevel="1" x14ac:dyDescent="0.3">
      <c r="A38" s="97">
        <f t="shared" si="3"/>
        <v>0</v>
      </c>
      <c r="B38" s="83">
        <f t="shared" si="2"/>
        <v>0</v>
      </c>
      <c r="C38" s="84">
        <f>IF(AND(C$23=Справочник!$A$27, C$24&gt;0), C12*C$24, 'Учебный план'!C12)</f>
        <v>0</v>
      </c>
      <c r="D38" s="84">
        <f>IF(AND(D$23=Справочник!$A$27, D$24&gt;0), D12*D$24, 'Учебный план'!D12)</f>
        <v>0</v>
      </c>
      <c r="E38" s="84">
        <f>IF(AND(E$23=Справочник!$A$27, E$24&gt;0), E12*E$24, 'Учебный план'!E12)</f>
        <v>0</v>
      </c>
      <c r="F38" s="84">
        <f>IF(AND(F$23=Справочник!$A$27, F$24&gt;0), F12*F$24, 'Учебный план'!F12)</f>
        <v>0</v>
      </c>
      <c r="G38" s="84">
        <f>IF(AND(G$23=Справочник!$A$27, G$24&gt;0), G12*G$24, 'Учебный план'!G12)</f>
        <v>0</v>
      </c>
      <c r="H38" s="84">
        <f>IF(AND(H$23=Справочник!$A$27, H$24&gt;0), H12*H$24, 'Учебный план'!H12)</f>
        <v>0</v>
      </c>
      <c r="I38" s="271"/>
    </row>
    <row r="39" spans="1:9" hidden="1" outlineLevel="1" x14ac:dyDescent="0.3">
      <c r="A39" s="97">
        <f t="shared" si="3"/>
        <v>0</v>
      </c>
      <c r="B39" s="83">
        <f t="shared" si="2"/>
        <v>0</v>
      </c>
      <c r="C39" s="84">
        <f>IF(AND(C$23=Справочник!$A$27, C$24&gt;0), C13*C$24, 'Учебный план'!C13)</f>
        <v>0</v>
      </c>
      <c r="D39" s="84">
        <f>IF(AND(D$23=Справочник!$A$27, D$24&gt;0), D13*D$24, 'Учебный план'!D13)</f>
        <v>0</v>
      </c>
      <c r="E39" s="84">
        <f>IF(AND(E$23=Справочник!$A$27, E$24&gt;0), E13*E$24, 'Учебный план'!E13)</f>
        <v>0</v>
      </c>
      <c r="F39" s="84">
        <f>IF(AND(F$23=Справочник!$A$27, F$24&gt;0), F13*F$24, 'Учебный план'!F13)</f>
        <v>0</v>
      </c>
      <c r="G39" s="84">
        <f>IF(AND(G$23=Справочник!$A$27, G$24&gt;0), G13*G$24, 'Учебный план'!G13)</f>
        <v>0</v>
      </c>
      <c r="H39" s="84">
        <f>IF(AND(H$23=Справочник!$A$27, H$24&gt;0), H13*H$24, 'Учебный план'!H13)</f>
        <v>0</v>
      </c>
      <c r="I39" s="271"/>
    </row>
    <row r="40" spans="1:9" hidden="1" outlineLevel="1" x14ac:dyDescent="0.3">
      <c r="A40" s="97">
        <f t="shared" si="3"/>
        <v>0</v>
      </c>
      <c r="B40" s="83">
        <f t="shared" si="2"/>
        <v>0</v>
      </c>
      <c r="C40" s="84">
        <f>IF(AND(C$23=Справочник!$A$27, C$24&gt;0), C14*C$24, 'Учебный план'!C14)</f>
        <v>0</v>
      </c>
      <c r="D40" s="84">
        <f>IF(AND(D$23=Справочник!$A$27, D$24&gt;0), D14*D$24, 'Учебный план'!D14)</f>
        <v>0</v>
      </c>
      <c r="E40" s="84">
        <f>IF(AND(E$23=Справочник!$A$27, E$24&gt;0), E14*E$24, 'Учебный план'!E14)</f>
        <v>0</v>
      </c>
      <c r="F40" s="84">
        <f>IF(AND(F$23=Справочник!$A$27, F$24&gt;0), F14*F$24, 'Учебный план'!F14)</f>
        <v>0</v>
      </c>
      <c r="G40" s="84">
        <f>IF(AND(G$23=Справочник!$A$27, G$24&gt;0), G14*G$24, 'Учебный план'!G14)</f>
        <v>0</v>
      </c>
      <c r="H40" s="84">
        <f>IF(AND(H$23=Справочник!$A$27, H$24&gt;0), H14*H$24, 'Учебный план'!H14)</f>
        <v>0</v>
      </c>
      <c r="I40" s="271"/>
    </row>
    <row r="41" spans="1:9" hidden="1" outlineLevel="1" x14ac:dyDescent="0.3">
      <c r="A41" s="97">
        <f t="shared" si="3"/>
        <v>0</v>
      </c>
      <c r="B41" s="83">
        <f t="shared" si="2"/>
        <v>0</v>
      </c>
      <c r="C41" s="84">
        <f>IF(AND(C$23=Справочник!$A$27, C$24&gt;0), C15*C$24, 'Учебный план'!C15)</f>
        <v>0</v>
      </c>
      <c r="D41" s="84">
        <f>IF(AND(D$23=Справочник!$A$27, D$24&gt;0), D15*D$24, 'Учебный план'!D15)</f>
        <v>0</v>
      </c>
      <c r="E41" s="84">
        <f>IF(AND(E$23=Справочник!$A$27, E$24&gt;0), E15*E$24, 'Учебный план'!E15)</f>
        <v>0</v>
      </c>
      <c r="F41" s="84">
        <f>IF(AND(F$23=Справочник!$A$27, F$24&gt;0), F15*F$24, 'Учебный план'!F15)</f>
        <v>0</v>
      </c>
      <c r="G41" s="84">
        <f>IF(AND(G$23=Справочник!$A$27, G$24&gt;0), G15*G$24, 'Учебный план'!G15)</f>
        <v>0</v>
      </c>
      <c r="H41" s="84">
        <f>IF(AND(H$23=Справочник!$A$27, H$24&gt;0), H15*H$24, 'Учебный план'!H15)</f>
        <v>0</v>
      </c>
      <c r="I41" s="271"/>
    </row>
    <row r="42" spans="1:9" hidden="1" outlineLevel="1" x14ac:dyDescent="0.3">
      <c r="A42" s="97">
        <f t="shared" si="3"/>
        <v>0</v>
      </c>
      <c r="B42" s="83">
        <f t="shared" si="2"/>
        <v>0</v>
      </c>
      <c r="C42" s="84">
        <f>IF(AND(C$23=Справочник!$A$27, C$24&gt;0), C16*C$24, 'Учебный план'!C16)</f>
        <v>0</v>
      </c>
      <c r="D42" s="84">
        <f>IF(AND(D$23=Справочник!$A$27, D$24&gt;0), D16*D$24, 'Учебный план'!D16)</f>
        <v>0</v>
      </c>
      <c r="E42" s="84">
        <f>IF(AND(E$23=Справочник!$A$27, E$24&gt;0), E16*E$24, 'Учебный план'!E16)</f>
        <v>0</v>
      </c>
      <c r="F42" s="84">
        <f>IF(AND(F$23=Справочник!$A$27, F$24&gt;0), F16*F$24, 'Учебный план'!F16)</f>
        <v>0</v>
      </c>
      <c r="G42" s="84">
        <f>IF(AND(G$23=Справочник!$A$27, G$24&gt;0), G16*G$24, 'Учебный план'!G16)</f>
        <v>0</v>
      </c>
      <c r="H42" s="84">
        <f>IF(AND(H$23=Справочник!$A$27, H$24&gt;0), H16*H$24, 'Учебный план'!H16)</f>
        <v>0</v>
      </c>
      <c r="I42" s="271"/>
    </row>
    <row r="43" spans="1:9" hidden="1" outlineLevel="1" x14ac:dyDescent="0.3">
      <c r="A43" s="97">
        <f t="shared" si="3"/>
        <v>0</v>
      </c>
      <c r="B43" s="83">
        <f t="shared" si="2"/>
        <v>0</v>
      </c>
      <c r="C43" s="84">
        <f>IF(AND(C$23=Справочник!$A$27, C$24&gt;0), C17*C$24, 'Учебный план'!C17)</f>
        <v>0</v>
      </c>
      <c r="D43" s="84">
        <f>IF(AND(D$23=Справочник!$A$27, D$24&gt;0), D17*D$24, 'Учебный план'!D17)</f>
        <v>0</v>
      </c>
      <c r="E43" s="84">
        <f>IF(AND(E$23=Справочник!$A$27, E$24&gt;0), E17*E$24, 'Учебный план'!E17)</f>
        <v>0</v>
      </c>
      <c r="F43" s="84">
        <f>IF(AND(F$23=Справочник!$A$27, F$24&gt;0), F17*F$24, 'Учебный план'!F17)</f>
        <v>0</v>
      </c>
      <c r="G43" s="84">
        <f>IF(AND(G$23=Справочник!$A$27, G$24&gt;0), G17*G$24, 'Учебный план'!G17)</f>
        <v>0</v>
      </c>
      <c r="H43" s="84">
        <f>IF(AND(H$23=Справочник!$A$27, H$24&gt;0), H17*H$24, 'Учебный план'!H17)</f>
        <v>0</v>
      </c>
      <c r="I43" s="271"/>
    </row>
    <row r="44" spans="1:9" ht="15" hidden="1" outlineLevel="1" thickBot="1" x14ac:dyDescent="0.35">
      <c r="A44" s="117">
        <f>A11</f>
        <v>0</v>
      </c>
      <c r="B44" s="118">
        <f t="shared" si="2"/>
        <v>0</v>
      </c>
      <c r="C44" s="122">
        <f>IF(AND(C$23=Справочник!$A$27, C$24&gt;0), C18*C$24, 'Учебный план'!C18)</f>
        <v>0</v>
      </c>
      <c r="D44" s="122">
        <f>IF(AND(D$23=Справочник!$A$27, D$24&gt;0), D18*D$24, 'Учебный план'!D18)</f>
        <v>0</v>
      </c>
      <c r="E44" s="122">
        <f>IF(AND(E$23=Справочник!$A$27, E$24&gt;0), E18*E$24, 'Учебный план'!E18)</f>
        <v>0</v>
      </c>
      <c r="F44" s="122">
        <f>IF(AND(F$23=Справочник!$A$27, F$24&gt;0), F18*F$24, 'Учебный план'!F18)</f>
        <v>0</v>
      </c>
      <c r="G44" s="122">
        <f>IF(AND(G$23=Справочник!$A$27, G$24&gt;0), G18*G$24, 'Учебный план'!G18)</f>
        <v>0</v>
      </c>
      <c r="H44" s="122">
        <f>IF(AND(H$23=Справочник!$A$27, H$24&gt;0), H18*H$24, 'Учебный план'!H18)</f>
        <v>0</v>
      </c>
      <c r="I44" s="272"/>
    </row>
    <row r="45" spans="1:9" ht="15" hidden="1" outlineLevel="1" thickTop="1" x14ac:dyDescent="0.3">
      <c r="A45" s="106" t="str">
        <f>A19</f>
        <v>Итоговая аттестация</v>
      </c>
      <c r="B45" s="134">
        <f>B19</f>
        <v>5</v>
      </c>
      <c r="C45" s="134">
        <f t="shared" ref="C45:H45" si="4">C19</f>
        <v>0</v>
      </c>
      <c r="D45" s="134">
        <f t="shared" si="4"/>
        <v>0</v>
      </c>
      <c r="E45" s="134">
        <f t="shared" si="4"/>
        <v>0</v>
      </c>
      <c r="F45" s="134">
        <f t="shared" si="4"/>
        <v>0</v>
      </c>
      <c r="G45" s="134">
        <f t="shared" si="4"/>
        <v>3</v>
      </c>
      <c r="H45" s="134">
        <f t="shared" si="4"/>
        <v>2</v>
      </c>
      <c r="I45" s="109">
        <f>B45-G45</f>
        <v>2</v>
      </c>
    </row>
    <row r="46" spans="1:9" ht="15" hidden="1" outlineLevel="1" thickBot="1" x14ac:dyDescent="0.35">
      <c r="A46" s="99" t="s">
        <v>53</v>
      </c>
      <c r="B46" s="100">
        <f>C46+D46+E46+F46+G46+H46</f>
        <v>13</v>
      </c>
      <c r="C46" s="101">
        <f t="shared" ref="C46:I46" si="5">SUM(C30:C45)</f>
        <v>3</v>
      </c>
      <c r="D46" s="101">
        <f t="shared" si="5"/>
        <v>0</v>
      </c>
      <c r="E46" s="101">
        <f t="shared" si="5"/>
        <v>2</v>
      </c>
      <c r="F46" s="101">
        <f t="shared" si="5"/>
        <v>2</v>
      </c>
      <c r="G46" s="101">
        <f t="shared" si="5"/>
        <v>4</v>
      </c>
      <c r="H46" s="101">
        <f t="shared" si="5"/>
        <v>2</v>
      </c>
      <c r="I46" s="102">
        <f t="shared" si="5"/>
        <v>9</v>
      </c>
    </row>
    <row r="47" spans="1:9" collapsed="1" x14ac:dyDescent="0.3"/>
  </sheetData>
  <mergeCells count="21">
    <mergeCell ref="A1:A3"/>
    <mergeCell ref="B1:B3"/>
    <mergeCell ref="C1:F1"/>
    <mergeCell ref="K9:N10"/>
    <mergeCell ref="A27:A29"/>
    <mergeCell ref="B27:B29"/>
    <mergeCell ref="C27:F27"/>
    <mergeCell ref="G27:G28"/>
    <mergeCell ref="H27:H29"/>
    <mergeCell ref="A23:B23"/>
    <mergeCell ref="A24:B24"/>
    <mergeCell ref="I1:I3"/>
    <mergeCell ref="I27:I29"/>
    <mergeCell ref="I4:I18"/>
    <mergeCell ref="I30:I44"/>
    <mergeCell ref="C28:D28"/>
    <mergeCell ref="E28:F28"/>
    <mergeCell ref="H1:H3"/>
    <mergeCell ref="C2:D2"/>
    <mergeCell ref="E2:F2"/>
    <mergeCell ref="G1:G2"/>
  </mergeCells>
  <conditionalFormatting sqref="G19">
    <cfRule type="expression" dxfId="8" priority="1">
      <formula>OR($G$19="", $G$19=0)</formula>
    </cfRule>
  </conditionalFormatting>
  <dataValidations count="8">
    <dataValidation allowBlank="1" showInputMessage="1" showErrorMessage="1" prompt="Перед итоговой аттестацией обязательно должно быть выделено не менее 1 акад.часа на самостоятельную работу" sqref="G19" xr:uid="{AE36B820-282F-4282-8D52-C8BD09460FA5}"/>
    <dataValidation allowBlank="1" showInputMessage="1" showErrorMessage="1" prompt="Для итоговой аттестации количесвто подгрупп не имеет значения, так как оплата прозводится по количеству слушателей_x000a_" sqref="H24" xr:uid="{555F2F25-6B75-4024-8A43-18DFE3BFB1BA}"/>
    <dataValidation allowBlank="1" showInputMessage="1" showErrorMessage="1" promptTitle="Заполняется автоматически" prompt="Сумма всех часов - самостоятельная работа" sqref="I19" xr:uid="{893E6D1F-9EC4-4BD8-BE25-145D14E07AEF}"/>
    <dataValidation allowBlank="1" showInputMessage="1" showErrorMessage="1" promptTitle="Заполняется автоматически" prompt="сумма часов" sqref="B4:B18" xr:uid="{3B2DB067-DCCC-4C42-8D93-5762622110D3}"/>
    <dataValidation allowBlank="1" showInputMessage="1" showErrorMessage="1" promptTitle="Заполняется автоматически" prompt="Сумма всех часов - самостоятельная работа_x000a_" sqref="I4:I18" xr:uid="{0B7359A8-4B35-4868-8580-ECE358494FF7}"/>
    <dataValidation allowBlank="1" showInputMessage="1" showErrorMessage="1" promptTitle="Заполняется автоматически" prompt="Необходимо для подсчётов" sqref="A30:I46" xr:uid="{3A100D4C-BFFC-4543-A4BC-29F7A8BDA58A}"/>
    <dataValidation allowBlank="1" showInputMessage="1" showErrorMessage="1" promptTitle="Заполняется автоматически" prompt="Итого часов на программу" sqref="I20" xr:uid="{E0DAAD0D-1F54-4B57-9ADD-2BD4F98E9486}"/>
    <dataValidation allowBlank="1" showInputMessage="1" showErrorMessage="1" promptTitle="Заполняется автоматически" prompt="сумма часов приведенных сверху" sqref="B20:H20" xr:uid="{D59B58A6-7856-41E1-AE96-80516CAE167A}"/>
  </dataValidations>
  <hyperlinks>
    <hyperlink ref="K9" location="Инструкция!M9" display="Перейти обратно к Инструкции" xr:uid="{053D81BB-322D-484E-AD76-88D087108CA4}"/>
  </hyperlink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Выбрать из списка" xr:uid="{96792C2E-A3DD-47BF-80FA-7287E614B503}">
          <x14:formula1>
            <xm:f>Справочник!$A$27:$A$28</xm:f>
          </x14:formula1>
          <xm:sqref>C23:H23 K19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showGridLines="0" topLeftCell="B1" zoomScaleNormal="100" zoomScaleSheetLayoutView="100" workbookViewId="0">
      <pane ySplit="6" topLeftCell="A7" activePane="bottomLeft" state="frozen"/>
      <selection pane="bottomLeft" activeCell="H16" sqref="H16"/>
    </sheetView>
  </sheetViews>
  <sheetFormatPr defaultColWidth="8.88671875" defaultRowHeight="13.8" outlineLevelRow="1" x14ac:dyDescent="0.25"/>
  <cols>
    <col min="1" max="1" width="42.6640625" style="75" customWidth="1"/>
    <col min="2" max="2" width="29.88671875" style="75" customWidth="1"/>
    <col min="3" max="3" width="22.109375" style="75" customWidth="1"/>
    <col min="4" max="4" width="22.88671875" style="75" customWidth="1"/>
    <col min="5" max="5" width="16.33203125" style="75" customWidth="1"/>
    <col min="6" max="6" width="20.33203125" style="75" customWidth="1"/>
    <col min="7" max="7" width="20" style="75" customWidth="1"/>
    <col min="8" max="8" width="21.33203125" style="75" customWidth="1"/>
    <col min="9" max="9" width="12.109375" style="75" customWidth="1"/>
    <col min="10" max="10" width="13.88671875" style="75" customWidth="1"/>
    <col min="11" max="11" width="12.33203125" style="75" bestFit="1" customWidth="1"/>
    <col min="12" max="16384" width="8.88671875" style="75"/>
  </cols>
  <sheetData>
    <row r="1" spans="1:12" ht="14.4" customHeight="1" x14ac:dyDescent="0.25">
      <c r="A1" s="2"/>
      <c r="B1" s="2"/>
      <c r="C1" s="2"/>
      <c r="D1" s="2"/>
      <c r="E1" s="2"/>
      <c r="F1" s="2"/>
      <c r="G1" s="2"/>
      <c r="H1" s="2"/>
      <c r="J1" s="297" t="s">
        <v>245</v>
      </c>
      <c r="K1" s="297"/>
      <c r="L1" s="297"/>
    </row>
    <row r="2" spans="1:12" ht="14.4" x14ac:dyDescent="0.3">
      <c r="A2"/>
      <c r="B2" s="2"/>
      <c r="C2" s="2"/>
      <c r="D2" s="2"/>
      <c r="E2" s="2"/>
      <c r="F2" s="2"/>
      <c r="G2" s="2"/>
      <c r="H2" s="2"/>
      <c r="J2" s="297"/>
      <c r="K2" s="297"/>
      <c r="L2" s="297"/>
    </row>
    <row r="3" spans="1:12" ht="25.8" customHeight="1" x14ac:dyDescent="0.25">
      <c r="A3" s="2"/>
      <c r="B3" s="2"/>
      <c r="C3" s="2"/>
      <c r="D3" s="2"/>
      <c r="E3" s="2"/>
      <c r="F3" s="2"/>
      <c r="G3" s="2"/>
      <c r="H3" s="2"/>
      <c r="J3" s="297"/>
      <c r="K3" s="297"/>
      <c r="L3" s="297"/>
    </row>
    <row r="4" spans="1:12" ht="13.8" customHeight="1" x14ac:dyDescent="0.25">
      <c r="A4" s="2"/>
      <c r="B4" s="2"/>
      <c r="C4" s="2"/>
      <c r="D4" s="2"/>
      <c r="E4" s="2"/>
      <c r="F4" s="2"/>
      <c r="G4" s="2"/>
      <c r="H4" s="2"/>
      <c r="J4" s="297"/>
      <c r="K4" s="297"/>
      <c r="L4" s="297"/>
    </row>
    <row r="5" spans="1:12" ht="16.2" customHeight="1" x14ac:dyDescent="0.25">
      <c r="A5" s="2"/>
      <c r="B5" s="2"/>
      <c r="C5" s="2"/>
      <c r="D5" s="2"/>
      <c r="E5" s="2"/>
      <c r="F5" s="2"/>
      <c r="G5" s="2"/>
      <c r="H5" s="2"/>
    </row>
    <row r="6" spans="1:12" ht="16.8" customHeight="1" thickBot="1" x14ac:dyDescent="0.3">
      <c r="A6" s="2"/>
      <c r="B6" s="2"/>
      <c r="C6" s="2"/>
      <c r="D6" s="2"/>
      <c r="E6" s="2"/>
      <c r="F6" s="2"/>
      <c r="G6" s="2"/>
      <c r="H6" s="2"/>
    </row>
    <row r="7" spans="1:12" ht="21" customHeight="1" thickBot="1" x14ac:dyDescent="0.35">
      <c r="A7" s="85" t="s">
        <v>31</v>
      </c>
      <c r="B7" s="139" t="s">
        <v>130</v>
      </c>
      <c r="C7" s="56"/>
      <c r="D7" s="308" t="s">
        <v>41</v>
      </c>
      <c r="E7" s="309"/>
      <c r="F7" s="310"/>
      <c r="G7" s="73" t="s">
        <v>42</v>
      </c>
      <c r="H7" s="74" t="s">
        <v>43</v>
      </c>
    </row>
    <row r="8" spans="1:12" ht="16.8" thickTop="1" thickBot="1" x14ac:dyDescent="0.35">
      <c r="A8" s="86" t="s">
        <v>37</v>
      </c>
      <c r="B8" s="140" t="s">
        <v>131</v>
      </c>
      <c r="C8" s="57"/>
      <c r="D8" s="311" t="s">
        <v>44</v>
      </c>
      <c r="E8" s="312"/>
      <c r="F8" s="313"/>
      <c r="G8" s="18">
        <f>B18</f>
        <v>100000</v>
      </c>
      <c r="H8" s="19">
        <f>C18</f>
        <v>60000</v>
      </c>
    </row>
    <row r="9" spans="1:12" ht="60" customHeight="1" thickTop="1" thickBot="1" x14ac:dyDescent="0.35">
      <c r="A9" s="86" t="s">
        <v>32</v>
      </c>
      <c r="B9" s="140" t="s">
        <v>132</v>
      </c>
      <c r="C9" s="57"/>
      <c r="D9" s="311" t="s">
        <v>45</v>
      </c>
      <c r="E9" s="312"/>
      <c r="F9" s="313"/>
      <c r="G9" s="20">
        <f>SUM(G25:G38)+SUM(G43:G48)/D15*B15+SUM(A53:D53)*G8+C58*B15+SUM(D59:D67)</f>
        <v>446489.92</v>
      </c>
      <c r="H9" s="21">
        <f>G49+D68+SUM(A53:D53)*H8</f>
        <v>432089.92</v>
      </c>
    </row>
    <row r="10" spans="1:12" ht="16.5" customHeight="1" thickTop="1" thickBot="1" x14ac:dyDescent="0.35">
      <c r="A10" s="86" t="s">
        <v>82</v>
      </c>
      <c r="B10" s="3" t="s">
        <v>84</v>
      </c>
      <c r="C10" s="57"/>
      <c r="D10" s="314" t="s">
        <v>46</v>
      </c>
      <c r="E10" s="315"/>
      <c r="F10" s="316"/>
      <c r="G10" s="22">
        <f>G8-G9</f>
        <v>-346489.92</v>
      </c>
      <c r="H10" s="23">
        <f>IF(D15&gt;0, H8-H9, 0)</f>
        <v>-372089.92</v>
      </c>
      <c r="I10" s="76"/>
      <c r="J10" s="76"/>
    </row>
    <row r="11" spans="1:12" ht="15.6" x14ac:dyDescent="0.25">
      <c r="A11" s="86" t="s">
        <v>38</v>
      </c>
      <c r="B11" s="140" t="s">
        <v>133</v>
      </c>
      <c r="C11" s="57"/>
      <c r="D11" s="58"/>
      <c r="E11" s="58"/>
      <c r="F11" s="58"/>
      <c r="G11" s="58"/>
      <c r="H11" s="59"/>
    </row>
    <row r="12" spans="1:12" ht="16.2" thickBot="1" x14ac:dyDescent="0.3">
      <c r="A12" s="87" t="s">
        <v>1</v>
      </c>
      <c r="B12" s="4">
        <f>'Учебный план'!B20</f>
        <v>13</v>
      </c>
      <c r="C12" s="57"/>
      <c r="D12" s="58"/>
      <c r="E12" s="58"/>
      <c r="F12" s="58"/>
      <c r="G12" s="58"/>
      <c r="H12" s="59"/>
    </row>
    <row r="13" spans="1:12" ht="14.4" thickBot="1" x14ac:dyDescent="0.3">
      <c r="A13" s="60"/>
      <c r="B13" s="53"/>
      <c r="C13" s="53"/>
      <c r="D13" s="58"/>
      <c r="E13" s="58"/>
      <c r="F13" s="58"/>
      <c r="G13" s="58"/>
      <c r="H13" s="59"/>
    </row>
    <row r="14" spans="1:12" ht="39" customHeight="1" thickBot="1" x14ac:dyDescent="0.35">
      <c r="A14" s="162" t="s">
        <v>33</v>
      </c>
      <c r="B14" s="165" t="s">
        <v>164</v>
      </c>
      <c r="C14" s="168" t="s">
        <v>168</v>
      </c>
      <c r="D14" s="170" t="s">
        <v>165</v>
      </c>
      <c r="E14" s="171" t="s">
        <v>166</v>
      </c>
      <c r="F14" s="170" t="s">
        <v>167</v>
      </c>
      <c r="G14" s="58"/>
      <c r="H14" s="90" t="s">
        <v>113</v>
      </c>
    </row>
    <row r="15" spans="1:12" ht="14.4" thickBot="1" x14ac:dyDescent="0.3">
      <c r="A15" s="163" t="s">
        <v>39</v>
      </c>
      <c r="B15" s="166">
        <v>10</v>
      </c>
      <c r="C15" s="166">
        <v>20</v>
      </c>
      <c r="D15" s="169">
        <f>B15</f>
        <v>10</v>
      </c>
      <c r="E15" s="169">
        <f>B15</f>
        <v>10</v>
      </c>
      <c r="F15" s="169">
        <f>B15</f>
        <v>10</v>
      </c>
      <c r="G15" s="58"/>
      <c r="H15" s="94" t="str" cm="1">
        <f t="array" ref="H15">IF(OR(Справочник!A27=('Учебный план'!C23:H23)), Справочник!A27, Справочник!A28)</f>
        <v>Да</v>
      </c>
    </row>
    <row r="16" spans="1:12" ht="17.25" customHeight="1" thickBot="1" x14ac:dyDescent="0.3">
      <c r="A16" s="163" t="s">
        <v>34</v>
      </c>
      <c r="B16" s="160">
        <v>10000</v>
      </c>
      <c r="C16" s="160">
        <v>3000</v>
      </c>
      <c r="D16" s="167">
        <f>F16*0.9</f>
        <v>10588.2352941176</v>
      </c>
      <c r="E16" s="167">
        <f>F16*0.95</f>
        <v>11176.470588235299</v>
      </c>
      <c r="F16" s="167">
        <f>B16/0.85</f>
        <v>11764.705882352901</v>
      </c>
      <c r="G16" s="58"/>
      <c r="H16" s="371"/>
    </row>
    <row r="17" spans="1:11" ht="14.4" thickBot="1" x14ac:dyDescent="0.3">
      <c r="A17" s="164"/>
      <c r="B17" s="161"/>
      <c r="C17" s="161"/>
      <c r="D17" s="58"/>
      <c r="E17" s="58"/>
      <c r="F17" s="58"/>
      <c r="G17" s="58"/>
      <c r="H17" s="59"/>
    </row>
    <row r="18" spans="1:11" ht="16.2" thickBot="1" x14ac:dyDescent="0.35">
      <c r="A18" s="5" t="s">
        <v>35</v>
      </c>
      <c r="B18" s="15">
        <f>B16*B15</f>
        <v>100000</v>
      </c>
      <c r="C18" s="16">
        <f>C16*C15</f>
        <v>60000</v>
      </c>
      <c r="D18" s="16">
        <f>D16*D15</f>
        <v>105882.35</v>
      </c>
      <c r="E18" s="16">
        <f>E16*E15</f>
        <v>111764.71</v>
      </c>
      <c r="F18" s="16">
        <f>F16*F15</f>
        <v>117647.06</v>
      </c>
      <c r="G18" s="58"/>
      <c r="H18" s="59"/>
    </row>
    <row r="19" spans="1:11" ht="16.8" thickTop="1" thickBot="1" x14ac:dyDescent="0.35">
      <c r="A19" s="61"/>
      <c r="B19" s="54"/>
      <c r="C19" s="54"/>
      <c r="D19" s="58"/>
      <c r="E19" s="58"/>
      <c r="F19" s="58"/>
      <c r="G19" s="58"/>
      <c r="H19" s="59"/>
    </row>
    <row r="20" spans="1:11" ht="18" customHeight="1" thickBot="1" x14ac:dyDescent="0.35">
      <c r="A20" s="317" t="s">
        <v>40</v>
      </c>
      <c r="B20" s="318"/>
      <c r="C20" s="318"/>
      <c r="D20" s="318"/>
      <c r="E20" s="318"/>
      <c r="F20" s="318"/>
      <c r="G20" s="318"/>
      <c r="H20" s="319"/>
    </row>
    <row r="21" spans="1:11" ht="14.4" thickBot="1" x14ac:dyDescent="0.3">
      <c r="A21" s="81"/>
      <c r="B21" s="82"/>
      <c r="C21" s="82"/>
      <c r="D21" s="58"/>
      <c r="E21" s="58"/>
      <c r="F21" s="58"/>
      <c r="G21" s="58"/>
      <c r="H21" s="59"/>
    </row>
    <row r="22" spans="1:11" ht="15.75" customHeight="1" thickBot="1" x14ac:dyDescent="0.3">
      <c r="A22" s="298" t="s">
        <v>148</v>
      </c>
      <c r="B22" s="299"/>
      <c r="C22" s="299"/>
      <c r="D22" s="299"/>
      <c r="E22" s="299"/>
      <c r="F22" s="299"/>
      <c r="G22" s="299"/>
      <c r="H22" s="300"/>
    </row>
    <row r="23" spans="1:11" ht="14.4" thickBot="1" x14ac:dyDescent="0.3">
      <c r="A23" s="81"/>
      <c r="B23" s="82"/>
      <c r="C23" s="82"/>
      <c r="D23" s="58"/>
      <c r="E23" s="58"/>
      <c r="F23" s="58"/>
      <c r="G23" s="58"/>
      <c r="H23" s="59"/>
    </row>
    <row r="24" spans="1:11" ht="54.75" customHeight="1" x14ac:dyDescent="0.25">
      <c r="A24" s="6" t="s">
        <v>49</v>
      </c>
      <c r="B24" s="7" t="s">
        <v>47</v>
      </c>
      <c r="C24" s="7" t="s">
        <v>95</v>
      </c>
      <c r="D24" s="7" t="s">
        <v>50</v>
      </c>
      <c r="E24" s="7" t="s">
        <v>51</v>
      </c>
      <c r="F24" s="7" t="s">
        <v>67</v>
      </c>
      <c r="G24" s="8" t="s">
        <v>56</v>
      </c>
      <c r="H24" s="79" t="s">
        <v>96</v>
      </c>
    </row>
    <row r="25" spans="1:11" ht="15" customHeight="1" x14ac:dyDescent="0.25">
      <c r="A25" s="78" t="s">
        <v>57</v>
      </c>
      <c r="B25" s="10" t="s">
        <v>55</v>
      </c>
      <c r="C25" s="88" t="s">
        <v>93</v>
      </c>
      <c r="D25" s="47">
        <v>10</v>
      </c>
      <c r="E25" s="47">
        <v>1500</v>
      </c>
      <c r="F25" s="11">
        <f t="shared" ref="F25:F38" si="0">D25*E25</f>
        <v>15000</v>
      </c>
      <c r="G25" s="1">
        <f>IF(AND(B25=Справочник!$A$2, 'Фин. модель'!C25=Справочник!$A$8), "Не заполнена должность", IF(AND(B25=Справочник!$A$2, C25=Справочник!$A$7), F25*1.18*1.302, IF(AND(B25=Справочник!$A$2, C25=Справочник!$A$6), 'Фин. модель'!F25*1.11*1.302, F25*1.3)))</f>
        <v>19500</v>
      </c>
      <c r="H25" s="80">
        <f>F25*0.87</f>
        <v>13050</v>
      </c>
      <c r="I25" s="76"/>
      <c r="J25" s="76"/>
      <c r="K25" s="76"/>
    </row>
    <row r="26" spans="1:11" x14ac:dyDescent="0.25">
      <c r="A26" s="78" t="s">
        <v>81</v>
      </c>
      <c r="B26" s="10" t="s">
        <v>54</v>
      </c>
      <c r="C26" s="88" t="s">
        <v>94</v>
      </c>
      <c r="D26" s="47">
        <v>1</v>
      </c>
      <c r="E26" s="47">
        <v>10000</v>
      </c>
      <c r="F26" s="11">
        <f t="shared" si="0"/>
        <v>10000</v>
      </c>
      <c r="G26" s="1">
        <f>IF(AND(B26=Справочник!$A$2, 'Фин. модель'!C26=Справочник!$A$8), "Не заполнена должность", IF(AND(B26=Справочник!$A$2, C26=Справочник!$A$7), F26*1.18*1.302, IF(AND(B26=Справочник!$A$2, C26=Справочник!$A$6), 'Фин. модель'!F26*1.11*1.302, F26*1.3)))</f>
        <v>15363.6</v>
      </c>
      <c r="H26" s="80">
        <f t="shared" ref="H26:H38" si="1">F26*0.87</f>
        <v>8700</v>
      </c>
    </row>
    <row r="27" spans="1:11" x14ac:dyDescent="0.25">
      <c r="A27" s="78" t="s">
        <v>52</v>
      </c>
      <c r="B27" s="10" t="s">
        <v>55</v>
      </c>
      <c r="C27" s="88"/>
      <c r="D27" s="47">
        <v>1</v>
      </c>
      <c r="E27" s="47">
        <v>20000</v>
      </c>
      <c r="F27" s="11">
        <f t="shared" si="0"/>
        <v>20000</v>
      </c>
      <c r="G27" s="1">
        <f>IF(AND(B27=Справочник!$A$2, 'Фин. модель'!C27=Справочник!$A$8), "Не заполнена должность", IF(AND(B27=Справочник!$A$2, C27=Справочник!$A$7), F27*1.18*1.302, IF(AND(B27=Справочник!$A$2, C27=Справочник!$A$6), 'Фин. модель'!F27*1.11*1.302, F27*1.3)))</f>
        <v>26000</v>
      </c>
      <c r="H27" s="80">
        <f t="shared" si="1"/>
        <v>17400</v>
      </c>
    </row>
    <row r="28" spans="1:11" ht="27.6" x14ac:dyDescent="0.25">
      <c r="A28" s="78" t="s">
        <v>123</v>
      </c>
      <c r="B28" s="10" t="s">
        <v>55</v>
      </c>
      <c r="C28" s="88"/>
      <c r="D28" s="47">
        <v>1</v>
      </c>
      <c r="E28" s="47">
        <v>30000</v>
      </c>
      <c r="F28" s="11">
        <f t="shared" si="0"/>
        <v>30000</v>
      </c>
      <c r="G28" s="1">
        <f>IF(AND(B28=Справочник!$A$2, 'Фин. модель'!C28=Справочник!$A$8), "Не заполнена должность", IF(AND(B28=Справочник!$A$2, C28=Справочник!$A$7), F28*1.18*1.302, IF(AND(B28=Справочник!$A$2, C28=Справочник!$A$6), 'Фин. модель'!F28*1.11*1.302, F28*1.3)))</f>
        <v>39000</v>
      </c>
      <c r="H28" s="80">
        <f t="shared" si="1"/>
        <v>26100</v>
      </c>
    </row>
    <row r="29" spans="1:11" x14ac:dyDescent="0.25">
      <c r="A29" s="78" t="s">
        <v>79</v>
      </c>
      <c r="B29" s="10" t="s">
        <v>55</v>
      </c>
      <c r="C29" s="88"/>
      <c r="D29" s="47">
        <v>1</v>
      </c>
      <c r="E29" s="47">
        <v>40000</v>
      </c>
      <c r="F29" s="11">
        <f t="shared" si="0"/>
        <v>40000</v>
      </c>
      <c r="G29" s="1">
        <f>IF(AND(B29=Справочник!$A$2, 'Фин. модель'!C29=Справочник!$A$8), "Не заполнена должность", IF(AND(B29=Справочник!$A$2, C29=Справочник!$A$7), F29*1.18*1.302, IF(AND(B29=Справочник!$A$2, C29=Справочник!$A$6), 'Фин. модель'!F29*1.11*1.302, F29*1.3)))</f>
        <v>52000</v>
      </c>
      <c r="H29" s="80">
        <f t="shared" si="1"/>
        <v>34800</v>
      </c>
    </row>
    <row r="30" spans="1:11" x14ac:dyDescent="0.25">
      <c r="A30" s="78" t="s">
        <v>80</v>
      </c>
      <c r="B30" s="10" t="s">
        <v>55</v>
      </c>
      <c r="C30" s="88"/>
      <c r="D30" s="47">
        <v>1</v>
      </c>
      <c r="E30" s="47">
        <v>50000</v>
      </c>
      <c r="F30" s="11">
        <f t="shared" si="0"/>
        <v>50000</v>
      </c>
      <c r="G30" s="1">
        <f>IF(AND(B30=Справочник!$A$2, 'Фин. модель'!C30=Справочник!$A$8), "Не заполнена должность", IF(AND(B30=Справочник!$A$2, C30=Справочник!$A$7), F30*1.18*1.302, IF(AND(B30=Справочник!$A$2, C30=Справочник!$A$6), 'Фин. модель'!F30*1.11*1.302, F30*1.3)))</f>
        <v>65000</v>
      </c>
      <c r="H30" s="80">
        <f t="shared" si="1"/>
        <v>43500</v>
      </c>
    </row>
    <row r="31" spans="1:11" x14ac:dyDescent="0.25">
      <c r="A31" s="78" t="s">
        <v>48</v>
      </c>
      <c r="B31" s="10" t="s">
        <v>55</v>
      </c>
      <c r="C31" s="88"/>
      <c r="D31" s="47">
        <v>1</v>
      </c>
      <c r="E31" s="47">
        <v>60000</v>
      </c>
      <c r="F31" s="11">
        <f t="shared" si="0"/>
        <v>60000</v>
      </c>
      <c r="G31" s="1">
        <f>IF(AND(B31=Справочник!$A$2, 'Фин. модель'!C31=Справочник!$A$8), "Не заполнена должность", IF(AND(B31=Справочник!$A$2, C31=Справочник!$A$7), F31*1.18*1.302, IF(AND(B31=Справочник!$A$2, C31=Справочник!$A$6), 'Фин. модель'!F31*1.11*1.302, F31*1.3)))</f>
        <v>78000</v>
      </c>
      <c r="H31" s="80">
        <f t="shared" si="1"/>
        <v>52200</v>
      </c>
    </row>
    <row r="32" spans="1:11" ht="27.6" x14ac:dyDescent="0.25">
      <c r="A32" s="78" t="s">
        <v>111</v>
      </c>
      <c r="B32" s="10" t="s">
        <v>55</v>
      </c>
      <c r="C32" s="88"/>
      <c r="D32" s="47">
        <v>1</v>
      </c>
      <c r="E32" s="47">
        <v>70000</v>
      </c>
      <c r="F32" s="11">
        <f t="shared" si="0"/>
        <v>70000</v>
      </c>
      <c r="G32" s="1">
        <f>IF(AND(B32=Справочник!$A$2, 'Фин. модель'!C32=Справочник!$A$8), "Не заполнена должность", IF(AND(B32=Справочник!$A$2, C32=Справочник!$A$7), F32*1.18*1.302, IF(AND(B32=Справочник!$A$2, C32=Справочник!$A$6), 'Фин. модель'!F32*1.11*1.302, F32*1.3)))</f>
        <v>91000</v>
      </c>
      <c r="H32" s="80">
        <f t="shared" si="1"/>
        <v>60900</v>
      </c>
    </row>
    <row r="33" spans="1:9" x14ac:dyDescent="0.25">
      <c r="A33" s="78"/>
      <c r="B33" s="10"/>
      <c r="C33" s="88"/>
      <c r="D33" s="47"/>
      <c r="E33" s="47"/>
      <c r="F33" s="11">
        <f>D33*E33</f>
        <v>0</v>
      </c>
      <c r="G33" s="1">
        <f>IF(AND(B33=Справочник!$A$2, 'Фин. модель'!C33=Справочник!$A$8), "Не заполнена должность", IF(AND(B33=Справочник!$A$2, C33=Справочник!$A$7), F33*1.18*1.302, IF(AND(B33=Справочник!$A$2, C33=Справочник!$A$6), 'Фин. модель'!F33*1.11*1.302, F33*1.3)))</f>
        <v>0</v>
      </c>
      <c r="H33" s="80">
        <f t="shared" si="1"/>
        <v>0</v>
      </c>
    </row>
    <row r="34" spans="1:9" x14ac:dyDescent="0.25">
      <c r="A34" s="78"/>
      <c r="B34" s="10"/>
      <c r="C34" s="88"/>
      <c r="D34" s="47"/>
      <c r="E34" s="47"/>
      <c r="F34" s="11">
        <f t="shared" si="0"/>
        <v>0</v>
      </c>
      <c r="G34" s="1">
        <f>IF(AND(B34=Справочник!$A$2, 'Фин. модель'!C34=Справочник!$A$8), "Не заполнена должность", IF(AND(B34=Справочник!$A$2, C34=Справочник!$A$7), F34*1.18*1.302, IF(AND(B34=Справочник!$A$2, C34=Справочник!$A$6), 'Фин. модель'!F34*1.11*1.302, F34*1.3)))</f>
        <v>0</v>
      </c>
      <c r="H34" s="80">
        <f t="shared" si="1"/>
        <v>0</v>
      </c>
    </row>
    <row r="35" spans="1:9" x14ac:dyDescent="0.25">
      <c r="A35" s="78"/>
      <c r="B35" s="10"/>
      <c r="C35" s="88"/>
      <c r="D35" s="47"/>
      <c r="E35" s="47"/>
      <c r="F35" s="11">
        <f t="shared" ref="F35:F37" si="2">D35*E35</f>
        <v>0</v>
      </c>
      <c r="G35" s="1">
        <f>IF(AND(B35=Справочник!$A$2, 'Фин. модель'!C35=Справочник!$A$8), "Не заполнена должность", IF(AND(B35=Справочник!$A$2, C35=Справочник!$A$7), F35*1.18*1.302, IF(AND(B35=Справочник!$A$2, C35=Справочник!$A$6), 'Фин. модель'!F35*1.11*1.302, F35*1.3)))</f>
        <v>0</v>
      </c>
      <c r="H35" s="80">
        <f t="shared" ref="H35:H37" si="3">F35*0.87</f>
        <v>0</v>
      </c>
    </row>
    <row r="36" spans="1:9" x14ac:dyDescent="0.25">
      <c r="A36" s="78"/>
      <c r="B36" s="10"/>
      <c r="C36" s="88"/>
      <c r="D36" s="47"/>
      <c r="E36" s="47"/>
      <c r="F36" s="11">
        <f t="shared" si="2"/>
        <v>0</v>
      </c>
      <c r="G36" s="1">
        <f>IF(AND(B36=Справочник!$A$2, 'Фин. модель'!C36=Справочник!$A$8), "Не заполнена должность", IF(AND(B36=Справочник!$A$2, C36=Справочник!$A$7), F36*1.18*1.302, IF(AND(B36=Справочник!$A$2, C36=Справочник!$A$6), 'Фин. модель'!F36*1.11*1.302, F36*1.3)))</f>
        <v>0</v>
      </c>
      <c r="H36" s="80">
        <f t="shared" si="3"/>
        <v>0</v>
      </c>
    </row>
    <row r="37" spans="1:9" x14ac:dyDescent="0.25">
      <c r="A37" s="78"/>
      <c r="B37" s="10"/>
      <c r="C37" s="88"/>
      <c r="D37" s="47"/>
      <c r="E37" s="47"/>
      <c r="F37" s="11">
        <f t="shared" si="2"/>
        <v>0</v>
      </c>
      <c r="G37" s="1">
        <f>IF(AND(B37=Справочник!$A$2, 'Фин. модель'!C37=Справочник!$A$8), "Не заполнена должность", IF(AND(B37=Справочник!$A$2, C37=Справочник!$A$7), F37*1.18*1.302, IF(AND(B37=Справочник!$A$2, C37=Справочник!$A$6), 'Фин. модель'!F37*1.11*1.302, F37*1.3)))</f>
        <v>0</v>
      </c>
      <c r="H37" s="80">
        <f t="shared" si="3"/>
        <v>0</v>
      </c>
    </row>
    <row r="38" spans="1:9" x14ac:dyDescent="0.25">
      <c r="A38" s="9"/>
      <c r="B38" s="10"/>
      <c r="C38" s="88"/>
      <c r="D38" s="47"/>
      <c r="E38" s="47"/>
      <c r="F38" s="11">
        <f t="shared" si="0"/>
        <v>0</v>
      </c>
      <c r="G38" s="1">
        <f>IF(AND(B38=Справочник!$A$2, 'Фин. модель'!C38=Справочник!$A$8), "Не заполнена должность", IF(AND(B38=Справочник!$A$2, C38=Справочник!$A$7), F38*1.18*1.302, IF(AND(B38=Справочник!$A$2, C38=Справочник!$A$6), 'Фин. модель'!F38*1.11*1.302, F38*1.3)))</f>
        <v>0</v>
      </c>
      <c r="H38" s="80">
        <f t="shared" si="1"/>
        <v>0</v>
      </c>
    </row>
    <row r="39" spans="1:9" ht="14.4" thickBot="1" x14ac:dyDescent="0.3">
      <c r="A39" s="320"/>
      <c r="B39" s="321"/>
      <c r="C39" s="321"/>
      <c r="D39" s="321"/>
      <c r="E39" s="321"/>
      <c r="F39" s="321"/>
      <c r="G39" s="321"/>
      <c r="H39" s="322"/>
    </row>
    <row r="40" spans="1:9" ht="15.75" customHeight="1" thickBot="1" x14ac:dyDescent="0.3">
      <c r="A40" s="298" t="s">
        <v>125</v>
      </c>
      <c r="B40" s="299"/>
      <c r="C40" s="299"/>
      <c r="D40" s="299"/>
      <c r="E40" s="299"/>
      <c r="F40" s="299"/>
      <c r="G40" s="299"/>
      <c r="H40" s="300"/>
    </row>
    <row r="41" spans="1:9" ht="48" customHeight="1" outlineLevel="1" x14ac:dyDescent="0.25">
      <c r="A41" s="323" t="s">
        <v>125</v>
      </c>
      <c r="B41" s="293" t="s">
        <v>47</v>
      </c>
      <c r="C41" s="293" t="s">
        <v>95</v>
      </c>
      <c r="D41" s="293" t="s">
        <v>117</v>
      </c>
      <c r="E41" s="293" t="s">
        <v>122</v>
      </c>
      <c r="F41" s="293" t="s">
        <v>67</v>
      </c>
      <c r="G41" s="295" t="s">
        <v>56</v>
      </c>
      <c r="H41" s="291" t="s">
        <v>96</v>
      </c>
    </row>
    <row r="42" spans="1:9" ht="15.75" customHeight="1" outlineLevel="1" x14ac:dyDescent="0.25">
      <c r="A42" s="324"/>
      <c r="B42" s="294"/>
      <c r="C42" s="294"/>
      <c r="D42" s="307"/>
      <c r="E42" s="294"/>
      <c r="F42" s="294"/>
      <c r="G42" s="296"/>
      <c r="H42" s="292"/>
    </row>
    <row r="43" spans="1:9" ht="26.4" outlineLevel="1" x14ac:dyDescent="0.25">
      <c r="A43" s="157" t="s">
        <v>134</v>
      </c>
      <c r="B43" s="10" t="s">
        <v>55</v>
      </c>
      <c r="C43" s="88"/>
      <c r="D43" s="306">
        <f>IF('Учебный план'!K19=Справочник!A27, 'Учебный план'!H19, 0)</f>
        <v>2</v>
      </c>
      <c r="E43" s="47">
        <v>500</v>
      </c>
      <c r="F43" s="52">
        <f t="shared" ref="F43:F48" si="4">IF($D$43&gt;0, E43*$D$15, 0)</f>
        <v>5000</v>
      </c>
      <c r="G43" s="1">
        <f>IF(AND(B43=Справочник!$A$2, 'Фин. модель'!C43=Справочник!$A$8), "Не заполнена должность", IF(AND(B43=Справочник!$A$2, C43=Справочник!$A$7), F43*1.18*1.302, IF(AND(B43=Справочник!$A$2, C43=Справочник!$A$6), 'Фин. модель'!F43*1.11*1.302, F43*1.3)))</f>
        <v>6500</v>
      </c>
      <c r="H43" s="80">
        <f>F43*0.87</f>
        <v>4350</v>
      </c>
      <c r="I43" s="76"/>
    </row>
    <row r="44" spans="1:9" outlineLevel="1" x14ac:dyDescent="0.25">
      <c r="A44" s="9" t="s">
        <v>124</v>
      </c>
      <c r="B44" s="10" t="s">
        <v>55</v>
      </c>
      <c r="C44" s="89"/>
      <c r="D44" s="306"/>
      <c r="E44" s="51">
        <v>400</v>
      </c>
      <c r="F44" s="52">
        <f t="shared" si="4"/>
        <v>4000</v>
      </c>
      <c r="G44" s="1">
        <f>IF(AND(B44=Справочник!$A$2, 'Фин. модель'!C44=Справочник!$A$8), "Не заполнена должность", IF(AND(B44=Справочник!$A$2, C44=Справочник!$A$7), F44*1.18*1.302, IF(AND(B44=Справочник!$A$2, C44=Справочник!$A$6), 'Фин. модель'!F44*1.11*1.302, F44*1.3)))</f>
        <v>5200</v>
      </c>
      <c r="H44" s="80">
        <f t="shared" ref="H44:H48" si="5">F44*0.87</f>
        <v>3480</v>
      </c>
    </row>
    <row r="45" spans="1:9" outlineLevel="1" x14ac:dyDescent="0.25">
      <c r="A45" s="9" t="s">
        <v>124</v>
      </c>
      <c r="B45" s="10" t="s">
        <v>54</v>
      </c>
      <c r="C45" s="89" t="s">
        <v>93</v>
      </c>
      <c r="D45" s="306"/>
      <c r="E45" s="51">
        <v>400</v>
      </c>
      <c r="F45" s="52">
        <f t="shared" si="4"/>
        <v>4000</v>
      </c>
      <c r="G45" s="1">
        <f>IF(AND(B45=Справочник!$A$2, 'Фин. модель'!C45=Справочник!$A$8), "Не заполнена должность", IF(AND(B45=Справочник!$A$2, C45=Справочник!$A$7), F45*1.18*1.302, IF(AND(B45=Справочник!$A$2, C45=Справочник!$A$6), 'Фин. модель'!F45*1.11*1.302, F45*1.3)))</f>
        <v>5780.88</v>
      </c>
      <c r="H45" s="80">
        <f t="shared" si="5"/>
        <v>3480</v>
      </c>
    </row>
    <row r="46" spans="1:9" outlineLevel="1" x14ac:dyDescent="0.25">
      <c r="A46" s="9" t="s">
        <v>124</v>
      </c>
      <c r="B46" s="10" t="s">
        <v>54</v>
      </c>
      <c r="C46" s="89" t="s">
        <v>94</v>
      </c>
      <c r="D46" s="306"/>
      <c r="E46" s="51">
        <v>400</v>
      </c>
      <c r="F46" s="52">
        <f t="shared" si="4"/>
        <v>4000</v>
      </c>
      <c r="G46" s="1">
        <f>IF(AND(B46=Справочник!$A$2, 'Фин. модель'!C46=Справочник!$A$8), "Не заполнена должность", IF(AND(B46=Справочник!$A$2, C46=Справочник!$A$7), F46*1.18*1.302, IF(AND(B46=Справочник!$A$2, C46=Справочник!$A$6), 'Фин. модель'!F46*1.11*1.302, F46*1.3)))</f>
        <v>6145.44</v>
      </c>
      <c r="H46" s="80">
        <f t="shared" si="5"/>
        <v>3480</v>
      </c>
    </row>
    <row r="47" spans="1:9" outlineLevel="1" x14ac:dyDescent="0.25">
      <c r="A47" s="9"/>
      <c r="B47" s="10"/>
      <c r="C47" s="89"/>
      <c r="D47" s="306"/>
      <c r="E47" s="51"/>
      <c r="F47" s="52">
        <f t="shared" si="4"/>
        <v>0</v>
      </c>
      <c r="G47" s="1">
        <f>IF(AND(B47=Справочник!$A$2, 'Фин. модель'!C47=Справочник!$A$8), "Не заполнена должность", IF(AND(B47=Справочник!$A$2, C47=Справочник!$A$7), F47*1.18*1.302, IF(AND(B47=Справочник!$A$2, C47=Справочник!$A$6), 'Фин. модель'!F47*1.11*1.302, F47*1.3)))</f>
        <v>0</v>
      </c>
      <c r="H47" s="80">
        <f t="shared" si="5"/>
        <v>0</v>
      </c>
    </row>
    <row r="48" spans="1:9" outlineLevel="1" x14ac:dyDescent="0.25">
      <c r="A48" s="9"/>
      <c r="B48" s="10"/>
      <c r="C48" s="89"/>
      <c r="D48" s="306"/>
      <c r="E48" s="51"/>
      <c r="F48" s="52">
        <f t="shared" si="4"/>
        <v>0</v>
      </c>
      <c r="G48" s="1">
        <f>IF(AND(B48=Справочник!$A$2, 'Фин. модель'!C48=Справочник!$A$8), "Не заполнена должность", IF(AND(B48=Справочник!$A$2, C48=Справочник!$A$7), F48*1.18*1.302, IF(AND(B48=Справочник!$A$2, C48=Справочник!$A$6), 'Фин. модель'!F48*1.11*1.302, F48*1.3)))</f>
        <v>0</v>
      </c>
      <c r="H48" s="80">
        <f t="shared" si="5"/>
        <v>0</v>
      </c>
    </row>
    <row r="49" spans="1:8" s="154" customFormat="1" ht="49.5" customHeight="1" thickBot="1" x14ac:dyDescent="0.35">
      <c r="A49" s="303" t="s">
        <v>53</v>
      </c>
      <c r="B49" s="304"/>
      <c r="C49" s="305"/>
      <c r="D49" s="151" t="str">
        <f>IF(SUM(D25:D38)+D43='Учебный план'!I46, SUM(D25:D38)+D43, "См. учебный план - часы указаны некорректно!")</f>
        <v>См. учебный план - часы указаны некорректно!</v>
      </c>
      <c r="E49" s="301" t="s">
        <v>246</v>
      </c>
      <c r="F49" s="302"/>
      <c r="G49" s="152">
        <f>SUM(G25:G38, G43:G48)</f>
        <v>409489.91999999998</v>
      </c>
      <c r="H49" s="153">
        <f>SUM(H25:H38, H43:H48)</f>
        <v>271440</v>
      </c>
    </row>
    <row r="50" spans="1:8" ht="14.4" thickBot="1" x14ac:dyDescent="0.3">
      <c r="A50" s="62"/>
      <c r="B50" s="58"/>
      <c r="C50" s="58"/>
      <c r="D50" s="58"/>
      <c r="E50" s="58"/>
      <c r="F50" s="58"/>
      <c r="G50" s="58"/>
      <c r="H50" s="59"/>
    </row>
    <row r="51" spans="1:8" ht="14.4" customHeight="1" thickBot="1" x14ac:dyDescent="0.3">
      <c r="A51" s="298" t="s">
        <v>146</v>
      </c>
      <c r="B51" s="299"/>
      <c r="C51" s="299"/>
      <c r="D51" s="299"/>
      <c r="E51" s="299"/>
      <c r="F51" s="299"/>
      <c r="G51" s="299"/>
      <c r="H51" s="300"/>
    </row>
    <row r="52" spans="1:8" ht="41.4" x14ac:dyDescent="0.25">
      <c r="A52" s="63" t="s">
        <v>58</v>
      </c>
      <c r="B52" s="12" t="s">
        <v>59</v>
      </c>
      <c r="C52" s="12" t="s">
        <v>71</v>
      </c>
      <c r="D52" s="12" t="s">
        <v>108</v>
      </c>
      <c r="E52" s="58"/>
      <c r="F52" s="58"/>
      <c r="G52" s="58"/>
      <c r="H52" s="59"/>
    </row>
    <row r="53" spans="1:8" x14ac:dyDescent="0.25">
      <c r="A53" s="64">
        <v>0.15</v>
      </c>
      <c r="B53" s="17">
        <v>0.15</v>
      </c>
      <c r="C53" s="48">
        <v>0.05</v>
      </c>
      <c r="D53" s="48">
        <v>0.01</v>
      </c>
      <c r="E53" s="58"/>
      <c r="F53" s="58"/>
      <c r="G53" s="58"/>
      <c r="H53" s="59"/>
    </row>
    <row r="54" spans="1:8" x14ac:dyDescent="0.25">
      <c r="A54" s="65"/>
      <c r="B54" s="55"/>
      <c r="C54" s="55"/>
      <c r="D54" s="58"/>
      <c r="E54" s="58"/>
      <c r="F54" s="58"/>
      <c r="G54" s="58"/>
      <c r="H54" s="59"/>
    </row>
    <row r="55" spans="1:8" ht="14.4" thickBot="1" x14ac:dyDescent="0.3">
      <c r="A55" s="62"/>
      <c r="B55" s="58"/>
      <c r="C55" s="58"/>
      <c r="D55" s="58"/>
      <c r="E55" s="58"/>
      <c r="F55" s="58"/>
      <c r="G55" s="58"/>
      <c r="H55" s="59"/>
    </row>
    <row r="56" spans="1:8" s="77" customFormat="1" ht="15" customHeight="1" thickBot="1" x14ac:dyDescent="0.3">
      <c r="A56" s="298" t="s">
        <v>147</v>
      </c>
      <c r="B56" s="299"/>
      <c r="C56" s="299"/>
      <c r="D56" s="299"/>
      <c r="E56" s="299"/>
      <c r="F56" s="299"/>
      <c r="G56" s="299"/>
      <c r="H56" s="300"/>
    </row>
    <row r="57" spans="1:8" x14ac:dyDescent="0.25">
      <c r="A57" s="66" t="s">
        <v>60</v>
      </c>
      <c r="B57" s="13" t="s">
        <v>74</v>
      </c>
      <c r="C57" s="13" t="s">
        <v>75</v>
      </c>
      <c r="D57" s="13" t="s">
        <v>6</v>
      </c>
      <c r="E57" s="58"/>
      <c r="F57" s="58"/>
      <c r="G57" s="58"/>
      <c r="H57" s="59"/>
    </row>
    <row r="58" spans="1:8" x14ac:dyDescent="0.25">
      <c r="A58" s="67" t="s">
        <v>62</v>
      </c>
      <c r="B58" s="50">
        <f>D15</f>
        <v>10</v>
      </c>
      <c r="C58" s="49">
        <v>100</v>
      </c>
      <c r="D58" s="14">
        <f>B58*C58</f>
        <v>1000</v>
      </c>
      <c r="E58" s="58"/>
      <c r="F58" s="58"/>
      <c r="G58" s="58"/>
      <c r="H58" s="59"/>
    </row>
    <row r="59" spans="1:8" ht="41.4" x14ac:dyDescent="0.25">
      <c r="A59" s="78" t="s">
        <v>144</v>
      </c>
      <c r="B59" s="49"/>
      <c r="C59" s="49"/>
      <c r="D59" s="14">
        <f>B59*C59</f>
        <v>0</v>
      </c>
      <c r="E59" s="58"/>
      <c r="F59" s="58"/>
      <c r="G59" s="58"/>
      <c r="H59" s="59"/>
    </row>
    <row r="60" spans="1:8" ht="41.4" x14ac:dyDescent="0.25">
      <c r="A60" s="78" t="s">
        <v>145</v>
      </c>
      <c r="B60" s="49"/>
      <c r="C60" s="49"/>
      <c r="D60" s="14">
        <f t="shared" ref="D60:D67" si="6">B60*C60</f>
        <v>0</v>
      </c>
      <c r="E60" s="58"/>
      <c r="F60" s="58"/>
      <c r="G60" s="58"/>
      <c r="H60" s="59"/>
    </row>
    <row r="61" spans="1:8" x14ac:dyDescent="0.25">
      <c r="A61" s="68" t="s">
        <v>87</v>
      </c>
      <c r="B61" s="49"/>
      <c r="C61" s="49"/>
      <c r="D61" s="14">
        <f t="shared" si="6"/>
        <v>0</v>
      </c>
      <c r="E61" s="58"/>
      <c r="F61" s="58"/>
      <c r="G61" s="58"/>
      <c r="H61" s="59"/>
    </row>
    <row r="62" spans="1:8" x14ac:dyDescent="0.25">
      <c r="A62" s="68" t="s">
        <v>88</v>
      </c>
      <c r="B62" s="49"/>
      <c r="C62" s="49"/>
      <c r="D62" s="14">
        <f t="shared" si="6"/>
        <v>0</v>
      </c>
      <c r="E62" s="58"/>
      <c r="F62" s="58"/>
      <c r="G62" s="58"/>
      <c r="H62" s="59"/>
    </row>
    <row r="63" spans="1:8" ht="27.6" x14ac:dyDescent="0.25">
      <c r="A63" s="78" t="s">
        <v>142</v>
      </c>
      <c r="B63" s="49"/>
      <c r="C63" s="49"/>
      <c r="D63" s="14">
        <f t="shared" si="6"/>
        <v>0</v>
      </c>
      <c r="E63" s="58"/>
      <c r="F63" s="58"/>
      <c r="G63" s="58"/>
      <c r="H63" s="59"/>
    </row>
    <row r="64" spans="1:8" x14ac:dyDescent="0.25">
      <c r="A64" s="78"/>
      <c r="B64" s="49"/>
      <c r="C64" s="49"/>
      <c r="D64" s="14">
        <f t="shared" si="6"/>
        <v>0</v>
      </c>
      <c r="E64" s="58"/>
      <c r="F64" s="58"/>
      <c r="G64" s="58"/>
      <c r="H64" s="59"/>
    </row>
    <row r="65" spans="1:8" x14ac:dyDescent="0.25">
      <c r="A65" s="78"/>
      <c r="B65" s="49"/>
      <c r="C65" s="49"/>
      <c r="D65" s="14">
        <f t="shared" si="6"/>
        <v>0</v>
      </c>
      <c r="E65" s="58"/>
      <c r="F65" s="58"/>
      <c r="G65" s="58"/>
      <c r="H65" s="59"/>
    </row>
    <row r="66" spans="1:8" x14ac:dyDescent="0.25">
      <c r="A66" s="78"/>
      <c r="B66" s="49"/>
      <c r="C66" s="49"/>
      <c r="D66" s="14">
        <f t="shared" si="6"/>
        <v>0</v>
      </c>
      <c r="E66" s="58"/>
      <c r="F66" s="58"/>
      <c r="G66" s="58"/>
      <c r="H66" s="59"/>
    </row>
    <row r="67" spans="1:8" x14ac:dyDescent="0.25">
      <c r="A67" s="68"/>
      <c r="B67" s="49"/>
      <c r="C67" s="49"/>
      <c r="D67" s="14">
        <f t="shared" si="6"/>
        <v>0</v>
      </c>
      <c r="E67" s="58"/>
      <c r="F67" s="58"/>
      <c r="G67" s="58"/>
      <c r="H67" s="59"/>
    </row>
    <row r="68" spans="1:8" ht="14.4" thickBot="1" x14ac:dyDescent="0.3">
      <c r="A68" s="69" t="s">
        <v>61</v>
      </c>
      <c r="B68" s="70"/>
      <c r="C68" s="70"/>
      <c r="D68" s="70">
        <f>SUM(D58:D67)</f>
        <v>1000</v>
      </c>
      <c r="E68" s="71"/>
      <c r="F68" s="71"/>
      <c r="G68" s="71"/>
      <c r="H68" s="72"/>
    </row>
  </sheetData>
  <sheetProtection insertRows="0"/>
  <mergeCells count="22">
    <mergeCell ref="J1:L4"/>
    <mergeCell ref="A51:H51"/>
    <mergeCell ref="A56:H56"/>
    <mergeCell ref="E49:F49"/>
    <mergeCell ref="A49:C49"/>
    <mergeCell ref="D43:D48"/>
    <mergeCell ref="D41:D42"/>
    <mergeCell ref="D7:F7"/>
    <mergeCell ref="D8:F8"/>
    <mergeCell ref="D9:F9"/>
    <mergeCell ref="D10:F10"/>
    <mergeCell ref="A20:H20"/>
    <mergeCell ref="A22:H22"/>
    <mergeCell ref="A39:H39"/>
    <mergeCell ref="A40:H40"/>
    <mergeCell ref="A41:A42"/>
    <mergeCell ref="H41:H42"/>
    <mergeCell ref="B41:B42"/>
    <mergeCell ref="C41:C42"/>
    <mergeCell ref="E41:E42"/>
    <mergeCell ref="F41:F42"/>
    <mergeCell ref="G41:G42"/>
  </mergeCells>
  <conditionalFormatting sqref="D15">
    <cfRule type="cellIs" dxfId="7" priority="1" operator="lessThan">
      <formula>$B$15</formula>
    </cfRule>
  </conditionalFormatting>
  <conditionalFormatting sqref="G10:H10">
    <cfRule type="cellIs" dxfId="5" priority="2" operator="lessThan">
      <formula>0</formula>
    </cfRule>
  </conditionalFormatting>
  <dataValidations xWindow="944" yWindow="718" count="25">
    <dataValidation allowBlank="1" showInputMessage="1" showErrorMessage="1" prompt="Заполняется минимальное количество слушателей и минимальная стоимость программы на 1 слушателя  (с учетом максимально возможных скидок) Таким образом определяется точка безубыточности программы, на основании которой формируется ценовая политика" sqref="B15:B16 C15:F15" xr:uid="{F80301D6-7AF3-4CC1-9C62-7DB6CBC209D6}"/>
    <dataValidation allowBlank="1" showInputMessage="1" showErrorMessage="1" prompt="для проведения занятий и доп.консультаций=количество часов*стоимость часа; для иных работ произвольная сумма" sqref="F25:F38" xr:uid="{5346B5B7-4329-45C0-8C8A-E4202566F3F2}"/>
    <dataValidation allowBlank="1" showInputMessage="1" showErrorMessage="1" prompt="Часы заполняются только для проведения занятий, доп.консультаций и итоговой аттестации (без комиссии). _x000a_ Для иных работ необходимо указать общую сумму оплаты труда в графе &quot;ИТОГО оплата труда&quot;" sqref="D25:D38" xr:uid="{CE95C71C-5C68-4E24-B18C-72AC5FBAF7A5}"/>
    <dataValidation allowBlank="1" showInputMessage="1" showErrorMessage="1" prompt="Заполнить" sqref="B7:B9 B11" xr:uid="{4A7C4947-2570-4F83-80AF-25E7F1DB68E8}"/>
    <dataValidation allowBlank="1" showInputMessage="1" showErrorMessage="1" promptTitle="Заполняется автоматически" prompt="из учебного плана" sqref="B12" xr:uid="{443174A7-DF99-4F35-B8E4-345D35074F89}"/>
    <dataValidation allowBlank="1" showInputMessage="1" showErrorMessage="1" promptTitle="ЗАПОЛНЯЕТСЯ АВТОМАТИЧЕСКИ" prompt="по информации из учебного плана на основании информации о подгруппах" sqref="H15" xr:uid="{648796B0-0855-4180-AEB8-6097EED0338F}"/>
    <dataValidation allowBlank="1" showInputMessage="1" showErrorMessage="1" promptTitle="Заполняется автоматически" prompt="на основании данных об оплате труда" sqref="G25:G38" xr:uid="{BD8B1C74-5ABE-44E7-B459-3B12DD50F25A}"/>
    <dataValidation allowBlank="1" showInputMessage="1" showErrorMessage="1" prompt="Заполняется автоматически на основании учебного плана и параметра итоговой аттестации" sqref="D43:D48" xr:uid="{9B06875C-5760-4CE1-8991-B1939103CFF0}"/>
    <dataValidation allowBlank="1" showInputMessage="1" showErrorMessage="1" promptTitle="Заполняется автоматически" prompt="на основании стоимости на 1 слушателя" sqref="G43:G48" xr:uid="{57D0A80F-709F-4A6F-961A-D930DA18D5D2}"/>
    <dataValidation allowBlank="1" showInputMessage="1" showErrorMessage="1" prompt="устанавливается отдельным приказом Школы/структурного подразделения" sqref="C53" xr:uid="{5A20C4D9-F947-490E-A2E6-15D786F6D424}"/>
    <dataValidation allowBlank="1" showInputMessage="1" showErrorMessage="1" prompt="Общеуниверситетский приказ._x000a_При реализации программы за счет бюджетного или целевого финансирования=0" sqref="A53:B53" xr:uid="{F785C514-145F-468C-B88B-52CE36E28CE7}"/>
    <dataValidation allowBlank="1" showInputMessage="1" showErrorMessage="1" promptTitle="Заполняется автоматически" prompt="на основании стоимости на 1 слушателя_x000a_либо произвольно на основании договоренности с экспертом" sqref="F43:F48" xr:uid="{E535F384-FA38-4F13-A332-33624443D253}"/>
    <dataValidation allowBlank="1" showInputMessage="1" showErrorMessage="1" prompt="Возможно указать общую стоимость услуг в графе &quot;Сумма&quot;" sqref="B59:C67" xr:uid="{8AD84D3A-13BF-4DF5-853E-136391608D8B}"/>
    <dataValidation allowBlank="1" showInputMessage="1" showErrorMessage="1" prompt="Заполняется целевая (желаемая) стоимость программы на 1 слушателя или базовая стоимость реализации без применения скидок" sqref="B16:F16" xr:uid="{D2EB67B5-E731-4AD8-831A-2E2AE096B837}"/>
    <dataValidation allowBlank="1" showInputMessage="1" showErrorMessage="1" prompt="Реалистичное количество без риска недобора, может быть больше или равен минимальному" sqref="B15:F15" xr:uid="{822DBE96-52C6-4039-93DE-BC6CF24489EE}"/>
    <dataValidation allowBlank="1" showInputMessage="1" showErrorMessage="1" promptTitle="Заполняется автоматически" prompt="Безубыточная выручка (скидка 15%) = Количество слушателей * Стоимость программы (на 1 слушателя)" sqref="B18" xr:uid="{23F3D371-BE77-4188-A46C-EA3BC75E8416}"/>
    <dataValidation allowBlank="1" showInputMessage="1" showErrorMessage="1" promptTitle="Заполняется автоматически" prompt="Валовая выручка с базовой ценой = Количество слушателей * Стоимость программы (на 1 слушателя)" sqref="F18" xr:uid="{CCEF042D-CDED-4976-885D-ED97EC57E351}"/>
    <dataValidation allowBlank="1" showInputMessage="1" showErrorMessage="1" promptTitle="Заполняется автоматически" prompt="Валовая выручка со скидкой 5% = Количество слушателей * Стоимость программы (на 1 слушателя)" sqref="E18" xr:uid="{DAA23100-1D6D-4A40-B73E-BFC31AD4BB7E}"/>
    <dataValidation allowBlank="1" showInputMessage="1" showErrorMessage="1" promptTitle="Заполняется автоматически" prompt="Валовая выручка со скидкой 10% = Количество слушателей * Стоимость программы (на 1 слушателя)" sqref="D18" xr:uid="{8B7FED0F-3E23-45EC-876B-46AC993CFDCE}"/>
    <dataValidation allowBlank="1" showInputMessage="1" showErrorMessage="1" promptTitle="Заполняется автоматически" prompt="Целевая валовая выручка = Количество слушателей * Стоимость программы (на 1 слушателя)" sqref="C18" xr:uid="{74F86379-71D8-4CAC-83CB-E30A2023C233}"/>
    <dataValidation errorStyle="information" allowBlank="1" showInputMessage="1" showErrorMessage="1" promptTitle="Заполняется автоматически" prompt="На основе введенных на этой странице данных" sqref="G8:H10" xr:uid="{A6DEBB3A-8539-4E1C-BFA3-9B97460E9C1C}"/>
    <dataValidation allowBlank="1" showInputMessage="1" showErrorMessage="1" promptTitle="Заполняется автоматически" prompt="Итого затрат на реализацию программы" sqref="G49:H49" xr:uid="{D63FC42F-162D-47D6-8B4E-1A9E8A2ACB62}"/>
    <dataValidation allowBlank="1" showInputMessage="1" showErrorMessage="1" promptTitle="Заполняется автоматически" prompt="Количество * Цена" sqref="D58:D67" xr:uid="{26F6B16D-F205-42D8-86C2-56656D374CC1}"/>
    <dataValidation allowBlank="1" showInputMessage="1" showErrorMessage="1" promptTitle="Заполняется автоматически" prompt="Итого сумма" sqref="D68" xr:uid="{095C6EFC-E8D8-45A6-ACE5-9A8E3D725F51}"/>
    <dataValidation allowBlank="1" showInputMessage="1" showErrorMessage="1" promptTitle="Заполняется автоматически" prompt="Показывает сумму часов программы" sqref="D49" xr:uid="{B0DC32A6-5B21-460B-9C61-ADE87291A1FB}"/>
  </dataValidations>
  <hyperlinks>
    <hyperlink ref="J1" location="Инструкция!M9" display="Перейти обратно к Инструкции" xr:uid="{37DD2220-D7A1-4AA4-A1F7-08FF0A365347}"/>
    <hyperlink ref="E49:F49" location="'Учебный план'!A1" display="Перейти к ЛИСТу &quot;Учебный план&quot;" xr:uid="{B620DF08-C6C5-41C2-B042-05F49711850F}"/>
  </hyperlinks>
  <pageMargins left="0.7" right="0.7" top="0.75" bottom="0.75" header="0.3" footer="0.3"/>
  <pageSetup paperSize="9" scale="38" orientation="landscape" r:id="rId1"/>
  <ignoredErrors>
    <ignoredError sqref="F38 F25:F32 F35:F37 H35:H37 G43:G48 D43 F43:F48 F34" unlocked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6CCD5FB1-4330-4809-9A17-EA3B18B3BAE5}">
            <xm:f>$D$49=IF(H15=Справочник!A27, 'Учебный план'!B46-'Учебный план'!G46+'Учебный план'!#REF!, 'Учебный план'!B20-'Учебный план'!G20+'Учебный план'!#REF!)</xm:f>
            <x14:dxf>
              <fill>
                <patternFill>
                  <bgColor rgb="FF00B050"/>
                </patternFill>
              </fill>
            </x14:dxf>
          </x14:cfRule>
          <xm:sqref>D49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944" yWindow="718" count="7">
        <x14:dataValidation type="list" allowBlank="1" showInputMessage="1" showErrorMessage="1" prompt="Комиссия состоит не менее чем из 3х членов, председатель обязательно должен быть внешним экспертом (договор ГПХ)" xr:uid="{00000000-0002-0000-0100-000000000000}">
          <x14:formula1>
            <xm:f>Справочник!$A$2:$A$3</xm:f>
          </x14:formula1>
          <xm:sqref>B43:B48</xm:sqref>
        </x14:dataValidation>
        <x14:dataValidation type="list" allowBlank="1" showInputMessage="1" showErrorMessage="1" prompt="Выбрать из списка_x000a_" xr:uid="{00000000-0002-0000-0100-000002000000}">
          <x14:formula1>
            <xm:f>Справочник!$A$10:$A$13</xm:f>
          </x14:formula1>
          <xm:sqref>B10</xm:sqref>
        </x14:dataValidation>
        <x14:dataValidation type="list" allowBlank="1" showInputMessage="1" showErrorMessage="1" prompt="При виде занятости &quot;Трудовой договор&quot; обязательно заполнить категорию должности" xr:uid="{955185E2-F8BF-4B75-924A-CFA7792BA42B}">
          <x14:formula1>
            <xm:f>Справочник!$A$6:$A$7</xm:f>
          </x14:formula1>
          <xm:sqref>C43:C48</xm:sqref>
        </x14:dataValidation>
        <x14:dataValidation type="list" allowBlank="1" showInputMessage="1" showErrorMessage="1" prompt="Выбрать из списка" xr:uid="{C2856591-C1A5-4A75-B310-CAE30311EA94}">
          <x14:formula1>
            <xm:f>Справочник!$A$2:$A$3</xm:f>
          </x14:formula1>
          <xm:sqref>B25:B38</xm:sqref>
        </x14:dataValidation>
        <x14:dataValidation type="list" allowBlank="1" showInputMessage="1" showErrorMessage="1" prompt="При виде занятости &quot;Трудовой договор&quot; обязательно заполнить категорию должности, по которой сотруднику будет выплата. На программах ДО преподавать могут и сотрудники категории АУП, а ППС могут заниматься административной работой. " xr:uid="{6BE64B46-449E-45E7-9210-9B073423967A}">
          <x14:formula1>
            <xm:f>Справочник!$A$6:$A$7</xm:f>
          </x14:formula1>
          <xm:sqref>C25:C38</xm:sqref>
        </x14:dataValidation>
        <x14:dataValidation type="list" allowBlank="1" showInputMessage="1" showErrorMessage="1" prompt="Выбрать из списка" xr:uid="{9F3D4EB2-2E7C-434D-A818-E7D297E0BF6F}">
          <x14:formula1>
            <xm:f>Справочник!$A$16:$A$23</xm:f>
          </x14:formula1>
          <xm:sqref>A25:A38</xm:sqref>
        </x14:dataValidation>
        <x14:dataValidation type="list" allowBlank="1" showInputMessage="1" showErrorMessage="1" prompt="Выбрать из списка" xr:uid="{8EBCB40D-7A75-4B0F-930A-D785C27B2E87}">
          <x14:formula1>
            <xm:f>Справочник!$A$24:$A$25</xm:f>
          </x14:formula1>
          <xm:sqref>A43:A48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0"/>
  <sheetViews>
    <sheetView showGridLines="0" zoomScale="80" zoomScaleNormal="80" workbookViewId="0">
      <pane ySplit="16" topLeftCell="A31" activePane="bottomLeft" state="frozen"/>
      <selection pane="bottomLeft" activeCell="D35" sqref="D35"/>
    </sheetView>
  </sheetViews>
  <sheetFormatPr defaultColWidth="9.109375" defaultRowHeight="14.4" x14ac:dyDescent="0.3"/>
  <cols>
    <col min="1" max="1" width="5.6640625" style="24" customWidth="1"/>
    <col min="2" max="2" width="61.44140625" style="24" customWidth="1"/>
    <col min="3" max="3" width="11" style="24" customWidth="1"/>
    <col min="4" max="4" width="36.109375" style="24" customWidth="1"/>
    <col min="5" max="5" width="20.5546875" style="24" customWidth="1"/>
    <col min="6" max="6" width="6.109375" style="24" customWidth="1"/>
    <col min="7" max="7" width="5.5546875" style="24" customWidth="1"/>
    <col min="8" max="16384" width="9.109375" style="24"/>
  </cols>
  <sheetData>
    <row r="1" spans="1:11" ht="25.2" customHeight="1" x14ac:dyDescent="0.3">
      <c r="A1" s="354" t="str">
        <f>IF('Фин. модель'!H10&lt;0, "Программа нерентабельна! Необходимо пересмотреть экономику программы", "")</f>
        <v>Программа нерентабельна! Необходимо пересмотреть экономику программы</v>
      </c>
      <c r="B1" s="354"/>
      <c r="C1" s="354"/>
      <c r="D1" s="354"/>
      <c r="F1" s="339" t="s">
        <v>245</v>
      </c>
      <c r="G1" s="339"/>
      <c r="H1" s="339"/>
      <c r="I1" s="339"/>
      <c r="J1" s="339"/>
      <c r="K1" s="339"/>
    </row>
    <row r="2" spans="1:11" ht="26.25" customHeight="1" x14ac:dyDescent="0.3">
      <c r="A2" s="354"/>
      <c r="B2" s="354"/>
      <c r="C2" s="354"/>
      <c r="D2" s="354"/>
      <c r="F2" s="339"/>
      <c r="G2" s="339"/>
      <c r="H2" s="339"/>
      <c r="I2" s="339"/>
      <c r="J2" s="339"/>
      <c r="K2" s="339"/>
    </row>
    <row r="3" spans="1:11" ht="18" x14ac:dyDescent="0.35">
      <c r="A3" s="356" t="str">
        <f>'Фин. модель'!B8</f>
        <v>Карьерные траектории</v>
      </c>
      <c r="B3" s="356"/>
      <c r="C3" s="356"/>
      <c r="D3" s="356"/>
    </row>
    <row r="4" spans="1:11" ht="15.6" x14ac:dyDescent="0.3">
      <c r="A4" s="355" t="str">
        <f>'Фин. модель'!B7</f>
        <v>ДВЦОО</v>
      </c>
      <c r="B4" s="355"/>
      <c r="C4" s="355"/>
      <c r="D4" s="355"/>
    </row>
    <row r="5" spans="1:11" ht="15.6" x14ac:dyDescent="0.3">
      <c r="A5" s="325" t="s">
        <v>0</v>
      </c>
      <c r="B5" s="326"/>
      <c r="C5" s="326"/>
      <c r="D5" s="326"/>
    </row>
    <row r="6" spans="1:11" ht="18.75" customHeight="1" x14ac:dyDescent="0.3">
      <c r="A6" s="325" t="s">
        <v>66</v>
      </c>
      <c r="B6" s="326"/>
      <c r="C6" s="326"/>
      <c r="D6" s="326"/>
    </row>
    <row r="7" spans="1:11" ht="15.6" x14ac:dyDescent="0.3">
      <c r="A7" s="342" t="str">
        <f>'Фин. модель'!B11</f>
        <v>01.02.2024 - 30.12.2024</v>
      </c>
      <c r="B7" s="342"/>
      <c r="C7" s="342"/>
      <c r="D7" s="342"/>
    </row>
    <row r="8" spans="1:11" ht="15.6" x14ac:dyDescent="0.3">
      <c r="A8" s="349" t="str" cm="1">
        <f t="array" ref="A8">IF(OR('Фин. модель'!B10=Справочник!A10:A11), CONCATENATE("по дополнительной профессиональной программе ", 'Фин. модель'!B10), IF('Фин. модель'!B10=Справочник!$A$13, "по дополнительной общеразвивающей программе", "по программе профессионального обучения"))</f>
        <v>по дополнительной профессиональной программе повышения квалификации</v>
      </c>
      <c r="B8" s="326"/>
      <c r="C8" s="326"/>
      <c r="D8" s="326"/>
    </row>
    <row r="9" spans="1:11" ht="15.6" x14ac:dyDescent="0.3">
      <c r="A9" s="350" t="str">
        <f>'Фин. модель'!B9</f>
        <v>Преподаватель высшей школы</v>
      </c>
      <c r="B9" s="326"/>
      <c r="C9" s="326"/>
      <c r="D9" s="326"/>
    </row>
    <row r="10" spans="1:11" ht="15.6" x14ac:dyDescent="0.3">
      <c r="A10" s="347" t="s">
        <v>1</v>
      </c>
      <c r="B10" s="326"/>
      <c r="C10" s="326"/>
      <c r="D10" s="136">
        <f>'Фин. модель'!B12</f>
        <v>13</v>
      </c>
    </row>
    <row r="11" spans="1:11" ht="31.2" x14ac:dyDescent="0.3">
      <c r="A11" s="347" t="s">
        <v>2</v>
      </c>
      <c r="B11" s="348"/>
      <c r="C11" s="348"/>
      <c r="D11" s="155" t="str">
        <f>'Фин. модель'!D49</f>
        <v>См. учебный план - часы указаны некорректно!</v>
      </c>
    </row>
    <row r="12" spans="1:11" ht="16.2" thickBot="1" x14ac:dyDescent="0.35">
      <c r="A12" s="351" t="s">
        <v>3</v>
      </c>
      <c r="B12" s="326"/>
      <c r="C12" s="326"/>
      <c r="D12" s="137">
        <f>'Фин. модель'!D15</f>
        <v>10</v>
      </c>
    </row>
    <row r="13" spans="1:11" ht="30" customHeight="1" thickBot="1" x14ac:dyDescent="0.35">
      <c r="A13" s="352" t="s">
        <v>137</v>
      </c>
      <c r="B13" s="353"/>
      <c r="C13" s="353"/>
      <c r="D13" s="135" t="s">
        <v>115</v>
      </c>
    </row>
    <row r="14" spans="1:11" ht="36" customHeight="1" x14ac:dyDescent="0.3">
      <c r="A14" s="347" t="s">
        <v>4</v>
      </c>
      <c r="B14" s="348"/>
      <c r="C14" s="348"/>
      <c r="D14" s="138" t="str">
        <f>IF(D13=Справочник!$A$27, 'Фин. модель'!E25, "Устанавливается Приказом об открытии программы")</f>
        <v>Устанавливается Приказом об открытии программы</v>
      </c>
    </row>
    <row r="15" spans="1:11" ht="15.6" x14ac:dyDescent="0.3">
      <c r="A15" s="343" t="s">
        <v>5</v>
      </c>
      <c r="B15" s="344"/>
      <c r="C15" s="344"/>
      <c r="D15" s="340" t="s">
        <v>6</v>
      </c>
    </row>
    <row r="16" spans="1:11" ht="15.6" x14ac:dyDescent="0.3">
      <c r="A16" s="345" t="s">
        <v>7</v>
      </c>
      <c r="B16" s="346"/>
      <c r="C16" s="346"/>
      <c r="D16" s="341"/>
    </row>
    <row r="17" spans="1:5" x14ac:dyDescent="0.3">
      <c r="A17" s="25" t="s">
        <v>8</v>
      </c>
      <c r="B17" s="26" t="s">
        <v>16</v>
      </c>
      <c r="C17" s="27"/>
      <c r="D17" s="41">
        <f>SUM(D18:D21)</f>
        <v>20960</v>
      </c>
    </row>
    <row r="18" spans="1:5" x14ac:dyDescent="0.3">
      <c r="A18" s="28" t="s">
        <v>17</v>
      </c>
      <c r="B18" s="29" t="s">
        <v>13</v>
      </c>
      <c r="C18" s="30"/>
      <c r="D18" s="42">
        <f>SUMIFS('Фин. модель'!$F$25:$F$38, 'Фин. модель'!$B$25:$B$38, Справочник!$A$2, 'Фин. модель'!$C$25:$C$38,Справочник!$A$6)+SUMIFS('Фин. модель'!$F$43:$F$48, 'Фин. модель'!$B$43:$B$48, Справочник!$A$2, 'Фин. модель'!$C$43:$C$48, Справочник!$A$6)</f>
        <v>4000</v>
      </c>
    </row>
    <row r="19" spans="1:5" x14ac:dyDescent="0.3">
      <c r="A19" s="28" t="s">
        <v>18</v>
      </c>
      <c r="B19" s="29" t="s">
        <v>14</v>
      </c>
      <c r="C19" s="30"/>
      <c r="D19" s="42">
        <f>D18*11%</f>
        <v>440</v>
      </c>
      <c r="E19" s="31"/>
    </row>
    <row r="20" spans="1:5" x14ac:dyDescent="0.3">
      <c r="A20" s="28" t="s">
        <v>63</v>
      </c>
      <c r="B20" s="29" t="s">
        <v>64</v>
      </c>
      <c r="C20" s="32"/>
      <c r="D20" s="42">
        <f>SUMIFS('Фин. модель'!$F$25:$F$38, 'Фин. модель'!$B$25:$B$38, Справочник!$A$2, 'Фин. модель'!$C$25:$C$38, Справочник!$A$7)+SUMIFS('Фин. модель'!$F$43:$F$48, 'Фин. модель'!$B$43:$B$48, Справочник!$A$2, 'Фин. модель'!$C$43:$C$48, Справочник!$A$7)</f>
        <v>14000</v>
      </c>
      <c r="E20" s="31"/>
    </row>
    <row r="21" spans="1:5" x14ac:dyDescent="0.3">
      <c r="A21" s="28" t="s">
        <v>65</v>
      </c>
      <c r="B21" s="29" t="s">
        <v>76</v>
      </c>
      <c r="C21" s="30"/>
      <c r="D21" s="42">
        <f>D20*0.18</f>
        <v>2520</v>
      </c>
    </row>
    <row r="22" spans="1:5" x14ac:dyDescent="0.3">
      <c r="A22" s="33" t="s">
        <v>9</v>
      </c>
      <c r="B22" s="334" t="s">
        <v>15</v>
      </c>
      <c r="C22" s="335"/>
      <c r="D22" s="41">
        <f>D17*30.2%</f>
        <v>6329.92</v>
      </c>
    </row>
    <row r="23" spans="1:5" ht="30.75" customHeight="1" x14ac:dyDescent="0.3">
      <c r="A23" s="33" t="s">
        <v>12</v>
      </c>
      <c r="B23" s="146" t="s">
        <v>135</v>
      </c>
      <c r="C23" s="34"/>
      <c r="D23" s="41">
        <f>SUM(D24:D28)</f>
        <v>294000</v>
      </c>
    </row>
    <row r="24" spans="1:5" x14ac:dyDescent="0.3">
      <c r="A24" s="35" t="s">
        <v>19</v>
      </c>
      <c r="B24" s="149" t="s">
        <v>20</v>
      </c>
      <c r="C24" s="148"/>
      <c r="D24" s="42">
        <f>SUMIFS('Фин. модель'!$F$25:$F$38, 'Фин. модель'!$A$25:$A$38, Справочник!$A$16, 'Фин. модель'!$B$25:$B$38, Справочник!$A$3)+SUMIFS('Фин. модель'!$F$25:$F$38, 'Фин. модель'!$A$25:$A$38, Справочник!$A$19, 'Фин. модель'!$B$25:$B$38, Справочник!$A$3)+SUMIFS('Фин. модель'!$F$25:$F$38, 'Фин. модель'!$A$25:$A$38, Справочник!$A$23, 'Фин. модель'!$B$25:$B$38, Справочник!$A$3)</f>
        <v>115000</v>
      </c>
    </row>
    <row r="25" spans="1:5" x14ac:dyDescent="0.3">
      <c r="A25" s="35" t="s">
        <v>68</v>
      </c>
      <c r="B25" s="336" t="s">
        <v>90</v>
      </c>
      <c r="C25" s="337"/>
      <c r="D25" s="42">
        <f>SUMIFS('Фин. модель'!$F$25:$F$38, 'Фин. модель'!$A$25:$A$38, Справочник!$A$18, 'Фин. модель'!$B$25:$B$38, Справочник!$A$3)</f>
        <v>20000</v>
      </c>
    </row>
    <row r="26" spans="1:5" x14ac:dyDescent="0.3">
      <c r="A26" s="35" t="s">
        <v>73</v>
      </c>
      <c r="B26" s="336" t="s">
        <v>89</v>
      </c>
      <c r="C26" s="337"/>
      <c r="D26" s="42">
        <f>SUMIFS('Фин. модель'!$F$25:$F$38, 'Фин. модель'!$A$25:$A$38, Справочник!$A$22, 'Фин. модель'!$B$25:$B$38, Справочник!$A$3)</f>
        <v>60000</v>
      </c>
    </row>
    <row r="27" spans="1:5" x14ac:dyDescent="0.3">
      <c r="A27" s="35" t="s">
        <v>77</v>
      </c>
      <c r="B27" s="336" t="s">
        <v>91</v>
      </c>
      <c r="C27" s="337"/>
      <c r="D27" s="42">
        <f>SUMIFS('Фин. модель'!$F$25:$F$38, 'Фин. модель'!$B$25:$B$38, Справочник!$A$3, 'Фин. модель'!$A$25:$A$38, Справочник!$A$17)+SUMIFS('Фин. модель'!$F$25:$F$38, 'Фин. модель'!$B$25:$B$38, Справочник!$A$3, 'Фин. модель'!$A$25:$A$38, Справочник!$A$20)+SUMIFS('Фин. модель'!$F$25:$F$38, 'Фин. модель'!$B$25:$B$38, Справочник!$A$3, 'Фин. модель'!$A$25:$A$38, Справочник!$A$21)</f>
        <v>90000</v>
      </c>
    </row>
    <row r="28" spans="1:5" ht="15" customHeight="1" x14ac:dyDescent="0.3">
      <c r="A28" s="35" t="s">
        <v>77</v>
      </c>
      <c r="B28" s="147" t="s">
        <v>136</v>
      </c>
      <c r="C28" s="148"/>
      <c r="D28" s="42">
        <f>SUMIF('Фин. модель'!$B$43:$B$48,Справочник!$A$3,'Фин. модель'!$F$43:$F$48)</f>
        <v>9000</v>
      </c>
    </row>
    <row r="29" spans="1:5" x14ac:dyDescent="0.3">
      <c r="A29" s="33" t="s">
        <v>21</v>
      </c>
      <c r="B29" s="26" t="s">
        <v>30</v>
      </c>
      <c r="C29" s="36"/>
      <c r="D29" s="41">
        <f>D23*30%</f>
        <v>88200</v>
      </c>
    </row>
    <row r="30" spans="1:5" ht="19.5" customHeight="1" x14ac:dyDescent="0.3">
      <c r="A30" s="33" t="s">
        <v>22</v>
      </c>
      <c r="B30" s="150" t="s">
        <v>138</v>
      </c>
      <c r="C30" s="36"/>
      <c r="D30" s="41">
        <f>'Фин. модель'!D63</f>
        <v>0</v>
      </c>
    </row>
    <row r="31" spans="1:5" x14ac:dyDescent="0.3">
      <c r="A31" s="33" t="s">
        <v>24</v>
      </c>
      <c r="B31" s="26" t="s">
        <v>23</v>
      </c>
      <c r="C31" s="36"/>
      <c r="D31" s="41">
        <f>'Фин. модель'!H8*0.15</f>
        <v>9000</v>
      </c>
    </row>
    <row r="32" spans="1:5" x14ac:dyDescent="0.3">
      <c r="A32" s="33" t="s">
        <v>26</v>
      </c>
      <c r="B32" s="37" t="s">
        <v>25</v>
      </c>
      <c r="C32" s="36"/>
      <c r="D32" s="41">
        <f>SUM(D33:D34)</f>
        <v>-371089.91999999998</v>
      </c>
    </row>
    <row r="33" spans="1:5" x14ac:dyDescent="0.3">
      <c r="A33" s="35" t="s">
        <v>139</v>
      </c>
      <c r="B33" s="338" t="s">
        <v>69</v>
      </c>
      <c r="C33" s="337"/>
      <c r="D33" s="42">
        <f>'Фин. модель'!C58*'Фин. модель'!D15</f>
        <v>1000</v>
      </c>
    </row>
    <row r="34" spans="1:5" x14ac:dyDescent="0.3">
      <c r="A34" s="35" t="s">
        <v>140</v>
      </c>
      <c r="B34" s="338" t="s">
        <v>36</v>
      </c>
      <c r="C34" s="337"/>
      <c r="D34" s="42">
        <f>'Фин. модель'!D68-'Фин. модель'!D58-'Фин. модель'!D63+'Фин. модель'!H10</f>
        <v>-372089.92</v>
      </c>
    </row>
    <row r="35" spans="1:5" x14ac:dyDescent="0.3">
      <c r="A35" s="33" t="s">
        <v>28</v>
      </c>
      <c r="B35" s="26" t="s">
        <v>27</v>
      </c>
      <c r="C35" s="36"/>
      <c r="D35" s="41">
        <f>D31</f>
        <v>9000</v>
      </c>
    </row>
    <row r="36" spans="1:5" x14ac:dyDescent="0.3">
      <c r="A36" s="33" t="s">
        <v>129</v>
      </c>
      <c r="B36" s="38" t="s">
        <v>70</v>
      </c>
      <c r="C36" s="39">
        <f>'Фин. модель'!C53</f>
        <v>0.05</v>
      </c>
      <c r="D36" s="43">
        <f>'Фин. модель'!H8*'Фин. модель'!C53</f>
        <v>3000</v>
      </c>
      <c r="E36" s="31"/>
    </row>
    <row r="37" spans="1:5" x14ac:dyDescent="0.3">
      <c r="A37" s="143" t="s">
        <v>141</v>
      </c>
      <c r="B37" s="26" t="s">
        <v>128</v>
      </c>
      <c r="C37" s="144"/>
      <c r="D37" s="145">
        <f>'Фин. модель'!H8*'Фин. модель'!D53</f>
        <v>600</v>
      </c>
      <c r="E37" s="31"/>
    </row>
    <row r="38" spans="1:5" ht="15.6" x14ac:dyDescent="0.3">
      <c r="A38" s="328" t="s">
        <v>10</v>
      </c>
      <c r="B38" s="329"/>
      <c r="C38" s="330"/>
      <c r="D38" s="44">
        <f>D17+D22+D23+D29+D30+D31+D32+D35+D36+D37</f>
        <v>60000</v>
      </c>
    </row>
    <row r="39" spans="1:5" ht="15.6" x14ac:dyDescent="0.3">
      <c r="A39" s="331" t="s">
        <v>11</v>
      </c>
      <c r="B39" s="332"/>
      <c r="C39" s="333"/>
      <c r="D39" s="45">
        <f>D38/D12</f>
        <v>6000</v>
      </c>
    </row>
    <row r="40" spans="1:5" s="40" customFormat="1" ht="15.6" x14ac:dyDescent="0.3">
      <c r="A40" s="327" t="s">
        <v>29</v>
      </c>
      <c r="B40" s="327"/>
      <c r="C40" s="327"/>
      <c r="D40" s="46">
        <f>D39</f>
        <v>6000</v>
      </c>
    </row>
  </sheetData>
  <sheetProtection insertRows="0"/>
  <mergeCells count="26">
    <mergeCell ref="F1:K2"/>
    <mergeCell ref="D15:D16"/>
    <mergeCell ref="A7:D7"/>
    <mergeCell ref="A15:C15"/>
    <mergeCell ref="A16:C16"/>
    <mergeCell ref="A14:C14"/>
    <mergeCell ref="A8:D8"/>
    <mergeCell ref="A9:D9"/>
    <mergeCell ref="A10:C10"/>
    <mergeCell ref="A11:C11"/>
    <mergeCell ref="A12:C12"/>
    <mergeCell ref="A13:C13"/>
    <mergeCell ref="A1:D2"/>
    <mergeCell ref="A4:D4"/>
    <mergeCell ref="A3:D3"/>
    <mergeCell ref="A5:D5"/>
    <mergeCell ref="A6:D6"/>
    <mergeCell ref="A40:C40"/>
    <mergeCell ref="A38:C38"/>
    <mergeCell ref="A39:C39"/>
    <mergeCell ref="B22:C22"/>
    <mergeCell ref="B25:C25"/>
    <mergeCell ref="B33:C33"/>
    <mergeCell ref="B34:C34"/>
    <mergeCell ref="B26:C26"/>
    <mergeCell ref="B27:C27"/>
  </mergeCells>
  <conditionalFormatting sqref="D17:D40">
    <cfRule type="cellIs" dxfId="4" priority="1" operator="lessThan">
      <formula>0</formula>
    </cfRule>
  </conditionalFormatting>
  <hyperlinks>
    <hyperlink ref="F1:I2" location="Инструкция!M30" display="Перейти обратно к Инструкции" xr:uid="{5A7A00E2-7C95-41E7-997E-488213E48F70}"/>
  </hyperlinks>
  <pageMargins left="0.70866141732283472" right="0.70866141732283472" top="0.74803149606299213" bottom="0.74803149606299213" header="0.31496062992125984" footer="0.31496062992125984"/>
  <pageSetup paperSize="9" scale="76" fitToHeight="0" orientation="portrait" r:id="rId1"/>
  <ignoredErrors>
    <ignoredError sqref="D14 C36 A1:D9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BE60DF-6747-4805-802A-B346E5B6F0EE}">
          <x14:formula1>
            <xm:f>Справочник!$A$27:$A$28</xm:f>
          </x14:formula1>
          <xm:sqref>D13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BBD-470B-4460-A768-D3BB97782039}">
  <dimension ref="A1:K22"/>
  <sheetViews>
    <sheetView workbookViewId="0">
      <selection activeCell="H22" sqref="H22"/>
    </sheetView>
  </sheetViews>
  <sheetFormatPr defaultRowHeight="14.4" x14ac:dyDescent="0.3"/>
  <cols>
    <col min="1" max="1" width="23.44140625" customWidth="1"/>
    <col min="2" max="2" width="14.5546875" customWidth="1"/>
    <col min="3" max="3" width="15.5546875" customWidth="1"/>
    <col min="4" max="4" width="12.88671875" customWidth="1"/>
    <col min="5" max="5" width="27.109375" customWidth="1"/>
    <col min="6" max="6" width="16.6640625" customWidth="1"/>
    <col min="7" max="7" width="9.6640625" bestFit="1" customWidth="1"/>
    <col min="8" max="8" width="15.6640625" customWidth="1"/>
    <col min="9" max="9" width="14.109375" customWidth="1"/>
    <col min="10" max="10" width="15.5546875" customWidth="1"/>
    <col min="11" max="11" width="17" customWidth="1"/>
  </cols>
  <sheetData>
    <row r="1" spans="1:11" x14ac:dyDescent="0.3">
      <c r="A1" s="158" t="s">
        <v>243</v>
      </c>
    </row>
    <row r="2" spans="1:11" x14ac:dyDescent="0.3">
      <c r="A2" s="158" t="s">
        <v>149</v>
      </c>
    </row>
    <row r="3" spans="1:11" s="159" customFormat="1" ht="69" x14ac:dyDescent="0.3">
      <c r="A3" s="84" t="s">
        <v>150</v>
      </c>
      <c r="B3" s="84" t="s">
        <v>151</v>
      </c>
      <c r="C3" s="84" t="s">
        <v>152</v>
      </c>
      <c r="D3" s="84" t="s">
        <v>153</v>
      </c>
      <c r="E3" s="84" t="s">
        <v>154</v>
      </c>
      <c r="F3" s="84" t="s">
        <v>155</v>
      </c>
      <c r="G3" s="84" t="s">
        <v>156</v>
      </c>
      <c r="H3" s="84" t="s">
        <v>163</v>
      </c>
      <c r="I3" s="84" t="s">
        <v>157</v>
      </c>
      <c r="J3" s="84" t="s">
        <v>158</v>
      </c>
      <c r="K3" s="84" t="s">
        <v>159</v>
      </c>
    </row>
    <row r="4" spans="1:11" s="159" customFormat="1" ht="13.8" x14ac:dyDescent="0.25">
      <c r="A4" s="200"/>
      <c r="B4" s="200">
        <v>2</v>
      </c>
      <c r="C4" s="200">
        <v>500</v>
      </c>
      <c r="D4" s="200">
        <v>2000</v>
      </c>
      <c r="E4" s="84" t="s">
        <v>161</v>
      </c>
      <c r="F4" s="200">
        <v>5</v>
      </c>
      <c r="G4" s="201">
        <v>2000</v>
      </c>
      <c r="H4" s="84">
        <f>IF(E4=Справочник!$A$36,(('Приглашенные эксперты'!B4*'Приглашенные эксперты'!C4+'Приглашенные эксперты'!D4)*0.13+'Приглашенные эксперты'!F4*'Приглашенные эксперты'!G4)/0.87,0)</f>
        <v>0</v>
      </c>
      <c r="I4" s="84">
        <f>H4*0.3</f>
        <v>0</v>
      </c>
      <c r="J4" s="84">
        <f>H4+I4+D4+B4*C4</f>
        <v>3000</v>
      </c>
      <c r="K4" s="84">
        <f>IF('Приглашенные эксперты'!E4=Справочник!$A$35,('Приглашенные эксперты'!B4*'Приглашенные эксперты'!C4+'Приглашенные эксперты'!D4+'Приглашенные эксперты'!F4*'Приглашенные эксперты'!G4)*1.06,0)</f>
        <v>13780</v>
      </c>
    </row>
    <row r="5" spans="1:11" x14ac:dyDescent="0.3">
      <c r="A5" s="200"/>
      <c r="B5" s="200"/>
      <c r="C5" s="200"/>
      <c r="D5" s="200"/>
      <c r="E5" s="84"/>
      <c r="F5" s="200"/>
      <c r="G5" s="201"/>
      <c r="H5" s="84">
        <f>IF(E5=Справочник!$A$36,(('Приглашенные эксперты'!B5*'Приглашенные эксперты'!C5+'Приглашенные эксперты'!D5)*0.13+'Приглашенные эксперты'!F5*'Приглашенные эксперты'!G5)/0.87,0)</f>
        <v>0</v>
      </c>
      <c r="I5" s="84">
        <f t="shared" ref="I5:I20" si="0">H5*0.3</f>
        <v>0</v>
      </c>
      <c r="J5" s="84">
        <f t="shared" ref="J5:J20" si="1">H5+I5+D5+B5*C5</f>
        <v>0</v>
      </c>
      <c r="K5" s="84">
        <f>IF('Приглашенные эксперты'!E5=Справочник!$A$35,('Приглашенные эксперты'!B5*'Приглашенные эксперты'!C5+'Приглашенные эксперты'!D5+'Приглашенные эксперты'!F5*'Приглашенные эксперты'!G5)*1.06,0)</f>
        <v>0</v>
      </c>
    </row>
    <row r="6" spans="1:11" x14ac:dyDescent="0.3">
      <c r="A6" s="200"/>
      <c r="B6" s="200"/>
      <c r="C6" s="200"/>
      <c r="D6" s="200"/>
      <c r="E6" s="84"/>
      <c r="F6" s="200"/>
      <c r="G6" s="201"/>
      <c r="H6" s="84">
        <f>IF(E6=Справочник!$A$36,(('Приглашенные эксперты'!B6*'Приглашенные эксперты'!C6+'Приглашенные эксперты'!D6)*0.13+'Приглашенные эксперты'!F6*'Приглашенные эксперты'!G6)/0.87,0)</f>
        <v>0</v>
      </c>
      <c r="I6" s="84">
        <f t="shared" si="0"/>
        <v>0</v>
      </c>
      <c r="J6" s="84">
        <f t="shared" si="1"/>
        <v>0</v>
      </c>
      <c r="K6" s="84">
        <f>IF('Приглашенные эксперты'!E6=Справочник!$A$35,('Приглашенные эксперты'!B6*'Приглашенные эксперты'!C6+'Приглашенные эксперты'!D6+'Приглашенные эксперты'!F6*'Приглашенные эксперты'!G6)*1.06,0)</f>
        <v>0</v>
      </c>
    </row>
    <row r="7" spans="1:11" x14ac:dyDescent="0.3">
      <c r="A7" s="200"/>
      <c r="B7" s="200"/>
      <c r="C7" s="200"/>
      <c r="D7" s="200"/>
      <c r="E7" s="84"/>
      <c r="F7" s="200"/>
      <c r="G7" s="201"/>
      <c r="H7" s="84">
        <f>IF(E7=Справочник!$A$36,(('Приглашенные эксперты'!B7*'Приглашенные эксперты'!C7+'Приглашенные эксперты'!D7)*0.13+'Приглашенные эксперты'!F7*'Приглашенные эксперты'!G7)/0.87,0)</f>
        <v>0</v>
      </c>
      <c r="I7" s="84">
        <f t="shared" si="0"/>
        <v>0</v>
      </c>
      <c r="J7" s="84">
        <f t="shared" si="1"/>
        <v>0</v>
      </c>
      <c r="K7" s="84">
        <f>IF('Приглашенные эксперты'!E7=Справочник!$A$35,('Приглашенные эксперты'!B7*'Приглашенные эксперты'!C7+'Приглашенные эксперты'!D7+'Приглашенные эксперты'!F7*'Приглашенные эксперты'!G7)*1.06,0)</f>
        <v>0</v>
      </c>
    </row>
    <row r="8" spans="1:11" x14ac:dyDescent="0.3">
      <c r="A8" s="200"/>
      <c r="B8" s="200"/>
      <c r="C8" s="200"/>
      <c r="D8" s="200"/>
      <c r="E8" s="84"/>
      <c r="F8" s="200"/>
      <c r="G8" s="201"/>
      <c r="H8" s="84">
        <f>IF(E8=Справочник!$A$36,(('Приглашенные эксперты'!B8*'Приглашенные эксперты'!C8+'Приглашенные эксперты'!D8)*0.13+'Приглашенные эксперты'!F8*'Приглашенные эксперты'!G8)/0.87,0)</f>
        <v>0</v>
      </c>
      <c r="I8" s="84">
        <f t="shared" si="0"/>
        <v>0</v>
      </c>
      <c r="J8" s="84">
        <f t="shared" si="1"/>
        <v>0</v>
      </c>
      <c r="K8" s="84">
        <f>IF('Приглашенные эксперты'!E8=Справочник!$A$35,('Приглашенные эксперты'!B8*'Приглашенные эксперты'!C8+'Приглашенные эксперты'!D8+'Приглашенные эксперты'!F8*'Приглашенные эксперты'!G8)*1.06,0)</f>
        <v>0</v>
      </c>
    </row>
    <row r="9" spans="1:11" x14ac:dyDescent="0.3">
      <c r="A9" s="200"/>
      <c r="B9" s="200"/>
      <c r="C9" s="200"/>
      <c r="D9" s="200"/>
      <c r="E9" s="84"/>
      <c r="F9" s="200"/>
      <c r="G9" s="201"/>
      <c r="H9" s="84">
        <f>IF(E9=Справочник!$A$36,(('Приглашенные эксперты'!B9*'Приглашенные эксперты'!C9+'Приглашенные эксперты'!D9)*0.13+'Приглашенные эксперты'!F9*'Приглашенные эксперты'!G9)/0.87,0)</f>
        <v>0</v>
      </c>
      <c r="I9" s="84">
        <f t="shared" si="0"/>
        <v>0</v>
      </c>
      <c r="J9" s="84">
        <f t="shared" si="1"/>
        <v>0</v>
      </c>
      <c r="K9" s="84">
        <f>IF('Приглашенные эксперты'!E9=Справочник!$A$35,('Приглашенные эксперты'!B9*'Приглашенные эксперты'!C9+'Приглашенные эксперты'!D9+'Приглашенные эксперты'!F9*'Приглашенные эксперты'!G9)*1.06,0)</f>
        <v>0</v>
      </c>
    </row>
    <row r="10" spans="1:11" x14ac:dyDescent="0.3">
      <c r="A10" s="200"/>
      <c r="B10" s="200"/>
      <c r="C10" s="200"/>
      <c r="D10" s="200"/>
      <c r="E10" s="84"/>
      <c r="F10" s="200"/>
      <c r="G10" s="201"/>
      <c r="H10" s="84">
        <f>IF(E10=Справочник!$A$36,(('Приглашенные эксперты'!B10*'Приглашенные эксперты'!C10+'Приглашенные эксперты'!D10)*0.13+'Приглашенные эксперты'!F10*'Приглашенные эксперты'!G10)/0.87,0)</f>
        <v>0</v>
      </c>
      <c r="I10" s="84">
        <f t="shared" si="0"/>
        <v>0</v>
      </c>
      <c r="J10" s="84">
        <f t="shared" si="1"/>
        <v>0</v>
      </c>
      <c r="K10" s="84">
        <f>IF('Приглашенные эксперты'!E10=Справочник!$A$35,('Приглашенные эксперты'!B10*'Приглашенные эксперты'!C10+'Приглашенные эксперты'!D10+'Приглашенные эксперты'!F10*'Приглашенные эксперты'!G10)*1.06,0)</f>
        <v>0</v>
      </c>
    </row>
    <row r="11" spans="1:11" x14ac:dyDescent="0.3">
      <c r="A11" s="200"/>
      <c r="B11" s="200"/>
      <c r="C11" s="200"/>
      <c r="D11" s="200"/>
      <c r="E11" s="84"/>
      <c r="F11" s="200"/>
      <c r="G11" s="201"/>
      <c r="H11" s="84">
        <f>IF(E11=Справочник!$A$36,(('Приглашенные эксперты'!B11*'Приглашенные эксперты'!C11+'Приглашенные эксперты'!D11)*0.13+'Приглашенные эксперты'!F11*'Приглашенные эксперты'!G11)/0.87,0)</f>
        <v>0</v>
      </c>
      <c r="I11" s="84">
        <f t="shared" si="0"/>
        <v>0</v>
      </c>
      <c r="J11" s="84">
        <f t="shared" si="1"/>
        <v>0</v>
      </c>
      <c r="K11" s="84">
        <f>IF('Приглашенные эксперты'!E11=Справочник!$A$35,('Приглашенные эксперты'!B11*'Приглашенные эксперты'!C11+'Приглашенные эксперты'!D11+'Приглашенные эксперты'!F11*'Приглашенные эксперты'!G11)*1.06,0)</f>
        <v>0</v>
      </c>
    </row>
    <row r="12" spans="1:11" x14ac:dyDescent="0.3">
      <c r="A12" s="200"/>
      <c r="B12" s="200"/>
      <c r="C12" s="200"/>
      <c r="D12" s="200"/>
      <c r="E12" s="84"/>
      <c r="F12" s="200"/>
      <c r="G12" s="201"/>
      <c r="H12" s="84">
        <f>IF(E12=Справочник!$A$36,(('Приглашенные эксперты'!B12*'Приглашенные эксперты'!C12+'Приглашенные эксперты'!D12)*0.13+'Приглашенные эксперты'!F12*'Приглашенные эксперты'!G12)/0.87,0)</f>
        <v>0</v>
      </c>
      <c r="I12" s="84">
        <f t="shared" si="0"/>
        <v>0</v>
      </c>
      <c r="J12" s="84">
        <f t="shared" si="1"/>
        <v>0</v>
      </c>
      <c r="K12" s="84">
        <f>IF('Приглашенные эксперты'!E12=Справочник!$A$35,('Приглашенные эксперты'!B12*'Приглашенные эксперты'!C12+'Приглашенные эксперты'!D12+'Приглашенные эксперты'!F12*'Приглашенные эксперты'!G12)*1.06,0)</f>
        <v>0</v>
      </c>
    </row>
    <row r="13" spans="1:11" x14ac:dyDescent="0.3">
      <c r="A13" s="200"/>
      <c r="B13" s="200"/>
      <c r="C13" s="200"/>
      <c r="D13" s="200"/>
      <c r="E13" s="84"/>
      <c r="F13" s="200"/>
      <c r="G13" s="201"/>
      <c r="H13" s="84">
        <f>IF(E13=Справочник!$A$36,(('Приглашенные эксперты'!B13*'Приглашенные эксперты'!C13+'Приглашенные эксперты'!D13)*0.13+'Приглашенные эксперты'!F13*'Приглашенные эксперты'!G13)/0.87,0)</f>
        <v>0</v>
      </c>
      <c r="I13" s="84">
        <f t="shared" si="0"/>
        <v>0</v>
      </c>
      <c r="J13" s="84">
        <f t="shared" si="1"/>
        <v>0</v>
      </c>
      <c r="K13" s="84">
        <f>IF('Приглашенные эксперты'!E13=Справочник!$A$35,('Приглашенные эксперты'!B13*'Приглашенные эксперты'!C13+'Приглашенные эксперты'!D13+'Приглашенные эксперты'!F13*'Приглашенные эксперты'!G13)*1.06,0)</f>
        <v>0</v>
      </c>
    </row>
    <row r="14" spans="1:11" x14ac:dyDescent="0.3">
      <c r="A14" s="200"/>
      <c r="B14" s="200"/>
      <c r="C14" s="200"/>
      <c r="D14" s="200"/>
      <c r="E14" s="84"/>
      <c r="F14" s="200"/>
      <c r="G14" s="201"/>
      <c r="H14" s="84">
        <f>IF(E14=Справочник!$A$36,(('Приглашенные эксперты'!B14*'Приглашенные эксперты'!C14+'Приглашенные эксперты'!D14)*0.13+'Приглашенные эксперты'!F14*'Приглашенные эксперты'!G14)/0.87,0)</f>
        <v>0</v>
      </c>
      <c r="I14" s="84">
        <f t="shared" si="0"/>
        <v>0</v>
      </c>
      <c r="J14" s="84">
        <f t="shared" si="1"/>
        <v>0</v>
      </c>
      <c r="K14" s="84">
        <f>IF('Приглашенные эксперты'!E14=Справочник!$A$35,('Приглашенные эксперты'!B14*'Приглашенные эксперты'!C14+'Приглашенные эксперты'!D14+'Приглашенные эксперты'!F14*'Приглашенные эксперты'!G14)*1.06,0)</f>
        <v>0</v>
      </c>
    </row>
    <row r="15" spans="1:11" x14ac:dyDescent="0.3">
      <c r="A15" s="200"/>
      <c r="B15" s="200"/>
      <c r="C15" s="200"/>
      <c r="D15" s="200"/>
      <c r="E15" s="84"/>
      <c r="F15" s="200"/>
      <c r="G15" s="201"/>
      <c r="H15" s="84">
        <f>IF(E15=Справочник!$A$36,(('Приглашенные эксперты'!B15*'Приглашенные эксперты'!C15+'Приглашенные эксперты'!D15)*0.13+'Приглашенные эксперты'!F15*'Приглашенные эксперты'!G15)/0.87,0)</f>
        <v>0</v>
      </c>
      <c r="I15" s="84">
        <f t="shared" si="0"/>
        <v>0</v>
      </c>
      <c r="J15" s="84">
        <f t="shared" si="1"/>
        <v>0</v>
      </c>
      <c r="K15" s="84">
        <f>IF('Приглашенные эксперты'!E15=Справочник!$A$35,('Приглашенные эксперты'!B15*'Приглашенные эксперты'!C15+'Приглашенные эксперты'!D15+'Приглашенные эксперты'!F15*'Приглашенные эксперты'!G15)*1.06,0)</f>
        <v>0</v>
      </c>
    </row>
    <row r="16" spans="1:11" x14ac:dyDescent="0.3">
      <c r="A16" s="200"/>
      <c r="B16" s="200"/>
      <c r="C16" s="200"/>
      <c r="D16" s="200"/>
      <c r="E16" s="84"/>
      <c r="F16" s="200"/>
      <c r="G16" s="201"/>
      <c r="H16" s="84">
        <f>IF(E16=Справочник!$A$36,(('Приглашенные эксперты'!B16*'Приглашенные эксперты'!C16+'Приглашенные эксперты'!D16)*0.13+'Приглашенные эксперты'!F16*'Приглашенные эксперты'!G16)/0.87,0)</f>
        <v>0</v>
      </c>
      <c r="I16" s="84">
        <f t="shared" si="0"/>
        <v>0</v>
      </c>
      <c r="J16" s="84">
        <f t="shared" si="1"/>
        <v>0</v>
      </c>
      <c r="K16" s="84">
        <f>IF('Приглашенные эксперты'!E16=Справочник!$A$35,('Приглашенные эксперты'!B16*'Приглашенные эксперты'!C16+'Приглашенные эксперты'!D16+'Приглашенные эксперты'!F16*'Приглашенные эксперты'!G16)*1.06,0)</f>
        <v>0</v>
      </c>
    </row>
    <row r="17" spans="1:11" x14ac:dyDescent="0.3">
      <c r="A17" s="200"/>
      <c r="B17" s="200"/>
      <c r="C17" s="200"/>
      <c r="D17" s="200"/>
      <c r="E17" s="84"/>
      <c r="F17" s="200"/>
      <c r="G17" s="201"/>
      <c r="H17" s="84">
        <f>IF(E17=Справочник!$A$36,(('Приглашенные эксперты'!B17*'Приглашенные эксперты'!C17+'Приглашенные эксперты'!D17)*0.13+'Приглашенные эксперты'!F17*'Приглашенные эксперты'!G17)/0.87,0)</f>
        <v>0</v>
      </c>
      <c r="I17" s="84">
        <f t="shared" si="0"/>
        <v>0</v>
      </c>
      <c r="J17" s="84">
        <f t="shared" si="1"/>
        <v>0</v>
      </c>
      <c r="K17" s="84">
        <f>IF('Приглашенные эксперты'!E17=Справочник!$A$35,('Приглашенные эксперты'!B17*'Приглашенные эксперты'!C17+'Приглашенные эксперты'!D17+'Приглашенные эксперты'!F17*'Приглашенные эксперты'!G17)*1.06,0)</f>
        <v>0</v>
      </c>
    </row>
    <row r="18" spans="1:11" x14ac:dyDescent="0.3">
      <c r="A18" s="200"/>
      <c r="B18" s="200"/>
      <c r="C18" s="200"/>
      <c r="D18" s="200"/>
      <c r="E18" s="84"/>
      <c r="F18" s="200"/>
      <c r="G18" s="201"/>
      <c r="H18" s="84">
        <f>IF(E18=Справочник!$A$36,(('Приглашенные эксперты'!B18*'Приглашенные эксперты'!C18+'Приглашенные эксперты'!D18)*0.13+'Приглашенные эксперты'!F18*'Приглашенные эксперты'!G18)/0.87,0)</f>
        <v>0</v>
      </c>
      <c r="I18" s="84">
        <f t="shared" si="0"/>
        <v>0</v>
      </c>
      <c r="J18" s="84">
        <f t="shared" si="1"/>
        <v>0</v>
      </c>
      <c r="K18" s="84">
        <f>IF('Приглашенные эксперты'!E18=Справочник!$A$35,('Приглашенные эксперты'!B18*'Приглашенные эксперты'!C18+'Приглашенные эксперты'!D18+'Приглашенные эксперты'!F18*'Приглашенные эксперты'!G18)*1.06,0)</f>
        <v>0</v>
      </c>
    </row>
    <row r="19" spans="1:11" x14ac:dyDescent="0.3">
      <c r="A19" s="200"/>
      <c r="B19" s="200"/>
      <c r="C19" s="200"/>
      <c r="D19" s="200"/>
      <c r="E19" s="84"/>
      <c r="F19" s="200"/>
      <c r="G19" s="201"/>
      <c r="H19" s="84">
        <f>IF(E19=Справочник!$A$36,(('Приглашенные эксперты'!B19*'Приглашенные эксперты'!C19+'Приглашенные эксперты'!D19)*0.13+'Приглашенные эксперты'!F19*'Приглашенные эксперты'!G19)/0.87,0)</f>
        <v>0</v>
      </c>
      <c r="I19" s="84">
        <f t="shared" si="0"/>
        <v>0</v>
      </c>
      <c r="J19" s="84">
        <f t="shared" si="1"/>
        <v>0</v>
      </c>
      <c r="K19" s="84">
        <f>IF('Приглашенные эксперты'!E19=Справочник!$A$35,('Приглашенные эксперты'!B19*'Приглашенные эксперты'!C19+'Приглашенные эксперты'!D19+'Приглашенные эксперты'!F19*'Приглашенные эксперты'!G19)*1.06,0)</f>
        <v>0</v>
      </c>
    </row>
    <row r="20" spans="1:11" x14ac:dyDescent="0.3">
      <c r="A20" s="200"/>
      <c r="B20" s="200"/>
      <c r="C20" s="200"/>
      <c r="D20" s="200"/>
      <c r="E20" s="84"/>
      <c r="F20" s="200"/>
      <c r="G20" s="201"/>
      <c r="H20" s="84">
        <f>IF(E20=Справочник!$A$36,(('Приглашенные эксперты'!B20*'Приглашенные эксперты'!C20+'Приглашенные эксперты'!D20)*0.13+'Приглашенные эксперты'!F20*'Приглашенные эксперты'!G20)/0.87,0)</f>
        <v>0</v>
      </c>
      <c r="I20" s="84">
        <f t="shared" si="0"/>
        <v>0</v>
      </c>
      <c r="J20" s="84">
        <f t="shared" si="1"/>
        <v>0</v>
      </c>
      <c r="K20" s="84">
        <f>IF('Приглашенные эксперты'!E20=Справочник!$A$35,('Приглашенные эксперты'!B20*'Приглашенные эксперты'!C20+'Приглашенные эксперты'!D20+'Приглашенные эксперты'!F20*'Приглашенные эксперты'!G20)*1.06,0)</f>
        <v>0</v>
      </c>
    </row>
    <row r="22" spans="1:11" ht="18" x14ac:dyDescent="0.35">
      <c r="E22" s="284" t="s">
        <v>245</v>
      </c>
      <c r="F22" s="284"/>
    </row>
  </sheetData>
  <mergeCells count="1">
    <mergeCell ref="E22:F22"/>
  </mergeCells>
  <dataValidations xWindow="1160" yWindow="522" count="1">
    <dataValidation allowBlank="1" showInputMessage="1" showErrorMessage="1" promptTitle="Заполняется автоматически" prompt="на основе введенных данных" sqref="H4:K20" xr:uid="{8B2E1A38-F782-4AAB-AAF9-487FDA5A964E}"/>
  </dataValidations>
  <hyperlinks>
    <hyperlink ref="E22" location="Инструкция!M34" display="Перейти обратно к Инструкции" xr:uid="{8174D07A-324A-482B-A3AD-2A9BE1DA970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160" yWindow="522" count="1">
        <x14:dataValidation type="list" allowBlank="1" showInputMessage="1" showErrorMessage="1" prompt="Выбрать из списка" xr:uid="{A4A460AE-1C7E-4E1B-BB54-AC5072509B2C}">
          <x14:formula1>
            <xm:f>Справочник!$A$35:$A$36</xm:f>
          </x14:formula1>
          <xm:sqref>E4:E20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"/>
  <sheetViews>
    <sheetView workbookViewId="0">
      <selection activeCell="B16" sqref="B16"/>
    </sheetView>
  </sheetViews>
  <sheetFormatPr defaultRowHeight="14.4" x14ac:dyDescent="0.3"/>
  <cols>
    <col min="1" max="1" width="62.77734375" customWidth="1"/>
  </cols>
  <sheetData>
    <row r="1" spans="1:1" x14ac:dyDescent="0.3">
      <c r="A1" s="211" t="s">
        <v>47</v>
      </c>
    </row>
    <row r="2" spans="1:1" x14ac:dyDescent="0.3">
      <c r="A2" s="209" t="s">
        <v>54</v>
      </c>
    </row>
    <row r="3" spans="1:1" x14ac:dyDescent="0.3">
      <c r="A3" s="209" t="s">
        <v>55</v>
      </c>
    </row>
    <row r="4" spans="1:1" x14ac:dyDescent="0.3">
      <c r="A4" s="209"/>
    </row>
    <row r="5" spans="1:1" x14ac:dyDescent="0.3">
      <c r="A5" s="212" t="s">
        <v>92</v>
      </c>
    </row>
    <row r="6" spans="1:1" x14ac:dyDescent="0.3">
      <c r="A6" s="209" t="s">
        <v>93</v>
      </c>
    </row>
    <row r="7" spans="1:1" x14ac:dyDescent="0.3">
      <c r="A7" s="209" t="s">
        <v>94</v>
      </c>
    </row>
    <row r="8" spans="1:1" x14ac:dyDescent="0.3">
      <c r="A8" s="209"/>
    </row>
    <row r="9" spans="1:1" x14ac:dyDescent="0.3">
      <c r="A9" s="212" t="s">
        <v>83</v>
      </c>
    </row>
    <row r="10" spans="1:1" x14ac:dyDescent="0.3">
      <c r="A10" s="209" t="s">
        <v>84</v>
      </c>
    </row>
    <row r="11" spans="1:1" x14ac:dyDescent="0.3">
      <c r="A11" s="209" t="s">
        <v>85</v>
      </c>
    </row>
    <row r="12" spans="1:1" x14ac:dyDescent="0.3">
      <c r="A12" s="209" t="s">
        <v>97</v>
      </c>
    </row>
    <row r="13" spans="1:1" x14ac:dyDescent="0.3">
      <c r="A13" s="209" t="s">
        <v>86</v>
      </c>
    </row>
    <row r="14" spans="1:1" x14ac:dyDescent="0.3">
      <c r="A14" s="209"/>
    </row>
    <row r="15" spans="1:1" x14ac:dyDescent="0.3">
      <c r="A15" s="212" t="s">
        <v>72</v>
      </c>
    </row>
    <row r="16" spans="1:1" x14ac:dyDescent="0.3">
      <c r="A16" s="209" t="s">
        <v>57</v>
      </c>
    </row>
    <row r="17" spans="1:1" x14ac:dyDescent="0.3">
      <c r="A17" s="209" t="s">
        <v>81</v>
      </c>
    </row>
    <row r="18" spans="1:1" x14ac:dyDescent="0.3">
      <c r="A18" s="209" t="s">
        <v>52</v>
      </c>
    </row>
    <row r="19" spans="1:1" x14ac:dyDescent="0.3">
      <c r="A19" s="209" t="s">
        <v>123</v>
      </c>
    </row>
    <row r="20" spans="1:1" x14ac:dyDescent="0.3">
      <c r="A20" s="209" t="s">
        <v>79</v>
      </c>
    </row>
    <row r="21" spans="1:1" x14ac:dyDescent="0.3">
      <c r="A21" s="209" t="s">
        <v>80</v>
      </c>
    </row>
    <row r="22" spans="1:1" x14ac:dyDescent="0.3">
      <c r="A22" s="209" t="s">
        <v>48</v>
      </c>
    </row>
    <row r="23" spans="1:1" x14ac:dyDescent="0.3">
      <c r="A23" s="209" t="s">
        <v>111</v>
      </c>
    </row>
    <row r="24" spans="1:1" x14ac:dyDescent="0.3">
      <c r="A24" s="209" t="s">
        <v>124</v>
      </c>
    </row>
    <row r="25" spans="1:1" x14ac:dyDescent="0.3">
      <c r="A25" s="209" t="s">
        <v>134</v>
      </c>
    </row>
    <row r="26" spans="1:1" x14ac:dyDescent="0.3">
      <c r="A26" s="209"/>
    </row>
    <row r="27" spans="1:1" x14ac:dyDescent="0.3">
      <c r="A27" s="209" t="s">
        <v>114</v>
      </c>
    </row>
    <row r="28" spans="1:1" x14ac:dyDescent="0.3">
      <c r="A28" s="209" t="s">
        <v>115</v>
      </c>
    </row>
    <row r="29" spans="1:1" x14ac:dyDescent="0.3">
      <c r="A29" s="209"/>
    </row>
    <row r="30" spans="1:1" x14ac:dyDescent="0.3">
      <c r="A30" s="212" t="s">
        <v>118</v>
      </c>
    </row>
    <row r="31" spans="1:1" x14ac:dyDescent="0.3">
      <c r="A31" s="209" t="s">
        <v>119</v>
      </c>
    </row>
    <row r="32" spans="1:1" x14ac:dyDescent="0.3">
      <c r="A32" s="209" t="s">
        <v>120</v>
      </c>
    </row>
    <row r="33" spans="1:1" x14ac:dyDescent="0.3">
      <c r="A33" s="209"/>
    </row>
    <row r="34" spans="1:1" x14ac:dyDescent="0.3">
      <c r="A34" s="212" t="s">
        <v>160</v>
      </c>
    </row>
    <row r="35" spans="1:1" x14ac:dyDescent="0.3">
      <c r="A35" s="209" t="s">
        <v>161</v>
      </c>
    </row>
    <row r="36" spans="1:1" ht="15" thickBot="1" x14ac:dyDescent="0.35">
      <c r="A36" s="210" t="s">
        <v>162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CF71-8AB1-4F4E-AAD2-3DEF9DBBF5FC}">
  <dimension ref="A1:AE202"/>
  <sheetViews>
    <sheetView showGridLines="0" zoomScale="70" zoomScaleNormal="70" workbookViewId="0">
      <selection activeCell="J18" sqref="J18"/>
    </sheetView>
  </sheetViews>
  <sheetFormatPr defaultRowHeight="14.4" outlineLevelRow="1" x14ac:dyDescent="0.3"/>
  <cols>
    <col min="1" max="1" width="25.44140625" customWidth="1"/>
    <col min="2" max="2" width="14.6640625" customWidth="1"/>
    <col min="3" max="3" width="16.88671875" customWidth="1"/>
    <col min="4" max="4" width="13.44140625" customWidth="1"/>
    <col min="5" max="5" width="15.33203125" customWidth="1"/>
    <col min="6" max="6" width="13.88671875" customWidth="1"/>
    <col min="7" max="7" width="17.5546875" customWidth="1"/>
    <col min="8" max="8" width="19.109375" customWidth="1"/>
    <col min="9" max="9" width="18.109375" customWidth="1"/>
    <col min="10" max="10" width="25.109375" customWidth="1"/>
    <col min="13" max="13" width="22.109375" customWidth="1"/>
    <col min="14" max="14" width="14.21875" customWidth="1"/>
    <col min="15" max="15" width="11.109375" customWidth="1"/>
    <col min="16" max="16" width="12.77734375" customWidth="1"/>
    <col min="17" max="17" width="15.44140625" customWidth="1"/>
    <col min="18" max="18" width="14.88671875" customWidth="1"/>
    <col min="19" max="19" width="19.109375" customWidth="1"/>
    <col min="20" max="20" width="13.44140625" customWidth="1"/>
    <col min="21" max="21" width="23.88671875" customWidth="1"/>
    <col min="22" max="22" width="24.44140625" customWidth="1"/>
    <col min="23" max="23" width="15.44140625" customWidth="1"/>
    <col min="24" max="24" width="14.33203125" customWidth="1"/>
    <col min="25" max="25" width="14.5546875" customWidth="1"/>
    <col min="26" max="26" width="16" customWidth="1"/>
    <col min="27" max="27" width="16.88671875" customWidth="1"/>
    <col min="28" max="28" width="17.5546875" customWidth="1"/>
    <col min="29" max="29" width="15" customWidth="1"/>
    <col min="30" max="30" width="19" customWidth="1"/>
  </cols>
  <sheetData>
    <row r="1" spans="1:20" ht="37.799999999999997" customHeight="1" thickBot="1" x14ac:dyDescent="0.35">
      <c r="A1" t="s">
        <v>121</v>
      </c>
    </row>
    <row r="2" spans="1:20" ht="25.2" customHeight="1" x14ac:dyDescent="0.3">
      <c r="A2" s="279" t="s">
        <v>98</v>
      </c>
      <c r="B2" s="282" t="s">
        <v>99</v>
      </c>
      <c r="C2" s="282" t="s">
        <v>100</v>
      </c>
      <c r="D2" s="282"/>
      <c r="E2" s="282"/>
      <c r="F2" s="282"/>
      <c r="G2" s="277" t="s">
        <v>105</v>
      </c>
      <c r="H2" s="274" t="s">
        <v>106</v>
      </c>
      <c r="I2" s="264" t="s">
        <v>127</v>
      </c>
      <c r="L2" s="141"/>
    </row>
    <row r="3" spans="1:20" ht="36" customHeight="1" thickBot="1" x14ac:dyDescent="0.35">
      <c r="A3" s="280"/>
      <c r="B3" s="273"/>
      <c r="C3" s="273" t="s">
        <v>101</v>
      </c>
      <c r="D3" s="273"/>
      <c r="E3" s="273" t="s">
        <v>102</v>
      </c>
      <c r="F3" s="273"/>
      <c r="G3" s="278"/>
      <c r="H3" s="275"/>
      <c r="I3" s="265"/>
      <c r="K3" s="141"/>
      <c r="L3" s="141"/>
    </row>
    <row r="4" spans="1:20" ht="41.4" customHeight="1" thickBot="1" x14ac:dyDescent="0.35">
      <c r="A4" s="281"/>
      <c r="B4" s="283"/>
      <c r="C4" s="105" t="s">
        <v>103</v>
      </c>
      <c r="D4" s="105" t="s">
        <v>104</v>
      </c>
      <c r="E4" s="105" t="s">
        <v>103</v>
      </c>
      <c r="F4" s="105" t="s">
        <v>104</v>
      </c>
      <c r="G4" s="105" t="s">
        <v>110</v>
      </c>
      <c r="H4" s="276"/>
      <c r="I4" s="266"/>
      <c r="K4" s="141"/>
      <c r="L4" s="141"/>
      <c r="M4" s="287" t="s">
        <v>220</v>
      </c>
      <c r="N4" s="364"/>
      <c r="O4" s="364"/>
      <c r="P4" s="364"/>
      <c r="Q4" s="364"/>
      <c r="R4" s="364"/>
      <c r="S4" s="364"/>
      <c r="T4" s="288"/>
    </row>
    <row r="5" spans="1:20" ht="28.2" customHeight="1" thickBot="1" x14ac:dyDescent="0.35">
      <c r="A5" s="156" t="s">
        <v>219</v>
      </c>
      <c r="B5" s="110">
        <f>C5+D5+E5+F5+G5+H5</f>
        <v>8</v>
      </c>
      <c r="C5" s="114">
        <v>3</v>
      </c>
      <c r="D5" s="114">
        <v>0</v>
      </c>
      <c r="E5" s="114">
        <v>2</v>
      </c>
      <c r="F5" s="114">
        <v>2</v>
      </c>
      <c r="G5" s="115">
        <v>1</v>
      </c>
      <c r="H5" s="116">
        <v>0</v>
      </c>
      <c r="I5" s="267">
        <f>SUM(B5:B19)-SUM(G5:G19)</f>
        <v>7</v>
      </c>
      <c r="M5" s="287" t="s">
        <v>121</v>
      </c>
      <c r="N5" s="288"/>
      <c r="O5" s="93">
        <v>1</v>
      </c>
      <c r="P5" s="93">
        <v>1</v>
      </c>
      <c r="Q5" s="93">
        <v>1</v>
      </c>
      <c r="R5" s="93">
        <v>1</v>
      </c>
      <c r="S5" s="93">
        <v>1</v>
      </c>
      <c r="T5" s="93">
        <v>1</v>
      </c>
    </row>
    <row r="6" spans="1:20" ht="16.2" customHeight="1" thickBot="1" x14ac:dyDescent="0.35">
      <c r="A6" s="97" t="s">
        <v>218</v>
      </c>
      <c r="B6" s="110">
        <f t="shared" ref="B6:B19" si="0">C6+D6+E6+F6+G6+H6</f>
        <v>0</v>
      </c>
      <c r="C6" s="95"/>
      <c r="D6" s="95"/>
      <c r="E6" s="95"/>
      <c r="F6" s="95"/>
      <c r="G6" s="96"/>
      <c r="H6" s="98"/>
      <c r="I6" s="268"/>
      <c r="M6" s="287" t="s">
        <v>215</v>
      </c>
      <c r="N6" s="288"/>
      <c r="O6" s="194">
        <v>1</v>
      </c>
      <c r="P6" s="194">
        <v>1</v>
      </c>
      <c r="Q6" s="194">
        <v>1</v>
      </c>
      <c r="R6" s="194">
        <v>1</v>
      </c>
      <c r="S6" s="194">
        <v>1</v>
      </c>
      <c r="T6" s="193">
        <v>1</v>
      </c>
    </row>
    <row r="7" spans="1:20" ht="16.2" thickBot="1" x14ac:dyDescent="0.35">
      <c r="A7" s="97" t="s">
        <v>217</v>
      </c>
      <c r="B7" s="110">
        <f t="shared" si="0"/>
        <v>0</v>
      </c>
      <c r="C7" s="95"/>
      <c r="D7" s="95"/>
      <c r="E7" s="95"/>
      <c r="F7" s="95"/>
      <c r="G7" s="96"/>
      <c r="H7" s="98"/>
      <c r="I7" s="268"/>
      <c r="M7" s="287" t="s">
        <v>213</v>
      </c>
      <c r="N7" s="288"/>
      <c r="O7" s="194">
        <v>1</v>
      </c>
      <c r="P7" s="194">
        <v>1</v>
      </c>
      <c r="Q7" s="194">
        <v>1</v>
      </c>
      <c r="R7" s="194">
        <v>1</v>
      </c>
      <c r="S7" s="194">
        <v>1</v>
      </c>
      <c r="T7" s="193">
        <v>1</v>
      </c>
    </row>
    <row r="8" spans="1:20" ht="16.2" thickBot="1" x14ac:dyDescent="0.35">
      <c r="A8" s="97" t="s">
        <v>216</v>
      </c>
      <c r="B8" s="110">
        <f t="shared" si="0"/>
        <v>0</v>
      </c>
      <c r="C8" s="95"/>
      <c r="D8" s="95"/>
      <c r="E8" s="95"/>
      <c r="F8" s="95"/>
      <c r="G8" s="96"/>
      <c r="H8" s="98"/>
      <c r="I8" s="268"/>
      <c r="M8" s="287" t="s">
        <v>212</v>
      </c>
      <c r="N8" s="288"/>
      <c r="O8" s="92">
        <v>1</v>
      </c>
      <c r="P8" s="92">
        <v>1</v>
      </c>
      <c r="Q8" s="92">
        <v>1</v>
      </c>
      <c r="R8" s="92">
        <v>1</v>
      </c>
      <c r="S8" s="92">
        <v>1</v>
      </c>
      <c r="T8" s="93">
        <v>1</v>
      </c>
    </row>
    <row r="9" spans="1:20" ht="16.2" thickBot="1" x14ac:dyDescent="0.35">
      <c r="A9" s="97"/>
      <c r="B9" s="110">
        <f t="shared" si="0"/>
        <v>0</v>
      </c>
      <c r="C9" s="95"/>
      <c r="D9" s="95"/>
      <c r="E9" s="95"/>
      <c r="F9" s="95"/>
      <c r="G9" s="96"/>
      <c r="H9" s="98"/>
      <c r="I9" s="268"/>
      <c r="M9" s="287" t="s">
        <v>236</v>
      </c>
      <c r="N9" s="288"/>
      <c r="O9" s="93">
        <v>1</v>
      </c>
      <c r="P9" s="93">
        <v>1</v>
      </c>
      <c r="Q9" s="93">
        <v>1</v>
      </c>
      <c r="R9" s="93">
        <v>1</v>
      </c>
      <c r="S9" s="93">
        <v>1</v>
      </c>
      <c r="T9" s="93">
        <v>1</v>
      </c>
    </row>
    <row r="10" spans="1:20" ht="16.2" thickBot="1" x14ac:dyDescent="0.35">
      <c r="A10" s="97"/>
      <c r="B10" s="110">
        <f t="shared" si="0"/>
        <v>0</v>
      </c>
      <c r="C10" s="95"/>
      <c r="D10" s="95"/>
      <c r="E10" s="95"/>
      <c r="F10" s="95"/>
      <c r="G10" s="96"/>
      <c r="H10" s="98"/>
      <c r="I10" s="268"/>
      <c r="M10" s="287" t="s">
        <v>237</v>
      </c>
      <c r="N10" s="288"/>
      <c r="O10" s="194">
        <v>1</v>
      </c>
      <c r="P10" s="194">
        <v>1</v>
      </c>
      <c r="Q10" s="194">
        <v>1</v>
      </c>
      <c r="R10" s="194">
        <v>1</v>
      </c>
      <c r="S10" s="194">
        <v>1</v>
      </c>
      <c r="T10" s="193">
        <v>1</v>
      </c>
    </row>
    <row r="11" spans="1:20" ht="16.2" thickBot="1" x14ac:dyDescent="0.35">
      <c r="A11" s="97"/>
      <c r="B11" s="110">
        <f t="shared" si="0"/>
        <v>0</v>
      </c>
      <c r="C11" s="95"/>
      <c r="D11" s="95"/>
      <c r="E11" s="95"/>
      <c r="F11" s="95"/>
      <c r="G11" s="96"/>
      <c r="H11" s="98"/>
      <c r="I11" s="268"/>
      <c r="M11" s="287" t="s">
        <v>238</v>
      </c>
      <c r="N11" s="288"/>
      <c r="O11" s="194">
        <v>1</v>
      </c>
      <c r="P11" s="194">
        <v>1</v>
      </c>
      <c r="Q11" s="194">
        <v>1</v>
      </c>
      <c r="R11" s="194">
        <v>1</v>
      </c>
      <c r="S11" s="194">
        <v>1</v>
      </c>
      <c r="T11" s="193">
        <v>1</v>
      </c>
    </row>
    <row r="12" spans="1:20" ht="16.2" thickBot="1" x14ac:dyDescent="0.35">
      <c r="A12" s="97"/>
      <c r="B12" s="110">
        <f t="shared" si="0"/>
        <v>0</v>
      </c>
      <c r="C12" s="96"/>
      <c r="D12" s="95"/>
      <c r="E12" s="95"/>
      <c r="F12" s="95"/>
      <c r="G12" s="96"/>
      <c r="H12" s="98"/>
      <c r="I12" s="268"/>
      <c r="M12" s="287" t="s">
        <v>239</v>
      </c>
      <c r="N12" s="288"/>
      <c r="O12" s="92">
        <v>1</v>
      </c>
      <c r="P12" s="92">
        <v>1</v>
      </c>
      <c r="Q12" s="92">
        <v>1</v>
      </c>
      <c r="R12" s="92">
        <v>1</v>
      </c>
      <c r="S12" s="92">
        <v>1</v>
      </c>
      <c r="T12" s="93">
        <v>1</v>
      </c>
    </row>
    <row r="13" spans="1:20" ht="16.2" thickBot="1" x14ac:dyDescent="0.35">
      <c r="A13" s="126"/>
      <c r="B13" s="110">
        <f t="shared" si="0"/>
        <v>0</v>
      </c>
      <c r="C13" s="127"/>
      <c r="D13" s="128"/>
      <c r="E13" s="128"/>
      <c r="F13" s="128"/>
      <c r="G13" s="127"/>
      <c r="H13" s="129"/>
      <c r="I13" s="268"/>
      <c r="M13" s="287" t="s">
        <v>240</v>
      </c>
      <c r="N13" s="288"/>
      <c r="O13" s="93">
        <v>1</v>
      </c>
      <c r="P13" s="93">
        <v>1</v>
      </c>
      <c r="Q13" s="93">
        <v>1</v>
      </c>
      <c r="R13" s="93">
        <v>1</v>
      </c>
      <c r="S13" s="93">
        <v>1</v>
      </c>
      <c r="T13" s="93">
        <v>1</v>
      </c>
    </row>
    <row r="14" spans="1:20" ht="16.2" thickBot="1" x14ac:dyDescent="0.35">
      <c r="A14" s="126"/>
      <c r="B14" s="110">
        <f t="shared" si="0"/>
        <v>0</v>
      </c>
      <c r="C14" s="127"/>
      <c r="D14" s="128"/>
      <c r="E14" s="128"/>
      <c r="F14" s="128"/>
      <c r="G14" s="127"/>
      <c r="H14" s="129"/>
      <c r="I14" s="268"/>
      <c r="M14" s="287" t="s">
        <v>241</v>
      </c>
      <c r="N14" s="288"/>
      <c r="O14" s="194">
        <v>1</v>
      </c>
      <c r="P14" s="194">
        <v>1</v>
      </c>
      <c r="Q14" s="194">
        <v>1</v>
      </c>
      <c r="R14" s="194">
        <v>1</v>
      </c>
      <c r="S14" s="194">
        <v>1</v>
      </c>
      <c r="T14" s="193">
        <v>1</v>
      </c>
    </row>
    <row r="15" spans="1:20" ht="15" thickBot="1" x14ac:dyDescent="0.35">
      <c r="A15" s="126"/>
      <c r="B15" s="110">
        <f t="shared" si="0"/>
        <v>0</v>
      </c>
      <c r="C15" s="127"/>
      <c r="D15" s="128"/>
      <c r="E15" s="128"/>
      <c r="F15" s="128"/>
      <c r="G15" s="127"/>
      <c r="H15" s="129"/>
      <c r="I15" s="268"/>
    </row>
    <row r="16" spans="1:20" ht="15" thickBot="1" x14ac:dyDescent="0.35">
      <c r="A16" s="126"/>
      <c r="B16" s="110">
        <f t="shared" si="0"/>
        <v>0</v>
      </c>
      <c r="C16" s="127"/>
      <c r="D16" s="128"/>
      <c r="E16" s="128"/>
      <c r="F16" s="128"/>
      <c r="G16" s="127"/>
      <c r="H16" s="129"/>
      <c r="I16" s="268"/>
    </row>
    <row r="17" spans="1:21" ht="16.2" thickBot="1" x14ac:dyDescent="0.35">
      <c r="A17" s="126"/>
      <c r="B17" s="110">
        <f t="shared" si="0"/>
        <v>0</v>
      </c>
      <c r="C17" s="127"/>
      <c r="D17" s="128"/>
      <c r="E17" s="128"/>
      <c r="F17" s="128"/>
      <c r="G17" s="127"/>
      <c r="H17" s="129"/>
      <c r="I17" s="268"/>
      <c r="M17" s="357"/>
      <c r="N17" s="357"/>
      <c r="O17" s="192"/>
      <c r="P17" s="192"/>
      <c r="Q17" s="192"/>
      <c r="R17" s="192"/>
      <c r="S17" s="192"/>
      <c r="T17" s="192"/>
    </row>
    <row r="18" spans="1:21" ht="16.2" customHeight="1" thickBot="1" x14ac:dyDescent="0.35">
      <c r="A18" s="126"/>
      <c r="B18" s="110">
        <f t="shared" si="0"/>
        <v>0</v>
      </c>
      <c r="C18" s="127"/>
      <c r="D18" s="128"/>
      <c r="E18" s="128"/>
      <c r="F18" s="128"/>
      <c r="G18" s="127"/>
      <c r="H18" s="129"/>
      <c r="I18" s="268"/>
      <c r="M18" s="357"/>
      <c r="N18" s="357"/>
      <c r="O18" s="192"/>
      <c r="P18" s="192"/>
      <c r="Q18" s="192"/>
      <c r="R18" s="192"/>
      <c r="S18" s="192"/>
      <c r="T18" s="192"/>
    </row>
    <row r="19" spans="1:21" ht="16.2" customHeight="1" thickBot="1" x14ac:dyDescent="0.35">
      <c r="A19" s="117"/>
      <c r="B19" s="110">
        <f t="shared" si="0"/>
        <v>0</v>
      </c>
      <c r="C19" s="119"/>
      <c r="D19" s="119"/>
      <c r="E19" s="119"/>
      <c r="F19" s="119"/>
      <c r="G19" s="120"/>
      <c r="H19" s="121"/>
      <c r="I19" s="269"/>
      <c r="M19" s="357"/>
      <c r="N19" s="357"/>
      <c r="O19" s="192"/>
      <c r="P19" s="192"/>
      <c r="Q19" s="192"/>
      <c r="R19" s="192"/>
      <c r="S19" s="192"/>
      <c r="T19" s="192"/>
    </row>
    <row r="20" spans="1:21" ht="37.5" customHeight="1" thickTop="1" thickBot="1" x14ac:dyDescent="0.35">
      <c r="A20" s="106" t="s">
        <v>107</v>
      </c>
      <c r="B20" s="107">
        <f>C20+D20+E20+F20+G20+H20</f>
        <v>1</v>
      </c>
      <c r="C20" s="111"/>
      <c r="D20" s="111"/>
      <c r="E20" s="111"/>
      <c r="F20" s="111"/>
      <c r="G20" s="112">
        <v>1</v>
      </c>
      <c r="H20" s="113">
        <v>0</v>
      </c>
      <c r="I20" s="109">
        <f>B20-G20</f>
        <v>0</v>
      </c>
      <c r="J20" s="141" t="s">
        <v>126</v>
      </c>
      <c r="K20" s="142" t="s">
        <v>114</v>
      </c>
    </row>
    <row r="21" spans="1:21" ht="58.2" customHeight="1" thickBot="1" x14ac:dyDescent="0.35">
      <c r="A21" s="99" t="s">
        <v>53</v>
      </c>
      <c r="B21" s="100">
        <f>C21+D21+E21+F21+G21+H21</f>
        <v>9</v>
      </c>
      <c r="C21" s="101">
        <f>SUM(C5:C20)</f>
        <v>3</v>
      </c>
      <c r="D21" s="101">
        <f t="shared" ref="D21:H21" si="1">SUM(D5:D20)</f>
        <v>0</v>
      </c>
      <c r="E21" s="101">
        <f t="shared" si="1"/>
        <v>2</v>
      </c>
      <c r="F21" s="101">
        <f t="shared" si="1"/>
        <v>2</v>
      </c>
      <c r="G21" s="101">
        <f>SUM(G5:G20)</f>
        <v>2</v>
      </c>
      <c r="H21" s="102">
        <f t="shared" si="1"/>
        <v>0</v>
      </c>
      <c r="I21" s="102">
        <f>SUM(I5:I20)</f>
        <v>7</v>
      </c>
      <c r="J21" t="s">
        <v>242</v>
      </c>
      <c r="K21" s="142" t="s">
        <v>114</v>
      </c>
    </row>
    <row r="22" spans="1:21" x14ac:dyDescent="0.3">
      <c r="A22" s="123"/>
      <c r="B22" s="124"/>
      <c r="C22" s="125"/>
      <c r="D22" s="125"/>
      <c r="E22" s="125"/>
      <c r="F22" s="125"/>
      <c r="G22" s="125"/>
      <c r="H22" s="125"/>
      <c r="I22" s="125"/>
    </row>
    <row r="23" spans="1:21" ht="16.2" customHeight="1" thickBot="1" x14ac:dyDescent="0.4">
      <c r="A23" t="s">
        <v>215</v>
      </c>
      <c r="M23" s="130" t="s">
        <v>116</v>
      </c>
      <c r="N23" s="131"/>
      <c r="O23" s="131"/>
      <c r="P23" s="131"/>
    </row>
    <row r="24" spans="1:21" x14ac:dyDescent="0.3">
      <c r="A24" s="279" t="s">
        <v>98</v>
      </c>
      <c r="B24" s="282" t="s">
        <v>99</v>
      </c>
      <c r="C24" s="282" t="s">
        <v>100</v>
      </c>
      <c r="D24" s="282"/>
      <c r="E24" s="282"/>
      <c r="F24" s="282"/>
      <c r="G24" s="277" t="s">
        <v>105</v>
      </c>
      <c r="H24" s="274" t="s">
        <v>106</v>
      </c>
      <c r="I24" s="264" t="s">
        <v>127</v>
      </c>
      <c r="K24" s="358" t="s">
        <v>214</v>
      </c>
      <c r="L24" s="359"/>
      <c r="M24" s="279" t="s">
        <v>98</v>
      </c>
      <c r="N24" s="282" t="s">
        <v>99</v>
      </c>
      <c r="O24" s="282" t="s">
        <v>100</v>
      </c>
      <c r="P24" s="282"/>
      <c r="Q24" s="282"/>
      <c r="R24" s="282"/>
      <c r="S24" s="277" t="s">
        <v>105</v>
      </c>
      <c r="T24" s="282" t="s">
        <v>106</v>
      </c>
      <c r="U24" s="264" t="s">
        <v>127</v>
      </c>
    </row>
    <row r="25" spans="1:21" x14ac:dyDescent="0.3">
      <c r="A25" s="280"/>
      <c r="B25" s="273"/>
      <c r="C25" s="273" t="s">
        <v>101</v>
      </c>
      <c r="D25" s="273"/>
      <c r="E25" s="273" t="s">
        <v>102</v>
      </c>
      <c r="F25" s="273"/>
      <c r="G25" s="278"/>
      <c r="H25" s="275"/>
      <c r="I25" s="265"/>
      <c r="K25" s="360"/>
      <c r="L25" s="361"/>
      <c r="M25" s="280"/>
      <c r="N25" s="273"/>
      <c r="O25" s="273" t="s">
        <v>101</v>
      </c>
      <c r="P25" s="273"/>
      <c r="Q25" s="273" t="s">
        <v>102</v>
      </c>
      <c r="R25" s="273"/>
      <c r="S25" s="278"/>
      <c r="T25" s="273"/>
      <c r="U25" s="265"/>
    </row>
    <row r="26" spans="1:21" ht="15" thickBot="1" x14ac:dyDescent="0.35">
      <c r="A26" s="281"/>
      <c r="B26" s="283"/>
      <c r="C26" s="105" t="s">
        <v>103</v>
      </c>
      <c r="D26" s="105" t="s">
        <v>104</v>
      </c>
      <c r="E26" s="105" t="s">
        <v>103</v>
      </c>
      <c r="F26" s="105" t="s">
        <v>104</v>
      </c>
      <c r="G26" s="105" t="s">
        <v>110</v>
      </c>
      <c r="H26" s="276"/>
      <c r="I26" s="266"/>
      <c r="K26" s="362"/>
      <c r="L26" s="363"/>
      <c r="M26" s="285"/>
      <c r="N26" s="286"/>
      <c r="O26" s="101" t="s">
        <v>103</v>
      </c>
      <c r="P26" s="101" t="s">
        <v>104</v>
      </c>
      <c r="Q26" s="101" t="s">
        <v>103</v>
      </c>
      <c r="R26" s="101" t="s">
        <v>104</v>
      </c>
      <c r="S26" s="101" t="s">
        <v>110</v>
      </c>
      <c r="T26" s="286"/>
      <c r="U26" s="266"/>
    </row>
    <row r="27" spans="1:21" ht="15" thickBot="1" x14ac:dyDescent="0.35">
      <c r="A27" s="156"/>
      <c r="B27" s="110">
        <f>C27+D27+E27+F27+G27+H27</f>
        <v>0</v>
      </c>
      <c r="C27" s="114"/>
      <c r="D27" s="114"/>
      <c r="E27" s="114"/>
      <c r="F27" s="114"/>
      <c r="G27" s="115"/>
      <c r="H27" s="116"/>
      <c r="I27" s="267">
        <f>SUM(B27:B41)-SUM(G27:G41)</f>
        <v>1</v>
      </c>
      <c r="K27" s="358">
        <v>1</v>
      </c>
      <c r="L27" s="359"/>
      <c r="M27" s="132" t="str">
        <f t="shared" ref="M27:M40" si="2">A5</f>
        <v>Дист 1</v>
      </c>
      <c r="N27" s="133">
        <f>O27+P27+Q27+R27+S27+T27</f>
        <v>8</v>
      </c>
      <c r="O27" s="108">
        <f t="shared" ref="O27:O41" si="3" xml:space="preserve"> C5*O$5</f>
        <v>3</v>
      </c>
      <c r="P27" s="108">
        <f t="shared" ref="P27:P41" si="4" xml:space="preserve"> D5*P$5</f>
        <v>0</v>
      </c>
      <c r="Q27" s="108">
        <f t="shared" ref="Q27:Q41" si="5" xml:space="preserve"> E5*Q$5</f>
        <v>2</v>
      </c>
      <c r="R27" s="108">
        <f t="shared" ref="R27:R41" si="6" xml:space="preserve"> F5*R$5</f>
        <v>2</v>
      </c>
      <c r="S27" s="108">
        <f t="shared" ref="S27:S41" si="7" xml:space="preserve"> G5*S$5</f>
        <v>1</v>
      </c>
      <c r="T27" s="183">
        <f t="shared" ref="T27:T41" si="8" xml:space="preserve"> H5*T$5</f>
        <v>0</v>
      </c>
      <c r="U27" s="267">
        <f>SUM(N27:N41)-SUM(S27:S41)</f>
        <v>7</v>
      </c>
    </row>
    <row r="28" spans="1:21" ht="15" thickBot="1" x14ac:dyDescent="0.35">
      <c r="A28" s="97"/>
      <c r="B28" s="110">
        <f t="shared" ref="B28:B41" si="9">C28+D28+E28+F28+G28+H28</f>
        <v>0</v>
      </c>
      <c r="C28" s="95"/>
      <c r="D28" s="95"/>
      <c r="E28" s="95"/>
      <c r="F28" s="95"/>
      <c r="G28" s="96"/>
      <c r="H28" s="98"/>
      <c r="I28" s="268"/>
      <c r="K28" s="360"/>
      <c r="L28" s="361"/>
      <c r="M28" s="97" t="str">
        <f t="shared" si="2"/>
        <v>Дист 2</v>
      </c>
      <c r="N28" s="83">
        <f>O28+P28+Q28+R28+S28+T28</f>
        <v>0</v>
      </c>
      <c r="O28" s="108">
        <f t="shared" si="3"/>
        <v>0</v>
      </c>
      <c r="P28" s="108">
        <f t="shared" si="4"/>
        <v>0</v>
      </c>
      <c r="Q28" s="108">
        <f t="shared" si="5"/>
        <v>0</v>
      </c>
      <c r="R28" s="108">
        <f t="shared" si="6"/>
        <v>0</v>
      </c>
      <c r="S28" s="108">
        <f t="shared" si="7"/>
        <v>0</v>
      </c>
      <c r="T28" s="183">
        <f t="shared" si="8"/>
        <v>0</v>
      </c>
      <c r="U28" s="268"/>
    </row>
    <row r="29" spans="1:21" ht="15" thickBot="1" x14ac:dyDescent="0.35">
      <c r="A29" s="97"/>
      <c r="B29" s="110">
        <f t="shared" si="9"/>
        <v>0</v>
      </c>
      <c r="C29" s="95"/>
      <c r="D29" s="95"/>
      <c r="E29" s="95"/>
      <c r="F29" s="95"/>
      <c r="G29" s="96"/>
      <c r="H29" s="98"/>
      <c r="I29" s="268"/>
      <c r="K29" s="360"/>
      <c r="L29" s="361"/>
      <c r="M29" s="97" t="str">
        <f t="shared" si="2"/>
        <v>Дист 3</v>
      </c>
      <c r="N29" s="83">
        <f>O29+P29+Q29+R29+S29+T29</f>
        <v>0</v>
      </c>
      <c r="O29" s="108">
        <f t="shared" si="3"/>
        <v>0</v>
      </c>
      <c r="P29" s="108">
        <f t="shared" si="4"/>
        <v>0</v>
      </c>
      <c r="Q29" s="108">
        <f t="shared" si="5"/>
        <v>0</v>
      </c>
      <c r="R29" s="108">
        <f t="shared" si="6"/>
        <v>0</v>
      </c>
      <c r="S29" s="108">
        <f t="shared" si="7"/>
        <v>0</v>
      </c>
      <c r="T29" s="183">
        <f t="shared" si="8"/>
        <v>0</v>
      </c>
      <c r="U29" s="268"/>
    </row>
    <row r="30" spans="1:21" ht="15" customHeight="1" outlineLevel="1" thickBot="1" x14ac:dyDescent="0.35">
      <c r="A30" s="97"/>
      <c r="B30" s="110">
        <f t="shared" si="9"/>
        <v>0</v>
      </c>
      <c r="C30" s="95"/>
      <c r="D30" s="95"/>
      <c r="E30" s="95"/>
      <c r="F30" s="95"/>
      <c r="G30" s="96"/>
      <c r="H30" s="98"/>
      <c r="I30" s="268"/>
      <c r="K30" s="360"/>
      <c r="L30" s="361"/>
      <c r="M30" s="97" t="str">
        <f t="shared" si="2"/>
        <v>Дист 4</v>
      </c>
      <c r="N30" s="83">
        <f t="shared" ref="N30:N58" si="10">O30+P30+Q30+R30+S30+T30</f>
        <v>0</v>
      </c>
      <c r="O30" s="108">
        <f t="shared" si="3"/>
        <v>0</v>
      </c>
      <c r="P30" s="108">
        <f t="shared" si="4"/>
        <v>0</v>
      </c>
      <c r="Q30" s="108">
        <f t="shared" si="5"/>
        <v>0</v>
      </c>
      <c r="R30" s="108">
        <f t="shared" si="6"/>
        <v>0</v>
      </c>
      <c r="S30" s="108">
        <f t="shared" si="7"/>
        <v>0</v>
      </c>
      <c r="T30" s="183">
        <f t="shared" si="8"/>
        <v>0</v>
      </c>
      <c r="U30" s="268"/>
    </row>
    <row r="31" spans="1:21" ht="15" outlineLevel="1" thickBot="1" x14ac:dyDescent="0.35">
      <c r="A31" s="97"/>
      <c r="B31" s="110">
        <f t="shared" si="9"/>
        <v>0</v>
      </c>
      <c r="C31" s="95"/>
      <c r="D31" s="95"/>
      <c r="E31" s="95"/>
      <c r="F31" s="95"/>
      <c r="G31" s="96"/>
      <c r="H31" s="98"/>
      <c r="I31" s="268"/>
      <c r="K31" s="360"/>
      <c r="L31" s="361"/>
      <c r="M31" s="97">
        <f t="shared" si="2"/>
        <v>0</v>
      </c>
      <c r="N31" s="83">
        <f t="shared" si="10"/>
        <v>0</v>
      </c>
      <c r="O31" s="108">
        <f t="shared" si="3"/>
        <v>0</v>
      </c>
      <c r="P31" s="108">
        <f t="shared" si="4"/>
        <v>0</v>
      </c>
      <c r="Q31" s="108">
        <f t="shared" si="5"/>
        <v>0</v>
      </c>
      <c r="R31" s="108">
        <f t="shared" si="6"/>
        <v>0</v>
      </c>
      <c r="S31" s="108">
        <f t="shared" si="7"/>
        <v>0</v>
      </c>
      <c r="T31" s="183">
        <f t="shared" si="8"/>
        <v>0</v>
      </c>
      <c r="U31" s="268"/>
    </row>
    <row r="32" spans="1:21" ht="15" outlineLevel="1" thickBot="1" x14ac:dyDescent="0.35">
      <c r="A32" s="97"/>
      <c r="B32" s="110">
        <f t="shared" si="9"/>
        <v>0</v>
      </c>
      <c r="C32" s="95"/>
      <c r="D32" s="95"/>
      <c r="E32" s="95"/>
      <c r="F32" s="95"/>
      <c r="G32" s="96"/>
      <c r="H32" s="98"/>
      <c r="I32" s="268"/>
      <c r="K32" s="360"/>
      <c r="L32" s="361"/>
      <c r="M32" s="97">
        <f t="shared" si="2"/>
        <v>0</v>
      </c>
      <c r="N32" s="83">
        <f t="shared" si="10"/>
        <v>0</v>
      </c>
      <c r="O32" s="108">
        <f t="shared" si="3"/>
        <v>0</v>
      </c>
      <c r="P32" s="108">
        <f t="shared" si="4"/>
        <v>0</v>
      </c>
      <c r="Q32" s="108">
        <f t="shared" si="5"/>
        <v>0</v>
      </c>
      <c r="R32" s="108">
        <f t="shared" si="6"/>
        <v>0</v>
      </c>
      <c r="S32" s="108">
        <f t="shared" si="7"/>
        <v>0</v>
      </c>
      <c r="T32" s="183">
        <f t="shared" si="8"/>
        <v>0</v>
      </c>
      <c r="U32" s="268"/>
    </row>
    <row r="33" spans="1:31" ht="15" outlineLevel="1" thickBot="1" x14ac:dyDescent="0.35">
      <c r="A33" s="97"/>
      <c r="B33" s="110">
        <f t="shared" si="9"/>
        <v>0</v>
      </c>
      <c r="C33" s="95"/>
      <c r="D33" s="95"/>
      <c r="E33" s="95"/>
      <c r="F33" s="95"/>
      <c r="G33" s="96"/>
      <c r="H33" s="98"/>
      <c r="I33" s="268"/>
      <c r="K33" s="360"/>
      <c r="L33" s="361"/>
      <c r="M33" s="97">
        <f t="shared" si="2"/>
        <v>0</v>
      </c>
      <c r="N33" s="83">
        <f t="shared" si="10"/>
        <v>0</v>
      </c>
      <c r="O33" s="108">
        <f t="shared" si="3"/>
        <v>0</v>
      </c>
      <c r="P33" s="108">
        <f t="shared" si="4"/>
        <v>0</v>
      </c>
      <c r="Q33" s="108">
        <f t="shared" si="5"/>
        <v>0</v>
      </c>
      <c r="R33" s="108">
        <f t="shared" si="6"/>
        <v>0</v>
      </c>
      <c r="S33" s="108">
        <f t="shared" si="7"/>
        <v>0</v>
      </c>
      <c r="T33" s="183">
        <f t="shared" si="8"/>
        <v>0</v>
      </c>
      <c r="U33" s="268"/>
    </row>
    <row r="34" spans="1:31" ht="15" outlineLevel="1" thickBot="1" x14ac:dyDescent="0.35">
      <c r="A34" s="97"/>
      <c r="B34" s="110">
        <f t="shared" si="9"/>
        <v>0</v>
      </c>
      <c r="C34" s="96"/>
      <c r="D34" s="95"/>
      <c r="E34" s="95"/>
      <c r="F34" s="95"/>
      <c r="G34" s="96"/>
      <c r="H34" s="98"/>
      <c r="I34" s="268"/>
      <c r="K34" s="360"/>
      <c r="L34" s="361"/>
      <c r="M34" s="97">
        <f t="shared" si="2"/>
        <v>0</v>
      </c>
      <c r="N34" s="83">
        <f t="shared" si="10"/>
        <v>0</v>
      </c>
      <c r="O34" s="108">
        <f t="shared" si="3"/>
        <v>0</v>
      </c>
      <c r="P34" s="108">
        <f t="shared" si="4"/>
        <v>0</v>
      </c>
      <c r="Q34" s="108">
        <f t="shared" si="5"/>
        <v>0</v>
      </c>
      <c r="R34" s="108">
        <f t="shared" si="6"/>
        <v>0</v>
      </c>
      <c r="S34" s="108">
        <f t="shared" si="7"/>
        <v>0</v>
      </c>
      <c r="T34" s="183">
        <f t="shared" si="8"/>
        <v>0</v>
      </c>
      <c r="U34" s="268"/>
    </row>
    <row r="35" spans="1:31" ht="15" outlineLevel="1" thickBot="1" x14ac:dyDescent="0.35">
      <c r="A35" s="126"/>
      <c r="B35" s="110">
        <f t="shared" si="9"/>
        <v>0</v>
      </c>
      <c r="C35" s="127"/>
      <c r="D35" s="128"/>
      <c r="E35" s="128"/>
      <c r="F35" s="128"/>
      <c r="G35" s="127"/>
      <c r="H35" s="129"/>
      <c r="I35" s="268"/>
      <c r="K35" s="360"/>
      <c r="L35" s="361"/>
      <c r="M35" s="97">
        <f t="shared" si="2"/>
        <v>0</v>
      </c>
      <c r="N35" s="83">
        <f t="shared" si="10"/>
        <v>0</v>
      </c>
      <c r="O35" s="108">
        <f t="shared" si="3"/>
        <v>0</v>
      </c>
      <c r="P35" s="108">
        <f t="shared" si="4"/>
        <v>0</v>
      </c>
      <c r="Q35" s="108">
        <f t="shared" si="5"/>
        <v>0</v>
      </c>
      <c r="R35" s="108">
        <f t="shared" si="6"/>
        <v>0</v>
      </c>
      <c r="S35" s="108">
        <f t="shared" si="7"/>
        <v>0</v>
      </c>
      <c r="T35" s="183">
        <f t="shared" si="8"/>
        <v>0</v>
      </c>
      <c r="U35" s="268"/>
    </row>
    <row r="36" spans="1:31" ht="15" outlineLevel="1" thickBot="1" x14ac:dyDescent="0.35">
      <c r="A36" s="126"/>
      <c r="B36" s="110">
        <f t="shared" si="9"/>
        <v>0</v>
      </c>
      <c r="C36" s="127"/>
      <c r="D36" s="128"/>
      <c r="E36" s="128"/>
      <c r="F36" s="128"/>
      <c r="G36" s="127"/>
      <c r="H36" s="129"/>
      <c r="I36" s="268"/>
      <c r="K36" s="360"/>
      <c r="L36" s="361"/>
      <c r="M36" s="97">
        <f t="shared" si="2"/>
        <v>0</v>
      </c>
      <c r="N36" s="83">
        <f t="shared" si="10"/>
        <v>0</v>
      </c>
      <c r="O36" s="108">
        <f t="shared" si="3"/>
        <v>0</v>
      </c>
      <c r="P36" s="108">
        <f t="shared" si="4"/>
        <v>0</v>
      </c>
      <c r="Q36" s="108">
        <f t="shared" si="5"/>
        <v>0</v>
      </c>
      <c r="R36" s="108">
        <f t="shared" si="6"/>
        <v>0</v>
      </c>
      <c r="S36" s="108">
        <f t="shared" si="7"/>
        <v>0</v>
      </c>
      <c r="T36" s="183">
        <f t="shared" si="8"/>
        <v>0</v>
      </c>
      <c r="U36" s="268"/>
    </row>
    <row r="37" spans="1:31" ht="15" outlineLevel="1" thickBot="1" x14ac:dyDescent="0.35">
      <c r="A37" s="126"/>
      <c r="B37" s="110">
        <f t="shared" si="9"/>
        <v>0</v>
      </c>
      <c r="C37" s="127"/>
      <c r="D37" s="128"/>
      <c r="E37" s="128"/>
      <c r="F37" s="128"/>
      <c r="G37" s="127"/>
      <c r="H37" s="129"/>
      <c r="I37" s="268"/>
      <c r="K37" s="360"/>
      <c r="L37" s="361"/>
      <c r="M37" s="97">
        <f t="shared" si="2"/>
        <v>0</v>
      </c>
      <c r="N37" s="83">
        <f t="shared" si="10"/>
        <v>0</v>
      </c>
      <c r="O37" s="108">
        <f t="shared" si="3"/>
        <v>0</v>
      </c>
      <c r="P37" s="108">
        <f t="shared" si="4"/>
        <v>0</v>
      </c>
      <c r="Q37" s="108">
        <f t="shared" si="5"/>
        <v>0</v>
      </c>
      <c r="R37" s="108">
        <f t="shared" si="6"/>
        <v>0</v>
      </c>
      <c r="S37" s="108">
        <f t="shared" si="7"/>
        <v>0</v>
      </c>
      <c r="T37" s="183">
        <f t="shared" si="8"/>
        <v>0</v>
      </c>
      <c r="U37" s="268"/>
    </row>
    <row r="38" spans="1:31" ht="15" outlineLevel="1" thickBot="1" x14ac:dyDescent="0.35">
      <c r="A38" s="126"/>
      <c r="B38" s="110">
        <f t="shared" si="9"/>
        <v>0</v>
      </c>
      <c r="C38" s="127"/>
      <c r="D38" s="128"/>
      <c r="E38" s="128"/>
      <c r="F38" s="128"/>
      <c r="G38" s="127"/>
      <c r="H38" s="129"/>
      <c r="I38" s="268"/>
      <c r="K38" s="360"/>
      <c r="L38" s="361"/>
      <c r="M38" s="97">
        <f t="shared" si="2"/>
        <v>0</v>
      </c>
      <c r="N38" s="83">
        <f t="shared" si="10"/>
        <v>0</v>
      </c>
      <c r="O38" s="108">
        <f t="shared" si="3"/>
        <v>0</v>
      </c>
      <c r="P38" s="108">
        <f t="shared" si="4"/>
        <v>0</v>
      </c>
      <c r="Q38" s="108">
        <f t="shared" si="5"/>
        <v>0</v>
      </c>
      <c r="R38" s="108">
        <f t="shared" si="6"/>
        <v>0</v>
      </c>
      <c r="S38" s="108">
        <f t="shared" si="7"/>
        <v>0</v>
      </c>
      <c r="T38" s="183">
        <f t="shared" si="8"/>
        <v>0</v>
      </c>
      <c r="U38" s="268"/>
    </row>
    <row r="39" spans="1:31" ht="15" outlineLevel="1" thickBot="1" x14ac:dyDescent="0.35">
      <c r="A39" s="126"/>
      <c r="B39" s="110">
        <f t="shared" si="9"/>
        <v>0</v>
      </c>
      <c r="C39" s="127"/>
      <c r="D39" s="128"/>
      <c r="E39" s="128"/>
      <c r="F39" s="128"/>
      <c r="G39" s="127"/>
      <c r="H39" s="129"/>
      <c r="I39" s="268"/>
      <c r="K39" s="360"/>
      <c r="L39" s="361"/>
      <c r="M39" s="97">
        <f t="shared" si="2"/>
        <v>0</v>
      </c>
      <c r="N39" s="83">
        <f t="shared" si="10"/>
        <v>0</v>
      </c>
      <c r="O39" s="108">
        <f t="shared" si="3"/>
        <v>0</v>
      </c>
      <c r="P39" s="108">
        <f t="shared" si="4"/>
        <v>0</v>
      </c>
      <c r="Q39" s="108">
        <f t="shared" si="5"/>
        <v>0</v>
      </c>
      <c r="R39" s="108">
        <f t="shared" si="6"/>
        <v>0</v>
      </c>
      <c r="S39" s="108">
        <f t="shared" si="7"/>
        <v>0</v>
      </c>
      <c r="T39" s="183">
        <f t="shared" si="8"/>
        <v>0</v>
      </c>
      <c r="U39" s="268"/>
    </row>
    <row r="40" spans="1:31" ht="15" outlineLevel="1" thickBot="1" x14ac:dyDescent="0.35">
      <c r="A40" s="126"/>
      <c r="B40" s="110">
        <f t="shared" si="9"/>
        <v>0</v>
      </c>
      <c r="C40" s="127"/>
      <c r="D40" s="128"/>
      <c r="E40" s="128"/>
      <c r="F40" s="128"/>
      <c r="G40" s="127"/>
      <c r="H40" s="129"/>
      <c r="I40" s="268"/>
      <c r="K40" s="360"/>
      <c r="L40" s="361"/>
      <c r="M40" s="97">
        <f t="shared" si="2"/>
        <v>0</v>
      </c>
      <c r="N40" s="83">
        <f t="shared" si="10"/>
        <v>0</v>
      </c>
      <c r="O40" s="108">
        <f t="shared" si="3"/>
        <v>0</v>
      </c>
      <c r="P40" s="108">
        <f t="shared" si="4"/>
        <v>0</v>
      </c>
      <c r="Q40" s="108">
        <f t="shared" si="5"/>
        <v>0</v>
      </c>
      <c r="R40" s="108">
        <f t="shared" si="6"/>
        <v>0</v>
      </c>
      <c r="S40" s="108">
        <f t="shared" si="7"/>
        <v>0</v>
      </c>
      <c r="T40" s="183">
        <f t="shared" si="8"/>
        <v>0</v>
      </c>
      <c r="U40" s="268"/>
    </row>
    <row r="41" spans="1:31" ht="15" outlineLevel="1" thickBot="1" x14ac:dyDescent="0.35">
      <c r="A41" s="117"/>
      <c r="B41" s="110">
        <f t="shared" si="9"/>
        <v>1</v>
      </c>
      <c r="C41" s="119">
        <v>1</v>
      </c>
      <c r="D41" s="119"/>
      <c r="E41" s="119"/>
      <c r="F41" s="119"/>
      <c r="G41" s="120"/>
      <c r="H41" s="121"/>
      <c r="I41" s="269"/>
      <c r="K41" s="362"/>
      <c r="L41" s="363"/>
      <c r="M41" s="184">
        <f>A12</f>
        <v>0</v>
      </c>
      <c r="N41" s="182">
        <f t="shared" si="10"/>
        <v>0</v>
      </c>
      <c r="O41" s="181">
        <f t="shared" si="3"/>
        <v>0</v>
      </c>
      <c r="P41" s="181">
        <f t="shared" si="4"/>
        <v>0</v>
      </c>
      <c r="Q41" s="181">
        <f t="shared" si="5"/>
        <v>0</v>
      </c>
      <c r="R41" s="181">
        <f t="shared" si="6"/>
        <v>0</v>
      </c>
      <c r="S41" s="181">
        <f t="shared" si="7"/>
        <v>0</v>
      </c>
      <c r="T41" s="180">
        <f t="shared" si="8"/>
        <v>0</v>
      </c>
      <c r="U41" s="268"/>
    </row>
    <row r="42" spans="1:31" ht="39.6" customHeight="1" outlineLevel="1" thickTop="1" thickBot="1" x14ac:dyDescent="0.35">
      <c r="A42" s="99" t="s">
        <v>53</v>
      </c>
      <c r="B42" s="100">
        <f>C42+D42+E42+F42+G42+H42</f>
        <v>1</v>
      </c>
      <c r="C42" s="101">
        <f>SUM(C26:C41)</f>
        <v>1</v>
      </c>
      <c r="D42" s="101">
        <f t="shared" ref="D42:H42" si="11">SUM(D26:D41)</f>
        <v>0</v>
      </c>
      <c r="E42" s="101">
        <f t="shared" si="11"/>
        <v>0</v>
      </c>
      <c r="F42" s="101">
        <f t="shared" si="11"/>
        <v>0</v>
      </c>
      <c r="G42" s="101">
        <f>SUM(G26:G41)</f>
        <v>0</v>
      </c>
      <c r="H42" s="102">
        <f t="shared" si="11"/>
        <v>0</v>
      </c>
      <c r="I42" s="102">
        <f>SUM(I26:I41)</f>
        <v>1</v>
      </c>
      <c r="K42" s="358">
        <v>2</v>
      </c>
      <c r="L42" s="359"/>
      <c r="M42" s="132">
        <f t="shared" ref="M42:M56" si="12">A27</f>
        <v>0</v>
      </c>
      <c r="N42" s="133">
        <f t="shared" si="10"/>
        <v>0</v>
      </c>
      <c r="O42" s="108">
        <f t="shared" ref="O42:O56" si="13" xml:space="preserve"> C27*O$6</f>
        <v>0</v>
      </c>
      <c r="P42" s="108">
        <f t="shared" ref="P42:P56" si="14" xml:space="preserve"> D27*P$6</f>
        <v>0</v>
      </c>
      <c r="Q42" s="108">
        <f t="shared" ref="Q42:Q56" si="15" xml:space="preserve"> E27*Q$6</f>
        <v>0</v>
      </c>
      <c r="R42" s="108">
        <f t="shared" ref="R42:R56" si="16" xml:space="preserve"> F27*R$6</f>
        <v>0</v>
      </c>
      <c r="S42" s="108">
        <f t="shared" ref="S42:S56" si="17" xml:space="preserve"> G27*S$6</f>
        <v>0</v>
      </c>
      <c r="T42" s="183">
        <f t="shared" ref="T42:T56" si="18" xml:space="preserve"> H27*T$6</f>
        <v>0</v>
      </c>
      <c r="U42" s="267">
        <f>SUM(N42:N56)-SUM(S42:S56)</f>
        <v>1</v>
      </c>
    </row>
    <row r="43" spans="1:31" ht="31.8" customHeight="1" outlineLevel="1" thickBot="1" x14ac:dyDescent="0.35">
      <c r="A43" t="s">
        <v>213</v>
      </c>
      <c r="K43" s="360"/>
      <c r="L43" s="361"/>
      <c r="M43" s="132">
        <f t="shared" si="12"/>
        <v>0</v>
      </c>
      <c r="N43" s="83">
        <f t="shared" si="10"/>
        <v>0</v>
      </c>
      <c r="O43" s="108">
        <f t="shared" si="13"/>
        <v>0</v>
      </c>
      <c r="P43" s="108">
        <f t="shared" si="14"/>
        <v>0</v>
      </c>
      <c r="Q43" s="108">
        <f t="shared" si="15"/>
        <v>0</v>
      </c>
      <c r="R43" s="108">
        <f t="shared" si="16"/>
        <v>0</v>
      </c>
      <c r="S43" s="108">
        <f t="shared" si="17"/>
        <v>0</v>
      </c>
      <c r="T43" s="183">
        <f t="shared" si="18"/>
        <v>0</v>
      </c>
      <c r="U43" s="268"/>
      <c r="V43" s="191"/>
      <c r="W43" s="190"/>
      <c r="X43" s="190"/>
      <c r="Y43" s="190"/>
      <c r="Z43" s="190"/>
      <c r="AA43" s="190"/>
      <c r="AB43" s="190"/>
      <c r="AC43" s="190"/>
      <c r="AD43" s="189"/>
      <c r="AE43" s="185"/>
    </row>
    <row r="44" spans="1:31" outlineLevel="1" x14ac:dyDescent="0.3">
      <c r="A44" s="279" t="s">
        <v>98</v>
      </c>
      <c r="B44" s="282" t="s">
        <v>99</v>
      </c>
      <c r="C44" s="282" t="s">
        <v>100</v>
      </c>
      <c r="D44" s="282"/>
      <c r="E44" s="282"/>
      <c r="F44" s="282"/>
      <c r="G44" s="277" t="s">
        <v>105</v>
      </c>
      <c r="H44" s="274" t="s">
        <v>106</v>
      </c>
      <c r="I44" s="264" t="s">
        <v>127</v>
      </c>
      <c r="K44" s="360"/>
      <c r="L44" s="361"/>
      <c r="M44" s="132">
        <f t="shared" si="12"/>
        <v>0</v>
      </c>
      <c r="N44" s="83">
        <f t="shared" si="10"/>
        <v>0</v>
      </c>
      <c r="O44" s="108">
        <f t="shared" si="13"/>
        <v>0</v>
      </c>
      <c r="P44" s="108">
        <f t="shared" si="14"/>
        <v>0</v>
      </c>
      <c r="Q44" s="108">
        <f t="shared" si="15"/>
        <v>0</v>
      </c>
      <c r="R44" s="108">
        <f t="shared" si="16"/>
        <v>0</v>
      </c>
      <c r="S44" s="108">
        <f t="shared" si="17"/>
        <v>0</v>
      </c>
      <c r="T44" s="183">
        <f t="shared" si="18"/>
        <v>0</v>
      </c>
      <c r="U44" s="268"/>
      <c r="V44" s="188"/>
      <c r="W44" s="187"/>
      <c r="X44" s="186"/>
      <c r="Y44" s="186"/>
      <c r="Z44" s="186"/>
      <c r="AA44" s="186"/>
      <c r="AB44" s="186"/>
      <c r="AC44" s="186"/>
      <c r="AD44" s="186"/>
      <c r="AE44" s="185"/>
    </row>
    <row r="45" spans="1:31" outlineLevel="1" x14ac:dyDescent="0.3">
      <c r="A45" s="280"/>
      <c r="B45" s="273"/>
      <c r="C45" s="273" t="s">
        <v>101</v>
      </c>
      <c r="D45" s="273"/>
      <c r="E45" s="273" t="s">
        <v>102</v>
      </c>
      <c r="F45" s="273"/>
      <c r="G45" s="278"/>
      <c r="H45" s="275"/>
      <c r="I45" s="265"/>
      <c r="K45" s="360"/>
      <c r="L45" s="361"/>
      <c r="M45" s="132">
        <f t="shared" si="12"/>
        <v>0</v>
      </c>
      <c r="N45" s="83">
        <f t="shared" si="10"/>
        <v>0</v>
      </c>
      <c r="O45" s="108">
        <f t="shared" si="13"/>
        <v>0</v>
      </c>
      <c r="P45" s="108">
        <f t="shared" si="14"/>
        <v>0</v>
      </c>
      <c r="Q45" s="108">
        <f t="shared" si="15"/>
        <v>0</v>
      </c>
      <c r="R45" s="108">
        <f t="shared" si="16"/>
        <v>0</v>
      </c>
      <c r="S45" s="108">
        <f t="shared" si="17"/>
        <v>0</v>
      </c>
      <c r="T45" s="183">
        <f t="shared" si="18"/>
        <v>0</v>
      </c>
      <c r="U45" s="268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</row>
    <row r="46" spans="1:31" ht="15" outlineLevel="1" thickBot="1" x14ac:dyDescent="0.35">
      <c r="A46" s="281"/>
      <c r="B46" s="283"/>
      <c r="C46" s="105" t="s">
        <v>103</v>
      </c>
      <c r="D46" s="105" t="s">
        <v>104</v>
      </c>
      <c r="E46" s="105" t="s">
        <v>103</v>
      </c>
      <c r="F46" s="105" t="s">
        <v>104</v>
      </c>
      <c r="G46" s="105" t="s">
        <v>110</v>
      </c>
      <c r="H46" s="276"/>
      <c r="I46" s="266"/>
      <c r="K46" s="360"/>
      <c r="L46" s="361"/>
      <c r="M46" s="132">
        <f t="shared" si="12"/>
        <v>0</v>
      </c>
      <c r="N46" s="83">
        <f t="shared" si="10"/>
        <v>0</v>
      </c>
      <c r="O46" s="108">
        <f t="shared" si="13"/>
        <v>0</v>
      </c>
      <c r="P46" s="108">
        <f t="shared" si="14"/>
        <v>0</v>
      </c>
      <c r="Q46" s="108">
        <f t="shared" si="15"/>
        <v>0</v>
      </c>
      <c r="R46" s="108">
        <f t="shared" si="16"/>
        <v>0</v>
      </c>
      <c r="S46" s="108">
        <f t="shared" si="17"/>
        <v>0</v>
      </c>
      <c r="T46" s="183">
        <f t="shared" si="18"/>
        <v>0</v>
      </c>
      <c r="U46" s="268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5" outlineLevel="1" thickBot="1" x14ac:dyDescent="0.35">
      <c r="A47" s="156"/>
      <c r="B47" s="110">
        <f>C47+D47+E47+F47+G47+H47</f>
        <v>0</v>
      </c>
      <c r="C47" s="114"/>
      <c r="D47" s="114"/>
      <c r="E47" s="114"/>
      <c r="F47" s="114"/>
      <c r="G47" s="115"/>
      <c r="H47" s="116"/>
      <c r="I47" s="267">
        <f>SUM(B47:B61)-SUM(G47:G61)</f>
        <v>2</v>
      </c>
      <c r="K47" s="360"/>
      <c r="L47" s="361"/>
      <c r="M47" s="132">
        <f t="shared" si="12"/>
        <v>0</v>
      </c>
      <c r="N47" s="83">
        <f t="shared" si="10"/>
        <v>0</v>
      </c>
      <c r="O47" s="108">
        <f t="shared" si="13"/>
        <v>0</v>
      </c>
      <c r="P47" s="108">
        <f t="shared" si="14"/>
        <v>0</v>
      </c>
      <c r="Q47" s="108">
        <f t="shared" si="15"/>
        <v>0</v>
      </c>
      <c r="R47" s="108">
        <f t="shared" si="16"/>
        <v>0</v>
      </c>
      <c r="S47" s="108">
        <f t="shared" si="17"/>
        <v>0</v>
      </c>
      <c r="T47" s="183">
        <f t="shared" si="18"/>
        <v>0</v>
      </c>
      <c r="U47" s="268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</row>
    <row r="48" spans="1:31" ht="15" outlineLevel="1" thickBot="1" x14ac:dyDescent="0.35">
      <c r="A48" s="97"/>
      <c r="B48" s="110">
        <f t="shared" ref="B48:B61" si="19">C48+D48+E48+F48+G48+H48</f>
        <v>0</v>
      </c>
      <c r="C48" s="95"/>
      <c r="D48" s="95"/>
      <c r="E48" s="95"/>
      <c r="F48" s="95"/>
      <c r="G48" s="96"/>
      <c r="H48" s="98"/>
      <c r="I48" s="268"/>
      <c r="K48" s="360"/>
      <c r="L48" s="361"/>
      <c r="M48" s="132">
        <f t="shared" si="12"/>
        <v>0</v>
      </c>
      <c r="N48" s="83">
        <f t="shared" si="10"/>
        <v>0</v>
      </c>
      <c r="O48" s="108">
        <f t="shared" si="13"/>
        <v>0</v>
      </c>
      <c r="P48" s="108">
        <f t="shared" si="14"/>
        <v>0</v>
      </c>
      <c r="Q48" s="108">
        <f t="shared" si="15"/>
        <v>0</v>
      </c>
      <c r="R48" s="108">
        <f t="shared" si="16"/>
        <v>0</v>
      </c>
      <c r="S48" s="108">
        <f t="shared" si="17"/>
        <v>0</v>
      </c>
      <c r="T48" s="183">
        <f t="shared" si="18"/>
        <v>0</v>
      </c>
      <c r="U48" s="268"/>
    </row>
    <row r="49" spans="1:21" ht="15" outlineLevel="1" thickBot="1" x14ac:dyDescent="0.35">
      <c r="A49" s="97"/>
      <c r="B49" s="110">
        <f t="shared" si="19"/>
        <v>0</v>
      </c>
      <c r="C49" s="95"/>
      <c r="D49" s="95"/>
      <c r="E49" s="95"/>
      <c r="F49" s="95"/>
      <c r="G49" s="96"/>
      <c r="H49" s="98"/>
      <c r="I49" s="268"/>
      <c r="K49" s="360"/>
      <c r="L49" s="361"/>
      <c r="M49" s="132">
        <f t="shared" si="12"/>
        <v>0</v>
      </c>
      <c r="N49" s="83">
        <f t="shared" si="10"/>
        <v>0</v>
      </c>
      <c r="O49" s="108">
        <f t="shared" si="13"/>
        <v>0</v>
      </c>
      <c r="P49" s="108">
        <f t="shared" si="14"/>
        <v>0</v>
      </c>
      <c r="Q49" s="108">
        <f t="shared" si="15"/>
        <v>0</v>
      </c>
      <c r="R49" s="108">
        <f t="shared" si="16"/>
        <v>0</v>
      </c>
      <c r="S49" s="108">
        <f t="shared" si="17"/>
        <v>0</v>
      </c>
      <c r="T49" s="183">
        <f t="shared" si="18"/>
        <v>0</v>
      </c>
      <c r="U49" s="268"/>
    </row>
    <row r="50" spans="1:21" ht="15" thickBot="1" x14ac:dyDescent="0.35">
      <c r="A50" s="97"/>
      <c r="B50" s="110">
        <f t="shared" si="19"/>
        <v>0</v>
      </c>
      <c r="C50" s="95"/>
      <c r="D50" s="95"/>
      <c r="E50" s="95"/>
      <c r="F50" s="95"/>
      <c r="G50" s="96"/>
      <c r="H50" s="98"/>
      <c r="I50" s="268"/>
      <c r="K50" s="360"/>
      <c r="L50" s="361"/>
      <c r="M50" s="132">
        <f t="shared" si="12"/>
        <v>0</v>
      </c>
      <c r="N50" s="83">
        <f t="shared" si="10"/>
        <v>0</v>
      </c>
      <c r="O50" s="108">
        <f t="shared" si="13"/>
        <v>0</v>
      </c>
      <c r="P50" s="108">
        <f t="shared" si="14"/>
        <v>0</v>
      </c>
      <c r="Q50" s="108">
        <f t="shared" si="15"/>
        <v>0</v>
      </c>
      <c r="R50" s="108">
        <f t="shared" si="16"/>
        <v>0</v>
      </c>
      <c r="S50" s="108">
        <f t="shared" si="17"/>
        <v>0</v>
      </c>
      <c r="T50" s="183">
        <f t="shared" si="18"/>
        <v>0</v>
      </c>
      <c r="U50" s="268"/>
    </row>
    <row r="51" spans="1:21" ht="15" thickBot="1" x14ac:dyDescent="0.35">
      <c r="A51" s="97"/>
      <c r="B51" s="110">
        <f t="shared" si="19"/>
        <v>0</v>
      </c>
      <c r="C51" s="95"/>
      <c r="D51" s="95"/>
      <c r="E51" s="95"/>
      <c r="F51" s="95"/>
      <c r="G51" s="96"/>
      <c r="H51" s="98"/>
      <c r="I51" s="268"/>
      <c r="K51" s="360"/>
      <c r="L51" s="361"/>
      <c r="M51" s="132">
        <f t="shared" si="12"/>
        <v>0</v>
      </c>
      <c r="N51" s="83">
        <f t="shared" si="10"/>
        <v>0</v>
      </c>
      <c r="O51" s="108">
        <f t="shared" si="13"/>
        <v>0</v>
      </c>
      <c r="P51" s="108">
        <f t="shared" si="14"/>
        <v>0</v>
      </c>
      <c r="Q51" s="108">
        <f t="shared" si="15"/>
        <v>0</v>
      </c>
      <c r="R51" s="108">
        <f t="shared" si="16"/>
        <v>0</v>
      </c>
      <c r="S51" s="108">
        <f t="shared" si="17"/>
        <v>0</v>
      </c>
      <c r="T51" s="183">
        <f t="shared" si="18"/>
        <v>0</v>
      </c>
      <c r="U51" s="268"/>
    </row>
    <row r="52" spans="1:21" ht="15" thickBot="1" x14ac:dyDescent="0.35">
      <c r="A52" s="97"/>
      <c r="B52" s="110">
        <f t="shared" si="19"/>
        <v>0</v>
      </c>
      <c r="C52" s="95"/>
      <c r="D52" s="95"/>
      <c r="E52" s="95"/>
      <c r="F52" s="95"/>
      <c r="G52" s="96"/>
      <c r="H52" s="98"/>
      <c r="I52" s="268"/>
      <c r="K52" s="360"/>
      <c r="L52" s="361"/>
      <c r="M52" s="132">
        <f t="shared" si="12"/>
        <v>0</v>
      </c>
      <c r="N52" s="83">
        <f t="shared" si="10"/>
        <v>0</v>
      </c>
      <c r="O52" s="108">
        <f t="shared" si="13"/>
        <v>0</v>
      </c>
      <c r="P52" s="108">
        <f t="shared" si="14"/>
        <v>0</v>
      </c>
      <c r="Q52" s="108">
        <f t="shared" si="15"/>
        <v>0</v>
      </c>
      <c r="R52" s="108">
        <f t="shared" si="16"/>
        <v>0</v>
      </c>
      <c r="S52" s="108">
        <f t="shared" si="17"/>
        <v>0</v>
      </c>
      <c r="T52" s="183">
        <f t="shared" si="18"/>
        <v>0</v>
      </c>
      <c r="U52" s="268"/>
    </row>
    <row r="53" spans="1:21" ht="15" thickBot="1" x14ac:dyDescent="0.35">
      <c r="A53" s="97"/>
      <c r="B53" s="110">
        <f t="shared" si="19"/>
        <v>0</v>
      </c>
      <c r="C53" s="95"/>
      <c r="D53" s="95"/>
      <c r="E53" s="95"/>
      <c r="F53" s="95"/>
      <c r="G53" s="96"/>
      <c r="H53" s="98"/>
      <c r="I53" s="268"/>
      <c r="K53" s="360"/>
      <c r="L53" s="361"/>
      <c r="M53" s="132">
        <f t="shared" si="12"/>
        <v>0</v>
      </c>
      <c r="N53" s="83">
        <f t="shared" si="10"/>
        <v>0</v>
      </c>
      <c r="O53" s="108">
        <f t="shared" si="13"/>
        <v>0</v>
      </c>
      <c r="P53" s="108">
        <f t="shared" si="14"/>
        <v>0</v>
      </c>
      <c r="Q53" s="108">
        <f t="shared" si="15"/>
        <v>0</v>
      </c>
      <c r="R53" s="108">
        <f t="shared" si="16"/>
        <v>0</v>
      </c>
      <c r="S53" s="108">
        <f t="shared" si="17"/>
        <v>0</v>
      </c>
      <c r="T53" s="183">
        <f t="shared" si="18"/>
        <v>0</v>
      </c>
      <c r="U53" s="268"/>
    </row>
    <row r="54" spans="1:21" ht="15" thickBot="1" x14ac:dyDescent="0.35">
      <c r="A54" s="97"/>
      <c r="B54" s="110">
        <f t="shared" si="19"/>
        <v>0</v>
      </c>
      <c r="C54" s="96"/>
      <c r="D54" s="95"/>
      <c r="E54" s="95"/>
      <c r="F54" s="95"/>
      <c r="G54" s="96"/>
      <c r="H54" s="98"/>
      <c r="I54" s="268"/>
      <c r="K54" s="360"/>
      <c r="L54" s="361"/>
      <c r="M54" s="132">
        <f t="shared" si="12"/>
        <v>0</v>
      </c>
      <c r="N54" s="83">
        <f t="shared" si="10"/>
        <v>0</v>
      </c>
      <c r="O54" s="108">
        <f t="shared" si="13"/>
        <v>0</v>
      </c>
      <c r="P54" s="108">
        <f t="shared" si="14"/>
        <v>0</v>
      </c>
      <c r="Q54" s="108">
        <f t="shared" si="15"/>
        <v>0</v>
      </c>
      <c r="R54" s="108">
        <f t="shared" si="16"/>
        <v>0</v>
      </c>
      <c r="S54" s="108">
        <f t="shared" si="17"/>
        <v>0</v>
      </c>
      <c r="T54" s="183">
        <f t="shared" si="18"/>
        <v>0</v>
      </c>
      <c r="U54" s="268"/>
    </row>
    <row r="55" spans="1:21" ht="15" thickBot="1" x14ac:dyDescent="0.35">
      <c r="A55" s="126"/>
      <c r="B55" s="110">
        <f t="shared" si="19"/>
        <v>0</v>
      </c>
      <c r="C55" s="127"/>
      <c r="D55" s="128"/>
      <c r="E55" s="128"/>
      <c r="F55" s="128"/>
      <c r="G55" s="127"/>
      <c r="H55" s="129"/>
      <c r="I55" s="268"/>
      <c r="K55" s="360"/>
      <c r="L55" s="361"/>
      <c r="M55" s="132">
        <f t="shared" si="12"/>
        <v>0</v>
      </c>
      <c r="N55" s="83">
        <f t="shared" si="10"/>
        <v>0</v>
      </c>
      <c r="O55" s="108">
        <f t="shared" si="13"/>
        <v>0</v>
      </c>
      <c r="P55" s="108">
        <f t="shared" si="14"/>
        <v>0</v>
      </c>
      <c r="Q55" s="108">
        <f t="shared" si="15"/>
        <v>0</v>
      </c>
      <c r="R55" s="108">
        <f t="shared" si="16"/>
        <v>0</v>
      </c>
      <c r="S55" s="108">
        <f t="shared" si="17"/>
        <v>0</v>
      </c>
      <c r="T55" s="183">
        <f t="shared" si="18"/>
        <v>0</v>
      </c>
      <c r="U55" s="268"/>
    </row>
    <row r="56" spans="1:21" ht="15" thickBot="1" x14ac:dyDescent="0.35">
      <c r="A56" s="126"/>
      <c r="B56" s="110">
        <f t="shared" si="19"/>
        <v>0</v>
      </c>
      <c r="C56" s="127"/>
      <c r="D56" s="128"/>
      <c r="E56" s="128"/>
      <c r="F56" s="128"/>
      <c r="G56" s="127"/>
      <c r="H56" s="129"/>
      <c r="I56" s="268"/>
      <c r="K56" s="362"/>
      <c r="L56" s="363"/>
      <c r="M56" s="184">
        <f t="shared" si="12"/>
        <v>0</v>
      </c>
      <c r="N56" s="182">
        <f t="shared" si="10"/>
        <v>1</v>
      </c>
      <c r="O56" s="181">
        <f t="shared" si="13"/>
        <v>1</v>
      </c>
      <c r="P56" s="181">
        <f t="shared" si="14"/>
        <v>0</v>
      </c>
      <c r="Q56" s="181">
        <f t="shared" si="15"/>
        <v>0</v>
      </c>
      <c r="R56" s="181">
        <f t="shared" si="16"/>
        <v>0</v>
      </c>
      <c r="S56" s="181">
        <f t="shared" si="17"/>
        <v>0</v>
      </c>
      <c r="T56" s="180">
        <f t="shared" si="18"/>
        <v>0</v>
      </c>
      <c r="U56" s="365"/>
    </row>
    <row r="57" spans="1:21" ht="15" thickBot="1" x14ac:dyDescent="0.35">
      <c r="A57" s="126"/>
      <c r="B57" s="110">
        <f t="shared" si="19"/>
        <v>0</v>
      </c>
      <c r="C57" s="127"/>
      <c r="D57" s="128"/>
      <c r="E57" s="128"/>
      <c r="F57" s="128"/>
      <c r="G57" s="127"/>
      <c r="H57" s="129"/>
      <c r="I57" s="268"/>
      <c r="K57" s="358">
        <v>3</v>
      </c>
      <c r="L57" s="359"/>
      <c r="M57" s="132">
        <f t="shared" ref="M57:M71" si="20">A47</f>
        <v>0</v>
      </c>
      <c r="N57" s="133">
        <f t="shared" si="10"/>
        <v>0</v>
      </c>
      <c r="O57" s="108">
        <f t="shared" ref="O57:O71" si="21" xml:space="preserve"> C47*O$7</f>
        <v>0</v>
      </c>
      <c r="P57" s="108">
        <f t="shared" ref="P57:P71" si="22" xml:space="preserve"> D47*P$7</f>
        <v>0</v>
      </c>
      <c r="Q57" s="108">
        <f t="shared" ref="Q57:Q71" si="23" xml:space="preserve"> E47*Q$7</f>
        <v>0</v>
      </c>
      <c r="R57" s="108">
        <f t="shared" ref="R57:R71" si="24" xml:space="preserve"> F47*R$7</f>
        <v>0</v>
      </c>
      <c r="S57" s="108">
        <f t="shared" ref="S57:S71" si="25" xml:space="preserve"> G47*S$7</f>
        <v>0</v>
      </c>
      <c r="T57" s="183">
        <f t="shared" ref="T57:T71" si="26" xml:space="preserve"> H47*T$7</f>
        <v>0</v>
      </c>
      <c r="U57" s="267">
        <f>SUM(N57:N71)-SUM(S57:S71)</f>
        <v>2</v>
      </c>
    </row>
    <row r="58" spans="1:21" ht="15" thickBot="1" x14ac:dyDescent="0.35">
      <c r="A58" s="126"/>
      <c r="B58" s="110">
        <f t="shared" si="19"/>
        <v>0</v>
      </c>
      <c r="C58" s="127"/>
      <c r="D58" s="128"/>
      <c r="E58" s="128"/>
      <c r="F58" s="128"/>
      <c r="G58" s="127"/>
      <c r="H58" s="129"/>
      <c r="I58" s="268"/>
      <c r="K58" s="360"/>
      <c r="L58" s="361"/>
      <c r="M58" s="132">
        <f t="shared" si="20"/>
        <v>0</v>
      </c>
      <c r="N58" s="83">
        <f t="shared" si="10"/>
        <v>0</v>
      </c>
      <c r="O58" s="108">
        <f t="shared" si="21"/>
        <v>0</v>
      </c>
      <c r="P58" s="108">
        <f t="shared" si="22"/>
        <v>0</v>
      </c>
      <c r="Q58" s="108">
        <f t="shared" si="23"/>
        <v>0</v>
      </c>
      <c r="R58" s="108">
        <f t="shared" si="24"/>
        <v>0</v>
      </c>
      <c r="S58" s="108">
        <f t="shared" si="25"/>
        <v>0</v>
      </c>
      <c r="T58" s="183">
        <f t="shared" si="26"/>
        <v>0</v>
      </c>
      <c r="U58" s="268"/>
    </row>
    <row r="59" spans="1:21" ht="15" thickBot="1" x14ac:dyDescent="0.35">
      <c r="A59" s="126"/>
      <c r="B59" s="110">
        <f t="shared" si="19"/>
        <v>0</v>
      </c>
      <c r="C59" s="127"/>
      <c r="D59" s="128"/>
      <c r="E59" s="128"/>
      <c r="F59" s="128"/>
      <c r="G59" s="127"/>
      <c r="H59" s="129"/>
      <c r="I59" s="268"/>
      <c r="K59" s="360"/>
      <c r="L59" s="361"/>
      <c r="M59" s="132">
        <f t="shared" si="20"/>
        <v>0</v>
      </c>
      <c r="N59" s="83">
        <f t="shared" ref="N59:N90" si="27">O59+P59+Q59+R59+S59+T59</f>
        <v>0</v>
      </c>
      <c r="O59" s="108">
        <f t="shared" si="21"/>
        <v>0</v>
      </c>
      <c r="P59" s="108">
        <f t="shared" si="22"/>
        <v>0</v>
      </c>
      <c r="Q59" s="108">
        <f t="shared" si="23"/>
        <v>0</v>
      </c>
      <c r="R59" s="108">
        <f t="shared" si="24"/>
        <v>0</v>
      </c>
      <c r="S59" s="108">
        <f t="shared" si="25"/>
        <v>0</v>
      </c>
      <c r="T59" s="183">
        <f t="shared" si="26"/>
        <v>0</v>
      </c>
      <c r="U59" s="268"/>
    </row>
    <row r="60" spans="1:21" ht="15" thickBot="1" x14ac:dyDescent="0.35">
      <c r="A60" s="126"/>
      <c r="B60" s="110">
        <f t="shared" si="19"/>
        <v>0</v>
      </c>
      <c r="C60" s="127"/>
      <c r="D60" s="128"/>
      <c r="E60" s="128"/>
      <c r="F60" s="128"/>
      <c r="G60" s="127"/>
      <c r="H60" s="129"/>
      <c r="I60" s="268"/>
      <c r="K60" s="360"/>
      <c r="L60" s="361"/>
      <c r="M60" s="132">
        <f t="shared" si="20"/>
        <v>0</v>
      </c>
      <c r="N60" s="83">
        <f t="shared" si="27"/>
        <v>0</v>
      </c>
      <c r="O60" s="108">
        <f t="shared" si="21"/>
        <v>0</v>
      </c>
      <c r="P60" s="108">
        <f t="shared" si="22"/>
        <v>0</v>
      </c>
      <c r="Q60" s="108">
        <f t="shared" si="23"/>
        <v>0</v>
      </c>
      <c r="R60" s="108">
        <f t="shared" si="24"/>
        <v>0</v>
      </c>
      <c r="S60" s="108">
        <f t="shared" si="25"/>
        <v>0</v>
      </c>
      <c r="T60" s="183">
        <f t="shared" si="26"/>
        <v>0</v>
      </c>
      <c r="U60" s="268"/>
    </row>
    <row r="61" spans="1:21" ht="15" thickBot="1" x14ac:dyDescent="0.35">
      <c r="A61" s="117"/>
      <c r="B61" s="110">
        <f t="shared" si="19"/>
        <v>2</v>
      </c>
      <c r="C61" s="119">
        <v>1</v>
      </c>
      <c r="D61" s="119"/>
      <c r="E61" s="119">
        <v>1</v>
      </c>
      <c r="F61" s="119"/>
      <c r="G61" s="120"/>
      <c r="H61" s="121"/>
      <c r="I61" s="269"/>
      <c r="K61" s="360"/>
      <c r="L61" s="361"/>
      <c r="M61" s="132">
        <f t="shared" si="20"/>
        <v>0</v>
      </c>
      <c r="N61" s="83">
        <f t="shared" si="27"/>
        <v>0</v>
      </c>
      <c r="O61" s="108">
        <f t="shared" si="21"/>
        <v>0</v>
      </c>
      <c r="P61" s="108">
        <f t="shared" si="22"/>
        <v>0</v>
      </c>
      <c r="Q61" s="108">
        <f t="shared" si="23"/>
        <v>0</v>
      </c>
      <c r="R61" s="108">
        <f t="shared" si="24"/>
        <v>0</v>
      </c>
      <c r="S61" s="108">
        <f t="shared" si="25"/>
        <v>0</v>
      </c>
      <c r="T61" s="183">
        <f t="shared" si="26"/>
        <v>0</v>
      </c>
      <c r="U61" s="268"/>
    </row>
    <row r="62" spans="1:21" ht="15.6" thickTop="1" thickBot="1" x14ac:dyDescent="0.35">
      <c r="A62" s="99" t="s">
        <v>53</v>
      </c>
      <c r="B62" s="100">
        <f>C62+D62+E62+F62+G62+H62</f>
        <v>2</v>
      </c>
      <c r="C62" s="101">
        <f>SUM(C46:C61)</f>
        <v>1</v>
      </c>
      <c r="D62" s="101">
        <f t="shared" ref="D62:H62" si="28">SUM(D46:D61)</f>
        <v>0</v>
      </c>
      <c r="E62" s="101">
        <f t="shared" si="28"/>
        <v>1</v>
      </c>
      <c r="F62" s="101">
        <f t="shared" si="28"/>
        <v>0</v>
      </c>
      <c r="G62" s="101">
        <f>SUM(G46:G61)</f>
        <v>0</v>
      </c>
      <c r="H62" s="102">
        <f t="shared" si="28"/>
        <v>0</v>
      </c>
      <c r="I62" s="102">
        <f>SUM(I46:I61)</f>
        <v>2</v>
      </c>
      <c r="K62" s="360"/>
      <c r="L62" s="361"/>
      <c r="M62" s="132">
        <f t="shared" si="20"/>
        <v>0</v>
      </c>
      <c r="N62" s="83">
        <f t="shared" si="27"/>
        <v>0</v>
      </c>
      <c r="O62" s="108">
        <f t="shared" si="21"/>
        <v>0</v>
      </c>
      <c r="P62" s="108">
        <f t="shared" si="22"/>
        <v>0</v>
      </c>
      <c r="Q62" s="108">
        <f t="shared" si="23"/>
        <v>0</v>
      </c>
      <c r="R62" s="108">
        <f t="shared" si="24"/>
        <v>0</v>
      </c>
      <c r="S62" s="108">
        <f t="shared" si="25"/>
        <v>0</v>
      </c>
      <c r="T62" s="183">
        <f t="shared" si="26"/>
        <v>0</v>
      </c>
      <c r="U62" s="268"/>
    </row>
    <row r="63" spans="1:21" ht="51" customHeight="1" thickBot="1" x14ac:dyDescent="0.35">
      <c r="A63" t="s">
        <v>212</v>
      </c>
      <c r="K63" s="360"/>
      <c r="L63" s="361"/>
      <c r="M63" s="132">
        <f t="shared" si="20"/>
        <v>0</v>
      </c>
      <c r="N63" s="83">
        <f t="shared" si="27"/>
        <v>0</v>
      </c>
      <c r="O63" s="108">
        <f t="shared" si="21"/>
        <v>0</v>
      </c>
      <c r="P63" s="108">
        <f t="shared" si="22"/>
        <v>0</v>
      </c>
      <c r="Q63" s="108">
        <f t="shared" si="23"/>
        <v>0</v>
      </c>
      <c r="R63" s="108">
        <f t="shared" si="24"/>
        <v>0</v>
      </c>
      <c r="S63" s="108">
        <f t="shared" si="25"/>
        <v>0</v>
      </c>
      <c r="T63" s="183">
        <f t="shared" si="26"/>
        <v>0</v>
      </c>
      <c r="U63" s="268"/>
    </row>
    <row r="64" spans="1:21" x14ac:dyDescent="0.3">
      <c r="A64" s="279" t="s">
        <v>98</v>
      </c>
      <c r="B64" s="282" t="s">
        <v>99</v>
      </c>
      <c r="C64" s="282" t="s">
        <v>100</v>
      </c>
      <c r="D64" s="282"/>
      <c r="E64" s="282"/>
      <c r="F64" s="282"/>
      <c r="G64" s="277" t="s">
        <v>105</v>
      </c>
      <c r="H64" s="274" t="s">
        <v>106</v>
      </c>
      <c r="I64" s="264" t="s">
        <v>127</v>
      </c>
      <c r="K64" s="360"/>
      <c r="L64" s="361"/>
      <c r="M64" s="132">
        <f t="shared" si="20"/>
        <v>0</v>
      </c>
      <c r="N64" s="83">
        <f t="shared" si="27"/>
        <v>0</v>
      </c>
      <c r="O64" s="108">
        <f t="shared" si="21"/>
        <v>0</v>
      </c>
      <c r="P64" s="108">
        <f t="shared" si="22"/>
        <v>0</v>
      </c>
      <c r="Q64" s="108">
        <f t="shared" si="23"/>
        <v>0</v>
      </c>
      <c r="R64" s="108">
        <f t="shared" si="24"/>
        <v>0</v>
      </c>
      <c r="S64" s="108">
        <f t="shared" si="25"/>
        <v>0</v>
      </c>
      <c r="T64" s="183">
        <f t="shared" si="26"/>
        <v>0</v>
      </c>
      <c r="U64" s="268"/>
    </row>
    <row r="65" spans="1:21" x14ac:dyDescent="0.3">
      <c r="A65" s="280"/>
      <c r="B65" s="273"/>
      <c r="C65" s="273" t="s">
        <v>101</v>
      </c>
      <c r="D65" s="273"/>
      <c r="E65" s="273" t="s">
        <v>102</v>
      </c>
      <c r="F65" s="273"/>
      <c r="G65" s="278"/>
      <c r="H65" s="275"/>
      <c r="I65" s="265"/>
      <c r="K65" s="360"/>
      <c r="L65" s="361"/>
      <c r="M65" s="132">
        <f t="shared" si="20"/>
        <v>0</v>
      </c>
      <c r="N65" s="83">
        <f t="shared" si="27"/>
        <v>0</v>
      </c>
      <c r="O65" s="108">
        <f t="shared" si="21"/>
        <v>0</v>
      </c>
      <c r="P65" s="108">
        <f t="shared" si="22"/>
        <v>0</v>
      </c>
      <c r="Q65" s="108">
        <f t="shared" si="23"/>
        <v>0</v>
      </c>
      <c r="R65" s="108">
        <f t="shared" si="24"/>
        <v>0</v>
      </c>
      <c r="S65" s="108">
        <f t="shared" si="25"/>
        <v>0</v>
      </c>
      <c r="T65" s="183">
        <f t="shared" si="26"/>
        <v>0</v>
      </c>
      <c r="U65" s="268"/>
    </row>
    <row r="66" spans="1:21" ht="15" thickBot="1" x14ac:dyDescent="0.35">
      <c r="A66" s="281"/>
      <c r="B66" s="283"/>
      <c r="C66" s="105" t="s">
        <v>103</v>
      </c>
      <c r="D66" s="105" t="s">
        <v>104</v>
      </c>
      <c r="E66" s="105" t="s">
        <v>103</v>
      </c>
      <c r="F66" s="105" t="s">
        <v>104</v>
      </c>
      <c r="G66" s="105" t="s">
        <v>110</v>
      </c>
      <c r="H66" s="276"/>
      <c r="I66" s="266"/>
      <c r="K66" s="360"/>
      <c r="L66" s="361"/>
      <c r="M66" s="132">
        <f t="shared" si="20"/>
        <v>0</v>
      </c>
      <c r="N66" s="83">
        <f t="shared" si="27"/>
        <v>0</v>
      </c>
      <c r="O66" s="108">
        <f t="shared" si="21"/>
        <v>0</v>
      </c>
      <c r="P66" s="108">
        <f t="shared" si="22"/>
        <v>0</v>
      </c>
      <c r="Q66" s="108">
        <f t="shared" si="23"/>
        <v>0</v>
      </c>
      <c r="R66" s="108">
        <f t="shared" si="24"/>
        <v>0</v>
      </c>
      <c r="S66" s="108">
        <f t="shared" si="25"/>
        <v>0</v>
      </c>
      <c r="T66" s="183">
        <f t="shared" si="26"/>
        <v>0</v>
      </c>
      <c r="U66" s="268"/>
    </row>
    <row r="67" spans="1:21" ht="15" thickBot="1" x14ac:dyDescent="0.35">
      <c r="A67" s="156"/>
      <c r="B67" s="110">
        <f>C67+D67+E67+F67+G67+H67</f>
        <v>0</v>
      </c>
      <c r="C67" s="114"/>
      <c r="D67" s="114"/>
      <c r="E67" s="114"/>
      <c r="F67" s="114"/>
      <c r="G67" s="115"/>
      <c r="H67" s="116"/>
      <c r="I67" s="267">
        <f>SUM(B67:B81)-SUM(G67:G81)</f>
        <v>2</v>
      </c>
      <c r="K67" s="360"/>
      <c r="L67" s="361"/>
      <c r="M67" s="132">
        <f t="shared" si="20"/>
        <v>0</v>
      </c>
      <c r="N67" s="83">
        <f t="shared" si="27"/>
        <v>0</v>
      </c>
      <c r="O67" s="108">
        <f t="shared" si="21"/>
        <v>0</v>
      </c>
      <c r="P67" s="108">
        <f t="shared" si="22"/>
        <v>0</v>
      </c>
      <c r="Q67" s="108">
        <f t="shared" si="23"/>
        <v>0</v>
      </c>
      <c r="R67" s="108">
        <f t="shared" si="24"/>
        <v>0</v>
      </c>
      <c r="S67" s="108">
        <f t="shared" si="25"/>
        <v>0</v>
      </c>
      <c r="T67" s="183">
        <f t="shared" si="26"/>
        <v>0</v>
      </c>
      <c r="U67" s="268"/>
    </row>
    <row r="68" spans="1:21" ht="15" thickBot="1" x14ac:dyDescent="0.35">
      <c r="A68" s="97"/>
      <c r="B68" s="110">
        <f t="shared" ref="B68:B81" si="29">C68+D68+E68+F68+G68+H68</f>
        <v>0</v>
      </c>
      <c r="C68" s="95"/>
      <c r="D68" s="95"/>
      <c r="E68" s="95"/>
      <c r="F68" s="95"/>
      <c r="G68" s="96"/>
      <c r="H68" s="98"/>
      <c r="I68" s="268"/>
      <c r="K68" s="360"/>
      <c r="L68" s="361"/>
      <c r="M68" s="132">
        <f t="shared" si="20"/>
        <v>0</v>
      </c>
      <c r="N68" s="83">
        <f t="shared" si="27"/>
        <v>0</v>
      </c>
      <c r="O68" s="108">
        <f t="shared" si="21"/>
        <v>0</v>
      </c>
      <c r="P68" s="108">
        <f t="shared" si="22"/>
        <v>0</v>
      </c>
      <c r="Q68" s="108">
        <f t="shared" si="23"/>
        <v>0</v>
      </c>
      <c r="R68" s="108">
        <f t="shared" si="24"/>
        <v>0</v>
      </c>
      <c r="S68" s="108">
        <f t="shared" si="25"/>
        <v>0</v>
      </c>
      <c r="T68" s="183">
        <f t="shared" si="26"/>
        <v>0</v>
      </c>
      <c r="U68" s="268"/>
    </row>
    <row r="69" spans="1:21" ht="15" thickBot="1" x14ac:dyDescent="0.35">
      <c r="A69" s="97"/>
      <c r="B69" s="110">
        <f t="shared" si="29"/>
        <v>0</v>
      </c>
      <c r="C69" s="95"/>
      <c r="D69" s="95"/>
      <c r="E69" s="95"/>
      <c r="F69" s="95"/>
      <c r="G69" s="96"/>
      <c r="H69" s="98"/>
      <c r="I69" s="268"/>
      <c r="K69" s="360"/>
      <c r="L69" s="361"/>
      <c r="M69" s="132">
        <f t="shared" si="20"/>
        <v>0</v>
      </c>
      <c r="N69" s="83">
        <f t="shared" si="27"/>
        <v>0</v>
      </c>
      <c r="O69" s="108">
        <f t="shared" si="21"/>
        <v>0</v>
      </c>
      <c r="P69" s="108">
        <f t="shared" si="22"/>
        <v>0</v>
      </c>
      <c r="Q69" s="108">
        <f t="shared" si="23"/>
        <v>0</v>
      </c>
      <c r="R69" s="108">
        <f t="shared" si="24"/>
        <v>0</v>
      </c>
      <c r="S69" s="108">
        <f t="shared" si="25"/>
        <v>0</v>
      </c>
      <c r="T69" s="183">
        <f t="shared" si="26"/>
        <v>0</v>
      </c>
      <c r="U69" s="268"/>
    </row>
    <row r="70" spans="1:21" ht="15" thickBot="1" x14ac:dyDescent="0.35">
      <c r="A70" s="97"/>
      <c r="B70" s="110">
        <f t="shared" si="29"/>
        <v>0</v>
      </c>
      <c r="C70" s="95"/>
      <c r="D70" s="95"/>
      <c r="E70" s="95"/>
      <c r="F70" s="95"/>
      <c r="G70" s="96"/>
      <c r="H70" s="98"/>
      <c r="I70" s="268"/>
      <c r="K70" s="360"/>
      <c r="L70" s="361"/>
      <c r="M70" s="132">
        <f t="shared" si="20"/>
        <v>0</v>
      </c>
      <c r="N70" s="83">
        <f t="shared" si="27"/>
        <v>0</v>
      </c>
      <c r="O70" s="108">
        <f t="shared" si="21"/>
        <v>0</v>
      </c>
      <c r="P70" s="108">
        <f t="shared" si="22"/>
        <v>0</v>
      </c>
      <c r="Q70" s="108">
        <f t="shared" si="23"/>
        <v>0</v>
      </c>
      <c r="R70" s="108">
        <f t="shared" si="24"/>
        <v>0</v>
      </c>
      <c r="S70" s="108">
        <f t="shared" si="25"/>
        <v>0</v>
      </c>
      <c r="T70" s="183">
        <f t="shared" si="26"/>
        <v>0</v>
      </c>
      <c r="U70" s="268"/>
    </row>
    <row r="71" spans="1:21" ht="15" thickBot="1" x14ac:dyDescent="0.35">
      <c r="A71" s="97"/>
      <c r="B71" s="110">
        <f t="shared" si="29"/>
        <v>0</v>
      </c>
      <c r="C71" s="95"/>
      <c r="D71" s="95"/>
      <c r="E71" s="95"/>
      <c r="F71" s="95"/>
      <c r="G71" s="96"/>
      <c r="H71" s="98"/>
      <c r="I71" s="268"/>
      <c r="K71" s="362"/>
      <c r="L71" s="363"/>
      <c r="M71" s="184">
        <f t="shared" si="20"/>
        <v>0</v>
      </c>
      <c r="N71" s="182">
        <f t="shared" si="27"/>
        <v>2</v>
      </c>
      <c r="O71" s="181">
        <f t="shared" si="21"/>
        <v>1</v>
      </c>
      <c r="P71" s="181">
        <f t="shared" si="22"/>
        <v>0</v>
      </c>
      <c r="Q71" s="181">
        <f t="shared" si="23"/>
        <v>1</v>
      </c>
      <c r="R71" s="181">
        <f t="shared" si="24"/>
        <v>0</v>
      </c>
      <c r="S71" s="181">
        <f t="shared" si="25"/>
        <v>0</v>
      </c>
      <c r="T71" s="180">
        <f t="shared" si="26"/>
        <v>0</v>
      </c>
      <c r="U71" s="268"/>
    </row>
    <row r="72" spans="1:21" ht="15" thickBot="1" x14ac:dyDescent="0.35">
      <c r="A72" s="97"/>
      <c r="B72" s="110">
        <f t="shared" si="29"/>
        <v>0</v>
      </c>
      <c r="C72" s="95"/>
      <c r="D72" s="95"/>
      <c r="E72" s="95"/>
      <c r="F72" s="95"/>
      <c r="G72" s="96"/>
      <c r="H72" s="98"/>
      <c r="I72" s="268"/>
      <c r="K72" s="358">
        <v>4</v>
      </c>
      <c r="L72" s="359"/>
      <c r="M72" s="132">
        <f t="shared" ref="M72:M86" si="30">A67</f>
        <v>0</v>
      </c>
      <c r="N72" s="133">
        <f t="shared" si="27"/>
        <v>0</v>
      </c>
      <c r="O72" s="108">
        <f t="shared" ref="O72:O86" si="31" xml:space="preserve"> C67*O$8</f>
        <v>0</v>
      </c>
      <c r="P72" s="108">
        <f t="shared" ref="P72:P86" si="32" xml:space="preserve"> D67*P$8</f>
        <v>0</v>
      </c>
      <c r="Q72" s="108">
        <f t="shared" ref="Q72:Q86" si="33" xml:space="preserve"> E67*Q$8</f>
        <v>0</v>
      </c>
      <c r="R72" s="108">
        <f t="shared" ref="R72:R86" si="34" xml:space="preserve"> F67*R$8</f>
        <v>0</v>
      </c>
      <c r="S72" s="108">
        <f t="shared" ref="S72:S86" si="35" xml:space="preserve"> G67*S$8</f>
        <v>0</v>
      </c>
      <c r="T72" s="183">
        <f t="shared" ref="T72:T86" si="36" xml:space="preserve"> H67*T$8</f>
        <v>0</v>
      </c>
      <c r="U72" s="267">
        <f>SUM(N72:N86)-SUM(S72:S86)</f>
        <v>2</v>
      </c>
    </row>
    <row r="73" spans="1:21" ht="15" thickBot="1" x14ac:dyDescent="0.35">
      <c r="A73" s="97"/>
      <c r="B73" s="110">
        <f t="shared" si="29"/>
        <v>0</v>
      </c>
      <c r="C73" s="95"/>
      <c r="D73" s="95"/>
      <c r="E73" s="95"/>
      <c r="F73" s="95"/>
      <c r="G73" s="96"/>
      <c r="H73" s="98"/>
      <c r="I73" s="268"/>
      <c r="K73" s="360"/>
      <c r="L73" s="361"/>
      <c r="M73" s="132">
        <f t="shared" si="30"/>
        <v>0</v>
      </c>
      <c r="N73" s="83">
        <f t="shared" si="27"/>
        <v>0</v>
      </c>
      <c r="O73" s="108">
        <f t="shared" si="31"/>
        <v>0</v>
      </c>
      <c r="P73" s="108">
        <f t="shared" si="32"/>
        <v>0</v>
      </c>
      <c r="Q73" s="108">
        <f t="shared" si="33"/>
        <v>0</v>
      </c>
      <c r="R73" s="108">
        <f t="shared" si="34"/>
        <v>0</v>
      </c>
      <c r="S73" s="108">
        <f t="shared" si="35"/>
        <v>0</v>
      </c>
      <c r="T73" s="183">
        <f t="shared" si="36"/>
        <v>0</v>
      </c>
      <c r="U73" s="268"/>
    </row>
    <row r="74" spans="1:21" ht="15" thickBot="1" x14ac:dyDescent="0.35">
      <c r="A74" s="97"/>
      <c r="B74" s="110">
        <f t="shared" si="29"/>
        <v>0</v>
      </c>
      <c r="C74" s="96"/>
      <c r="D74" s="95"/>
      <c r="E74" s="95"/>
      <c r="F74" s="95"/>
      <c r="G74" s="96"/>
      <c r="H74" s="98"/>
      <c r="I74" s="268"/>
      <c r="K74" s="360"/>
      <c r="L74" s="361"/>
      <c r="M74" s="132">
        <f t="shared" si="30"/>
        <v>0</v>
      </c>
      <c r="N74" s="83">
        <f t="shared" si="27"/>
        <v>0</v>
      </c>
      <c r="O74" s="108">
        <f t="shared" si="31"/>
        <v>0</v>
      </c>
      <c r="P74" s="108">
        <f t="shared" si="32"/>
        <v>0</v>
      </c>
      <c r="Q74" s="108">
        <f t="shared" si="33"/>
        <v>0</v>
      </c>
      <c r="R74" s="108">
        <f t="shared" si="34"/>
        <v>0</v>
      </c>
      <c r="S74" s="108">
        <f t="shared" si="35"/>
        <v>0</v>
      </c>
      <c r="T74" s="183">
        <f t="shared" si="36"/>
        <v>0</v>
      </c>
      <c r="U74" s="268"/>
    </row>
    <row r="75" spans="1:21" ht="15" thickBot="1" x14ac:dyDescent="0.35">
      <c r="A75" s="126"/>
      <c r="B75" s="110">
        <f t="shared" si="29"/>
        <v>0</v>
      </c>
      <c r="C75" s="127"/>
      <c r="D75" s="128"/>
      <c r="E75" s="128"/>
      <c r="F75" s="128"/>
      <c r="G75" s="127"/>
      <c r="H75" s="129"/>
      <c r="I75" s="268"/>
      <c r="K75" s="360"/>
      <c r="L75" s="361"/>
      <c r="M75" s="132">
        <f t="shared" si="30"/>
        <v>0</v>
      </c>
      <c r="N75" s="83">
        <f t="shared" si="27"/>
        <v>0</v>
      </c>
      <c r="O75" s="108">
        <f t="shared" si="31"/>
        <v>0</v>
      </c>
      <c r="P75" s="108">
        <f t="shared" si="32"/>
        <v>0</v>
      </c>
      <c r="Q75" s="108">
        <f t="shared" si="33"/>
        <v>0</v>
      </c>
      <c r="R75" s="108">
        <f t="shared" si="34"/>
        <v>0</v>
      </c>
      <c r="S75" s="108">
        <f t="shared" si="35"/>
        <v>0</v>
      </c>
      <c r="T75" s="183">
        <f t="shared" si="36"/>
        <v>0</v>
      </c>
      <c r="U75" s="268"/>
    </row>
    <row r="76" spans="1:21" ht="15" thickBot="1" x14ac:dyDescent="0.35">
      <c r="A76" s="126"/>
      <c r="B76" s="110">
        <f t="shared" si="29"/>
        <v>0</v>
      </c>
      <c r="C76" s="127"/>
      <c r="D76" s="128"/>
      <c r="E76" s="128"/>
      <c r="F76" s="128"/>
      <c r="G76" s="127"/>
      <c r="H76" s="129"/>
      <c r="I76" s="268"/>
      <c r="K76" s="360"/>
      <c r="L76" s="361"/>
      <c r="M76" s="132">
        <f t="shared" si="30"/>
        <v>0</v>
      </c>
      <c r="N76" s="83">
        <f t="shared" si="27"/>
        <v>0</v>
      </c>
      <c r="O76" s="108">
        <f t="shared" si="31"/>
        <v>0</v>
      </c>
      <c r="P76" s="108">
        <f t="shared" si="32"/>
        <v>0</v>
      </c>
      <c r="Q76" s="108">
        <f t="shared" si="33"/>
        <v>0</v>
      </c>
      <c r="R76" s="108">
        <f t="shared" si="34"/>
        <v>0</v>
      </c>
      <c r="S76" s="108">
        <f t="shared" si="35"/>
        <v>0</v>
      </c>
      <c r="T76" s="183">
        <f t="shared" si="36"/>
        <v>0</v>
      </c>
      <c r="U76" s="268"/>
    </row>
    <row r="77" spans="1:21" ht="15" thickBot="1" x14ac:dyDescent="0.35">
      <c r="A77" s="126"/>
      <c r="B77" s="110">
        <f t="shared" si="29"/>
        <v>0</v>
      </c>
      <c r="C77" s="127"/>
      <c r="D77" s="128"/>
      <c r="E77" s="128"/>
      <c r="F77" s="128"/>
      <c r="G77" s="127"/>
      <c r="H77" s="129"/>
      <c r="I77" s="268"/>
      <c r="K77" s="360"/>
      <c r="L77" s="361"/>
      <c r="M77" s="132">
        <f t="shared" si="30"/>
        <v>0</v>
      </c>
      <c r="N77" s="83">
        <f t="shared" si="27"/>
        <v>0</v>
      </c>
      <c r="O77" s="108">
        <f t="shared" si="31"/>
        <v>0</v>
      </c>
      <c r="P77" s="108">
        <f t="shared" si="32"/>
        <v>0</v>
      </c>
      <c r="Q77" s="108">
        <f t="shared" si="33"/>
        <v>0</v>
      </c>
      <c r="R77" s="108">
        <f t="shared" si="34"/>
        <v>0</v>
      </c>
      <c r="S77" s="108">
        <f t="shared" si="35"/>
        <v>0</v>
      </c>
      <c r="T77" s="183">
        <f t="shared" si="36"/>
        <v>0</v>
      </c>
      <c r="U77" s="268"/>
    </row>
    <row r="78" spans="1:21" ht="15" thickBot="1" x14ac:dyDescent="0.35">
      <c r="A78" s="126"/>
      <c r="B78" s="110">
        <f t="shared" si="29"/>
        <v>0</v>
      </c>
      <c r="C78" s="127"/>
      <c r="D78" s="128"/>
      <c r="E78" s="128"/>
      <c r="F78" s="128"/>
      <c r="G78" s="127"/>
      <c r="H78" s="129"/>
      <c r="I78" s="268"/>
      <c r="K78" s="360"/>
      <c r="L78" s="361"/>
      <c r="M78" s="132">
        <f t="shared" si="30"/>
        <v>0</v>
      </c>
      <c r="N78" s="83">
        <f t="shared" si="27"/>
        <v>0</v>
      </c>
      <c r="O78" s="108">
        <f t="shared" si="31"/>
        <v>0</v>
      </c>
      <c r="P78" s="108">
        <f t="shared" si="32"/>
        <v>0</v>
      </c>
      <c r="Q78" s="108">
        <f t="shared" si="33"/>
        <v>0</v>
      </c>
      <c r="R78" s="108">
        <f t="shared" si="34"/>
        <v>0</v>
      </c>
      <c r="S78" s="108">
        <f t="shared" si="35"/>
        <v>0</v>
      </c>
      <c r="T78" s="183">
        <f t="shared" si="36"/>
        <v>0</v>
      </c>
      <c r="U78" s="268"/>
    </row>
    <row r="79" spans="1:21" ht="15" thickBot="1" x14ac:dyDescent="0.35">
      <c r="A79" s="126"/>
      <c r="B79" s="110">
        <f t="shared" si="29"/>
        <v>0</v>
      </c>
      <c r="C79" s="127"/>
      <c r="D79" s="128"/>
      <c r="E79" s="128"/>
      <c r="F79" s="128"/>
      <c r="G79" s="127"/>
      <c r="H79" s="129"/>
      <c r="I79" s="268"/>
      <c r="K79" s="360"/>
      <c r="L79" s="361"/>
      <c r="M79" s="132">
        <f t="shared" si="30"/>
        <v>0</v>
      </c>
      <c r="N79" s="83">
        <f t="shared" si="27"/>
        <v>0</v>
      </c>
      <c r="O79" s="108">
        <f t="shared" si="31"/>
        <v>0</v>
      </c>
      <c r="P79" s="108">
        <f t="shared" si="32"/>
        <v>0</v>
      </c>
      <c r="Q79" s="108">
        <f t="shared" si="33"/>
        <v>0</v>
      </c>
      <c r="R79" s="108">
        <f t="shared" si="34"/>
        <v>0</v>
      </c>
      <c r="S79" s="108">
        <f t="shared" si="35"/>
        <v>0</v>
      </c>
      <c r="T79" s="183">
        <f t="shared" si="36"/>
        <v>0</v>
      </c>
      <c r="U79" s="268"/>
    </row>
    <row r="80" spans="1:21" ht="15" thickBot="1" x14ac:dyDescent="0.35">
      <c r="A80" s="126"/>
      <c r="B80" s="110">
        <f t="shared" si="29"/>
        <v>0</v>
      </c>
      <c r="C80" s="127"/>
      <c r="D80" s="128"/>
      <c r="E80" s="128"/>
      <c r="F80" s="128"/>
      <c r="G80" s="127"/>
      <c r="H80" s="129"/>
      <c r="I80" s="268"/>
      <c r="K80" s="360"/>
      <c r="L80" s="361"/>
      <c r="M80" s="132">
        <f t="shared" si="30"/>
        <v>0</v>
      </c>
      <c r="N80" s="83">
        <f t="shared" si="27"/>
        <v>0</v>
      </c>
      <c r="O80" s="108">
        <f t="shared" si="31"/>
        <v>0</v>
      </c>
      <c r="P80" s="108">
        <f t="shared" si="32"/>
        <v>0</v>
      </c>
      <c r="Q80" s="108">
        <f t="shared" si="33"/>
        <v>0</v>
      </c>
      <c r="R80" s="108">
        <f t="shared" si="34"/>
        <v>0</v>
      </c>
      <c r="S80" s="108">
        <f t="shared" si="35"/>
        <v>0</v>
      </c>
      <c r="T80" s="183">
        <f t="shared" si="36"/>
        <v>0</v>
      </c>
      <c r="U80" s="268"/>
    </row>
    <row r="81" spans="1:21" ht="15" thickBot="1" x14ac:dyDescent="0.35">
      <c r="A81" s="117"/>
      <c r="B81" s="110">
        <f t="shared" si="29"/>
        <v>2</v>
      </c>
      <c r="C81" s="119">
        <v>1</v>
      </c>
      <c r="D81" s="119"/>
      <c r="E81" s="119">
        <v>1</v>
      </c>
      <c r="F81" s="119"/>
      <c r="G81" s="120"/>
      <c r="H81" s="121"/>
      <c r="I81" s="269"/>
      <c r="K81" s="360"/>
      <c r="L81" s="361"/>
      <c r="M81" s="132">
        <f t="shared" si="30"/>
        <v>0</v>
      </c>
      <c r="N81" s="83">
        <f t="shared" si="27"/>
        <v>0</v>
      </c>
      <c r="O81" s="108">
        <f t="shared" si="31"/>
        <v>0</v>
      </c>
      <c r="P81" s="108">
        <f t="shared" si="32"/>
        <v>0</v>
      </c>
      <c r="Q81" s="108">
        <f t="shared" si="33"/>
        <v>0</v>
      </c>
      <c r="R81" s="108">
        <f t="shared" si="34"/>
        <v>0</v>
      </c>
      <c r="S81" s="108">
        <f t="shared" si="35"/>
        <v>0</v>
      </c>
      <c r="T81" s="183">
        <f t="shared" si="36"/>
        <v>0</v>
      </c>
      <c r="U81" s="268"/>
    </row>
    <row r="82" spans="1:21" ht="15.6" thickTop="1" thickBot="1" x14ac:dyDescent="0.35">
      <c r="A82" s="99" t="s">
        <v>53</v>
      </c>
      <c r="B82" s="100">
        <f>C82+D82+E82+F82+G82+H82</f>
        <v>2</v>
      </c>
      <c r="C82" s="101">
        <f>SUM(C66:C81)</f>
        <v>1</v>
      </c>
      <c r="D82" s="101">
        <f t="shared" ref="D82:F82" si="37">SUM(D66:D81)</f>
        <v>0</v>
      </c>
      <c r="E82" s="101">
        <f t="shared" si="37"/>
        <v>1</v>
      </c>
      <c r="F82" s="101">
        <f t="shared" si="37"/>
        <v>0</v>
      </c>
      <c r="G82" s="101">
        <f>SUM(G66:G81)</f>
        <v>0</v>
      </c>
      <c r="H82" s="102">
        <f t="shared" ref="H82" si="38">SUM(H66:H81)</f>
        <v>0</v>
      </c>
      <c r="I82" s="102">
        <f>SUM(I66:I81)</f>
        <v>2</v>
      </c>
      <c r="K82" s="360"/>
      <c r="L82" s="361"/>
      <c r="M82" s="132">
        <f t="shared" si="30"/>
        <v>0</v>
      </c>
      <c r="N82" s="83">
        <f t="shared" si="27"/>
        <v>0</v>
      </c>
      <c r="O82" s="108">
        <f t="shared" si="31"/>
        <v>0</v>
      </c>
      <c r="P82" s="108">
        <f t="shared" si="32"/>
        <v>0</v>
      </c>
      <c r="Q82" s="108">
        <f t="shared" si="33"/>
        <v>0</v>
      </c>
      <c r="R82" s="108">
        <f t="shared" si="34"/>
        <v>0</v>
      </c>
      <c r="S82" s="108">
        <f t="shared" si="35"/>
        <v>0</v>
      </c>
      <c r="T82" s="183">
        <f t="shared" si="36"/>
        <v>0</v>
      </c>
      <c r="U82" s="268"/>
    </row>
    <row r="83" spans="1:21" ht="15" thickBot="1" x14ac:dyDescent="0.35">
      <c r="A83" t="s">
        <v>236</v>
      </c>
      <c r="K83" s="360"/>
      <c r="L83" s="361"/>
      <c r="M83" s="132">
        <f t="shared" si="30"/>
        <v>0</v>
      </c>
      <c r="N83" s="83">
        <f t="shared" si="27"/>
        <v>0</v>
      </c>
      <c r="O83" s="108">
        <f t="shared" si="31"/>
        <v>0</v>
      </c>
      <c r="P83" s="108">
        <f t="shared" si="32"/>
        <v>0</v>
      </c>
      <c r="Q83" s="108">
        <f t="shared" si="33"/>
        <v>0</v>
      </c>
      <c r="R83" s="108">
        <f t="shared" si="34"/>
        <v>0</v>
      </c>
      <c r="S83" s="108">
        <f t="shared" si="35"/>
        <v>0</v>
      </c>
      <c r="T83" s="183">
        <f t="shared" si="36"/>
        <v>0</v>
      </c>
      <c r="U83" s="268"/>
    </row>
    <row r="84" spans="1:21" x14ac:dyDescent="0.3">
      <c r="A84" s="279" t="s">
        <v>98</v>
      </c>
      <c r="B84" s="282" t="s">
        <v>99</v>
      </c>
      <c r="C84" s="282" t="s">
        <v>100</v>
      </c>
      <c r="D84" s="282"/>
      <c r="E84" s="282"/>
      <c r="F84" s="282"/>
      <c r="G84" s="277" t="s">
        <v>105</v>
      </c>
      <c r="H84" s="274" t="s">
        <v>106</v>
      </c>
      <c r="I84" s="264" t="s">
        <v>127</v>
      </c>
      <c r="K84" s="360"/>
      <c r="L84" s="361"/>
      <c r="M84" s="132">
        <f t="shared" si="30"/>
        <v>0</v>
      </c>
      <c r="N84" s="83">
        <f t="shared" si="27"/>
        <v>0</v>
      </c>
      <c r="O84" s="108">
        <f t="shared" si="31"/>
        <v>0</v>
      </c>
      <c r="P84" s="108">
        <f t="shared" si="32"/>
        <v>0</v>
      </c>
      <c r="Q84" s="108">
        <f t="shared" si="33"/>
        <v>0</v>
      </c>
      <c r="R84" s="108">
        <f t="shared" si="34"/>
        <v>0</v>
      </c>
      <c r="S84" s="108">
        <f t="shared" si="35"/>
        <v>0</v>
      </c>
      <c r="T84" s="183">
        <f t="shared" si="36"/>
        <v>0</v>
      </c>
      <c r="U84" s="268"/>
    </row>
    <row r="85" spans="1:21" x14ac:dyDescent="0.3">
      <c r="A85" s="280"/>
      <c r="B85" s="273"/>
      <c r="C85" s="273" t="s">
        <v>101</v>
      </c>
      <c r="D85" s="273"/>
      <c r="E85" s="273" t="s">
        <v>102</v>
      </c>
      <c r="F85" s="273"/>
      <c r="G85" s="278"/>
      <c r="H85" s="275"/>
      <c r="I85" s="265"/>
      <c r="K85" s="360"/>
      <c r="L85" s="361"/>
      <c r="M85" s="132">
        <f t="shared" si="30"/>
        <v>0</v>
      </c>
      <c r="N85" s="83">
        <f t="shared" si="27"/>
        <v>0</v>
      </c>
      <c r="O85" s="108">
        <f t="shared" si="31"/>
        <v>0</v>
      </c>
      <c r="P85" s="108">
        <f t="shared" si="32"/>
        <v>0</v>
      </c>
      <c r="Q85" s="108">
        <f t="shared" si="33"/>
        <v>0</v>
      </c>
      <c r="R85" s="108">
        <f t="shared" si="34"/>
        <v>0</v>
      </c>
      <c r="S85" s="108">
        <f t="shared" si="35"/>
        <v>0</v>
      </c>
      <c r="T85" s="183">
        <f t="shared" si="36"/>
        <v>0</v>
      </c>
      <c r="U85" s="268"/>
    </row>
    <row r="86" spans="1:21" ht="15" thickBot="1" x14ac:dyDescent="0.35">
      <c r="A86" s="281"/>
      <c r="B86" s="283"/>
      <c r="C86" s="105" t="s">
        <v>103</v>
      </c>
      <c r="D86" s="105" t="s">
        <v>104</v>
      </c>
      <c r="E86" s="105" t="s">
        <v>103</v>
      </c>
      <c r="F86" s="105" t="s">
        <v>104</v>
      </c>
      <c r="G86" s="105" t="s">
        <v>110</v>
      </c>
      <c r="H86" s="276"/>
      <c r="I86" s="266"/>
      <c r="K86" s="362"/>
      <c r="L86" s="363"/>
      <c r="M86" s="132">
        <f t="shared" si="30"/>
        <v>0</v>
      </c>
      <c r="N86" s="182">
        <f t="shared" si="27"/>
        <v>2</v>
      </c>
      <c r="O86" s="181">
        <f t="shared" si="31"/>
        <v>1</v>
      </c>
      <c r="P86" s="181">
        <f t="shared" si="32"/>
        <v>0</v>
      </c>
      <c r="Q86" s="181">
        <f t="shared" si="33"/>
        <v>1</v>
      </c>
      <c r="R86" s="181">
        <f t="shared" si="34"/>
        <v>0</v>
      </c>
      <c r="S86" s="181">
        <f t="shared" si="35"/>
        <v>0</v>
      </c>
      <c r="T86" s="180">
        <f t="shared" si="36"/>
        <v>0</v>
      </c>
      <c r="U86" s="366"/>
    </row>
    <row r="87" spans="1:21" ht="15" thickBot="1" x14ac:dyDescent="0.35">
      <c r="A87" s="156"/>
      <c r="B87" s="110">
        <f>C87+D87+E87+F87+G87+H87</f>
        <v>0</v>
      </c>
      <c r="C87" s="114"/>
      <c r="D87" s="114"/>
      <c r="E87" s="114"/>
      <c r="F87" s="114"/>
      <c r="G87" s="115"/>
      <c r="H87" s="116"/>
      <c r="I87" s="267">
        <f>SUM(B87:B101)-SUM(G87:G101)</f>
        <v>2</v>
      </c>
      <c r="K87" s="358">
        <v>5</v>
      </c>
      <c r="L87" s="359"/>
      <c r="M87" s="132">
        <f>A87</f>
        <v>0</v>
      </c>
      <c r="N87" s="133">
        <f t="shared" si="27"/>
        <v>0</v>
      </c>
      <c r="O87" s="108">
        <f xml:space="preserve"> C87*O$9</f>
        <v>0</v>
      </c>
      <c r="P87" s="108">
        <f t="shared" ref="P87:S87" si="39" xml:space="preserve"> D87*P$9</f>
        <v>0</v>
      </c>
      <c r="Q87" s="108">
        <f t="shared" si="39"/>
        <v>0</v>
      </c>
      <c r="R87" s="108">
        <f t="shared" si="39"/>
        <v>0</v>
      </c>
      <c r="S87" s="108">
        <f t="shared" si="39"/>
        <v>0</v>
      </c>
      <c r="T87" s="108">
        <f xml:space="preserve"> H87*T$9</f>
        <v>0</v>
      </c>
      <c r="U87" s="267">
        <f>SUM(N87:N101)-SUM(S87:S101)</f>
        <v>2</v>
      </c>
    </row>
    <row r="88" spans="1:21" ht="15" thickBot="1" x14ac:dyDescent="0.35">
      <c r="A88" s="97"/>
      <c r="B88" s="110">
        <f t="shared" ref="B88:B101" si="40">C88+D88+E88+F88+G88+H88</f>
        <v>0</v>
      </c>
      <c r="C88" s="95"/>
      <c r="D88" s="95"/>
      <c r="E88" s="95"/>
      <c r="F88" s="95"/>
      <c r="G88" s="96"/>
      <c r="H88" s="98"/>
      <c r="I88" s="268"/>
      <c r="K88" s="360"/>
      <c r="L88" s="361"/>
      <c r="M88" s="132">
        <f t="shared" ref="M88:M100" si="41">A88</f>
        <v>0</v>
      </c>
      <c r="N88" s="83">
        <f t="shared" si="27"/>
        <v>0</v>
      </c>
      <c r="O88" s="108">
        <f t="shared" ref="O88:O101" si="42" xml:space="preserve"> C88*O$9</f>
        <v>0</v>
      </c>
      <c r="P88" s="108">
        <f t="shared" ref="P88:P101" si="43" xml:space="preserve"> D88*P$9</f>
        <v>0</v>
      </c>
      <c r="Q88" s="108">
        <f t="shared" ref="Q88:Q101" si="44" xml:space="preserve"> E88*Q$9</f>
        <v>0</v>
      </c>
      <c r="R88" s="108">
        <f t="shared" ref="R88:R101" si="45" xml:space="preserve"> F88*R$9</f>
        <v>0</v>
      </c>
      <c r="S88" s="108">
        <f t="shared" ref="S88:S101" si="46" xml:space="preserve"> G88*S$9</f>
        <v>0</v>
      </c>
      <c r="T88" s="108">
        <f t="shared" ref="T88:T100" si="47" xml:space="preserve"> H88*T$9</f>
        <v>0</v>
      </c>
      <c r="U88" s="268"/>
    </row>
    <row r="89" spans="1:21" ht="15" thickBot="1" x14ac:dyDescent="0.35">
      <c r="A89" s="97"/>
      <c r="B89" s="110">
        <f t="shared" si="40"/>
        <v>0</v>
      </c>
      <c r="C89" s="95"/>
      <c r="D89" s="95"/>
      <c r="E89" s="95"/>
      <c r="F89" s="95"/>
      <c r="G89" s="96"/>
      <c r="H89" s="98"/>
      <c r="I89" s="268"/>
      <c r="K89" s="360"/>
      <c r="L89" s="361"/>
      <c r="M89" s="132">
        <f t="shared" si="41"/>
        <v>0</v>
      </c>
      <c r="N89" s="83">
        <f t="shared" si="27"/>
        <v>0</v>
      </c>
      <c r="O89" s="108">
        <f t="shared" si="42"/>
        <v>0</v>
      </c>
      <c r="P89" s="108">
        <f t="shared" si="43"/>
        <v>0</v>
      </c>
      <c r="Q89" s="108">
        <f t="shared" si="44"/>
        <v>0</v>
      </c>
      <c r="R89" s="108">
        <f t="shared" si="45"/>
        <v>0</v>
      </c>
      <c r="S89" s="108">
        <f t="shared" si="46"/>
        <v>0</v>
      </c>
      <c r="T89" s="108">
        <f t="shared" si="47"/>
        <v>0</v>
      </c>
      <c r="U89" s="268"/>
    </row>
    <row r="90" spans="1:21" ht="15" thickBot="1" x14ac:dyDescent="0.35">
      <c r="A90" s="97"/>
      <c r="B90" s="110">
        <f t="shared" si="40"/>
        <v>0</v>
      </c>
      <c r="C90" s="95"/>
      <c r="D90" s="95"/>
      <c r="E90" s="95"/>
      <c r="F90" s="95"/>
      <c r="G90" s="96"/>
      <c r="H90" s="98"/>
      <c r="I90" s="268"/>
      <c r="K90" s="360"/>
      <c r="L90" s="361"/>
      <c r="M90" s="132">
        <f t="shared" si="41"/>
        <v>0</v>
      </c>
      <c r="N90" s="83">
        <f t="shared" si="27"/>
        <v>0</v>
      </c>
      <c r="O90" s="108">
        <f t="shared" si="42"/>
        <v>0</v>
      </c>
      <c r="P90" s="108">
        <f t="shared" si="43"/>
        <v>0</v>
      </c>
      <c r="Q90" s="108">
        <f t="shared" si="44"/>
        <v>0</v>
      </c>
      <c r="R90" s="108">
        <f t="shared" si="45"/>
        <v>0</v>
      </c>
      <c r="S90" s="108">
        <f t="shared" si="46"/>
        <v>0</v>
      </c>
      <c r="T90" s="108">
        <f t="shared" si="47"/>
        <v>0</v>
      </c>
      <c r="U90" s="268"/>
    </row>
    <row r="91" spans="1:21" ht="15" thickBot="1" x14ac:dyDescent="0.35">
      <c r="A91" s="97"/>
      <c r="B91" s="110">
        <f t="shared" si="40"/>
        <v>0</v>
      </c>
      <c r="C91" s="95"/>
      <c r="D91" s="95"/>
      <c r="E91" s="95"/>
      <c r="F91" s="95"/>
      <c r="G91" s="96"/>
      <c r="H91" s="98"/>
      <c r="I91" s="268"/>
      <c r="K91" s="360"/>
      <c r="L91" s="361"/>
      <c r="M91" s="132">
        <f t="shared" si="41"/>
        <v>0</v>
      </c>
      <c r="N91" s="83">
        <f t="shared" ref="N91:N122" si="48">O91+P91+Q91+R91+S91+T91</f>
        <v>0</v>
      </c>
      <c r="O91" s="108">
        <f t="shared" si="42"/>
        <v>0</v>
      </c>
      <c r="P91" s="108">
        <f t="shared" si="43"/>
        <v>0</v>
      </c>
      <c r="Q91" s="108">
        <f t="shared" si="44"/>
        <v>0</v>
      </c>
      <c r="R91" s="108">
        <f t="shared" si="45"/>
        <v>0</v>
      </c>
      <c r="S91" s="108">
        <f t="shared" si="46"/>
        <v>0</v>
      </c>
      <c r="T91" s="108">
        <f t="shared" si="47"/>
        <v>0</v>
      </c>
      <c r="U91" s="268"/>
    </row>
    <row r="92" spans="1:21" ht="15" thickBot="1" x14ac:dyDescent="0.35">
      <c r="A92" s="97"/>
      <c r="B92" s="110">
        <f t="shared" si="40"/>
        <v>0</v>
      </c>
      <c r="C92" s="95"/>
      <c r="D92" s="95"/>
      <c r="E92" s="95"/>
      <c r="F92" s="95"/>
      <c r="G92" s="96"/>
      <c r="H92" s="98"/>
      <c r="I92" s="268"/>
      <c r="K92" s="360"/>
      <c r="L92" s="361"/>
      <c r="M92" s="132">
        <f t="shared" si="41"/>
        <v>0</v>
      </c>
      <c r="N92" s="83">
        <f t="shared" si="48"/>
        <v>0</v>
      </c>
      <c r="O92" s="108">
        <f t="shared" si="42"/>
        <v>0</v>
      </c>
      <c r="P92" s="108">
        <f t="shared" si="43"/>
        <v>0</v>
      </c>
      <c r="Q92" s="108">
        <f t="shared" si="44"/>
        <v>0</v>
      </c>
      <c r="R92" s="108">
        <f t="shared" si="45"/>
        <v>0</v>
      </c>
      <c r="S92" s="108">
        <f t="shared" si="46"/>
        <v>0</v>
      </c>
      <c r="T92" s="108">
        <f t="shared" si="47"/>
        <v>0</v>
      </c>
      <c r="U92" s="268"/>
    </row>
    <row r="93" spans="1:21" ht="15" thickBot="1" x14ac:dyDescent="0.35">
      <c r="A93" s="97"/>
      <c r="B93" s="110">
        <f t="shared" si="40"/>
        <v>0</v>
      </c>
      <c r="C93" s="95"/>
      <c r="D93" s="95"/>
      <c r="E93" s="95"/>
      <c r="F93" s="95"/>
      <c r="G93" s="96"/>
      <c r="H93" s="98"/>
      <c r="I93" s="268"/>
      <c r="K93" s="360"/>
      <c r="L93" s="361"/>
      <c r="M93" s="132">
        <f t="shared" si="41"/>
        <v>0</v>
      </c>
      <c r="N93" s="83">
        <f t="shared" si="48"/>
        <v>0</v>
      </c>
      <c r="O93" s="108">
        <f t="shared" si="42"/>
        <v>0</v>
      </c>
      <c r="P93" s="108">
        <f t="shared" si="43"/>
        <v>0</v>
      </c>
      <c r="Q93" s="108">
        <f t="shared" si="44"/>
        <v>0</v>
      </c>
      <c r="R93" s="108">
        <f t="shared" si="45"/>
        <v>0</v>
      </c>
      <c r="S93" s="108">
        <f t="shared" si="46"/>
        <v>0</v>
      </c>
      <c r="T93" s="108">
        <f t="shared" si="47"/>
        <v>0</v>
      </c>
      <c r="U93" s="268"/>
    </row>
    <row r="94" spans="1:21" ht="15" thickBot="1" x14ac:dyDescent="0.35">
      <c r="A94" s="97"/>
      <c r="B94" s="110">
        <f t="shared" si="40"/>
        <v>0</v>
      </c>
      <c r="C94" s="96"/>
      <c r="D94" s="95"/>
      <c r="E94" s="95"/>
      <c r="F94" s="95"/>
      <c r="G94" s="96"/>
      <c r="H94" s="98"/>
      <c r="I94" s="268"/>
      <c r="K94" s="360"/>
      <c r="L94" s="361"/>
      <c r="M94" s="132">
        <f t="shared" si="41"/>
        <v>0</v>
      </c>
      <c r="N94" s="83">
        <f t="shared" si="48"/>
        <v>0</v>
      </c>
      <c r="O94" s="108">
        <f t="shared" si="42"/>
        <v>0</v>
      </c>
      <c r="P94" s="108">
        <f t="shared" si="43"/>
        <v>0</v>
      </c>
      <c r="Q94" s="108">
        <f t="shared" si="44"/>
        <v>0</v>
      </c>
      <c r="R94" s="108">
        <f t="shared" si="45"/>
        <v>0</v>
      </c>
      <c r="S94" s="108">
        <f t="shared" si="46"/>
        <v>0</v>
      </c>
      <c r="T94" s="108">
        <f t="shared" si="47"/>
        <v>0</v>
      </c>
      <c r="U94" s="268"/>
    </row>
    <row r="95" spans="1:21" ht="15" thickBot="1" x14ac:dyDescent="0.35">
      <c r="A95" s="126"/>
      <c r="B95" s="110">
        <f t="shared" si="40"/>
        <v>0</v>
      </c>
      <c r="C95" s="127"/>
      <c r="D95" s="128"/>
      <c r="E95" s="128"/>
      <c r="F95" s="128"/>
      <c r="G95" s="127"/>
      <c r="H95" s="129"/>
      <c r="I95" s="268"/>
      <c r="K95" s="360"/>
      <c r="L95" s="361"/>
      <c r="M95" s="132">
        <f t="shared" si="41"/>
        <v>0</v>
      </c>
      <c r="N95" s="83">
        <f t="shared" si="48"/>
        <v>0</v>
      </c>
      <c r="O95" s="108">
        <f t="shared" si="42"/>
        <v>0</v>
      </c>
      <c r="P95" s="108">
        <f t="shared" si="43"/>
        <v>0</v>
      </c>
      <c r="Q95" s="108">
        <f t="shared" si="44"/>
        <v>0</v>
      </c>
      <c r="R95" s="108">
        <f t="shared" si="45"/>
        <v>0</v>
      </c>
      <c r="S95" s="108">
        <f t="shared" si="46"/>
        <v>0</v>
      </c>
      <c r="T95" s="108">
        <f t="shared" si="47"/>
        <v>0</v>
      </c>
      <c r="U95" s="268"/>
    </row>
    <row r="96" spans="1:21" ht="15" thickBot="1" x14ac:dyDescent="0.35">
      <c r="A96" s="126"/>
      <c r="B96" s="110">
        <f t="shared" si="40"/>
        <v>0</v>
      </c>
      <c r="C96" s="127"/>
      <c r="D96" s="128"/>
      <c r="E96" s="128"/>
      <c r="F96" s="128"/>
      <c r="G96" s="127"/>
      <c r="H96" s="129"/>
      <c r="I96" s="268"/>
      <c r="K96" s="360"/>
      <c r="L96" s="361"/>
      <c r="M96" s="132">
        <f t="shared" si="41"/>
        <v>0</v>
      </c>
      <c r="N96" s="83">
        <f t="shared" si="48"/>
        <v>0</v>
      </c>
      <c r="O96" s="108">
        <f t="shared" si="42"/>
        <v>0</v>
      </c>
      <c r="P96" s="108">
        <f t="shared" si="43"/>
        <v>0</v>
      </c>
      <c r="Q96" s="108">
        <f t="shared" si="44"/>
        <v>0</v>
      </c>
      <c r="R96" s="108">
        <f t="shared" si="45"/>
        <v>0</v>
      </c>
      <c r="S96" s="108">
        <f t="shared" si="46"/>
        <v>0</v>
      </c>
      <c r="T96" s="108">
        <f t="shared" si="47"/>
        <v>0</v>
      </c>
      <c r="U96" s="268"/>
    </row>
    <row r="97" spans="1:21" ht="15" thickBot="1" x14ac:dyDescent="0.35">
      <c r="A97" s="126"/>
      <c r="B97" s="110">
        <f t="shared" si="40"/>
        <v>0</v>
      </c>
      <c r="C97" s="127"/>
      <c r="D97" s="128"/>
      <c r="E97" s="128"/>
      <c r="F97" s="128"/>
      <c r="G97" s="127"/>
      <c r="H97" s="129"/>
      <c r="I97" s="268"/>
      <c r="K97" s="360"/>
      <c r="L97" s="361"/>
      <c r="M97" s="132">
        <f t="shared" si="41"/>
        <v>0</v>
      </c>
      <c r="N97" s="83">
        <f t="shared" si="48"/>
        <v>0</v>
      </c>
      <c r="O97" s="108">
        <f t="shared" si="42"/>
        <v>0</v>
      </c>
      <c r="P97" s="108">
        <f t="shared" si="43"/>
        <v>0</v>
      </c>
      <c r="Q97" s="108">
        <f t="shared" si="44"/>
        <v>0</v>
      </c>
      <c r="R97" s="108">
        <f t="shared" si="45"/>
        <v>0</v>
      </c>
      <c r="S97" s="108">
        <f t="shared" si="46"/>
        <v>0</v>
      </c>
      <c r="T97" s="108">
        <f t="shared" si="47"/>
        <v>0</v>
      </c>
      <c r="U97" s="268"/>
    </row>
    <row r="98" spans="1:21" ht="15" thickBot="1" x14ac:dyDescent="0.35">
      <c r="A98" s="126"/>
      <c r="B98" s="110">
        <f t="shared" si="40"/>
        <v>0</v>
      </c>
      <c r="C98" s="127"/>
      <c r="D98" s="128"/>
      <c r="E98" s="128"/>
      <c r="F98" s="128"/>
      <c r="G98" s="127"/>
      <c r="H98" s="129"/>
      <c r="I98" s="268"/>
      <c r="K98" s="360"/>
      <c r="L98" s="361"/>
      <c r="M98" s="132">
        <f t="shared" si="41"/>
        <v>0</v>
      </c>
      <c r="N98" s="83">
        <f t="shared" si="48"/>
        <v>0</v>
      </c>
      <c r="O98" s="108">
        <f t="shared" si="42"/>
        <v>0</v>
      </c>
      <c r="P98" s="108">
        <f t="shared" si="43"/>
        <v>0</v>
      </c>
      <c r="Q98" s="108">
        <f t="shared" si="44"/>
        <v>0</v>
      </c>
      <c r="R98" s="108">
        <f t="shared" si="45"/>
        <v>0</v>
      </c>
      <c r="S98" s="108">
        <f t="shared" si="46"/>
        <v>0</v>
      </c>
      <c r="T98" s="108">
        <f t="shared" si="47"/>
        <v>0</v>
      </c>
      <c r="U98" s="268"/>
    </row>
    <row r="99" spans="1:21" ht="15" thickBot="1" x14ac:dyDescent="0.35">
      <c r="A99" s="126"/>
      <c r="B99" s="110">
        <f t="shared" si="40"/>
        <v>0</v>
      </c>
      <c r="C99" s="127"/>
      <c r="D99" s="128"/>
      <c r="E99" s="128"/>
      <c r="F99" s="128"/>
      <c r="G99" s="127"/>
      <c r="H99" s="129"/>
      <c r="I99" s="268"/>
      <c r="K99" s="360"/>
      <c r="L99" s="361"/>
      <c r="M99" s="132">
        <f t="shared" si="41"/>
        <v>0</v>
      </c>
      <c r="N99" s="83">
        <f t="shared" si="48"/>
        <v>0</v>
      </c>
      <c r="O99" s="108">
        <f t="shared" si="42"/>
        <v>0</v>
      </c>
      <c r="P99" s="108">
        <f t="shared" si="43"/>
        <v>0</v>
      </c>
      <c r="Q99" s="108">
        <f t="shared" si="44"/>
        <v>0</v>
      </c>
      <c r="R99" s="108">
        <f t="shared" si="45"/>
        <v>0</v>
      </c>
      <c r="S99" s="108">
        <f t="shared" si="46"/>
        <v>0</v>
      </c>
      <c r="T99" s="108">
        <f t="shared" si="47"/>
        <v>0</v>
      </c>
      <c r="U99" s="268"/>
    </row>
    <row r="100" spans="1:21" ht="15" thickBot="1" x14ac:dyDescent="0.35">
      <c r="A100" s="126"/>
      <c r="B100" s="110">
        <f t="shared" si="40"/>
        <v>0</v>
      </c>
      <c r="C100" s="127"/>
      <c r="D100" s="128"/>
      <c r="E100" s="128"/>
      <c r="F100" s="128"/>
      <c r="G100" s="127"/>
      <c r="H100" s="129"/>
      <c r="I100" s="268"/>
      <c r="K100" s="360"/>
      <c r="L100" s="361"/>
      <c r="M100" s="132">
        <f t="shared" si="41"/>
        <v>0</v>
      </c>
      <c r="N100" s="83">
        <f t="shared" si="48"/>
        <v>0</v>
      </c>
      <c r="O100" s="108">
        <f t="shared" si="42"/>
        <v>0</v>
      </c>
      <c r="P100" s="108">
        <f t="shared" si="43"/>
        <v>0</v>
      </c>
      <c r="Q100" s="108">
        <f t="shared" si="44"/>
        <v>0</v>
      </c>
      <c r="R100" s="108">
        <f t="shared" si="45"/>
        <v>0</v>
      </c>
      <c r="S100" s="108">
        <f t="shared" si="46"/>
        <v>0</v>
      </c>
      <c r="T100" s="108">
        <f t="shared" si="47"/>
        <v>0</v>
      </c>
      <c r="U100" s="268"/>
    </row>
    <row r="101" spans="1:21" ht="15" thickBot="1" x14ac:dyDescent="0.35">
      <c r="A101" s="117"/>
      <c r="B101" s="110">
        <f t="shared" si="40"/>
        <v>2</v>
      </c>
      <c r="C101" s="119">
        <v>1</v>
      </c>
      <c r="D101" s="119"/>
      <c r="E101" s="119">
        <v>1</v>
      </c>
      <c r="F101" s="119"/>
      <c r="G101" s="120"/>
      <c r="H101" s="121"/>
      <c r="I101" s="269"/>
      <c r="K101" s="362"/>
      <c r="L101" s="363"/>
      <c r="M101" s="132">
        <f>A101</f>
        <v>0</v>
      </c>
      <c r="N101" s="182">
        <f t="shared" si="48"/>
        <v>2</v>
      </c>
      <c r="O101" s="108">
        <f t="shared" si="42"/>
        <v>1</v>
      </c>
      <c r="P101" s="108">
        <f t="shared" si="43"/>
        <v>0</v>
      </c>
      <c r="Q101" s="108">
        <f t="shared" si="44"/>
        <v>1</v>
      </c>
      <c r="R101" s="108">
        <f t="shared" si="45"/>
        <v>0</v>
      </c>
      <c r="S101" s="108">
        <f t="shared" si="46"/>
        <v>0</v>
      </c>
      <c r="T101" s="108">
        <f xml:space="preserve"> H101*T$9</f>
        <v>0</v>
      </c>
      <c r="U101" s="268"/>
    </row>
    <row r="102" spans="1:21" ht="15.6" thickTop="1" thickBot="1" x14ac:dyDescent="0.35">
      <c r="A102" s="99" t="s">
        <v>53</v>
      </c>
      <c r="B102" s="100">
        <f>C102+D102+E102+F102+G102+H102</f>
        <v>2</v>
      </c>
      <c r="C102" s="101">
        <f>SUM(C86:C101)</f>
        <v>1</v>
      </c>
      <c r="D102" s="101">
        <f t="shared" ref="D102:F102" si="49">SUM(D86:D101)</f>
        <v>0</v>
      </c>
      <c r="E102" s="101">
        <f t="shared" si="49"/>
        <v>1</v>
      </c>
      <c r="F102" s="101">
        <f t="shared" si="49"/>
        <v>0</v>
      </c>
      <c r="G102" s="101">
        <f>SUM(G86:G101)</f>
        <v>0</v>
      </c>
      <c r="H102" s="102">
        <f t="shared" ref="H102" si="50">SUM(H86:H101)</f>
        <v>0</v>
      </c>
      <c r="I102" s="102">
        <f>SUM(I86:I101)</f>
        <v>2</v>
      </c>
      <c r="K102" s="358">
        <v>6</v>
      </c>
      <c r="L102" s="359"/>
      <c r="M102" s="132">
        <f>A107</f>
        <v>0</v>
      </c>
      <c r="N102" s="133">
        <f t="shared" si="48"/>
        <v>0</v>
      </c>
      <c r="O102" s="108">
        <f xml:space="preserve"> C107*O$10</f>
        <v>0</v>
      </c>
      <c r="P102" s="108">
        <f t="shared" ref="P102:T102" si="51" xml:space="preserve"> D107*P$10</f>
        <v>0</v>
      </c>
      <c r="Q102" s="108">
        <f t="shared" si="51"/>
        <v>0</v>
      </c>
      <c r="R102" s="108">
        <f t="shared" si="51"/>
        <v>0</v>
      </c>
      <c r="S102" s="108">
        <f t="shared" si="51"/>
        <v>0</v>
      </c>
      <c r="T102" s="108">
        <f t="shared" si="51"/>
        <v>0</v>
      </c>
      <c r="U102" s="267">
        <f>SUM(N102:N116)-SUM(S102:S116)</f>
        <v>2</v>
      </c>
    </row>
    <row r="103" spans="1:21" ht="15" thickBot="1" x14ac:dyDescent="0.35">
      <c r="A103" t="s">
        <v>237</v>
      </c>
      <c r="K103" s="360"/>
      <c r="L103" s="361"/>
      <c r="M103" s="132">
        <f t="shared" ref="M103:M116" si="52">A108</f>
        <v>0</v>
      </c>
      <c r="N103" s="83">
        <f t="shared" si="48"/>
        <v>0</v>
      </c>
      <c r="O103" s="108">
        <f t="shared" ref="O103:O116" si="53" xml:space="preserve"> C108*O$10</f>
        <v>0</v>
      </c>
      <c r="P103" s="108">
        <f t="shared" ref="P103:P116" si="54" xml:space="preserve"> D108*P$10</f>
        <v>0</v>
      </c>
      <c r="Q103" s="108">
        <f t="shared" ref="Q103:Q116" si="55" xml:space="preserve"> E108*Q$10</f>
        <v>0</v>
      </c>
      <c r="R103" s="108">
        <f t="shared" ref="R103:R116" si="56" xml:space="preserve"> F108*R$10</f>
        <v>0</v>
      </c>
      <c r="S103" s="108">
        <f t="shared" ref="S103:S116" si="57" xml:space="preserve"> G108*S$10</f>
        <v>0</v>
      </c>
      <c r="T103" s="108">
        <f t="shared" ref="T103:T115" si="58" xml:space="preserve"> H108*T$10</f>
        <v>0</v>
      </c>
      <c r="U103" s="268"/>
    </row>
    <row r="104" spans="1:21" x14ac:dyDescent="0.3">
      <c r="A104" s="279" t="s">
        <v>98</v>
      </c>
      <c r="B104" s="282" t="s">
        <v>99</v>
      </c>
      <c r="C104" s="282" t="s">
        <v>100</v>
      </c>
      <c r="D104" s="282"/>
      <c r="E104" s="282"/>
      <c r="F104" s="282"/>
      <c r="G104" s="277" t="s">
        <v>105</v>
      </c>
      <c r="H104" s="274" t="s">
        <v>106</v>
      </c>
      <c r="I104" s="264" t="s">
        <v>127</v>
      </c>
      <c r="K104" s="360"/>
      <c r="L104" s="361"/>
      <c r="M104" s="132">
        <f t="shared" si="52"/>
        <v>0</v>
      </c>
      <c r="N104" s="83">
        <f t="shared" si="48"/>
        <v>0</v>
      </c>
      <c r="O104" s="108">
        <f t="shared" si="53"/>
        <v>0</v>
      </c>
      <c r="P104" s="108">
        <f t="shared" si="54"/>
        <v>0</v>
      </c>
      <c r="Q104" s="108">
        <f t="shared" si="55"/>
        <v>0</v>
      </c>
      <c r="R104" s="108">
        <f t="shared" si="56"/>
        <v>0</v>
      </c>
      <c r="S104" s="108">
        <f t="shared" si="57"/>
        <v>0</v>
      </c>
      <c r="T104" s="108">
        <f t="shared" si="58"/>
        <v>0</v>
      </c>
      <c r="U104" s="268"/>
    </row>
    <row r="105" spans="1:21" x14ac:dyDescent="0.3">
      <c r="A105" s="280"/>
      <c r="B105" s="273"/>
      <c r="C105" s="273" t="s">
        <v>101</v>
      </c>
      <c r="D105" s="273"/>
      <c r="E105" s="273" t="s">
        <v>102</v>
      </c>
      <c r="F105" s="273"/>
      <c r="G105" s="278"/>
      <c r="H105" s="275"/>
      <c r="I105" s="265"/>
      <c r="K105" s="360"/>
      <c r="L105" s="361"/>
      <c r="M105" s="132">
        <f t="shared" si="52"/>
        <v>0</v>
      </c>
      <c r="N105" s="83">
        <f t="shared" si="48"/>
        <v>0</v>
      </c>
      <c r="O105" s="108">
        <f t="shared" si="53"/>
        <v>0</v>
      </c>
      <c r="P105" s="108">
        <f t="shared" si="54"/>
        <v>0</v>
      </c>
      <c r="Q105" s="108">
        <f t="shared" si="55"/>
        <v>0</v>
      </c>
      <c r="R105" s="108">
        <f t="shared" si="56"/>
        <v>0</v>
      </c>
      <c r="S105" s="108">
        <f t="shared" si="57"/>
        <v>0</v>
      </c>
      <c r="T105" s="108">
        <f t="shared" si="58"/>
        <v>0</v>
      </c>
      <c r="U105" s="268"/>
    </row>
    <row r="106" spans="1:21" ht="15" thickBot="1" x14ac:dyDescent="0.35">
      <c r="A106" s="281"/>
      <c r="B106" s="283"/>
      <c r="C106" s="105" t="s">
        <v>103</v>
      </c>
      <c r="D106" s="105" t="s">
        <v>104</v>
      </c>
      <c r="E106" s="105" t="s">
        <v>103</v>
      </c>
      <c r="F106" s="105" t="s">
        <v>104</v>
      </c>
      <c r="G106" s="105" t="s">
        <v>110</v>
      </c>
      <c r="H106" s="276"/>
      <c r="I106" s="266"/>
      <c r="K106" s="360"/>
      <c r="L106" s="361"/>
      <c r="M106" s="132">
        <f t="shared" si="52"/>
        <v>0</v>
      </c>
      <c r="N106" s="83">
        <f t="shared" si="48"/>
        <v>0</v>
      </c>
      <c r="O106" s="108">
        <f t="shared" si="53"/>
        <v>0</v>
      </c>
      <c r="P106" s="108">
        <f t="shared" si="54"/>
        <v>0</v>
      </c>
      <c r="Q106" s="108">
        <f t="shared" si="55"/>
        <v>0</v>
      </c>
      <c r="R106" s="108">
        <f t="shared" si="56"/>
        <v>0</v>
      </c>
      <c r="S106" s="108">
        <f t="shared" si="57"/>
        <v>0</v>
      </c>
      <c r="T106" s="108">
        <f t="shared" si="58"/>
        <v>0</v>
      </c>
      <c r="U106" s="268"/>
    </row>
    <row r="107" spans="1:21" ht="15" thickBot="1" x14ac:dyDescent="0.35">
      <c r="A107" s="156"/>
      <c r="B107" s="110">
        <f>C107+D107+E107+F107+G107+H107</f>
        <v>0</v>
      </c>
      <c r="C107" s="114"/>
      <c r="D107" s="114"/>
      <c r="E107" s="114"/>
      <c r="F107" s="114"/>
      <c r="G107" s="115"/>
      <c r="H107" s="116"/>
      <c r="I107" s="267">
        <f>SUM(B107:B121)-SUM(G107:G121)</f>
        <v>2</v>
      </c>
      <c r="K107" s="360"/>
      <c r="L107" s="361"/>
      <c r="M107" s="132">
        <f t="shared" si="52"/>
        <v>0</v>
      </c>
      <c r="N107" s="83">
        <f t="shared" si="48"/>
        <v>0</v>
      </c>
      <c r="O107" s="108">
        <f t="shared" si="53"/>
        <v>0</v>
      </c>
      <c r="P107" s="108">
        <f t="shared" si="54"/>
        <v>0</v>
      </c>
      <c r="Q107" s="108">
        <f t="shared" si="55"/>
        <v>0</v>
      </c>
      <c r="R107" s="108">
        <f t="shared" si="56"/>
        <v>0</v>
      </c>
      <c r="S107" s="108">
        <f t="shared" si="57"/>
        <v>0</v>
      </c>
      <c r="T107" s="108">
        <f t="shared" si="58"/>
        <v>0</v>
      </c>
      <c r="U107" s="268"/>
    </row>
    <row r="108" spans="1:21" ht="15" thickBot="1" x14ac:dyDescent="0.35">
      <c r="A108" s="97"/>
      <c r="B108" s="110">
        <f t="shared" ref="B108:B121" si="59">C108+D108+E108+F108+G108+H108</f>
        <v>0</v>
      </c>
      <c r="C108" s="95"/>
      <c r="D108" s="95"/>
      <c r="E108" s="95"/>
      <c r="F108" s="95"/>
      <c r="G108" s="96"/>
      <c r="H108" s="98"/>
      <c r="I108" s="268"/>
      <c r="K108" s="360"/>
      <c r="L108" s="361"/>
      <c r="M108" s="132">
        <f t="shared" si="52"/>
        <v>0</v>
      </c>
      <c r="N108" s="83">
        <f t="shared" si="48"/>
        <v>0</v>
      </c>
      <c r="O108" s="108">
        <f t="shared" si="53"/>
        <v>0</v>
      </c>
      <c r="P108" s="108">
        <f t="shared" si="54"/>
        <v>0</v>
      </c>
      <c r="Q108" s="108">
        <f t="shared" si="55"/>
        <v>0</v>
      </c>
      <c r="R108" s="108">
        <f t="shared" si="56"/>
        <v>0</v>
      </c>
      <c r="S108" s="108">
        <f t="shared" si="57"/>
        <v>0</v>
      </c>
      <c r="T108" s="108">
        <f t="shared" si="58"/>
        <v>0</v>
      </c>
      <c r="U108" s="268"/>
    </row>
    <row r="109" spans="1:21" ht="15" thickBot="1" x14ac:dyDescent="0.35">
      <c r="A109" s="97"/>
      <c r="B109" s="110">
        <f t="shared" si="59"/>
        <v>0</v>
      </c>
      <c r="C109" s="95"/>
      <c r="D109" s="95"/>
      <c r="E109" s="95"/>
      <c r="F109" s="95"/>
      <c r="G109" s="96"/>
      <c r="H109" s="98"/>
      <c r="I109" s="268"/>
      <c r="K109" s="360"/>
      <c r="L109" s="361"/>
      <c r="M109" s="132">
        <f t="shared" si="52"/>
        <v>0</v>
      </c>
      <c r="N109" s="83">
        <f t="shared" si="48"/>
        <v>0</v>
      </c>
      <c r="O109" s="108">
        <f t="shared" si="53"/>
        <v>0</v>
      </c>
      <c r="P109" s="108">
        <f t="shared" si="54"/>
        <v>0</v>
      </c>
      <c r="Q109" s="108">
        <f t="shared" si="55"/>
        <v>0</v>
      </c>
      <c r="R109" s="108">
        <f t="shared" si="56"/>
        <v>0</v>
      </c>
      <c r="S109" s="108">
        <f t="shared" si="57"/>
        <v>0</v>
      </c>
      <c r="T109" s="108">
        <f t="shared" si="58"/>
        <v>0</v>
      </c>
      <c r="U109" s="268"/>
    </row>
    <row r="110" spans="1:21" ht="15" thickBot="1" x14ac:dyDescent="0.35">
      <c r="A110" s="97"/>
      <c r="B110" s="110">
        <f t="shared" si="59"/>
        <v>0</v>
      </c>
      <c r="C110" s="95"/>
      <c r="D110" s="95"/>
      <c r="E110" s="95"/>
      <c r="F110" s="95"/>
      <c r="G110" s="96"/>
      <c r="H110" s="98"/>
      <c r="I110" s="268"/>
      <c r="K110" s="360"/>
      <c r="L110" s="361"/>
      <c r="M110" s="132">
        <f t="shared" si="52"/>
        <v>0</v>
      </c>
      <c r="N110" s="83">
        <f t="shared" si="48"/>
        <v>0</v>
      </c>
      <c r="O110" s="108">
        <f t="shared" si="53"/>
        <v>0</v>
      </c>
      <c r="P110" s="108">
        <f t="shared" si="54"/>
        <v>0</v>
      </c>
      <c r="Q110" s="108">
        <f t="shared" si="55"/>
        <v>0</v>
      </c>
      <c r="R110" s="108">
        <f t="shared" si="56"/>
        <v>0</v>
      </c>
      <c r="S110" s="108">
        <f t="shared" si="57"/>
        <v>0</v>
      </c>
      <c r="T110" s="108">
        <f t="shared" si="58"/>
        <v>0</v>
      </c>
      <c r="U110" s="268"/>
    </row>
    <row r="111" spans="1:21" ht="15" thickBot="1" x14ac:dyDescent="0.35">
      <c r="A111" s="97"/>
      <c r="B111" s="110">
        <f t="shared" si="59"/>
        <v>0</v>
      </c>
      <c r="C111" s="95"/>
      <c r="D111" s="95"/>
      <c r="E111" s="95"/>
      <c r="F111" s="95"/>
      <c r="G111" s="96"/>
      <c r="H111" s="98"/>
      <c r="I111" s="268"/>
      <c r="K111" s="360"/>
      <c r="L111" s="361"/>
      <c r="M111" s="132">
        <f t="shared" si="52"/>
        <v>0</v>
      </c>
      <c r="N111" s="83">
        <f t="shared" si="48"/>
        <v>0</v>
      </c>
      <c r="O111" s="108">
        <f t="shared" si="53"/>
        <v>0</v>
      </c>
      <c r="P111" s="108">
        <f t="shared" si="54"/>
        <v>0</v>
      </c>
      <c r="Q111" s="108">
        <f t="shared" si="55"/>
        <v>0</v>
      </c>
      <c r="R111" s="108">
        <f t="shared" si="56"/>
        <v>0</v>
      </c>
      <c r="S111" s="108">
        <f t="shared" si="57"/>
        <v>0</v>
      </c>
      <c r="T111" s="108">
        <f t="shared" si="58"/>
        <v>0</v>
      </c>
      <c r="U111" s="268"/>
    </row>
    <row r="112" spans="1:21" ht="15" thickBot="1" x14ac:dyDescent="0.35">
      <c r="A112" s="97"/>
      <c r="B112" s="110">
        <f t="shared" si="59"/>
        <v>0</v>
      </c>
      <c r="C112" s="95"/>
      <c r="D112" s="95"/>
      <c r="E112" s="95"/>
      <c r="F112" s="95"/>
      <c r="G112" s="96"/>
      <c r="H112" s="98"/>
      <c r="I112" s="268"/>
      <c r="K112" s="360"/>
      <c r="L112" s="361"/>
      <c r="M112" s="132">
        <f t="shared" si="52"/>
        <v>0</v>
      </c>
      <c r="N112" s="83">
        <f t="shared" si="48"/>
        <v>0</v>
      </c>
      <c r="O112" s="108">
        <f t="shared" si="53"/>
        <v>0</v>
      </c>
      <c r="P112" s="108">
        <f t="shared" si="54"/>
        <v>0</v>
      </c>
      <c r="Q112" s="108">
        <f t="shared" si="55"/>
        <v>0</v>
      </c>
      <c r="R112" s="108">
        <f t="shared" si="56"/>
        <v>0</v>
      </c>
      <c r="S112" s="108">
        <f t="shared" si="57"/>
        <v>0</v>
      </c>
      <c r="T112" s="108">
        <f t="shared" si="58"/>
        <v>0</v>
      </c>
      <c r="U112" s="268"/>
    </row>
    <row r="113" spans="1:21" ht="15" thickBot="1" x14ac:dyDescent="0.35">
      <c r="A113" s="97"/>
      <c r="B113" s="110">
        <f t="shared" si="59"/>
        <v>0</v>
      </c>
      <c r="C113" s="95"/>
      <c r="D113" s="95"/>
      <c r="E113" s="95"/>
      <c r="F113" s="95"/>
      <c r="G113" s="96"/>
      <c r="H113" s="98"/>
      <c r="I113" s="268"/>
      <c r="K113" s="360"/>
      <c r="L113" s="361"/>
      <c r="M113" s="132">
        <f t="shared" si="52"/>
        <v>0</v>
      </c>
      <c r="N113" s="83">
        <f t="shared" si="48"/>
        <v>0</v>
      </c>
      <c r="O113" s="108">
        <f t="shared" si="53"/>
        <v>0</v>
      </c>
      <c r="P113" s="108">
        <f t="shared" si="54"/>
        <v>0</v>
      </c>
      <c r="Q113" s="108">
        <f t="shared" si="55"/>
        <v>0</v>
      </c>
      <c r="R113" s="108">
        <f t="shared" si="56"/>
        <v>0</v>
      </c>
      <c r="S113" s="108">
        <f t="shared" si="57"/>
        <v>0</v>
      </c>
      <c r="T113" s="108">
        <f t="shared" si="58"/>
        <v>0</v>
      </c>
      <c r="U113" s="268"/>
    </row>
    <row r="114" spans="1:21" ht="15" thickBot="1" x14ac:dyDescent="0.35">
      <c r="A114" s="97"/>
      <c r="B114" s="110">
        <f t="shared" si="59"/>
        <v>0</v>
      </c>
      <c r="C114" s="96"/>
      <c r="D114" s="95"/>
      <c r="E114" s="95"/>
      <c r="F114" s="95"/>
      <c r="G114" s="96"/>
      <c r="H114" s="98"/>
      <c r="I114" s="268"/>
      <c r="K114" s="360"/>
      <c r="L114" s="361"/>
      <c r="M114" s="132">
        <f t="shared" si="52"/>
        <v>0</v>
      </c>
      <c r="N114" s="83">
        <f t="shared" si="48"/>
        <v>0</v>
      </c>
      <c r="O114" s="108">
        <f t="shared" si="53"/>
        <v>0</v>
      </c>
      <c r="P114" s="108">
        <f t="shared" si="54"/>
        <v>0</v>
      </c>
      <c r="Q114" s="108">
        <f t="shared" si="55"/>
        <v>0</v>
      </c>
      <c r="R114" s="108">
        <f t="shared" si="56"/>
        <v>0</v>
      </c>
      <c r="S114" s="108">
        <f t="shared" si="57"/>
        <v>0</v>
      </c>
      <c r="T114" s="108">
        <f t="shared" si="58"/>
        <v>0</v>
      </c>
      <c r="U114" s="268"/>
    </row>
    <row r="115" spans="1:21" ht="15" thickBot="1" x14ac:dyDescent="0.35">
      <c r="A115" s="126"/>
      <c r="B115" s="110">
        <f t="shared" si="59"/>
        <v>0</v>
      </c>
      <c r="C115" s="127"/>
      <c r="D115" s="128"/>
      <c r="E115" s="128"/>
      <c r="F115" s="128"/>
      <c r="G115" s="127"/>
      <c r="H115" s="129"/>
      <c r="I115" s="268"/>
      <c r="K115" s="360"/>
      <c r="L115" s="361"/>
      <c r="M115" s="132">
        <f t="shared" si="52"/>
        <v>0</v>
      </c>
      <c r="N115" s="83">
        <f t="shared" si="48"/>
        <v>0</v>
      </c>
      <c r="O115" s="108">
        <f t="shared" si="53"/>
        <v>0</v>
      </c>
      <c r="P115" s="108">
        <f t="shared" si="54"/>
        <v>0</v>
      </c>
      <c r="Q115" s="108">
        <f t="shared" si="55"/>
        <v>0</v>
      </c>
      <c r="R115" s="108">
        <f t="shared" si="56"/>
        <v>0</v>
      </c>
      <c r="S115" s="108">
        <f t="shared" si="57"/>
        <v>0</v>
      </c>
      <c r="T115" s="108">
        <f t="shared" si="58"/>
        <v>0</v>
      </c>
      <c r="U115" s="268"/>
    </row>
    <row r="116" spans="1:21" ht="15" thickBot="1" x14ac:dyDescent="0.35">
      <c r="A116" s="126"/>
      <c r="B116" s="110">
        <f t="shared" si="59"/>
        <v>0</v>
      </c>
      <c r="C116" s="127"/>
      <c r="D116" s="128"/>
      <c r="E116" s="128"/>
      <c r="F116" s="128"/>
      <c r="G116" s="127"/>
      <c r="H116" s="129"/>
      <c r="I116" s="268"/>
      <c r="K116" s="362"/>
      <c r="L116" s="363"/>
      <c r="M116" s="132">
        <f t="shared" si="52"/>
        <v>0</v>
      </c>
      <c r="N116" s="182">
        <f t="shared" si="48"/>
        <v>2</v>
      </c>
      <c r="O116" s="108">
        <f t="shared" si="53"/>
        <v>1</v>
      </c>
      <c r="P116" s="108">
        <f t="shared" si="54"/>
        <v>0</v>
      </c>
      <c r="Q116" s="108">
        <f t="shared" si="55"/>
        <v>1</v>
      </c>
      <c r="R116" s="108">
        <f t="shared" si="56"/>
        <v>0</v>
      </c>
      <c r="S116" s="108">
        <f t="shared" si="57"/>
        <v>0</v>
      </c>
      <c r="T116" s="108">
        <f xml:space="preserve"> H121*T$10</f>
        <v>0</v>
      </c>
      <c r="U116" s="366"/>
    </row>
    <row r="117" spans="1:21" ht="15" thickBot="1" x14ac:dyDescent="0.35">
      <c r="A117" s="126"/>
      <c r="B117" s="110">
        <f t="shared" si="59"/>
        <v>0</v>
      </c>
      <c r="C117" s="127"/>
      <c r="D117" s="128"/>
      <c r="E117" s="128"/>
      <c r="F117" s="128"/>
      <c r="G117" s="127"/>
      <c r="H117" s="129"/>
      <c r="I117" s="268"/>
      <c r="K117" s="358">
        <v>7</v>
      </c>
      <c r="L117" s="359"/>
      <c r="M117" s="132">
        <f t="shared" ref="M117:M131" si="60">A107</f>
        <v>0</v>
      </c>
      <c r="N117" s="133">
        <f t="shared" si="48"/>
        <v>0</v>
      </c>
      <c r="O117" s="108">
        <f xml:space="preserve"> C127*O$11</f>
        <v>0</v>
      </c>
      <c r="P117" s="108">
        <f t="shared" ref="P117:T117" si="61" xml:space="preserve"> D127*P$11</f>
        <v>0</v>
      </c>
      <c r="Q117" s="108">
        <f t="shared" si="61"/>
        <v>0</v>
      </c>
      <c r="R117" s="108">
        <f t="shared" si="61"/>
        <v>0</v>
      </c>
      <c r="S117" s="108">
        <f t="shared" si="61"/>
        <v>0</v>
      </c>
      <c r="T117" s="108">
        <f t="shared" si="61"/>
        <v>0</v>
      </c>
      <c r="U117" s="267">
        <f>SUM(N117:N131)-SUM(S117:S131)</f>
        <v>2</v>
      </c>
    </row>
    <row r="118" spans="1:21" ht="15" thickBot="1" x14ac:dyDescent="0.35">
      <c r="A118" s="126"/>
      <c r="B118" s="110">
        <f t="shared" si="59"/>
        <v>0</v>
      </c>
      <c r="C118" s="127"/>
      <c r="D118" s="128"/>
      <c r="E118" s="128"/>
      <c r="F118" s="128"/>
      <c r="G118" s="127"/>
      <c r="H118" s="129"/>
      <c r="I118" s="268"/>
      <c r="K118" s="360"/>
      <c r="L118" s="361"/>
      <c r="M118" s="132">
        <f t="shared" si="60"/>
        <v>0</v>
      </c>
      <c r="N118" s="83">
        <f t="shared" si="48"/>
        <v>0</v>
      </c>
      <c r="O118" s="108">
        <f t="shared" ref="O118:O131" si="62" xml:space="preserve"> C128*O$11</f>
        <v>0</v>
      </c>
      <c r="P118" s="108">
        <f t="shared" ref="P118:P131" si="63" xml:space="preserve"> D128*P$11</f>
        <v>0</v>
      </c>
      <c r="Q118" s="108">
        <f t="shared" ref="Q118:Q131" si="64" xml:space="preserve"> E128*Q$11</f>
        <v>0</v>
      </c>
      <c r="R118" s="108">
        <f t="shared" ref="R118:R131" si="65" xml:space="preserve"> F128*R$11</f>
        <v>0</v>
      </c>
      <c r="S118" s="108">
        <f t="shared" ref="S118:S131" si="66" xml:space="preserve"> G128*S$11</f>
        <v>0</v>
      </c>
      <c r="T118" s="108">
        <f t="shared" ref="T118:T130" si="67" xml:space="preserve"> H128*T$11</f>
        <v>0</v>
      </c>
      <c r="U118" s="268"/>
    </row>
    <row r="119" spans="1:21" ht="15" thickBot="1" x14ac:dyDescent="0.35">
      <c r="A119" s="126"/>
      <c r="B119" s="110">
        <f t="shared" si="59"/>
        <v>0</v>
      </c>
      <c r="C119" s="127"/>
      <c r="D119" s="128"/>
      <c r="E119" s="128"/>
      <c r="F119" s="128"/>
      <c r="G119" s="127"/>
      <c r="H119" s="129"/>
      <c r="I119" s="268"/>
      <c r="K119" s="360"/>
      <c r="L119" s="361"/>
      <c r="M119" s="132">
        <f t="shared" si="60"/>
        <v>0</v>
      </c>
      <c r="N119" s="83">
        <f t="shared" si="48"/>
        <v>0</v>
      </c>
      <c r="O119" s="108">
        <f t="shared" si="62"/>
        <v>0</v>
      </c>
      <c r="P119" s="108">
        <f t="shared" si="63"/>
        <v>0</v>
      </c>
      <c r="Q119" s="108">
        <f t="shared" si="64"/>
        <v>0</v>
      </c>
      <c r="R119" s="108">
        <f t="shared" si="65"/>
        <v>0</v>
      </c>
      <c r="S119" s="108">
        <f t="shared" si="66"/>
        <v>0</v>
      </c>
      <c r="T119" s="108">
        <f t="shared" si="67"/>
        <v>0</v>
      </c>
      <c r="U119" s="268"/>
    </row>
    <row r="120" spans="1:21" ht="15" thickBot="1" x14ac:dyDescent="0.35">
      <c r="A120" s="126"/>
      <c r="B120" s="110">
        <f t="shared" si="59"/>
        <v>0</v>
      </c>
      <c r="C120" s="127"/>
      <c r="D120" s="128"/>
      <c r="E120" s="128"/>
      <c r="F120" s="128"/>
      <c r="G120" s="127"/>
      <c r="H120" s="129"/>
      <c r="I120" s="268"/>
      <c r="K120" s="360"/>
      <c r="L120" s="361"/>
      <c r="M120" s="132">
        <f t="shared" si="60"/>
        <v>0</v>
      </c>
      <c r="N120" s="83">
        <f t="shared" si="48"/>
        <v>0</v>
      </c>
      <c r="O120" s="108">
        <f t="shared" si="62"/>
        <v>0</v>
      </c>
      <c r="P120" s="108">
        <f t="shared" si="63"/>
        <v>0</v>
      </c>
      <c r="Q120" s="108">
        <f t="shared" si="64"/>
        <v>0</v>
      </c>
      <c r="R120" s="108">
        <f t="shared" si="65"/>
        <v>0</v>
      </c>
      <c r="S120" s="108">
        <f t="shared" si="66"/>
        <v>0</v>
      </c>
      <c r="T120" s="108">
        <f t="shared" si="67"/>
        <v>0</v>
      </c>
      <c r="U120" s="268"/>
    </row>
    <row r="121" spans="1:21" ht="15" thickBot="1" x14ac:dyDescent="0.35">
      <c r="A121" s="117"/>
      <c r="B121" s="110">
        <f t="shared" si="59"/>
        <v>2</v>
      </c>
      <c r="C121" s="119">
        <v>1</v>
      </c>
      <c r="D121" s="119"/>
      <c r="E121" s="119">
        <v>1</v>
      </c>
      <c r="F121" s="119"/>
      <c r="G121" s="120"/>
      <c r="H121" s="121"/>
      <c r="I121" s="269"/>
      <c r="K121" s="360"/>
      <c r="L121" s="361"/>
      <c r="M121" s="132">
        <f t="shared" si="60"/>
        <v>0</v>
      </c>
      <c r="N121" s="83">
        <f t="shared" si="48"/>
        <v>0</v>
      </c>
      <c r="O121" s="108">
        <f t="shared" si="62"/>
        <v>0</v>
      </c>
      <c r="P121" s="108">
        <f t="shared" si="63"/>
        <v>0</v>
      </c>
      <c r="Q121" s="108">
        <f t="shared" si="64"/>
        <v>0</v>
      </c>
      <c r="R121" s="108">
        <f t="shared" si="65"/>
        <v>0</v>
      </c>
      <c r="S121" s="108">
        <f t="shared" si="66"/>
        <v>0</v>
      </c>
      <c r="T121" s="108">
        <f t="shared" si="67"/>
        <v>0</v>
      </c>
      <c r="U121" s="268"/>
    </row>
    <row r="122" spans="1:21" ht="15.6" thickTop="1" thickBot="1" x14ac:dyDescent="0.35">
      <c r="A122" s="99" t="s">
        <v>53</v>
      </c>
      <c r="B122" s="100">
        <f>C122+D122+E122+F122+G122+H122</f>
        <v>2</v>
      </c>
      <c r="C122" s="101">
        <f>SUM(C106:C121)</f>
        <v>1</v>
      </c>
      <c r="D122" s="101">
        <f t="shared" ref="D122:F122" si="68">SUM(D106:D121)</f>
        <v>0</v>
      </c>
      <c r="E122" s="101">
        <f t="shared" si="68"/>
        <v>1</v>
      </c>
      <c r="F122" s="101">
        <f t="shared" si="68"/>
        <v>0</v>
      </c>
      <c r="G122" s="101">
        <f>SUM(G106:G121)</f>
        <v>0</v>
      </c>
      <c r="H122" s="102">
        <f t="shared" ref="H122" si="69">SUM(H106:H121)</f>
        <v>0</v>
      </c>
      <c r="I122" s="102">
        <f>SUM(I106:I121)</f>
        <v>2</v>
      </c>
      <c r="K122" s="360"/>
      <c r="L122" s="361"/>
      <c r="M122" s="132">
        <f t="shared" si="60"/>
        <v>0</v>
      </c>
      <c r="N122" s="83">
        <f t="shared" si="48"/>
        <v>0</v>
      </c>
      <c r="O122" s="108">
        <f t="shared" si="62"/>
        <v>0</v>
      </c>
      <c r="P122" s="108">
        <f t="shared" si="63"/>
        <v>0</v>
      </c>
      <c r="Q122" s="108">
        <f t="shared" si="64"/>
        <v>0</v>
      </c>
      <c r="R122" s="108">
        <f t="shared" si="65"/>
        <v>0</v>
      </c>
      <c r="S122" s="108">
        <f t="shared" si="66"/>
        <v>0</v>
      </c>
      <c r="T122" s="108">
        <f t="shared" si="67"/>
        <v>0</v>
      </c>
      <c r="U122" s="268"/>
    </row>
    <row r="123" spans="1:21" ht="15" thickBot="1" x14ac:dyDescent="0.35">
      <c r="A123" t="s">
        <v>238</v>
      </c>
      <c r="K123" s="360"/>
      <c r="L123" s="361"/>
      <c r="M123" s="132">
        <f t="shared" si="60"/>
        <v>0</v>
      </c>
      <c r="N123" s="83">
        <f t="shared" ref="N123:N154" si="70">O123+P123+Q123+R123+S123+T123</f>
        <v>0</v>
      </c>
      <c r="O123" s="108">
        <f t="shared" si="62"/>
        <v>0</v>
      </c>
      <c r="P123" s="108">
        <f t="shared" si="63"/>
        <v>0</v>
      </c>
      <c r="Q123" s="108">
        <f t="shared" si="64"/>
        <v>0</v>
      </c>
      <c r="R123" s="108">
        <f t="shared" si="65"/>
        <v>0</v>
      </c>
      <c r="S123" s="108">
        <f t="shared" si="66"/>
        <v>0</v>
      </c>
      <c r="T123" s="108">
        <f t="shared" si="67"/>
        <v>0</v>
      </c>
      <c r="U123" s="268"/>
    </row>
    <row r="124" spans="1:21" x14ac:dyDescent="0.3">
      <c r="A124" s="279" t="s">
        <v>98</v>
      </c>
      <c r="B124" s="282" t="s">
        <v>99</v>
      </c>
      <c r="C124" s="282" t="s">
        <v>100</v>
      </c>
      <c r="D124" s="282"/>
      <c r="E124" s="282"/>
      <c r="F124" s="282"/>
      <c r="G124" s="277" t="s">
        <v>105</v>
      </c>
      <c r="H124" s="274" t="s">
        <v>106</v>
      </c>
      <c r="I124" s="264" t="s">
        <v>127</v>
      </c>
      <c r="K124" s="360"/>
      <c r="L124" s="361"/>
      <c r="M124" s="132">
        <f t="shared" si="60"/>
        <v>0</v>
      </c>
      <c r="N124" s="83">
        <f t="shared" si="70"/>
        <v>0</v>
      </c>
      <c r="O124" s="108">
        <f t="shared" si="62"/>
        <v>0</v>
      </c>
      <c r="P124" s="108">
        <f t="shared" si="63"/>
        <v>0</v>
      </c>
      <c r="Q124" s="108">
        <f t="shared" si="64"/>
        <v>0</v>
      </c>
      <c r="R124" s="108">
        <f t="shared" si="65"/>
        <v>0</v>
      </c>
      <c r="S124" s="108">
        <f t="shared" si="66"/>
        <v>0</v>
      </c>
      <c r="T124" s="108">
        <f t="shared" si="67"/>
        <v>0</v>
      </c>
      <c r="U124" s="268"/>
    </row>
    <row r="125" spans="1:21" x14ac:dyDescent="0.3">
      <c r="A125" s="280"/>
      <c r="B125" s="273"/>
      <c r="C125" s="273" t="s">
        <v>101</v>
      </c>
      <c r="D125" s="273"/>
      <c r="E125" s="273" t="s">
        <v>102</v>
      </c>
      <c r="F125" s="273"/>
      <c r="G125" s="278"/>
      <c r="H125" s="275"/>
      <c r="I125" s="265"/>
      <c r="K125" s="360"/>
      <c r="L125" s="361"/>
      <c r="M125" s="132">
        <f t="shared" si="60"/>
        <v>0</v>
      </c>
      <c r="N125" s="83">
        <f t="shared" si="70"/>
        <v>0</v>
      </c>
      <c r="O125" s="108">
        <f t="shared" si="62"/>
        <v>0</v>
      </c>
      <c r="P125" s="108">
        <f t="shared" si="63"/>
        <v>0</v>
      </c>
      <c r="Q125" s="108">
        <f t="shared" si="64"/>
        <v>0</v>
      </c>
      <c r="R125" s="108">
        <f t="shared" si="65"/>
        <v>0</v>
      </c>
      <c r="S125" s="108">
        <f t="shared" si="66"/>
        <v>0</v>
      </c>
      <c r="T125" s="108">
        <f t="shared" si="67"/>
        <v>0</v>
      </c>
      <c r="U125" s="268"/>
    </row>
    <row r="126" spans="1:21" ht="15" thickBot="1" x14ac:dyDescent="0.35">
      <c r="A126" s="281"/>
      <c r="B126" s="283"/>
      <c r="C126" s="105" t="s">
        <v>103</v>
      </c>
      <c r="D126" s="105" t="s">
        <v>104</v>
      </c>
      <c r="E126" s="105" t="s">
        <v>103</v>
      </c>
      <c r="F126" s="105" t="s">
        <v>104</v>
      </c>
      <c r="G126" s="105" t="s">
        <v>110</v>
      </c>
      <c r="H126" s="276"/>
      <c r="I126" s="266"/>
      <c r="K126" s="360"/>
      <c r="L126" s="361"/>
      <c r="M126" s="132">
        <f t="shared" si="60"/>
        <v>0</v>
      </c>
      <c r="N126" s="83">
        <f t="shared" si="70"/>
        <v>0</v>
      </c>
      <c r="O126" s="108">
        <f t="shared" si="62"/>
        <v>0</v>
      </c>
      <c r="P126" s="108">
        <f t="shared" si="63"/>
        <v>0</v>
      </c>
      <c r="Q126" s="108">
        <f t="shared" si="64"/>
        <v>0</v>
      </c>
      <c r="R126" s="108">
        <f t="shared" si="65"/>
        <v>0</v>
      </c>
      <c r="S126" s="108">
        <f t="shared" si="66"/>
        <v>0</v>
      </c>
      <c r="T126" s="108">
        <f t="shared" si="67"/>
        <v>0</v>
      </c>
      <c r="U126" s="268"/>
    </row>
    <row r="127" spans="1:21" ht="15" thickBot="1" x14ac:dyDescent="0.35">
      <c r="A127" s="156"/>
      <c r="B127" s="110">
        <f>C127+D127+E127+F127+G127+H127</f>
        <v>0</v>
      </c>
      <c r="C127" s="114"/>
      <c r="D127" s="114"/>
      <c r="E127" s="114"/>
      <c r="F127" s="114"/>
      <c r="G127" s="115"/>
      <c r="H127" s="116"/>
      <c r="I127" s="267">
        <f>SUM(B127:B141)-SUM(G127:G141)</f>
        <v>2</v>
      </c>
      <c r="K127" s="360"/>
      <c r="L127" s="361"/>
      <c r="M127" s="132">
        <f t="shared" si="60"/>
        <v>0</v>
      </c>
      <c r="N127" s="83">
        <f t="shared" si="70"/>
        <v>0</v>
      </c>
      <c r="O127" s="108">
        <f t="shared" si="62"/>
        <v>0</v>
      </c>
      <c r="P127" s="108">
        <f t="shared" si="63"/>
        <v>0</v>
      </c>
      <c r="Q127" s="108">
        <f t="shared" si="64"/>
        <v>0</v>
      </c>
      <c r="R127" s="108">
        <f t="shared" si="65"/>
        <v>0</v>
      </c>
      <c r="S127" s="108">
        <f t="shared" si="66"/>
        <v>0</v>
      </c>
      <c r="T127" s="108">
        <f t="shared" si="67"/>
        <v>0</v>
      </c>
      <c r="U127" s="268"/>
    </row>
    <row r="128" spans="1:21" ht="15" thickBot="1" x14ac:dyDescent="0.35">
      <c r="A128" s="97"/>
      <c r="B128" s="110">
        <f t="shared" ref="B128:B141" si="71">C128+D128+E128+F128+G128+H128</f>
        <v>0</v>
      </c>
      <c r="C128" s="95"/>
      <c r="D128" s="95"/>
      <c r="E128" s="95"/>
      <c r="F128" s="95"/>
      <c r="G128" s="96"/>
      <c r="H128" s="98"/>
      <c r="I128" s="268"/>
      <c r="K128" s="360"/>
      <c r="L128" s="361"/>
      <c r="M128" s="132">
        <f t="shared" si="60"/>
        <v>0</v>
      </c>
      <c r="N128" s="83">
        <f t="shared" si="70"/>
        <v>0</v>
      </c>
      <c r="O128" s="108">
        <f t="shared" si="62"/>
        <v>0</v>
      </c>
      <c r="P128" s="108">
        <f t="shared" si="63"/>
        <v>0</v>
      </c>
      <c r="Q128" s="108">
        <f t="shared" si="64"/>
        <v>0</v>
      </c>
      <c r="R128" s="108">
        <f t="shared" si="65"/>
        <v>0</v>
      </c>
      <c r="S128" s="108">
        <f t="shared" si="66"/>
        <v>0</v>
      </c>
      <c r="T128" s="108">
        <f t="shared" si="67"/>
        <v>0</v>
      </c>
      <c r="U128" s="268"/>
    </row>
    <row r="129" spans="1:21" ht="15" thickBot="1" x14ac:dyDescent="0.35">
      <c r="A129" s="97"/>
      <c r="B129" s="110">
        <f t="shared" si="71"/>
        <v>0</v>
      </c>
      <c r="C129" s="95"/>
      <c r="D129" s="95"/>
      <c r="E129" s="95"/>
      <c r="F129" s="95"/>
      <c r="G129" s="96"/>
      <c r="H129" s="98"/>
      <c r="I129" s="268"/>
      <c r="K129" s="360"/>
      <c r="L129" s="361"/>
      <c r="M129" s="132">
        <f t="shared" si="60"/>
        <v>0</v>
      </c>
      <c r="N129" s="83">
        <f t="shared" si="70"/>
        <v>0</v>
      </c>
      <c r="O129" s="108">
        <f t="shared" si="62"/>
        <v>0</v>
      </c>
      <c r="P129" s="108">
        <f t="shared" si="63"/>
        <v>0</v>
      </c>
      <c r="Q129" s="108">
        <f t="shared" si="64"/>
        <v>0</v>
      </c>
      <c r="R129" s="108">
        <f t="shared" si="65"/>
        <v>0</v>
      </c>
      <c r="S129" s="108">
        <f t="shared" si="66"/>
        <v>0</v>
      </c>
      <c r="T129" s="108">
        <f t="shared" si="67"/>
        <v>0</v>
      </c>
      <c r="U129" s="268"/>
    </row>
    <row r="130" spans="1:21" ht="15" thickBot="1" x14ac:dyDescent="0.35">
      <c r="A130" s="97"/>
      <c r="B130" s="110">
        <f t="shared" si="71"/>
        <v>0</v>
      </c>
      <c r="C130" s="95"/>
      <c r="D130" s="95"/>
      <c r="E130" s="95"/>
      <c r="F130" s="95"/>
      <c r="G130" s="96"/>
      <c r="H130" s="98"/>
      <c r="I130" s="268"/>
      <c r="K130" s="360"/>
      <c r="L130" s="361"/>
      <c r="M130" s="132">
        <f t="shared" si="60"/>
        <v>0</v>
      </c>
      <c r="N130" s="83">
        <f t="shared" si="70"/>
        <v>0</v>
      </c>
      <c r="O130" s="108">
        <f t="shared" si="62"/>
        <v>0</v>
      </c>
      <c r="P130" s="108">
        <f t="shared" si="63"/>
        <v>0</v>
      </c>
      <c r="Q130" s="108">
        <f t="shared" si="64"/>
        <v>0</v>
      </c>
      <c r="R130" s="108">
        <f t="shared" si="65"/>
        <v>0</v>
      </c>
      <c r="S130" s="108">
        <f t="shared" si="66"/>
        <v>0</v>
      </c>
      <c r="T130" s="108">
        <f t="shared" si="67"/>
        <v>0</v>
      </c>
      <c r="U130" s="268"/>
    </row>
    <row r="131" spans="1:21" ht="15" thickBot="1" x14ac:dyDescent="0.35">
      <c r="A131" s="97"/>
      <c r="B131" s="110">
        <f t="shared" si="71"/>
        <v>0</v>
      </c>
      <c r="C131" s="95"/>
      <c r="D131" s="95"/>
      <c r="E131" s="95"/>
      <c r="F131" s="95"/>
      <c r="G131" s="96"/>
      <c r="H131" s="98"/>
      <c r="I131" s="268"/>
      <c r="K131" s="362"/>
      <c r="L131" s="363"/>
      <c r="M131" s="184">
        <f t="shared" si="60"/>
        <v>0</v>
      </c>
      <c r="N131" s="182">
        <f t="shared" si="70"/>
        <v>2</v>
      </c>
      <c r="O131" s="108">
        <f t="shared" si="62"/>
        <v>1</v>
      </c>
      <c r="P131" s="108">
        <f t="shared" si="63"/>
        <v>0</v>
      </c>
      <c r="Q131" s="108">
        <f t="shared" si="64"/>
        <v>1</v>
      </c>
      <c r="R131" s="108">
        <f t="shared" si="65"/>
        <v>0</v>
      </c>
      <c r="S131" s="108">
        <f t="shared" si="66"/>
        <v>0</v>
      </c>
      <c r="T131" s="108">
        <f xml:space="preserve"> H141*T$11</f>
        <v>0</v>
      </c>
      <c r="U131" s="268"/>
    </row>
    <row r="132" spans="1:21" ht="15" thickBot="1" x14ac:dyDescent="0.35">
      <c r="A132" s="97"/>
      <c r="B132" s="110">
        <f t="shared" si="71"/>
        <v>0</v>
      </c>
      <c r="C132" s="95"/>
      <c r="D132" s="95"/>
      <c r="E132" s="95"/>
      <c r="F132" s="95"/>
      <c r="G132" s="96"/>
      <c r="H132" s="98"/>
      <c r="I132" s="268"/>
      <c r="K132" s="358">
        <v>8</v>
      </c>
      <c r="L132" s="359"/>
      <c r="M132" s="132">
        <f t="shared" ref="M132:M146" si="72">A127</f>
        <v>0</v>
      </c>
      <c r="N132" s="133">
        <f t="shared" si="70"/>
        <v>0</v>
      </c>
      <c r="O132" s="108">
        <f xml:space="preserve"> C147*O$12</f>
        <v>0</v>
      </c>
      <c r="P132" s="108">
        <f t="shared" ref="P132:T132" si="73" xml:space="preserve"> D147*P$12</f>
        <v>0</v>
      </c>
      <c r="Q132" s="108">
        <f t="shared" si="73"/>
        <v>0</v>
      </c>
      <c r="R132" s="108">
        <f t="shared" si="73"/>
        <v>0</v>
      </c>
      <c r="S132" s="108">
        <f t="shared" si="73"/>
        <v>0</v>
      </c>
      <c r="T132" s="108">
        <f t="shared" si="73"/>
        <v>0</v>
      </c>
      <c r="U132" s="267">
        <f>SUM(N132:N146)-SUM(S132:S146)</f>
        <v>2</v>
      </c>
    </row>
    <row r="133" spans="1:21" ht="15" thickBot="1" x14ac:dyDescent="0.35">
      <c r="A133" s="97"/>
      <c r="B133" s="110">
        <f t="shared" si="71"/>
        <v>0</v>
      </c>
      <c r="C133" s="95"/>
      <c r="D133" s="95"/>
      <c r="E133" s="95"/>
      <c r="F133" s="95"/>
      <c r="G133" s="96"/>
      <c r="H133" s="98"/>
      <c r="I133" s="268"/>
      <c r="K133" s="360"/>
      <c r="L133" s="361"/>
      <c r="M133" s="132">
        <f t="shared" si="72"/>
        <v>0</v>
      </c>
      <c r="N133" s="83">
        <f t="shared" si="70"/>
        <v>0</v>
      </c>
      <c r="O133" s="108">
        <f t="shared" ref="O133:O146" si="74" xml:space="preserve"> C148*O$12</f>
        <v>0</v>
      </c>
      <c r="P133" s="108">
        <f t="shared" ref="P133:P146" si="75" xml:space="preserve"> D148*P$12</f>
        <v>0</v>
      </c>
      <c r="Q133" s="108">
        <f t="shared" ref="Q133:Q146" si="76" xml:space="preserve"> E148*Q$12</f>
        <v>0</v>
      </c>
      <c r="R133" s="108">
        <f t="shared" ref="R133:R146" si="77" xml:space="preserve"> F148*R$12</f>
        <v>0</v>
      </c>
      <c r="S133" s="108">
        <f t="shared" ref="S133:S146" si="78" xml:space="preserve"> G148*S$12</f>
        <v>0</v>
      </c>
      <c r="T133" s="108">
        <f t="shared" ref="T133:T146" si="79" xml:space="preserve"> H148*T$12</f>
        <v>0</v>
      </c>
      <c r="U133" s="268"/>
    </row>
    <row r="134" spans="1:21" ht="15" thickBot="1" x14ac:dyDescent="0.35">
      <c r="A134" s="97"/>
      <c r="B134" s="110">
        <f t="shared" si="71"/>
        <v>0</v>
      </c>
      <c r="C134" s="96"/>
      <c r="D134" s="95"/>
      <c r="E134" s="95"/>
      <c r="F134" s="95"/>
      <c r="G134" s="96"/>
      <c r="H134" s="98"/>
      <c r="I134" s="268"/>
      <c r="K134" s="360"/>
      <c r="L134" s="361"/>
      <c r="M134" s="132">
        <f t="shared" si="72"/>
        <v>0</v>
      </c>
      <c r="N134" s="83">
        <f t="shared" si="70"/>
        <v>0</v>
      </c>
      <c r="O134" s="108">
        <f t="shared" si="74"/>
        <v>0</v>
      </c>
      <c r="P134" s="108">
        <f t="shared" si="75"/>
        <v>0</v>
      </c>
      <c r="Q134" s="108">
        <f t="shared" si="76"/>
        <v>0</v>
      </c>
      <c r="R134" s="108">
        <f t="shared" si="77"/>
        <v>0</v>
      </c>
      <c r="S134" s="108">
        <f t="shared" si="78"/>
        <v>0</v>
      </c>
      <c r="T134" s="108">
        <f t="shared" si="79"/>
        <v>0</v>
      </c>
      <c r="U134" s="268"/>
    </row>
    <row r="135" spans="1:21" ht="15" thickBot="1" x14ac:dyDescent="0.35">
      <c r="A135" s="126"/>
      <c r="B135" s="110">
        <f t="shared" si="71"/>
        <v>0</v>
      </c>
      <c r="C135" s="127"/>
      <c r="D135" s="128"/>
      <c r="E135" s="128"/>
      <c r="F135" s="128"/>
      <c r="G135" s="127"/>
      <c r="H135" s="129"/>
      <c r="I135" s="268"/>
      <c r="K135" s="360"/>
      <c r="L135" s="361"/>
      <c r="M135" s="132">
        <f t="shared" si="72"/>
        <v>0</v>
      </c>
      <c r="N135" s="83">
        <f t="shared" si="70"/>
        <v>0</v>
      </c>
      <c r="O135" s="108">
        <f t="shared" si="74"/>
        <v>0</v>
      </c>
      <c r="P135" s="108">
        <f t="shared" si="75"/>
        <v>0</v>
      </c>
      <c r="Q135" s="108">
        <f t="shared" si="76"/>
        <v>0</v>
      </c>
      <c r="R135" s="108">
        <f t="shared" si="77"/>
        <v>0</v>
      </c>
      <c r="S135" s="108">
        <f t="shared" si="78"/>
        <v>0</v>
      </c>
      <c r="T135" s="108">
        <f t="shared" si="79"/>
        <v>0</v>
      </c>
      <c r="U135" s="268"/>
    </row>
    <row r="136" spans="1:21" ht="15" thickBot="1" x14ac:dyDescent="0.35">
      <c r="A136" s="126"/>
      <c r="B136" s="110">
        <f t="shared" si="71"/>
        <v>0</v>
      </c>
      <c r="C136" s="127"/>
      <c r="D136" s="128"/>
      <c r="E136" s="128"/>
      <c r="F136" s="128"/>
      <c r="G136" s="127"/>
      <c r="H136" s="129"/>
      <c r="I136" s="268"/>
      <c r="K136" s="360"/>
      <c r="L136" s="361"/>
      <c r="M136" s="132">
        <f t="shared" si="72"/>
        <v>0</v>
      </c>
      <c r="N136" s="83">
        <f t="shared" si="70"/>
        <v>0</v>
      </c>
      <c r="O136" s="108">
        <f t="shared" si="74"/>
        <v>0</v>
      </c>
      <c r="P136" s="108">
        <f t="shared" si="75"/>
        <v>0</v>
      </c>
      <c r="Q136" s="108">
        <f t="shared" si="76"/>
        <v>0</v>
      </c>
      <c r="R136" s="108">
        <f t="shared" si="77"/>
        <v>0</v>
      </c>
      <c r="S136" s="108">
        <f t="shared" si="78"/>
        <v>0</v>
      </c>
      <c r="T136" s="108">
        <f t="shared" si="79"/>
        <v>0</v>
      </c>
      <c r="U136" s="268"/>
    </row>
    <row r="137" spans="1:21" ht="15" thickBot="1" x14ac:dyDescent="0.35">
      <c r="A137" s="126"/>
      <c r="B137" s="110">
        <f t="shared" si="71"/>
        <v>0</v>
      </c>
      <c r="C137" s="127"/>
      <c r="D137" s="128"/>
      <c r="E137" s="128"/>
      <c r="F137" s="128"/>
      <c r="G137" s="127"/>
      <c r="H137" s="129"/>
      <c r="I137" s="268"/>
      <c r="K137" s="360"/>
      <c r="L137" s="361"/>
      <c r="M137" s="132">
        <f t="shared" si="72"/>
        <v>0</v>
      </c>
      <c r="N137" s="83">
        <f t="shared" si="70"/>
        <v>0</v>
      </c>
      <c r="O137" s="108">
        <f t="shared" si="74"/>
        <v>0</v>
      </c>
      <c r="P137" s="108">
        <f t="shared" si="75"/>
        <v>0</v>
      </c>
      <c r="Q137" s="108">
        <f t="shared" si="76"/>
        <v>0</v>
      </c>
      <c r="R137" s="108">
        <f t="shared" si="77"/>
        <v>0</v>
      </c>
      <c r="S137" s="108">
        <f t="shared" si="78"/>
        <v>0</v>
      </c>
      <c r="T137" s="108">
        <f t="shared" si="79"/>
        <v>0</v>
      </c>
      <c r="U137" s="268"/>
    </row>
    <row r="138" spans="1:21" ht="15" thickBot="1" x14ac:dyDescent="0.35">
      <c r="A138" s="126"/>
      <c r="B138" s="110">
        <f t="shared" si="71"/>
        <v>0</v>
      </c>
      <c r="C138" s="127"/>
      <c r="D138" s="128"/>
      <c r="E138" s="128"/>
      <c r="F138" s="128"/>
      <c r="G138" s="127"/>
      <c r="H138" s="129"/>
      <c r="I138" s="268"/>
      <c r="K138" s="360"/>
      <c r="L138" s="361"/>
      <c r="M138" s="132">
        <f t="shared" si="72"/>
        <v>0</v>
      </c>
      <c r="N138" s="83">
        <f t="shared" si="70"/>
        <v>0</v>
      </c>
      <c r="O138" s="108">
        <f t="shared" si="74"/>
        <v>0</v>
      </c>
      <c r="P138" s="108">
        <f t="shared" si="75"/>
        <v>0</v>
      </c>
      <c r="Q138" s="108">
        <f t="shared" si="76"/>
        <v>0</v>
      </c>
      <c r="R138" s="108">
        <f t="shared" si="77"/>
        <v>0</v>
      </c>
      <c r="S138" s="108">
        <f t="shared" si="78"/>
        <v>0</v>
      </c>
      <c r="T138" s="108">
        <f t="shared" si="79"/>
        <v>0</v>
      </c>
      <c r="U138" s="268"/>
    </row>
    <row r="139" spans="1:21" ht="15" thickBot="1" x14ac:dyDescent="0.35">
      <c r="A139" s="126"/>
      <c r="B139" s="110">
        <f t="shared" si="71"/>
        <v>0</v>
      </c>
      <c r="C139" s="127"/>
      <c r="D139" s="128"/>
      <c r="E139" s="128"/>
      <c r="F139" s="128"/>
      <c r="G139" s="127"/>
      <c r="H139" s="129"/>
      <c r="I139" s="268"/>
      <c r="K139" s="360"/>
      <c r="L139" s="361"/>
      <c r="M139" s="132">
        <f t="shared" si="72"/>
        <v>0</v>
      </c>
      <c r="N139" s="83">
        <f t="shared" si="70"/>
        <v>0</v>
      </c>
      <c r="O139" s="108">
        <f t="shared" si="74"/>
        <v>0</v>
      </c>
      <c r="P139" s="108">
        <f t="shared" si="75"/>
        <v>0</v>
      </c>
      <c r="Q139" s="108">
        <f t="shared" si="76"/>
        <v>0</v>
      </c>
      <c r="R139" s="108">
        <f t="shared" si="77"/>
        <v>0</v>
      </c>
      <c r="S139" s="108">
        <f t="shared" si="78"/>
        <v>0</v>
      </c>
      <c r="T139" s="108">
        <f t="shared" si="79"/>
        <v>0</v>
      </c>
      <c r="U139" s="268"/>
    </row>
    <row r="140" spans="1:21" ht="15" thickBot="1" x14ac:dyDescent="0.35">
      <c r="A140" s="126"/>
      <c r="B140" s="110">
        <f t="shared" si="71"/>
        <v>0</v>
      </c>
      <c r="C140" s="127"/>
      <c r="D140" s="128"/>
      <c r="E140" s="128"/>
      <c r="F140" s="128"/>
      <c r="G140" s="127"/>
      <c r="H140" s="129"/>
      <c r="I140" s="268"/>
      <c r="K140" s="360"/>
      <c r="L140" s="361"/>
      <c r="M140" s="132">
        <f t="shared" si="72"/>
        <v>0</v>
      </c>
      <c r="N140" s="83">
        <f t="shared" si="70"/>
        <v>0</v>
      </c>
      <c r="O140" s="108">
        <f t="shared" si="74"/>
        <v>0</v>
      </c>
      <c r="P140" s="108">
        <f t="shared" si="75"/>
        <v>0</v>
      </c>
      <c r="Q140" s="108">
        <f t="shared" si="76"/>
        <v>0</v>
      </c>
      <c r="R140" s="108">
        <f t="shared" si="77"/>
        <v>0</v>
      </c>
      <c r="S140" s="108">
        <f t="shared" si="78"/>
        <v>0</v>
      </c>
      <c r="T140" s="108">
        <f t="shared" si="79"/>
        <v>0</v>
      </c>
      <c r="U140" s="268"/>
    </row>
    <row r="141" spans="1:21" ht="15" thickBot="1" x14ac:dyDescent="0.35">
      <c r="A141" s="117"/>
      <c r="B141" s="110">
        <f t="shared" si="71"/>
        <v>2</v>
      </c>
      <c r="C141" s="119">
        <v>1</v>
      </c>
      <c r="D141" s="119"/>
      <c r="E141" s="119">
        <v>1</v>
      </c>
      <c r="F141" s="119"/>
      <c r="G141" s="120"/>
      <c r="H141" s="121"/>
      <c r="I141" s="269"/>
      <c r="K141" s="360"/>
      <c r="L141" s="361"/>
      <c r="M141" s="132">
        <f t="shared" si="72"/>
        <v>0</v>
      </c>
      <c r="N141" s="83">
        <f t="shared" si="70"/>
        <v>0</v>
      </c>
      <c r="O141" s="108">
        <f t="shared" si="74"/>
        <v>0</v>
      </c>
      <c r="P141" s="108">
        <f t="shared" si="75"/>
        <v>0</v>
      </c>
      <c r="Q141" s="108">
        <f t="shared" si="76"/>
        <v>0</v>
      </c>
      <c r="R141" s="108">
        <f t="shared" si="77"/>
        <v>0</v>
      </c>
      <c r="S141" s="108">
        <f t="shared" si="78"/>
        <v>0</v>
      </c>
      <c r="T141" s="108">
        <f t="shared" si="79"/>
        <v>0</v>
      </c>
      <c r="U141" s="268"/>
    </row>
    <row r="142" spans="1:21" ht="15.6" thickTop="1" thickBot="1" x14ac:dyDescent="0.35">
      <c r="A142" s="99" t="s">
        <v>53</v>
      </c>
      <c r="B142" s="100">
        <f>C142+D142+E142+F142+G142+H142</f>
        <v>2</v>
      </c>
      <c r="C142" s="101">
        <f>SUM(C126:C141)</f>
        <v>1</v>
      </c>
      <c r="D142" s="101">
        <f t="shared" ref="D142:F142" si="80">SUM(D126:D141)</f>
        <v>0</v>
      </c>
      <c r="E142" s="101">
        <f t="shared" si="80"/>
        <v>1</v>
      </c>
      <c r="F142" s="101">
        <f t="shared" si="80"/>
        <v>0</v>
      </c>
      <c r="G142" s="101">
        <f>SUM(G126:G141)</f>
        <v>0</v>
      </c>
      <c r="H142" s="102">
        <f t="shared" ref="H142" si="81">SUM(H126:H141)</f>
        <v>0</v>
      </c>
      <c r="I142" s="102">
        <f>SUM(I126:I141)</f>
        <v>2</v>
      </c>
      <c r="K142" s="360"/>
      <c r="L142" s="361"/>
      <c r="M142" s="132">
        <f t="shared" si="72"/>
        <v>0</v>
      </c>
      <c r="N142" s="83">
        <f t="shared" si="70"/>
        <v>0</v>
      </c>
      <c r="O142" s="108">
        <f t="shared" si="74"/>
        <v>0</v>
      </c>
      <c r="P142" s="108">
        <f t="shared" si="75"/>
        <v>0</v>
      </c>
      <c r="Q142" s="108">
        <f t="shared" si="76"/>
        <v>0</v>
      </c>
      <c r="R142" s="108">
        <f t="shared" si="77"/>
        <v>0</v>
      </c>
      <c r="S142" s="108">
        <f t="shared" si="78"/>
        <v>0</v>
      </c>
      <c r="T142" s="108">
        <f t="shared" si="79"/>
        <v>0</v>
      </c>
      <c r="U142" s="268"/>
    </row>
    <row r="143" spans="1:21" ht="15" thickBot="1" x14ac:dyDescent="0.35">
      <c r="A143" t="s">
        <v>239</v>
      </c>
      <c r="K143" s="360"/>
      <c r="L143" s="361"/>
      <c r="M143" s="132">
        <f t="shared" si="72"/>
        <v>0</v>
      </c>
      <c r="N143" s="83">
        <f t="shared" si="70"/>
        <v>0</v>
      </c>
      <c r="O143" s="108">
        <f t="shared" si="74"/>
        <v>0</v>
      </c>
      <c r="P143" s="108">
        <f t="shared" si="75"/>
        <v>0</v>
      </c>
      <c r="Q143" s="108">
        <f t="shared" si="76"/>
        <v>0</v>
      </c>
      <c r="R143" s="108">
        <f t="shared" si="77"/>
        <v>0</v>
      </c>
      <c r="S143" s="108">
        <f t="shared" si="78"/>
        <v>0</v>
      </c>
      <c r="T143" s="108">
        <f t="shared" si="79"/>
        <v>0</v>
      </c>
      <c r="U143" s="268"/>
    </row>
    <row r="144" spans="1:21" x14ac:dyDescent="0.3">
      <c r="A144" s="279" t="s">
        <v>98</v>
      </c>
      <c r="B144" s="282" t="s">
        <v>99</v>
      </c>
      <c r="C144" s="282" t="s">
        <v>100</v>
      </c>
      <c r="D144" s="282"/>
      <c r="E144" s="282"/>
      <c r="F144" s="282"/>
      <c r="G144" s="277" t="s">
        <v>105</v>
      </c>
      <c r="H144" s="274" t="s">
        <v>106</v>
      </c>
      <c r="I144" s="264" t="s">
        <v>127</v>
      </c>
      <c r="K144" s="360"/>
      <c r="L144" s="361"/>
      <c r="M144" s="132">
        <f t="shared" si="72"/>
        <v>0</v>
      </c>
      <c r="N144" s="83">
        <f t="shared" si="70"/>
        <v>0</v>
      </c>
      <c r="O144" s="108">
        <f t="shared" si="74"/>
        <v>0</v>
      </c>
      <c r="P144" s="108">
        <f t="shared" si="75"/>
        <v>0</v>
      </c>
      <c r="Q144" s="108">
        <f t="shared" si="76"/>
        <v>0</v>
      </c>
      <c r="R144" s="108">
        <f t="shared" si="77"/>
        <v>0</v>
      </c>
      <c r="S144" s="108">
        <f t="shared" si="78"/>
        <v>0</v>
      </c>
      <c r="T144" s="108">
        <f t="shared" si="79"/>
        <v>0</v>
      </c>
      <c r="U144" s="268"/>
    </row>
    <row r="145" spans="1:21" x14ac:dyDescent="0.3">
      <c r="A145" s="280"/>
      <c r="B145" s="273"/>
      <c r="C145" s="273" t="s">
        <v>101</v>
      </c>
      <c r="D145" s="273"/>
      <c r="E145" s="273" t="s">
        <v>102</v>
      </c>
      <c r="F145" s="273"/>
      <c r="G145" s="278"/>
      <c r="H145" s="275"/>
      <c r="I145" s="265"/>
      <c r="K145" s="360"/>
      <c r="L145" s="361"/>
      <c r="M145" s="132">
        <f t="shared" si="72"/>
        <v>0</v>
      </c>
      <c r="N145" s="83">
        <f t="shared" si="70"/>
        <v>0</v>
      </c>
      <c r="O145" s="108">
        <f t="shared" si="74"/>
        <v>0</v>
      </c>
      <c r="P145" s="108">
        <f t="shared" si="75"/>
        <v>0</v>
      </c>
      <c r="Q145" s="108">
        <f t="shared" si="76"/>
        <v>0</v>
      </c>
      <c r="R145" s="108">
        <f t="shared" si="77"/>
        <v>0</v>
      </c>
      <c r="S145" s="108">
        <f t="shared" si="78"/>
        <v>0</v>
      </c>
      <c r="T145" s="108">
        <f t="shared" si="79"/>
        <v>0</v>
      </c>
      <c r="U145" s="268"/>
    </row>
    <row r="146" spans="1:21" ht="15" thickBot="1" x14ac:dyDescent="0.35">
      <c r="A146" s="281"/>
      <c r="B146" s="283"/>
      <c r="C146" s="105" t="s">
        <v>103</v>
      </c>
      <c r="D146" s="105" t="s">
        <v>104</v>
      </c>
      <c r="E146" s="105" t="s">
        <v>103</v>
      </c>
      <c r="F146" s="105" t="s">
        <v>104</v>
      </c>
      <c r="G146" s="105" t="s">
        <v>110</v>
      </c>
      <c r="H146" s="276"/>
      <c r="I146" s="266"/>
      <c r="K146" s="362"/>
      <c r="L146" s="363"/>
      <c r="M146" s="132">
        <f t="shared" si="72"/>
        <v>0</v>
      </c>
      <c r="N146" s="182">
        <f t="shared" si="70"/>
        <v>2</v>
      </c>
      <c r="O146" s="108">
        <f t="shared" si="74"/>
        <v>1</v>
      </c>
      <c r="P146" s="108">
        <f t="shared" si="75"/>
        <v>0</v>
      </c>
      <c r="Q146" s="108">
        <f t="shared" si="76"/>
        <v>1</v>
      </c>
      <c r="R146" s="108">
        <f t="shared" si="77"/>
        <v>0</v>
      </c>
      <c r="S146" s="108">
        <f t="shared" si="78"/>
        <v>0</v>
      </c>
      <c r="T146" s="108">
        <f t="shared" si="79"/>
        <v>0</v>
      </c>
      <c r="U146" s="366"/>
    </row>
    <row r="147" spans="1:21" ht="15" thickBot="1" x14ac:dyDescent="0.35">
      <c r="A147" s="156"/>
      <c r="B147" s="110">
        <f>C147+D147+E147+F147+G147+H147</f>
        <v>0</v>
      </c>
      <c r="C147" s="114"/>
      <c r="D147" s="114"/>
      <c r="E147" s="114"/>
      <c r="F147" s="114"/>
      <c r="G147" s="115"/>
      <c r="H147" s="116"/>
      <c r="I147" s="267">
        <f>SUM(B147:B161)-SUM(G147:G161)</f>
        <v>2</v>
      </c>
      <c r="K147" s="358">
        <v>9</v>
      </c>
      <c r="L147" s="359"/>
      <c r="M147" s="132">
        <f>A147</f>
        <v>0</v>
      </c>
      <c r="N147" s="133">
        <f t="shared" si="70"/>
        <v>0</v>
      </c>
      <c r="O147" s="108">
        <f xml:space="preserve"> C167*O$13</f>
        <v>0</v>
      </c>
      <c r="P147" s="108">
        <f t="shared" ref="P147:T147" si="82" xml:space="preserve"> D167*P$13</f>
        <v>0</v>
      </c>
      <c r="Q147" s="108">
        <f t="shared" si="82"/>
        <v>0</v>
      </c>
      <c r="R147" s="108">
        <f t="shared" si="82"/>
        <v>0</v>
      </c>
      <c r="S147" s="108">
        <f t="shared" si="82"/>
        <v>0</v>
      </c>
      <c r="T147" s="108">
        <f t="shared" si="82"/>
        <v>0</v>
      </c>
      <c r="U147" s="267">
        <f>SUM(N147:N161)-SUM(S147:S161)</f>
        <v>2</v>
      </c>
    </row>
    <row r="148" spans="1:21" ht="15" thickBot="1" x14ac:dyDescent="0.35">
      <c r="A148" s="97"/>
      <c r="B148" s="110">
        <f t="shared" ref="B148:B161" si="83">C148+D148+E148+F148+G148+H148</f>
        <v>0</v>
      </c>
      <c r="C148" s="95"/>
      <c r="D148" s="95"/>
      <c r="E148" s="95"/>
      <c r="F148" s="95"/>
      <c r="G148" s="96"/>
      <c r="H148" s="98"/>
      <c r="I148" s="268"/>
      <c r="K148" s="360"/>
      <c r="L148" s="361"/>
      <c r="M148" s="132">
        <f t="shared" ref="M148:M161" si="84">A148</f>
        <v>0</v>
      </c>
      <c r="N148" s="83">
        <f t="shared" si="70"/>
        <v>0</v>
      </c>
      <c r="O148" s="108">
        <f t="shared" ref="O148:O161" si="85" xml:space="preserve"> C168*O$13</f>
        <v>0</v>
      </c>
      <c r="P148" s="108">
        <f t="shared" ref="P148:P161" si="86" xml:space="preserve"> D168*P$13</f>
        <v>0</v>
      </c>
      <c r="Q148" s="108">
        <f t="shared" ref="Q148:Q161" si="87" xml:space="preserve"> E168*Q$13</f>
        <v>0</v>
      </c>
      <c r="R148" s="108">
        <f t="shared" ref="R148:R161" si="88" xml:space="preserve"> F168*R$13</f>
        <v>0</v>
      </c>
      <c r="S148" s="108">
        <f t="shared" ref="S148:S161" si="89" xml:space="preserve"> G168*S$13</f>
        <v>0</v>
      </c>
      <c r="T148" s="108">
        <f t="shared" ref="T148:T161" si="90" xml:space="preserve"> H168*T$13</f>
        <v>0</v>
      </c>
      <c r="U148" s="268"/>
    </row>
    <row r="149" spans="1:21" ht="15" thickBot="1" x14ac:dyDescent="0.35">
      <c r="A149" s="97"/>
      <c r="B149" s="110">
        <f t="shared" si="83"/>
        <v>0</v>
      </c>
      <c r="C149" s="95"/>
      <c r="D149" s="95"/>
      <c r="E149" s="95"/>
      <c r="F149" s="95"/>
      <c r="G149" s="96"/>
      <c r="H149" s="98"/>
      <c r="I149" s="268"/>
      <c r="K149" s="360"/>
      <c r="L149" s="361"/>
      <c r="M149" s="132">
        <f t="shared" si="84"/>
        <v>0</v>
      </c>
      <c r="N149" s="83">
        <f t="shared" si="70"/>
        <v>0</v>
      </c>
      <c r="O149" s="108">
        <f t="shared" si="85"/>
        <v>0</v>
      </c>
      <c r="P149" s="108">
        <f t="shared" si="86"/>
        <v>0</v>
      </c>
      <c r="Q149" s="108">
        <f t="shared" si="87"/>
        <v>0</v>
      </c>
      <c r="R149" s="108">
        <f t="shared" si="88"/>
        <v>0</v>
      </c>
      <c r="S149" s="108">
        <f t="shared" si="89"/>
        <v>0</v>
      </c>
      <c r="T149" s="108">
        <f t="shared" si="90"/>
        <v>0</v>
      </c>
      <c r="U149" s="268"/>
    </row>
    <row r="150" spans="1:21" ht="15" thickBot="1" x14ac:dyDescent="0.35">
      <c r="A150" s="97"/>
      <c r="B150" s="110">
        <f t="shared" si="83"/>
        <v>0</v>
      </c>
      <c r="C150" s="95"/>
      <c r="D150" s="95"/>
      <c r="E150" s="95"/>
      <c r="F150" s="95"/>
      <c r="G150" s="96"/>
      <c r="H150" s="98"/>
      <c r="I150" s="268"/>
      <c r="K150" s="360"/>
      <c r="L150" s="361"/>
      <c r="M150" s="132">
        <f t="shared" si="84"/>
        <v>0</v>
      </c>
      <c r="N150" s="83">
        <f t="shared" si="70"/>
        <v>0</v>
      </c>
      <c r="O150" s="108">
        <f t="shared" si="85"/>
        <v>0</v>
      </c>
      <c r="P150" s="108">
        <f t="shared" si="86"/>
        <v>0</v>
      </c>
      <c r="Q150" s="108">
        <f t="shared" si="87"/>
        <v>0</v>
      </c>
      <c r="R150" s="108">
        <f t="shared" si="88"/>
        <v>0</v>
      </c>
      <c r="S150" s="108">
        <f t="shared" si="89"/>
        <v>0</v>
      </c>
      <c r="T150" s="108">
        <f t="shared" si="90"/>
        <v>0</v>
      </c>
      <c r="U150" s="268"/>
    </row>
    <row r="151" spans="1:21" ht="15" thickBot="1" x14ac:dyDescent="0.35">
      <c r="A151" s="97"/>
      <c r="B151" s="110">
        <f t="shared" si="83"/>
        <v>0</v>
      </c>
      <c r="C151" s="95"/>
      <c r="D151" s="95"/>
      <c r="E151" s="95"/>
      <c r="F151" s="95"/>
      <c r="G151" s="96"/>
      <c r="H151" s="98"/>
      <c r="I151" s="268"/>
      <c r="K151" s="360"/>
      <c r="L151" s="361"/>
      <c r="M151" s="132">
        <f t="shared" si="84"/>
        <v>0</v>
      </c>
      <c r="N151" s="83">
        <f t="shared" si="70"/>
        <v>0</v>
      </c>
      <c r="O151" s="108">
        <f t="shared" si="85"/>
        <v>0</v>
      </c>
      <c r="P151" s="108">
        <f t="shared" si="86"/>
        <v>0</v>
      </c>
      <c r="Q151" s="108">
        <f t="shared" si="87"/>
        <v>0</v>
      </c>
      <c r="R151" s="108">
        <f t="shared" si="88"/>
        <v>0</v>
      </c>
      <c r="S151" s="108">
        <f t="shared" si="89"/>
        <v>0</v>
      </c>
      <c r="T151" s="108">
        <f t="shared" si="90"/>
        <v>0</v>
      </c>
      <c r="U151" s="268"/>
    </row>
    <row r="152" spans="1:21" ht="15" thickBot="1" x14ac:dyDescent="0.35">
      <c r="A152" s="97"/>
      <c r="B152" s="110">
        <f t="shared" si="83"/>
        <v>0</v>
      </c>
      <c r="C152" s="95"/>
      <c r="D152" s="95"/>
      <c r="E152" s="95"/>
      <c r="F152" s="95"/>
      <c r="G152" s="96"/>
      <c r="H152" s="98"/>
      <c r="I152" s="268"/>
      <c r="K152" s="360"/>
      <c r="L152" s="361"/>
      <c r="M152" s="132">
        <f t="shared" si="84"/>
        <v>0</v>
      </c>
      <c r="N152" s="83">
        <f t="shared" si="70"/>
        <v>0</v>
      </c>
      <c r="O152" s="108">
        <f t="shared" si="85"/>
        <v>0</v>
      </c>
      <c r="P152" s="108">
        <f t="shared" si="86"/>
        <v>0</v>
      </c>
      <c r="Q152" s="108">
        <f t="shared" si="87"/>
        <v>0</v>
      </c>
      <c r="R152" s="108">
        <f t="shared" si="88"/>
        <v>0</v>
      </c>
      <c r="S152" s="108">
        <f t="shared" si="89"/>
        <v>0</v>
      </c>
      <c r="T152" s="108">
        <f t="shared" si="90"/>
        <v>0</v>
      </c>
      <c r="U152" s="268"/>
    </row>
    <row r="153" spans="1:21" ht="15" thickBot="1" x14ac:dyDescent="0.35">
      <c r="A153" s="97"/>
      <c r="B153" s="110">
        <f t="shared" si="83"/>
        <v>0</v>
      </c>
      <c r="C153" s="95"/>
      <c r="D153" s="95"/>
      <c r="E153" s="95"/>
      <c r="F153" s="95"/>
      <c r="G153" s="96"/>
      <c r="H153" s="98"/>
      <c r="I153" s="268"/>
      <c r="K153" s="360"/>
      <c r="L153" s="361"/>
      <c r="M153" s="132">
        <f t="shared" si="84"/>
        <v>0</v>
      </c>
      <c r="N153" s="83">
        <f t="shared" si="70"/>
        <v>0</v>
      </c>
      <c r="O153" s="108">
        <f t="shared" si="85"/>
        <v>0</v>
      </c>
      <c r="P153" s="108">
        <f t="shared" si="86"/>
        <v>0</v>
      </c>
      <c r="Q153" s="108">
        <f t="shared" si="87"/>
        <v>0</v>
      </c>
      <c r="R153" s="108">
        <f t="shared" si="88"/>
        <v>0</v>
      </c>
      <c r="S153" s="108">
        <f t="shared" si="89"/>
        <v>0</v>
      </c>
      <c r="T153" s="108">
        <f t="shared" si="90"/>
        <v>0</v>
      </c>
      <c r="U153" s="268"/>
    </row>
    <row r="154" spans="1:21" ht="15" thickBot="1" x14ac:dyDescent="0.35">
      <c r="A154" s="97"/>
      <c r="B154" s="110">
        <f t="shared" si="83"/>
        <v>0</v>
      </c>
      <c r="C154" s="96"/>
      <c r="D154" s="95"/>
      <c r="E154" s="95"/>
      <c r="F154" s="95"/>
      <c r="G154" s="96"/>
      <c r="H154" s="98"/>
      <c r="I154" s="268"/>
      <c r="K154" s="360"/>
      <c r="L154" s="361"/>
      <c r="M154" s="132">
        <f t="shared" si="84"/>
        <v>0</v>
      </c>
      <c r="N154" s="83">
        <f t="shared" si="70"/>
        <v>0</v>
      </c>
      <c r="O154" s="108">
        <f t="shared" si="85"/>
        <v>0</v>
      </c>
      <c r="P154" s="108">
        <f xml:space="preserve"> D174*P$13</f>
        <v>0</v>
      </c>
      <c r="Q154" s="108">
        <f t="shared" si="87"/>
        <v>0</v>
      </c>
      <c r="R154" s="108">
        <f t="shared" si="88"/>
        <v>0</v>
      </c>
      <c r="S154" s="108">
        <f t="shared" si="89"/>
        <v>0</v>
      </c>
      <c r="T154" s="108">
        <f t="shared" si="90"/>
        <v>0</v>
      </c>
      <c r="U154" s="268"/>
    </row>
    <row r="155" spans="1:21" ht="15" thickBot="1" x14ac:dyDescent="0.35">
      <c r="A155" s="126"/>
      <c r="B155" s="110">
        <f t="shared" si="83"/>
        <v>0</v>
      </c>
      <c r="C155" s="127"/>
      <c r="D155" s="128"/>
      <c r="E155" s="128"/>
      <c r="F155" s="128"/>
      <c r="G155" s="127"/>
      <c r="H155" s="129"/>
      <c r="I155" s="268"/>
      <c r="K155" s="360"/>
      <c r="L155" s="361"/>
      <c r="M155" s="132">
        <f t="shared" si="84"/>
        <v>0</v>
      </c>
      <c r="N155" s="83">
        <f t="shared" ref="N155:N176" si="91">O155+P155+Q155+R155+S155+T155</f>
        <v>0</v>
      </c>
      <c r="O155" s="108">
        <f t="shared" si="85"/>
        <v>0</v>
      </c>
      <c r="P155" s="108">
        <f t="shared" si="86"/>
        <v>0</v>
      </c>
      <c r="Q155" s="108">
        <f t="shared" si="87"/>
        <v>0</v>
      </c>
      <c r="R155" s="108">
        <f t="shared" si="88"/>
        <v>0</v>
      </c>
      <c r="S155" s="108">
        <f t="shared" si="89"/>
        <v>0</v>
      </c>
      <c r="T155" s="108">
        <f t="shared" si="90"/>
        <v>0</v>
      </c>
      <c r="U155" s="268"/>
    </row>
    <row r="156" spans="1:21" ht="15" thickBot="1" x14ac:dyDescent="0.35">
      <c r="A156" s="126"/>
      <c r="B156" s="110">
        <f t="shared" si="83"/>
        <v>0</v>
      </c>
      <c r="C156" s="127"/>
      <c r="D156" s="128"/>
      <c r="E156" s="128"/>
      <c r="F156" s="128"/>
      <c r="G156" s="127"/>
      <c r="H156" s="129"/>
      <c r="I156" s="268"/>
      <c r="K156" s="360"/>
      <c r="L156" s="361"/>
      <c r="M156" s="132">
        <f t="shared" si="84"/>
        <v>0</v>
      </c>
      <c r="N156" s="83">
        <f t="shared" si="91"/>
        <v>0</v>
      </c>
      <c r="O156" s="108">
        <f t="shared" si="85"/>
        <v>0</v>
      </c>
      <c r="P156" s="108">
        <f t="shared" si="86"/>
        <v>0</v>
      </c>
      <c r="Q156" s="108">
        <f t="shared" si="87"/>
        <v>0</v>
      </c>
      <c r="R156" s="108">
        <f t="shared" si="88"/>
        <v>0</v>
      </c>
      <c r="S156" s="108">
        <f t="shared" si="89"/>
        <v>0</v>
      </c>
      <c r="T156" s="108">
        <f t="shared" si="90"/>
        <v>0</v>
      </c>
      <c r="U156" s="268"/>
    </row>
    <row r="157" spans="1:21" ht="15" thickBot="1" x14ac:dyDescent="0.35">
      <c r="A157" s="126"/>
      <c r="B157" s="110">
        <f t="shared" si="83"/>
        <v>0</v>
      </c>
      <c r="C157" s="127"/>
      <c r="D157" s="128"/>
      <c r="E157" s="128"/>
      <c r="F157" s="128"/>
      <c r="G157" s="127"/>
      <c r="H157" s="129"/>
      <c r="I157" s="268"/>
      <c r="K157" s="360"/>
      <c r="L157" s="361"/>
      <c r="M157" s="132">
        <f t="shared" si="84"/>
        <v>0</v>
      </c>
      <c r="N157" s="83">
        <f t="shared" si="91"/>
        <v>0</v>
      </c>
      <c r="O157" s="108">
        <f t="shared" si="85"/>
        <v>0</v>
      </c>
      <c r="P157" s="108">
        <f t="shared" si="86"/>
        <v>0</v>
      </c>
      <c r="Q157" s="108">
        <f t="shared" si="87"/>
        <v>0</v>
      </c>
      <c r="R157" s="108">
        <f t="shared" si="88"/>
        <v>0</v>
      </c>
      <c r="S157" s="108">
        <f t="shared" si="89"/>
        <v>0</v>
      </c>
      <c r="T157" s="108">
        <f t="shared" si="90"/>
        <v>0</v>
      </c>
      <c r="U157" s="268"/>
    </row>
    <row r="158" spans="1:21" ht="15" thickBot="1" x14ac:dyDescent="0.35">
      <c r="A158" s="126"/>
      <c r="B158" s="110">
        <f t="shared" si="83"/>
        <v>0</v>
      </c>
      <c r="C158" s="127"/>
      <c r="D158" s="128"/>
      <c r="E158" s="128"/>
      <c r="F158" s="128"/>
      <c r="G158" s="127"/>
      <c r="H158" s="129"/>
      <c r="I158" s="268"/>
      <c r="K158" s="360"/>
      <c r="L158" s="361"/>
      <c r="M158" s="132">
        <f t="shared" si="84"/>
        <v>0</v>
      </c>
      <c r="N158" s="83">
        <f t="shared" si="91"/>
        <v>0</v>
      </c>
      <c r="O158" s="108">
        <f t="shared" si="85"/>
        <v>0</v>
      </c>
      <c r="P158" s="108">
        <f t="shared" si="86"/>
        <v>0</v>
      </c>
      <c r="Q158" s="108">
        <f t="shared" si="87"/>
        <v>0</v>
      </c>
      <c r="R158" s="108">
        <f t="shared" si="88"/>
        <v>0</v>
      </c>
      <c r="S158" s="108">
        <f t="shared" si="89"/>
        <v>0</v>
      </c>
      <c r="T158" s="108">
        <f t="shared" si="90"/>
        <v>0</v>
      </c>
      <c r="U158" s="268"/>
    </row>
    <row r="159" spans="1:21" ht="15" thickBot="1" x14ac:dyDescent="0.35">
      <c r="A159" s="126"/>
      <c r="B159" s="110">
        <f t="shared" si="83"/>
        <v>0</v>
      </c>
      <c r="C159" s="127"/>
      <c r="D159" s="128"/>
      <c r="E159" s="128"/>
      <c r="F159" s="128"/>
      <c r="G159" s="127"/>
      <c r="H159" s="129"/>
      <c r="I159" s="268"/>
      <c r="K159" s="360"/>
      <c r="L159" s="361"/>
      <c r="M159" s="132">
        <f t="shared" si="84"/>
        <v>0</v>
      </c>
      <c r="N159" s="83">
        <f t="shared" si="91"/>
        <v>0</v>
      </c>
      <c r="O159" s="108">
        <f t="shared" si="85"/>
        <v>0</v>
      </c>
      <c r="P159" s="108">
        <f t="shared" si="86"/>
        <v>0</v>
      </c>
      <c r="Q159" s="108">
        <f t="shared" si="87"/>
        <v>0</v>
      </c>
      <c r="R159" s="108">
        <f t="shared" si="88"/>
        <v>0</v>
      </c>
      <c r="S159" s="108">
        <f t="shared" si="89"/>
        <v>0</v>
      </c>
      <c r="T159" s="108">
        <f t="shared" si="90"/>
        <v>0</v>
      </c>
      <c r="U159" s="268"/>
    </row>
    <row r="160" spans="1:21" ht="15" thickBot="1" x14ac:dyDescent="0.35">
      <c r="A160" s="126"/>
      <c r="B160" s="110">
        <f t="shared" si="83"/>
        <v>0</v>
      </c>
      <c r="C160" s="127"/>
      <c r="D160" s="128"/>
      <c r="E160" s="128"/>
      <c r="F160" s="128"/>
      <c r="G160" s="127"/>
      <c r="H160" s="129"/>
      <c r="I160" s="268"/>
      <c r="K160" s="360"/>
      <c r="L160" s="361"/>
      <c r="M160" s="132">
        <f t="shared" si="84"/>
        <v>0</v>
      </c>
      <c r="N160" s="83">
        <f t="shared" si="91"/>
        <v>0</v>
      </c>
      <c r="O160" s="108">
        <f t="shared" si="85"/>
        <v>0</v>
      </c>
      <c r="P160" s="108">
        <f t="shared" si="86"/>
        <v>0</v>
      </c>
      <c r="Q160" s="108">
        <f t="shared" si="87"/>
        <v>0</v>
      </c>
      <c r="R160" s="108">
        <f t="shared" si="88"/>
        <v>0</v>
      </c>
      <c r="S160" s="108">
        <f t="shared" si="89"/>
        <v>0</v>
      </c>
      <c r="T160" s="108">
        <f t="shared" si="90"/>
        <v>0</v>
      </c>
      <c r="U160" s="268"/>
    </row>
    <row r="161" spans="1:21" ht="15" thickBot="1" x14ac:dyDescent="0.35">
      <c r="A161" s="117"/>
      <c r="B161" s="110">
        <f t="shared" si="83"/>
        <v>2</v>
      </c>
      <c r="C161" s="119">
        <v>1</v>
      </c>
      <c r="D161" s="119"/>
      <c r="E161" s="119">
        <v>1</v>
      </c>
      <c r="F161" s="119"/>
      <c r="G161" s="120"/>
      <c r="H161" s="121"/>
      <c r="I161" s="269"/>
      <c r="K161" s="362"/>
      <c r="L161" s="363"/>
      <c r="M161" s="132">
        <f t="shared" si="84"/>
        <v>0</v>
      </c>
      <c r="N161" s="182">
        <f t="shared" si="91"/>
        <v>2</v>
      </c>
      <c r="O161" s="108">
        <f t="shared" si="85"/>
        <v>1</v>
      </c>
      <c r="P161" s="108">
        <f t="shared" si="86"/>
        <v>0</v>
      </c>
      <c r="Q161" s="108">
        <f t="shared" si="87"/>
        <v>1</v>
      </c>
      <c r="R161" s="108">
        <f t="shared" si="88"/>
        <v>0</v>
      </c>
      <c r="S161" s="108">
        <f t="shared" si="89"/>
        <v>0</v>
      </c>
      <c r="T161" s="108">
        <f t="shared" si="90"/>
        <v>0</v>
      </c>
      <c r="U161" s="268"/>
    </row>
    <row r="162" spans="1:21" ht="15.6" thickTop="1" thickBot="1" x14ac:dyDescent="0.35">
      <c r="A162" s="99" t="s">
        <v>53</v>
      </c>
      <c r="B162" s="100">
        <f>C162+D162+E162+F162+G162+H162</f>
        <v>2</v>
      </c>
      <c r="C162" s="101">
        <f>SUM(C146:C161)</f>
        <v>1</v>
      </c>
      <c r="D162" s="101">
        <f t="shared" ref="D162:F162" si="92">SUM(D146:D161)</f>
        <v>0</v>
      </c>
      <c r="E162" s="101">
        <f t="shared" si="92"/>
        <v>1</v>
      </c>
      <c r="F162" s="101">
        <f t="shared" si="92"/>
        <v>0</v>
      </c>
      <c r="G162" s="101">
        <f>SUM(G146:G161)</f>
        <v>0</v>
      </c>
      <c r="H162" s="102">
        <f t="shared" ref="H162" si="93">SUM(H146:H161)</f>
        <v>0</v>
      </c>
      <c r="I162" s="102">
        <f>SUM(I146:I161)</f>
        <v>2</v>
      </c>
      <c r="K162" s="358">
        <v>10</v>
      </c>
      <c r="L162" s="359"/>
      <c r="M162" s="132">
        <f>A187</f>
        <v>0</v>
      </c>
      <c r="N162" s="133">
        <f t="shared" si="91"/>
        <v>0</v>
      </c>
      <c r="O162" s="108">
        <f xml:space="preserve"> C187*O$14</f>
        <v>0</v>
      </c>
      <c r="P162" s="108">
        <f t="shared" ref="P162:T162" si="94" xml:space="preserve"> D187*P$14</f>
        <v>0</v>
      </c>
      <c r="Q162" s="108">
        <f t="shared" si="94"/>
        <v>0</v>
      </c>
      <c r="R162" s="108">
        <f t="shared" si="94"/>
        <v>0</v>
      </c>
      <c r="S162" s="108">
        <f t="shared" si="94"/>
        <v>0</v>
      </c>
      <c r="T162" s="108">
        <f t="shared" si="94"/>
        <v>0</v>
      </c>
      <c r="U162" s="267">
        <f>SUM(N162:N176)-SUM(S162:S176)</f>
        <v>2</v>
      </c>
    </row>
    <row r="163" spans="1:21" ht="15" thickBot="1" x14ac:dyDescent="0.35">
      <c r="A163" t="s">
        <v>240</v>
      </c>
      <c r="K163" s="360"/>
      <c r="L163" s="361"/>
      <c r="M163" s="132">
        <f t="shared" ref="M163:M176" si="95">A188</f>
        <v>0</v>
      </c>
      <c r="N163" s="83">
        <f t="shared" si="91"/>
        <v>0</v>
      </c>
      <c r="O163" s="108">
        <f t="shared" ref="O163:O176" si="96" xml:space="preserve"> C188*O$14</f>
        <v>0</v>
      </c>
      <c r="P163" s="108">
        <f t="shared" ref="P163:P176" si="97" xml:space="preserve"> D188*P$14</f>
        <v>0</v>
      </c>
      <c r="Q163" s="108">
        <f t="shared" ref="Q163:Q176" si="98" xml:space="preserve"> E188*Q$14</f>
        <v>0</v>
      </c>
      <c r="R163" s="108">
        <f t="shared" ref="R163:R176" si="99" xml:space="preserve"> F188*R$14</f>
        <v>0</v>
      </c>
      <c r="S163" s="108">
        <f t="shared" ref="S163:S176" si="100" xml:space="preserve"> G188*S$14</f>
        <v>0</v>
      </c>
      <c r="T163" s="108">
        <f t="shared" ref="T163:T176" si="101" xml:space="preserve"> H188*T$14</f>
        <v>0</v>
      </c>
      <c r="U163" s="268"/>
    </row>
    <row r="164" spans="1:21" x14ac:dyDescent="0.3">
      <c r="A164" s="279" t="s">
        <v>98</v>
      </c>
      <c r="B164" s="282" t="s">
        <v>99</v>
      </c>
      <c r="C164" s="282" t="s">
        <v>100</v>
      </c>
      <c r="D164" s="282"/>
      <c r="E164" s="282"/>
      <c r="F164" s="282"/>
      <c r="G164" s="277" t="s">
        <v>105</v>
      </c>
      <c r="H164" s="274" t="s">
        <v>106</v>
      </c>
      <c r="I164" s="264" t="s">
        <v>127</v>
      </c>
      <c r="K164" s="360"/>
      <c r="L164" s="361"/>
      <c r="M164" s="132">
        <f t="shared" si="95"/>
        <v>0</v>
      </c>
      <c r="N164" s="83">
        <f t="shared" si="91"/>
        <v>0</v>
      </c>
      <c r="O164" s="108">
        <f t="shared" si="96"/>
        <v>0</v>
      </c>
      <c r="P164" s="108">
        <f t="shared" si="97"/>
        <v>0</v>
      </c>
      <c r="Q164" s="108">
        <f t="shared" si="98"/>
        <v>0</v>
      </c>
      <c r="R164" s="108">
        <f t="shared" si="99"/>
        <v>0</v>
      </c>
      <c r="S164" s="108">
        <f t="shared" si="100"/>
        <v>0</v>
      </c>
      <c r="T164" s="108">
        <f t="shared" si="101"/>
        <v>0</v>
      </c>
      <c r="U164" s="268"/>
    </row>
    <row r="165" spans="1:21" x14ac:dyDescent="0.3">
      <c r="A165" s="280"/>
      <c r="B165" s="273"/>
      <c r="C165" s="273" t="s">
        <v>101</v>
      </c>
      <c r="D165" s="273"/>
      <c r="E165" s="273" t="s">
        <v>102</v>
      </c>
      <c r="F165" s="273"/>
      <c r="G165" s="278"/>
      <c r="H165" s="275"/>
      <c r="I165" s="265"/>
      <c r="K165" s="360"/>
      <c r="L165" s="361"/>
      <c r="M165" s="132">
        <f t="shared" si="95"/>
        <v>0</v>
      </c>
      <c r="N165" s="83">
        <f t="shared" si="91"/>
        <v>0</v>
      </c>
      <c r="O165" s="108">
        <f t="shared" si="96"/>
        <v>0</v>
      </c>
      <c r="P165" s="108">
        <f t="shared" si="97"/>
        <v>0</v>
      </c>
      <c r="Q165" s="108">
        <f t="shared" si="98"/>
        <v>0</v>
      </c>
      <c r="R165" s="108">
        <f t="shared" si="99"/>
        <v>0</v>
      </c>
      <c r="S165" s="108">
        <f t="shared" si="100"/>
        <v>0</v>
      </c>
      <c r="T165" s="108">
        <f t="shared" si="101"/>
        <v>0</v>
      </c>
      <c r="U165" s="268"/>
    </row>
    <row r="166" spans="1:21" ht="15" thickBot="1" x14ac:dyDescent="0.35">
      <c r="A166" s="281"/>
      <c r="B166" s="283"/>
      <c r="C166" s="105" t="s">
        <v>103</v>
      </c>
      <c r="D166" s="105" t="s">
        <v>104</v>
      </c>
      <c r="E166" s="105" t="s">
        <v>103</v>
      </c>
      <c r="F166" s="105" t="s">
        <v>104</v>
      </c>
      <c r="G166" s="105" t="s">
        <v>110</v>
      </c>
      <c r="H166" s="276"/>
      <c r="I166" s="266"/>
      <c r="K166" s="360"/>
      <c r="L166" s="361"/>
      <c r="M166" s="132">
        <f t="shared" si="95"/>
        <v>0</v>
      </c>
      <c r="N166" s="83">
        <f t="shared" si="91"/>
        <v>0</v>
      </c>
      <c r="O166" s="108">
        <f t="shared" si="96"/>
        <v>0</v>
      </c>
      <c r="P166" s="108">
        <f t="shared" si="97"/>
        <v>0</v>
      </c>
      <c r="Q166" s="108">
        <f t="shared" si="98"/>
        <v>0</v>
      </c>
      <c r="R166" s="108">
        <f t="shared" si="99"/>
        <v>0</v>
      </c>
      <c r="S166" s="108">
        <f t="shared" si="100"/>
        <v>0</v>
      </c>
      <c r="T166" s="108">
        <f t="shared" si="101"/>
        <v>0</v>
      </c>
      <c r="U166" s="268"/>
    </row>
    <row r="167" spans="1:21" ht="15" thickBot="1" x14ac:dyDescent="0.35">
      <c r="A167" s="156"/>
      <c r="B167" s="110">
        <f>C167+D167+E167+F167+G167+H167</f>
        <v>0</v>
      </c>
      <c r="C167" s="114"/>
      <c r="D167" s="114"/>
      <c r="E167" s="114"/>
      <c r="F167" s="114"/>
      <c r="G167" s="115"/>
      <c r="H167" s="116"/>
      <c r="I167" s="267">
        <f>SUM(B167:B181)-SUM(G167:G181)</f>
        <v>2</v>
      </c>
      <c r="K167" s="360"/>
      <c r="L167" s="361"/>
      <c r="M167" s="132">
        <f t="shared" si="95"/>
        <v>0</v>
      </c>
      <c r="N167" s="83">
        <f t="shared" si="91"/>
        <v>0</v>
      </c>
      <c r="O167" s="108">
        <f t="shared" si="96"/>
        <v>0</v>
      </c>
      <c r="P167" s="108">
        <f t="shared" si="97"/>
        <v>0</v>
      </c>
      <c r="Q167" s="108">
        <f t="shared" si="98"/>
        <v>0</v>
      </c>
      <c r="R167" s="108">
        <f t="shared" si="99"/>
        <v>0</v>
      </c>
      <c r="S167" s="108">
        <f t="shared" si="100"/>
        <v>0</v>
      </c>
      <c r="T167" s="108">
        <f t="shared" si="101"/>
        <v>0</v>
      </c>
      <c r="U167" s="268"/>
    </row>
    <row r="168" spans="1:21" ht="15" thickBot="1" x14ac:dyDescent="0.35">
      <c r="A168" s="97"/>
      <c r="B168" s="110">
        <f t="shared" ref="B168:B181" si="102">C168+D168+E168+F168+G168+H168</f>
        <v>0</v>
      </c>
      <c r="C168" s="95"/>
      <c r="D168" s="95"/>
      <c r="E168" s="95"/>
      <c r="F168" s="95"/>
      <c r="G168" s="96"/>
      <c r="H168" s="98"/>
      <c r="I168" s="268"/>
      <c r="K168" s="360"/>
      <c r="L168" s="361"/>
      <c r="M168" s="132">
        <f t="shared" si="95"/>
        <v>0</v>
      </c>
      <c r="N168" s="83">
        <f t="shared" si="91"/>
        <v>0</v>
      </c>
      <c r="O168" s="108">
        <f t="shared" si="96"/>
        <v>0</v>
      </c>
      <c r="P168" s="108">
        <f t="shared" si="97"/>
        <v>0</v>
      </c>
      <c r="Q168" s="108">
        <f t="shared" si="98"/>
        <v>0</v>
      </c>
      <c r="R168" s="108">
        <f t="shared" si="99"/>
        <v>0</v>
      </c>
      <c r="S168" s="108">
        <f t="shared" si="100"/>
        <v>0</v>
      </c>
      <c r="T168" s="108">
        <f t="shared" si="101"/>
        <v>0</v>
      </c>
      <c r="U168" s="268"/>
    </row>
    <row r="169" spans="1:21" ht="15" thickBot="1" x14ac:dyDescent="0.35">
      <c r="A169" s="97"/>
      <c r="B169" s="110">
        <f t="shared" si="102"/>
        <v>0</v>
      </c>
      <c r="C169" s="95"/>
      <c r="D169" s="95"/>
      <c r="E169" s="95"/>
      <c r="F169" s="95"/>
      <c r="G169" s="96"/>
      <c r="H169" s="98"/>
      <c r="I169" s="268"/>
      <c r="K169" s="360"/>
      <c r="L169" s="361"/>
      <c r="M169" s="132">
        <f t="shared" si="95"/>
        <v>0</v>
      </c>
      <c r="N169" s="83">
        <f t="shared" si="91"/>
        <v>0</v>
      </c>
      <c r="O169" s="108">
        <f t="shared" si="96"/>
        <v>0</v>
      </c>
      <c r="P169" s="108">
        <f t="shared" si="97"/>
        <v>0</v>
      </c>
      <c r="Q169" s="108">
        <f t="shared" si="98"/>
        <v>0</v>
      </c>
      <c r="R169" s="108">
        <f t="shared" si="99"/>
        <v>0</v>
      </c>
      <c r="S169" s="108">
        <f t="shared" si="100"/>
        <v>0</v>
      </c>
      <c r="T169" s="108">
        <f t="shared" si="101"/>
        <v>0</v>
      </c>
      <c r="U169" s="268"/>
    </row>
    <row r="170" spans="1:21" ht="15" thickBot="1" x14ac:dyDescent="0.35">
      <c r="A170" s="97"/>
      <c r="B170" s="110">
        <f t="shared" si="102"/>
        <v>0</v>
      </c>
      <c r="C170" s="95"/>
      <c r="D170" s="95"/>
      <c r="E170" s="95"/>
      <c r="F170" s="95"/>
      <c r="G170" s="96"/>
      <c r="H170" s="98"/>
      <c r="I170" s="268"/>
      <c r="K170" s="360"/>
      <c r="L170" s="361"/>
      <c r="M170" s="132">
        <f t="shared" si="95"/>
        <v>0</v>
      </c>
      <c r="N170" s="83">
        <f t="shared" si="91"/>
        <v>0</v>
      </c>
      <c r="O170" s="108">
        <f t="shared" si="96"/>
        <v>0</v>
      </c>
      <c r="P170" s="108">
        <f t="shared" si="97"/>
        <v>0</v>
      </c>
      <c r="Q170" s="108">
        <f t="shared" si="98"/>
        <v>0</v>
      </c>
      <c r="R170" s="108">
        <f t="shared" si="99"/>
        <v>0</v>
      </c>
      <c r="S170" s="108">
        <f t="shared" si="100"/>
        <v>0</v>
      </c>
      <c r="T170" s="108">
        <f t="shared" si="101"/>
        <v>0</v>
      </c>
      <c r="U170" s="268"/>
    </row>
    <row r="171" spans="1:21" ht="15" thickBot="1" x14ac:dyDescent="0.35">
      <c r="A171" s="97"/>
      <c r="B171" s="110">
        <f t="shared" si="102"/>
        <v>0</v>
      </c>
      <c r="C171" s="95"/>
      <c r="D171" s="95"/>
      <c r="E171" s="95"/>
      <c r="F171" s="95"/>
      <c r="G171" s="96"/>
      <c r="H171" s="98"/>
      <c r="I171" s="268"/>
      <c r="K171" s="360"/>
      <c r="L171" s="361"/>
      <c r="M171" s="132">
        <f t="shared" si="95"/>
        <v>0</v>
      </c>
      <c r="N171" s="83">
        <f t="shared" si="91"/>
        <v>0</v>
      </c>
      <c r="O171" s="108">
        <f t="shared" si="96"/>
        <v>0</v>
      </c>
      <c r="P171" s="108">
        <f xml:space="preserve"> D196*P$14</f>
        <v>0</v>
      </c>
      <c r="Q171" s="108">
        <f t="shared" si="98"/>
        <v>0</v>
      </c>
      <c r="R171" s="108">
        <f t="shared" si="99"/>
        <v>0</v>
      </c>
      <c r="S171" s="108">
        <f t="shared" si="100"/>
        <v>0</v>
      </c>
      <c r="T171" s="108">
        <f t="shared" si="101"/>
        <v>0</v>
      </c>
      <c r="U171" s="268"/>
    </row>
    <row r="172" spans="1:21" ht="15" thickBot="1" x14ac:dyDescent="0.35">
      <c r="A172" s="97"/>
      <c r="B172" s="110">
        <f t="shared" si="102"/>
        <v>0</v>
      </c>
      <c r="C172" s="95"/>
      <c r="D172" s="95"/>
      <c r="E172" s="95"/>
      <c r="F172" s="95"/>
      <c r="G172" s="96"/>
      <c r="H172" s="98"/>
      <c r="I172" s="268"/>
      <c r="K172" s="360"/>
      <c r="L172" s="361"/>
      <c r="M172" s="132">
        <f t="shared" si="95"/>
        <v>0</v>
      </c>
      <c r="N172" s="83">
        <f t="shared" si="91"/>
        <v>0</v>
      </c>
      <c r="O172" s="108">
        <f t="shared" si="96"/>
        <v>0</v>
      </c>
      <c r="P172" s="108">
        <f t="shared" si="97"/>
        <v>0</v>
      </c>
      <c r="Q172" s="108">
        <f t="shared" si="98"/>
        <v>0</v>
      </c>
      <c r="R172" s="108">
        <f t="shared" si="99"/>
        <v>0</v>
      </c>
      <c r="S172" s="108">
        <f t="shared" si="100"/>
        <v>0</v>
      </c>
      <c r="T172" s="108">
        <f t="shared" si="101"/>
        <v>0</v>
      </c>
      <c r="U172" s="268"/>
    </row>
    <row r="173" spans="1:21" ht="15" thickBot="1" x14ac:dyDescent="0.35">
      <c r="A173" s="97"/>
      <c r="B173" s="110">
        <f t="shared" si="102"/>
        <v>0</v>
      </c>
      <c r="C173" s="95"/>
      <c r="D173" s="95"/>
      <c r="E173" s="95"/>
      <c r="F173" s="95"/>
      <c r="G173" s="96"/>
      <c r="H173" s="98"/>
      <c r="I173" s="268"/>
      <c r="K173" s="360"/>
      <c r="L173" s="361"/>
      <c r="M173" s="132">
        <f t="shared" si="95"/>
        <v>0</v>
      </c>
      <c r="N173" s="83">
        <f t="shared" si="91"/>
        <v>0</v>
      </c>
      <c r="O173" s="108">
        <f t="shared" si="96"/>
        <v>0</v>
      </c>
      <c r="P173" s="108">
        <f t="shared" si="97"/>
        <v>0</v>
      </c>
      <c r="Q173" s="108">
        <f t="shared" si="98"/>
        <v>0</v>
      </c>
      <c r="R173" s="108">
        <f t="shared" si="99"/>
        <v>0</v>
      </c>
      <c r="S173" s="108">
        <f t="shared" si="100"/>
        <v>0</v>
      </c>
      <c r="T173" s="108">
        <f t="shared" si="101"/>
        <v>0</v>
      </c>
      <c r="U173" s="268"/>
    </row>
    <row r="174" spans="1:21" ht="15" thickBot="1" x14ac:dyDescent="0.35">
      <c r="A174" s="97"/>
      <c r="B174" s="110">
        <f t="shared" si="102"/>
        <v>0</v>
      </c>
      <c r="C174" s="96"/>
      <c r="D174" s="95"/>
      <c r="E174" s="95"/>
      <c r="F174" s="95"/>
      <c r="G174" s="96"/>
      <c r="H174" s="98"/>
      <c r="I174" s="268"/>
      <c r="K174" s="360"/>
      <c r="L174" s="361"/>
      <c r="M174" s="132">
        <f t="shared" si="95"/>
        <v>0</v>
      </c>
      <c r="N174" s="83">
        <f t="shared" si="91"/>
        <v>0</v>
      </c>
      <c r="O174" s="108">
        <f t="shared" si="96"/>
        <v>0</v>
      </c>
      <c r="P174" s="108">
        <f t="shared" si="97"/>
        <v>0</v>
      </c>
      <c r="Q174" s="108">
        <f t="shared" si="98"/>
        <v>0</v>
      </c>
      <c r="R174" s="108">
        <f t="shared" si="99"/>
        <v>0</v>
      </c>
      <c r="S174" s="108">
        <f t="shared" si="100"/>
        <v>0</v>
      </c>
      <c r="T174" s="108">
        <f t="shared" si="101"/>
        <v>0</v>
      </c>
      <c r="U174" s="268"/>
    </row>
    <row r="175" spans="1:21" ht="15" thickBot="1" x14ac:dyDescent="0.35">
      <c r="A175" s="126"/>
      <c r="B175" s="110">
        <f t="shared" si="102"/>
        <v>0</v>
      </c>
      <c r="C175" s="127"/>
      <c r="D175" s="128"/>
      <c r="E175" s="128"/>
      <c r="F175" s="128"/>
      <c r="G175" s="127"/>
      <c r="H175" s="129"/>
      <c r="I175" s="268"/>
      <c r="K175" s="360"/>
      <c r="L175" s="361"/>
      <c r="M175" s="132">
        <f t="shared" si="95"/>
        <v>0</v>
      </c>
      <c r="N175" s="83">
        <f t="shared" si="91"/>
        <v>0</v>
      </c>
      <c r="O175" s="108">
        <f t="shared" si="96"/>
        <v>0</v>
      </c>
      <c r="P175" s="108">
        <f t="shared" si="97"/>
        <v>0</v>
      </c>
      <c r="Q175" s="108">
        <f t="shared" si="98"/>
        <v>0</v>
      </c>
      <c r="R175" s="108">
        <f t="shared" si="99"/>
        <v>0</v>
      </c>
      <c r="S175" s="108">
        <f t="shared" si="100"/>
        <v>0</v>
      </c>
      <c r="T175" s="108">
        <f t="shared" si="101"/>
        <v>0</v>
      </c>
      <c r="U175" s="268"/>
    </row>
    <row r="176" spans="1:21" ht="15" thickBot="1" x14ac:dyDescent="0.35">
      <c r="A176" s="126"/>
      <c r="B176" s="110">
        <f t="shared" si="102"/>
        <v>0</v>
      </c>
      <c r="C176" s="127"/>
      <c r="D176" s="128"/>
      <c r="E176" s="128"/>
      <c r="F176" s="128"/>
      <c r="G176" s="127"/>
      <c r="H176" s="129"/>
      <c r="I176" s="268"/>
      <c r="K176" s="362"/>
      <c r="L176" s="363"/>
      <c r="M176" s="132">
        <f t="shared" si="95"/>
        <v>0</v>
      </c>
      <c r="N176" s="182">
        <f t="shared" si="91"/>
        <v>2</v>
      </c>
      <c r="O176" s="108">
        <f t="shared" si="96"/>
        <v>1</v>
      </c>
      <c r="P176" s="108">
        <f t="shared" si="97"/>
        <v>0</v>
      </c>
      <c r="Q176" s="108">
        <f t="shared" si="98"/>
        <v>1</v>
      </c>
      <c r="R176" s="108">
        <f t="shared" si="99"/>
        <v>0</v>
      </c>
      <c r="S176" s="108">
        <f t="shared" si="100"/>
        <v>0</v>
      </c>
      <c r="T176" s="108">
        <f t="shared" si="101"/>
        <v>0</v>
      </c>
      <c r="U176" s="268"/>
    </row>
    <row r="177" spans="1:21" ht="15" thickBot="1" x14ac:dyDescent="0.35">
      <c r="A177" s="126"/>
      <c r="B177" s="110">
        <f t="shared" si="102"/>
        <v>0</v>
      </c>
      <c r="C177" s="127"/>
      <c r="D177" s="128"/>
      <c r="E177" s="128"/>
      <c r="F177" s="128"/>
      <c r="G177" s="127"/>
      <c r="H177" s="129"/>
      <c r="I177" s="268"/>
      <c r="K177" s="367" t="s">
        <v>211</v>
      </c>
      <c r="L177" s="369"/>
      <c r="M177" s="106" t="s">
        <v>211</v>
      </c>
      <c r="N177" s="134">
        <f>C$20</f>
        <v>0</v>
      </c>
      <c r="O177" s="134">
        <f>D$20</f>
        <v>0</v>
      </c>
      <c r="P177" s="134">
        <f t="shared" ref="P177:T177" si="103">E$20</f>
        <v>0</v>
      </c>
      <c r="Q177" s="134">
        <f t="shared" si="103"/>
        <v>0</v>
      </c>
      <c r="R177" s="134">
        <f t="shared" si="103"/>
        <v>1</v>
      </c>
      <c r="S177" s="134">
        <f t="shared" si="103"/>
        <v>0</v>
      </c>
      <c r="T177" s="134">
        <f t="shared" si="103"/>
        <v>0</v>
      </c>
      <c r="U177" s="179">
        <f>N177-S177</f>
        <v>0</v>
      </c>
    </row>
    <row r="178" spans="1:21" ht="15" thickBot="1" x14ac:dyDescent="0.35">
      <c r="A178" s="126"/>
      <c r="B178" s="110">
        <f t="shared" si="102"/>
        <v>0</v>
      </c>
      <c r="C178" s="127"/>
      <c r="D178" s="128"/>
      <c r="E178" s="128"/>
      <c r="F178" s="128"/>
      <c r="G178" s="127"/>
      <c r="H178" s="129"/>
      <c r="I178" s="268"/>
      <c r="K178" s="367" t="s">
        <v>61</v>
      </c>
      <c r="L178" s="368"/>
      <c r="M178" s="178" t="s">
        <v>61</v>
      </c>
      <c r="N178" s="177">
        <f>SUM(N27:N177)</f>
        <v>25</v>
      </c>
      <c r="O178" s="177">
        <f t="shared" ref="O178:T178" si="104">SUM(O27:O177)</f>
        <v>12</v>
      </c>
      <c r="P178" s="177">
        <f t="shared" si="104"/>
        <v>0</v>
      </c>
      <c r="Q178" s="177">
        <f t="shared" si="104"/>
        <v>10</v>
      </c>
      <c r="R178" s="177">
        <f t="shared" si="104"/>
        <v>3</v>
      </c>
      <c r="S178" s="177">
        <f t="shared" si="104"/>
        <v>1</v>
      </c>
      <c r="T178" s="177">
        <f t="shared" si="104"/>
        <v>0</v>
      </c>
      <c r="U178" s="177">
        <f>SUM(U27:U177)</f>
        <v>24</v>
      </c>
    </row>
    <row r="179" spans="1:21" ht="15" thickBot="1" x14ac:dyDescent="0.35">
      <c r="A179" s="126"/>
      <c r="B179" s="110">
        <f t="shared" si="102"/>
        <v>0</v>
      </c>
      <c r="C179" s="127"/>
      <c r="D179" s="128"/>
      <c r="E179" s="128"/>
      <c r="F179" s="128"/>
      <c r="G179" s="127"/>
      <c r="H179" s="129"/>
      <c r="I179" s="268"/>
    </row>
    <row r="180" spans="1:21" ht="15" thickBot="1" x14ac:dyDescent="0.35">
      <c r="A180" s="126"/>
      <c r="B180" s="110">
        <f t="shared" si="102"/>
        <v>0</v>
      </c>
      <c r="C180" s="127"/>
      <c r="D180" s="128"/>
      <c r="E180" s="128"/>
      <c r="F180" s="128"/>
      <c r="G180" s="127"/>
      <c r="H180" s="129"/>
      <c r="I180" s="268"/>
    </row>
    <row r="181" spans="1:21" ht="15" thickBot="1" x14ac:dyDescent="0.35">
      <c r="A181" s="117"/>
      <c r="B181" s="110">
        <f t="shared" si="102"/>
        <v>2</v>
      </c>
      <c r="C181" s="119">
        <v>1</v>
      </c>
      <c r="D181" s="119"/>
      <c r="E181" s="119">
        <v>1</v>
      </c>
      <c r="F181" s="119"/>
      <c r="G181" s="120"/>
      <c r="H181" s="121"/>
      <c r="I181" s="269"/>
    </row>
    <row r="182" spans="1:21" ht="15.6" thickTop="1" thickBot="1" x14ac:dyDescent="0.35">
      <c r="A182" s="99" t="s">
        <v>53</v>
      </c>
      <c r="B182" s="100">
        <f>C182+D182+E182+F182+G182+H182</f>
        <v>2</v>
      </c>
      <c r="C182" s="101">
        <f>SUM(C166:C181)</f>
        <v>1</v>
      </c>
      <c r="D182" s="101">
        <f t="shared" ref="D182:F182" si="105">SUM(D166:D181)</f>
        <v>0</v>
      </c>
      <c r="E182" s="101">
        <f t="shared" si="105"/>
        <v>1</v>
      </c>
      <c r="F182" s="101">
        <f t="shared" si="105"/>
        <v>0</v>
      </c>
      <c r="G182" s="101">
        <f>SUM(G166:G181)</f>
        <v>0</v>
      </c>
      <c r="H182" s="102">
        <f t="shared" ref="H182" si="106">SUM(H166:H181)</f>
        <v>0</v>
      </c>
      <c r="I182" s="102">
        <f>SUM(I166:I181)</f>
        <v>2</v>
      </c>
    </row>
    <row r="183" spans="1:21" ht="15" thickBot="1" x14ac:dyDescent="0.35">
      <c r="A183" t="s">
        <v>241</v>
      </c>
    </row>
    <row r="184" spans="1:21" x14ac:dyDescent="0.3">
      <c r="A184" s="279" t="s">
        <v>98</v>
      </c>
      <c r="B184" s="282" t="s">
        <v>99</v>
      </c>
      <c r="C184" s="282" t="s">
        <v>100</v>
      </c>
      <c r="D184" s="282"/>
      <c r="E184" s="282"/>
      <c r="F184" s="282"/>
      <c r="G184" s="277" t="s">
        <v>105</v>
      </c>
      <c r="H184" s="274" t="s">
        <v>106</v>
      </c>
      <c r="I184" s="264" t="s">
        <v>127</v>
      </c>
    </row>
    <row r="185" spans="1:21" x14ac:dyDescent="0.3">
      <c r="A185" s="280"/>
      <c r="B185" s="273"/>
      <c r="C185" s="273" t="s">
        <v>101</v>
      </c>
      <c r="D185" s="273"/>
      <c r="E185" s="273" t="s">
        <v>102</v>
      </c>
      <c r="F185" s="273"/>
      <c r="G185" s="278"/>
      <c r="H185" s="275"/>
      <c r="I185" s="265"/>
    </row>
    <row r="186" spans="1:21" ht="15" thickBot="1" x14ac:dyDescent="0.35">
      <c r="A186" s="281"/>
      <c r="B186" s="283"/>
      <c r="C186" s="105" t="s">
        <v>103</v>
      </c>
      <c r="D186" s="105" t="s">
        <v>104</v>
      </c>
      <c r="E186" s="105" t="s">
        <v>103</v>
      </c>
      <c r="F186" s="105" t="s">
        <v>104</v>
      </c>
      <c r="G186" s="105" t="s">
        <v>110</v>
      </c>
      <c r="H186" s="276"/>
      <c r="I186" s="266"/>
    </row>
    <row r="187" spans="1:21" ht="15" thickBot="1" x14ac:dyDescent="0.35">
      <c r="A187" s="156"/>
      <c r="B187" s="110">
        <f>C187+D187+E187+F187+G187+H187</f>
        <v>0</v>
      </c>
      <c r="C187" s="114"/>
      <c r="D187" s="114"/>
      <c r="E187" s="114"/>
      <c r="F187" s="114"/>
      <c r="G187" s="115"/>
      <c r="H187" s="116"/>
      <c r="I187" s="267">
        <f>SUM(B187:B201)-SUM(G187:G201)</f>
        <v>2</v>
      </c>
    </row>
    <row r="188" spans="1:21" ht="15" thickBot="1" x14ac:dyDescent="0.35">
      <c r="A188" s="97"/>
      <c r="B188" s="110">
        <f t="shared" ref="B188:B201" si="107">C188+D188+E188+F188+G188+H188</f>
        <v>0</v>
      </c>
      <c r="C188" s="95"/>
      <c r="D188" s="95"/>
      <c r="E188" s="95"/>
      <c r="F188" s="95"/>
      <c r="G188" s="96"/>
      <c r="H188" s="98"/>
      <c r="I188" s="268"/>
    </row>
    <row r="189" spans="1:21" ht="15" thickBot="1" x14ac:dyDescent="0.35">
      <c r="A189" s="97"/>
      <c r="B189" s="110">
        <f t="shared" si="107"/>
        <v>0</v>
      </c>
      <c r="C189" s="95"/>
      <c r="D189" s="95"/>
      <c r="E189" s="95"/>
      <c r="F189" s="95"/>
      <c r="G189" s="96"/>
      <c r="H189" s="98"/>
      <c r="I189" s="268"/>
    </row>
    <row r="190" spans="1:21" ht="15" thickBot="1" x14ac:dyDescent="0.35">
      <c r="A190" s="97"/>
      <c r="B190" s="110">
        <f t="shared" si="107"/>
        <v>0</v>
      </c>
      <c r="C190" s="95"/>
      <c r="D190" s="95"/>
      <c r="E190" s="95"/>
      <c r="F190" s="95"/>
      <c r="G190" s="96"/>
      <c r="H190" s="98"/>
      <c r="I190" s="268"/>
    </row>
    <row r="191" spans="1:21" ht="15" thickBot="1" x14ac:dyDescent="0.35">
      <c r="A191" s="97"/>
      <c r="B191" s="110">
        <f t="shared" si="107"/>
        <v>0</v>
      </c>
      <c r="C191" s="95"/>
      <c r="D191" s="95"/>
      <c r="E191" s="95"/>
      <c r="F191" s="95"/>
      <c r="G191" s="96"/>
      <c r="H191" s="98"/>
      <c r="I191" s="268"/>
    </row>
    <row r="192" spans="1:21" ht="15" thickBot="1" x14ac:dyDescent="0.35">
      <c r="A192" s="97"/>
      <c r="B192" s="110">
        <f t="shared" si="107"/>
        <v>0</v>
      </c>
      <c r="C192" s="95"/>
      <c r="D192" s="95"/>
      <c r="E192" s="95"/>
      <c r="F192" s="95"/>
      <c r="G192" s="96"/>
      <c r="H192" s="98"/>
      <c r="I192" s="268"/>
    </row>
    <row r="193" spans="1:9" ht="15" thickBot="1" x14ac:dyDescent="0.35">
      <c r="A193" s="97"/>
      <c r="B193" s="110">
        <f t="shared" si="107"/>
        <v>0</v>
      </c>
      <c r="C193" s="95"/>
      <c r="D193" s="95"/>
      <c r="E193" s="95"/>
      <c r="F193" s="95"/>
      <c r="G193" s="96"/>
      <c r="H193" s="98"/>
      <c r="I193" s="268"/>
    </row>
    <row r="194" spans="1:9" ht="15" thickBot="1" x14ac:dyDescent="0.35">
      <c r="A194" s="97"/>
      <c r="B194" s="110">
        <f t="shared" si="107"/>
        <v>0</v>
      </c>
      <c r="C194" s="96"/>
      <c r="D194" s="95"/>
      <c r="E194" s="95"/>
      <c r="F194" s="95"/>
      <c r="G194" s="96"/>
      <c r="H194" s="98"/>
      <c r="I194" s="268"/>
    </row>
    <row r="195" spans="1:9" ht="15" thickBot="1" x14ac:dyDescent="0.35">
      <c r="A195" s="126"/>
      <c r="B195" s="110">
        <f t="shared" si="107"/>
        <v>0</v>
      </c>
      <c r="C195" s="127"/>
      <c r="D195" s="128"/>
      <c r="E195" s="128"/>
      <c r="F195" s="128"/>
      <c r="G195" s="127"/>
      <c r="H195" s="129"/>
      <c r="I195" s="268"/>
    </row>
    <row r="196" spans="1:9" ht="15" thickBot="1" x14ac:dyDescent="0.35">
      <c r="A196" s="126"/>
      <c r="B196" s="110">
        <f t="shared" si="107"/>
        <v>0</v>
      </c>
      <c r="C196" s="127"/>
      <c r="D196" s="128"/>
      <c r="E196" s="128"/>
      <c r="F196" s="128"/>
      <c r="G196" s="127"/>
      <c r="H196" s="129"/>
      <c r="I196" s="268"/>
    </row>
    <row r="197" spans="1:9" ht="15" thickBot="1" x14ac:dyDescent="0.35">
      <c r="A197" s="126"/>
      <c r="B197" s="110">
        <f t="shared" si="107"/>
        <v>0</v>
      </c>
      <c r="C197" s="127"/>
      <c r="D197" s="128"/>
      <c r="E197" s="128"/>
      <c r="F197" s="128"/>
      <c r="G197" s="127"/>
      <c r="H197" s="129"/>
      <c r="I197" s="268"/>
    </row>
    <row r="198" spans="1:9" ht="15" thickBot="1" x14ac:dyDescent="0.35">
      <c r="A198" s="126"/>
      <c r="B198" s="110">
        <f t="shared" si="107"/>
        <v>0</v>
      </c>
      <c r="C198" s="127"/>
      <c r="D198" s="128"/>
      <c r="E198" s="128"/>
      <c r="F198" s="128"/>
      <c r="G198" s="127"/>
      <c r="H198" s="129"/>
      <c r="I198" s="268"/>
    </row>
    <row r="199" spans="1:9" ht="15" thickBot="1" x14ac:dyDescent="0.35">
      <c r="A199" s="126"/>
      <c r="B199" s="110">
        <f t="shared" si="107"/>
        <v>0</v>
      </c>
      <c r="C199" s="127"/>
      <c r="D199" s="128"/>
      <c r="E199" s="128"/>
      <c r="F199" s="128"/>
      <c r="G199" s="127"/>
      <c r="H199" s="129"/>
      <c r="I199" s="268"/>
    </row>
    <row r="200" spans="1:9" ht="15" thickBot="1" x14ac:dyDescent="0.35">
      <c r="A200" s="126"/>
      <c r="B200" s="110">
        <f t="shared" si="107"/>
        <v>0</v>
      </c>
      <c r="C200" s="127"/>
      <c r="D200" s="128"/>
      <c r="E200" s="128"/>
      <c r="F200" s="128"/>
      <c r="G200" s="127"/>
      <c r="H200" s="129"/>
      <c r="I200" s="268"/>
    </row>
    <row r="201" spans="1:9" ht="15" thickBot="1" x14ac:dyDescent="0.35">
      <c r="A201" s="117"/>
      <c r="B201" s="110">
        <f t="shared" si="107"/>
        <v>2</v>
      </c>
      <c r="C201" s="119">
        <v>1</v>
      </c>
      <c r="D201" s="119"/>
      <c r="E201" s="119">
        <v>1</v>
      </c>
      <c r="F201" s="119"/>
      <c r="G201" s="120"/>
      <c r="H201" s="121"/>
      <c r="I201" s="269"/>
    </row>
    <row r="202" spans="1:9" ht="15.6" thickTop="1" thickBot="1" x14ac:dyDescent="0.35">
      <c r="A202" s="99" t="s">
        <v>53</v>
      </c>
      <c r="B202" s="100">
        <f>C202+D202+E202+F202+G202+H202</f>
        <v>2</v>
      </c>
      <c r="C202" s="101">
        <f>SUM(C186:C201)</f>
        <v>1</v>
      </c>
      <c r="D202" s="101">
        <f t="shared" ref="D202:F202" si="108">SUM(D186:D201)</f>
        <v>0</v>
      </c>
      <c r="E202" s="101">
        <f t="shared" si="108"/>
        <v>1</v>
      </c>
      <c r="F202" s="101">
        <f t="shared" si="108"/>
        <v>0</v>
      </c>
      <c r="G202" s="101">
        <f>SUM(G186:G201)</f>
        <v>0</v>
      </c>
      <c r="H202" s="102">
        <f t="shared" ref="H202" si="109">SUM(H186:H201)</f>
        <v>0</v>
      </c>
      <c r="I202" s="102">
        <f>SUM(I186:I201)</f>
        <v>2</v>
      </c>
    </row>
  </sheetData>
  <mergeCells count="135">
    <mergeCell ref="U147:U161"/>
    <mergeCell ref="K162:L176"/>
    <mergeCell ref="U162:U176"/>
    <mergeCell ref="I187:I201"/>
    <mergeCell ref="K87:L101"/>
    <mergeCell ref="U87:U101"/>
    <mergeCell ref="K102:L116"/>
    <mergeCell ref="U102:U116"/>
    <mergeCell ref="K117:L131"/>
    <mergeCell ref="U117:U131"/>
    <mergeCell ref="K132:L146"/>
    <mergeCell ref="U132:U146"/>
    <mergeCell ref="K147:L161"/>
    <mergeCell ref="I167:I181"/>
    <mergeCell ref="I127:I141"/>
    <mergeCell ref="K178:L178"/>
    <mergeCell ref="K177:L177"/>
    <mergeCell ref="I87:I101"/>
    <mergeCell ref="A184:A186"/>
    <mergeCell ref="B184:B186"/>
    <mergeCell ref="C184:F184"/>
    <mergeCell ref="G184:G185"/>
    <mergeCell ref="H184:H186"/>
    <mergeCell ref="I184:I186"/>
    <mergeCell ref="C185:D185"/>
    <mergeCell ref="E185:F185"/>
    <mergeCell ref="I147:I161"/>
    <mergeCell ref="A164:A166"/>
    <mergeCell ref="B164:B166"/>
    <mergeCell ref="C164:F164"/>
    <mergeCell ref="G164:G165"/>
    <mergeCell ref="H164:H166"/>
    <mergeCell ref="I164:I166"/>
    <mergeCell ref="C165:D165"/>
    <mergeCell ref="E165:F165"/>
    <mergeCell ref="B104:B106"/>
    <mergeCell ref="C104:F104"/>
    <mergeCell ref="G104:G105"/>
    <mergeCell ref="H104:H106"/>
    <mergeCell ref="I104:I106"/>
    <mergeCell ref="C105:D105"/>
    <mergeCell ref="A144:A146"/>
    <mergeCell ref="B144:B146"/>
    <mergeCell ref="C144:F144"/>
    <mergeCell ref="G144:G145"/>
    <mergeCell ref="H144:H146"/>
    <mergeCell ref="I144:I146"/>
    <mergeCell ref="C145:D145"/>
    <mergeCell ref="E145:F145"/>
    <mergeCell ref="E105:F105"/>
    <mergeCell ref="I107:I121"/>
    <mergeCell ref="A124:A126"/>
    <mergeCell ref="B124:B126"/>
    <mergeCell ref="C124:F124"/>
    <mergeCell ref="G124:G125"/>
    <mergeCell ref="H124:H126"/>
    <mergeCell ref="I124:I126"/>
    <mergeCell ref="C125:D125"/>
    <mergeCell ref="E125:F125"/>
    <mergeCell ref="A104:A106"/>
    <mergeCell ref="K57:L71"/>
    <mergeCell ref="K72:L86"/>
    <mergeCell ref="I67:I81"/>
    <mergeCell ref="I44:I46"/>
    <mergeCell ref="I27:I41"/>
    <mergeCell ref="I47:I61"/>
    <mergeCell ref="I64:I66"/>
    <mergeCell ref="I84:I86"/>
    <mergeCell ref="A84:A86"/>
    <mergeCell ref="B84:B86"/>
    <mergeCell ref="C84:F84"/>
    <mergeCell ref="G84:G85"/>
    <mergeCell ref="H84:H86"/>
    <mergeCell ref="A44:A46"/>
    <mergeCell ref="B44:B46"/>
    <mergeCell ref="C44:F44"/>
    <mergeCell ref="G44:G45"/>
    <mergeCell ref="H44:H46"/>
    <mergeCell ref="C45:D45"/>
    <mergeCell ref="E45:F45"/>
    <mergeCell ref="A64:A66"/>
    <mergeCell ref="B64:B66"/>
    <mergeCell ref="C64:F64"/>
    <mergeCell ref="U42:U56"/>
    <mergeCell ref="U57:U71"/>
    <mergeCell ref="U72:U86"/>
    <mergeCell ref="A24:A26"/>
    <mergeCell ref="B24:B26"/>
    <mergeCell ref="C24:F24"/>
    <mergeCell ref="G24:G25"/>
    <mergeCell ref="H24:H26"/>
    <mergeCell ref="C25:D25"/>
    <mergeCell ref="E25:F25"/>
    <mergeCell ref="K27:L41"/>
    <mergeCell ref="K42:L56"/>
    <mergeCell ref="U24:U26"/>
    <mergeCell ref="G64:G65"/>
    <mergeCell ref="H64:H66"/>
    <mergeCell ref="C65:D65"/>
    <mergeCell ref="E65:F65"/>
    <mergeCell ref="C85:D85"/>
    <mergeCell ref="E85:F85"/>
    <mergeCell ref="C3:D3"/>
    <mergeCell ref="E3:F3"/>
    <mergeCell ref="G2:G3"/>
    <mergeCell ref="A2:A4"/>
    <mergeCell ref="B2:B4"/>
    <mergeCell ref="C2:F2"/>
    <mergeCell ref="M14:N14"/>
    <mergeCell ref="M17:N17"/>
    <mergeCell ref="O24:R24"/>
    <mergeCell ref="M24:M26"/>
    <mergeCell ref="N24:N26"/>
    <mergeCell ref="H2:H4"/>
    <mergeCell ref="M7:N7"/>
    <mergeCell ref="M5:N5"/>
    <mergeCell ref="I2:I4"/>
    <mergeCell ref="K24:L26"/>
    <mergeCell ref="M4:T4"/>
    <mergeCell ref="I24:I26"/>
    <mergeCell ref="M18:N18"/>
    <mergeCell ref="M19:N19"/>
    <mergeCell ref="M9:N9"/>
    <mergeCell ref="S24:S25"/>
    <mergeCell ref="T24:T26"/>
    <mergeCell ref="M6:N6"/>
    <mergeCell ref="I5:I19"/>
    <mergeCell ref="U27:U41"/>
    <mergeCell ref="O25:P25"/>
    <mergeCell ref="Q25:R25"/>
    <mergeCell ref="M8:N8"/>
    <mergeCell ref="M10:N10"/>
    <mergeCell ref="M11:N11"/>
    <mergeCell ref="M12:N12"/>
    <mergeCell ref="M13:N13"/>
  </mergeCells>
  <conditionalFormatting sqref="G20">
    <cfRule type="expression" dxfId="3" priority="1">
      <formula>OR($G$20="", $G$20=0)</formula>
    </cfRule>
  </conditionalFormatting>
  <dataValidations count="7">
    <dataValidation allowBlank="1" showInputMessage="1" showErrorMessage="1" prompt="Перед итоговой аттестацией обязательно должно быть выделено не менее 1 акад.часа на самостоятельную работу" sqref="G20" xr:uid="{AE36B820-282F-4282-8D52-C8BD09460FA5}"/>
    <dataValidation allowBlank="1" showInputMessage="1" showErrorMessage="1" promptTitle="Заполняется автоматически" prompt="сумма часов" sqref="B5:B19 B27:B41 B47:B61 B67:B81 B87:B101 B107:B121 B127:B141 B147:B161 B167:B181 B187:B201" xr:uid="{01A323FE-DF91-44EE-8400-79C4CDE9BE08}"/>
    <dataValidation allowBlank="1" showInputMessage="1" showErrorMessage="1" promptTitle="Заполняется автоматически" prompt="Сумма всех часов - самостоятельная работа_x000a_" sqref="I5:I19 I27:I41 I47:I61 I67:I81 I87:I101 I107:I121 I127:I141 I147:I161 I167:I181 I187:I201" xr:uid="{232304A5-29A7-4B9B-82EE-3708A01E6236}"/>
    <dataValidation allowBlank="1" showInputMessage="1" showErrorMessage="1" promptTitle="Заполняется автоматически" prompt="Итого часов на модуль" sqref="I21 I42 I62 I82 I102 I122 I142 I162 I182 I202" xr:uid="{01E58765-663B-4CCC-9EDE-5F96233707F3}"/>
    <dataValidation allowBlank="1" showInputMessage="1" showErrorMessage="1" promptTitle="Заполняется автоматически" prompt="Сумма всех часов - самостоятельная работа" sqref="I20" xr:uid="{FAFAC735-65BA-4497-A5C5-72E959E47099}"/>
    <dataValidation allowBlank="1" showInputMessage="1" showErrorMessage="1" promptTitle="Заполняется автоматически" prompt="сумма часов приведенных сверху" sqref="B21:H21 B42:H42 B62:H62 B82:H82 B102:H102 B122:H122 B142:H142 B162:H162 B182:H182 B202:H202" xr:uid="{D60CEE15-FDAC-4F86-817E-77C39192DC9B}"/>
    <dataValidation allowBlank="1" showInputMessage="1" showErrorMessage="1" promptTitle="Заполняется автоматически" prompt="На основе введенной информации" sqref="M27:U178" xr:uid="{D03F0C46-5390-4690-AC0F-D40C5F8E8C36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Выбрать из списка" xr:uid="{35F4852D-496D-4030-A98C-4E3F3249FB0C}">
          <x14:formula1>
            <xm:f>Справочник!$A$27:$A$28</xm:f>
          </x14:formula1>
          <xm:sqref>K20:K21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506B-E0B2-46E2-A00F-94CA7972451D}">
  <dimension ref="A1:K636"/>
  <sheetViews>
    <sheetView showGridLines="0" tabSelected="1" view="pageBreakPreview" zoomScale="80" zoomScaleNormal="100" zoomScaleSheetLayoutView="80" workbookViewId="0">
      <pane ySplit="6" topLeftCell="A7" activePane="bottomLeft" state="frozen"/>
      <selection pane="bottomLeft" activeCell="G17" sqref="G17"/>
    </sheetView>
  </sheetViews>
  <sheetFormatPr defaultColWidth="8.88671875" defaultRowHeight="13.8" outlineLevelRow="1" x14ac:dyDescent="0.25"/>
  <cols>
    <col min="1" max="1" width="42.6640625" style="75" customWidth="1"/>
    <col min="2" max="2" width="29.88671875" style="75" customWidth="1"/>
    <col min="3" max="3" width="22.109375" style="75" customWidth="1"/>
    <col min="4" max="4" width="22.88671875" style="75" customWidth="1"/>
    <col min="5" max="5" width="19.109375" style="75" customWidth="1"/>
    <col min="6" max="6" width="20.33203125" style="75" customWidth="1"/>
    <col min="7" max="7" width="20" style="75" customWidth="1"/>
    <col min="8" max="8" width="21.33203125" style="75" customWidth="1"/>
    <col min="9" max="9" width="12.109375" style="75" customWidth="1"/>
    <col min="10" max="10" width="13.88671875" style="75" customWidth="1"/>
    <col min="11" max="11" width="12.33203125" style="75" bestFit="1" customWidth="1"/>
    <col min="12" max="16384" width="8.88671875" style="75"/>
  </cols>
  <sheetData>
    <row r="1" spans="1:11" x14ac:dyDescent="0.25">
      <c r="A1" s="2"/>
      <c r="B1" s="2"/>
      <c r="C1" s="2"/>
      <c r="D1" s="2"/>
      <c r="E1" s="2"/>
      <c r="F1" s="2"/>
      <c r="G1" s="2"/>
      <c r="H1" s="2"/>
    </row>
    <row r="2" spans="1:11" ht="14.4" customHeight="1" x14ac:dyDescent="0.3">
      <c r="A2"/>
      <c r="B2" s="2"/>
      <c r="C2" s="2"/>
      <c r="D2" s="2"/>
      <c r="E2" s="2"/>
      <c r="F2" s="2"/>
      <c r="G2" s="2"/>
      <c r="H2" s="2"/>
      <c r="I2" s="297" t="s">
        <v>245</v>
      </c>
      <c r="J2" s="297"/>
      <c r="K2" s="297"/>
    </row>
    <row r="3" spans="1:11" ht="13.8" customHeight="1" x14ac:dyDescent="0.25">
      <c r="A3" s="2"/>
      <c r="B3" s="2"/>
      <c r="C3" s="2"/>
      <c r="D3" s="2"/>
      <c r="E3" s="2"/>
      <c r="F3" s="2"/>
      <c r="G3" s="2"/>
      <c r="H3" s="2"/>
      <c r="I3" s="297"/>
      <c r="J3" s="297"/>
      <c r="K3" s="297"/>
    </row>
    <row r="4" spans="1:11" ht="13.8" customHeight="1" x14ac:dyDescent="0.25">
      <c r="A4" s="2"/>
      <c r="B4" s="2"/>
      <c r="C4" s="2"/>
      <c r="D4" s="2"/>
      <c r="E4" s="2"/>
      <c r="F4" s="2"/>
      <c r="G4" s="2"/>
      <c r="H4" s="2"/>
      <c r="I4" s="297"/>
      <c r="J4" s="297"/>
      <c r="K4" s="297"/>
    </row>
    <row r="5" spans="1:11" ht="13.8" customHeight="1" x14ac:dyDescent="0.25">
      <c r="A5" s="2"/>
      <c r="B5" s="2"/>
      <c r="C5" s="2"/>
      <c r="D5" s="2"/>
      <c r="E5" s="2"/>
      <c r="F5" s="2"/>
      <c r="G5" s="2"/>
      <c r="H5" s="2"/>
      <c r="I5" s="297"/>
      <c r="J5" s="297"/>
      <c r="K5" s="297"/>
    </row>
    <row r="6" spans="1:11" ht="27" customHeight="1" thickBot="1" x14ac:dyDescent="0.3">
      <c r="A6" s="2"/>
      <c r="B6" s="2"/>
      <c r="C6" s="2"/>
      <c r="D6" s="2"/>
      <c r="E6" s="2"/>
      <c r="F6" s="2"/>
      <c r="G6" s="2"/>
      <c r="H6" s="2"/>
    </row>
    <row r="7" spans="1:11" ht="21" customHeight="1" thickBot="1" x14ac:dyDescent="0.35">
      <c r="A7" s="85" t="s">
        <v>31</v>
      </c>
      <c r="B7" s="139" t="s">
        <v>130</v>
      </c>
      <c r="C7" s="56"/>
      <c r="D7" s="308" t="s">
        <v>41</v>
      </c>
      <c r="E7" s="309"/>
      <c r="F7" s="310"/>
      <c r="G7" s="73" t="s">
        <v>42</v>
      </c>
      <c r="H7" s="74" t="s">
        <v>43</v>
      </c>
    </row>
    <row r="8" spans="1:11" ht="16.8" thickTop="1" thickBot="1" x14ac:dyDescent="0.35">
      <c r="A8" s="86" t="s">
        <v>37</v>
      </c>
      <c r="B8" s="140" t="s">
        <v>131</v>
      </c>
      <c r="C8" s="57"/>
      <c r="D8" s="311" t="s">
        <v>44</v>
      </c>
      <c r="E8" s="312"/>
      <c r="F8" s="313"/>
      <c r="G8" s="18">
        <f>B18</f>
        <v>100000</v>
      </c>
      <c r="H8" s="19">
        <f>C18</f>
        <v>600000</v>
      </c>
    </row>
    <row r="9" spans="1:11" ht="60" customHeight="1" thickTop="1" thickBot="1" x14ac:dyDescent="0.35">
      <c r="A9" s="86" t="s">
        <v>32</v>
      </c>
      <c r="B9" s="140" t="s">
        <v>132</v>
      </c>
      <c r="C9" s="57"/>
      <c r="D9" s="311" t="s">
        <v>45</v>
      </c>
      <c r="E9" s="312"/>
      <c r="F9" s="313"/>
      <c r="G9" s="20">
        <f>SUM(E25:E38)+SUM(G43:G48)/C15*B15+SUM(A53:D53)*G8+D69</f>
        <v>422863.6</v>
      </c>
      <c r="H9" s="21">
        <f>G49+D69+SUM(A53:D53)*H8</f>
        <v>602863.6</v>
      </c>
    </row>
    <row r="10" spans="1:11" ht="16.5" customHeight="1" thickTop="1" thickBot="1" x14ac:dyDescent="0.35">
      <c r="A10" s="86" t="s">
        <v>82</v>
      </c>
      <c r="B10" s="3" t="s">
        <v>84</v>
      </c>
      <c r="C10" s="57"/>
      <c r="D10" s="314" t="s">
        <v>46</v>
      </c>
      <c r="E10" s="315"/>
      <c r="F10" s="316"/>
      <c r="G10" s="22">
        <f>G8-G9</f>
        <v>-322863.59999999998</v>
      </c>
      <c r="H10" s="23">
        <f>IF(C15&gt;0, H8-H9, 0)</f>
        <v>-2863.6</v>
      </c>
      <c r="I10" s="76"/>
      <c r="J10" s="76"/>
    </row>
    <row r="11" spans="1:11" ht="15.6" x14ac:dyDescent="0.25">
      <c r="A11" s="86" t="s">
        <v>38</v>
      </c>
      <c r="B11" s="140" t="s">
        <v>133</v>
      </c>
      <c r="C11" s="57"/>
      <c r="D11" s="58"/>
      <c r="E11" s="58"/>
      <c r="F11" s="58"/>
      <c r="G11" s="58"/>
      <c r="H11" s="59"/>
    </row>
    <row r="12" spans="1:11" ht="16.2" thickBot="1" x14ac:dyDescent="0.3">
      <c r="A12" s="87" t="s">
        <v>1</v>
      </c>
      <c r="B12" s="4">
        <f>'учебный план (модули)'!B21</f>
        <v>9</v>
      </c>
      <c r="C12" s="57"/>
      <c r="D12" s="58"/>
      <c r="E12" s="58"/>
      <c r="F12" s="58"/>
      <c r="G12" s="58"/>
      <c r="H12" s="59"/>
    </row>
    <row r="13" spans="1:11" ht="14.4" thickBot="1" x14ac:dyDescent="0.3">
      <c r="A13" s="60"/>
      <c r="B13" s="53"/>
      <c r="C13" s="53"/>
      <c r="D13" s="58"/>
      <c r="E13" s="58"/>
      <c r="F13" s="58"/>
      <c r="G13" s="58"/>
      <c r="H13" s="59"/>
    </row>
    <row r="14" spans="1:11" ht="39" customHeight="1" thickBot="1" x14ac:dyDescent="0.35">
      <c r="A14" s="162" t="s">
        <v>33</v>
      </c>
      <c r="B14" s="199" t="s">
        <v>235</v>
      </c>
      <c r="C14" s="199" t="s">
        <v>234</v>
      </c>
      <c r="D14" s="58"/>
      <c r="E14" s="58"/>
      <c r="F14" s="90" t="s">
        <v>113</v>
      </c>
      <c r="G14" s="370"/>
      <c r="H14" s="59"/>
    </row>
    <row r="15" spans="1:11" ht="14.4" thickBot="1" x14ac:dyDescent="0.3">
      <c r="A15" s="163" t="s">
        <v>39</v>
      </c>
      <c r="B15" s="198">
        <v>10</v>
      </c>
      <c r="C15" s="198">
        <v>20</v>
      </c>
      <c r="D15" s="58"/>
      <c r="E15" s="58"/>
      <c r="F15" s="94" t="str">
        <f>IF(OR(Справочник!A27=('учебный план (модули)'!K21)), Справочник!A27, Справочник!A28)</f>
        <v>Да</v>
      </c>
      <c r="G15" s="370"/>
      <c r="H15" s="59"/>
    </row>
    <row r="16" spans="1:11" ht="17.25" customHeight="1" thickBot="1" x14ac:dyDescent="0.3">
      <c r="A16" s="163" t="s">
        <v>34</v>
      </c>
      <c r="B16" s="197">
        <v>10000</v>
      </c>
      <c r="C16" s="197">
        <v>30000</v>
      </c>
      <c r="D16" s="58"/>
      <c r="E16" s="58"/>
      <c r="F16" s="58"/>
      <c r="G16" s="58"/>
      <c r="H16" s="59"/>
    </row>
    <row r="17" spans="1:11" ht="14.4" thickBot="1" x14ac:dyDescent="0.3">
      <c r="A17" s="164"/>
      <c r="B17" s="161"/>
      <c r="C17" s="161"/>
      <c r="D17" s="58"/>
      <c r="E17" s="58"/>
      <c r="F17" s="58"/>
      <c r="G17" s="58"/>
      <c r="H17" s="59"/>
    </row>
    <row r="18" spans="1:11" ht="16.2" thickBot="1" x14ac:dyDescent="0.35">
      <c r="A18" s="5" t="s">
        <v>35</v>
      </c>
      <c r="B18" s="15">
        <f>B16*B15</f>
        <v>100000</v>
      </c>
      <c r="C18" s="16">
        <f>C16*C15</f>
        <v>600000</v>
      </c>
      <c r="D18" s="58"/>
      <c r="E18" s="58"/>
      <c r="F18" s="58"/>
      <c r="G18" s="58"/>
      <c r="H18" s="59"/>
    </row>
    <row r="19" spans="1:11" ht="16.8" thickTop="1" thickBot="1" x14ac:dyDescent="0.35">
      <c r="A19" s="61"/>
      <c r="B19" s="54"/>
      <c r="C19" s="54"/>
      <c r="D19" s="58"/>
      <c r="E19" s="58"/>
      <c r="F19" s="58"/>
      <c r="G19" s="58"/>
      <c r="H19" s="59"/>
    </row>
    <row r="20" spans="1:11" ht="18" customHeight="1" thickBot="1" x14ac:dyDescent="0.35">
      <c r="A20" s="317" t="s">
        <v>233</v>
      </c>
      <c r="B20" s="318"/>
      <c r="C20" s="318"/>
      <c r="D20" s="318"/>
      <c r="E20" s="318"/>
      <c r="F20" s="318"/>
      <c r="G20" s="318"/>
      <c r="H20" s="319"/>
    </row>
    <row r="21" spans="1:11" ht="14.4" thickBot="1" x14ac:dyDescent="0.3">
      <c r="A21" s="81"/>
      <c r="B21" s="82"/>
      <c r="C21" s="82"/>
      <c r="D21" s="58"/>
      <c r="E21" s="58"/>
      <c r="F21" s="58"/>
      <c r="G21" s="58"/>
      <c r="H21" s="59"/>
    </row>
    <row r="22" spans="1:11" ht="15.75" customHeight="1" thickBot="1" x14ac:dyDescent="0.3">
      <c r="A22" s="298" t="s">
        <v>148</v>
      </c>
      <c r="B22" s="299"/>
      <c r="C22" s="299"/>
      <c r="D22" s="299"/>
      <c r="E22" s="299"/>
      <c r="F22" s="299"/>
      <c r="G22" s="299"/>
      <c r="H22" s="300"/>
    </row>
    <row r="23" spans="1:11" ht="14.4" thickBot="1" x14ac:dyDescent="0.3">
      <c r="A23" s="81"/>
      <c r="B23" s="82"/>
      <c r="C23" s="82"/>
      <c r="D23" s="58"/>
      <c r="E23" s="58"/>
      <c r="F23" s="58"/>
      <c r="G23" s="58"/>
      <c r="H23" s="59"/>
    </row>
    <row r="24" spans="1:11" ht="54.75" customHeight="1" x14ac:dyDescent="0.25">
      <c r="A24" s="6" t="s">
        <v>49</v>
      </c>
      <c r="B24" s="7" t="s">
        <v>47</v>
      </c>
      <c r="C24" s="7" t="s">
        <v>95</v>
      </c>
      <c r="D24" s="7" t="s">
        <v>67</v>
      </c>
      <c r="E24" s="8" t="s">
        <v>56</v>
      </c>
      <c r="F24" s="79" t="s">
        <v>96</v>
      </c>
      <c r="G24" s="58"/>
      <c r="H24" s="59"/>
    </row>
    <row r="25" spans="1:11" ht="15" customHeight="1" x14ac:dyDescent="0.25">
      <c r="A25" s="78" t="s">
        <v>57</v>
      </c>
      <c r="B25" s="10" t="s">
        <v>55</v>
      </c>
      <c r="C25" s="88" t="s">
        <v>93</v>
      </c>
      <c r="D25" s="11">
        <f>F85+F124+F163+F202+F241+F280+F319+F358+F397+F436</f>
        <v>15000</v>
      </c>
      <c r="E25" s="11">
        <f t="shared" ref="E25:E38" si="0">G85+G124+G163+G202+G241+G280+G319+G358+G397+G436</f>
        <v>19500</v>
      </c>
      <c r="F25" s="11">
        <f t="shared" ref="F25:F38" si="1">H85+H124+H163+H202+H241+H280+H319+H358+H397+H436</f>
        <v>13050</v>
      </c>
      <c r="G25" s="58"/>
      <c r="H25" s="59"/>
      <c r="I25" s="76"/>
      <c r="J25" s="76"/>
      <c r="K25" s="76"/>
    </row>
    <row r="26" spans="1:11" x14ac:dyDescent="0.25">
      <c r="A26" s="78" t="s">
        <v>81</v>
      </c>
      <c r="B26" s="10" t="s">
        <v>54</v>
      </c>
      <c r="C26" s="88" t="s">
        <v>94</v>
      </c>
      <c r="D26" s="11">
        <f t="shared" ref="D26:D38" si="2">F86+F125+F164+F203+F242+F281+F320+F359+F398+F437</f>
        <v>10000</v>
      </c>
      <c r="E26" s="11">
        <f t="shared" si="0"/>
        <v>15363.6</v>
      </c>
      <c r="F26" s="11">
        <f t="shared" si="1"/>
        <v>8700</v>
      </c>
      <c r="G26" s="58"/>
      <c r="H26" s="59"/>
    </row>
    <row r="27" spans="1:11" x14ac:dyDescent="0.25">
      <c r="A27" s="78" t="s">
        <v>52</v>
      </c>
      <c r="B27" s="10" t="s">
        <v>55</v>
      </c>
      <c r="C27" s="88"/>
      <c r="D27" s="11">
        <f t="shared" si="2"/>
        <v>20000</v>
      </c>
      <c r="E27" s="11">
        <f t="shared" si="0"/>
        <v>26000</v>
      </c>
      <c r="F27" s="11">
        <f t="shared" si="1"/>
        <v>17400</v>
      </c>
      <c r="G27" s="58"/>
      <c r="H27" s="59"/>
    </row>
    <row r="28" spans="1:11" ht="27.6" x14ac:dyDescent="0.25">
      <c r="A28" s="78" t="s">
        <v>123</v>
      </c>
      <c r="B28" s="10" t="s">
        <v>55</v>
      </c>
      <c r="C28" s="88"/>
      <c r="D28" s="11">
        <f t="shared" si="2"/>
        <v>30000</v>
      </c>
      <c r="E28" s="11">
        <f t="shared" si="0"/>
        <v>39000</v>
      </c>
      <c r="F28" s="11">
        <f t="shared" si="1"/>
        <v>26100</v>
      </c>
      <c r="G28" s="58"/>
      <c r="H28" s="59"/>
    </row>
    <row r="29" spans="1:11" x14ac:dyDescent="0.25">
      <c r="A29" s="78" t="s">
        <v>79</v>
      </c>
      <c r="B29" s="10" t="s">
        <v>55</v>
      </c>
      <c r="C29" s="88"/>
      <c r="D29" s="11">
        <f t="shared" si="2"/>
        <v>40000</v>
      </c>
      <c r="E29" s="11">
        <f t="shared" si="0"/>
        <v>52000</v>
      </c>
      <c r="F29" s="11">
        <f t="shared" si="1"/>
        <v>34800</v>
      </c>
      <c r="G29" s="58"/>
      <c r="H29" s="59"/>
    </row>
    <row r="30" spans="1:11" x14ac:dyDescent="0.25">
      <c r="A30" s="78" t="s">
        <v>80</v>
      </c>
      <c r="B30" s="10" t="s">
        <v>55</v>
      </c>
      <c r="C30" s="88"/>
      <c r="D30" s="11">
        <f t="shared" si="2"/>
        <v>50000</v>
      </c>
      <c r="E30" s="11">
        <f t="shared" si="0"/>
        <v>65000</v>
      </c>
      <c r="F30" s="11">
        <f t="shared" si="1"/>
        <v>43500</v>
      </c>
      <c r="G30" s="58"/>
      <c r="H30" s="59"/>
    </row>
    <row r="31" spans="1:11" x14ac:dyDescent="0.25">
      <c r="A31" s="78" t="s">
        <v>48</v>
      </c>
      <c r="B31" s="10" t="s">
        <v>55</v>
      </c>
      <c r="C31" s="88"/>
      <c r="D31" s="11">
        <f t="shared" si="2"/>
        <v>60000</v>
      </c>
      <c r="E31" s="11">
        <f t="shared" si="0"/>
        <v>78000</v>
      </c>
      <c r="F31" s="11">
        <f t="shared" si="1"/>
        <v>52200</v>
      </c>
      <c r="G31" s="58"/>
      <c r="H31" s="59"/>
    </row>
    <row r="32" spans="1:11" ht="27.6" x14ac:dyDescent="0.25">
      <c r="A32" s="78" t="s">
        <v>111</v>
      </c>
      <c r="B32" s="10" t="s">
        <v>55</v>
      </c>
      <c r="C32" s="88"/>
      <c r="D32" s="11">
        <f t="shared" si="2"/>
        <v>70000</v>
      </c>
      <c r="E32" s="11">
        <f t="shared" si="0"/>
        <v>91000</v>
      </c>
      <c r="F32" s="11">
        <f t="shared" si="1"/>
        <v>60900</v>
      </c>
      <c r="G32" s="58"/>
      <c r="H32" s="59"/>
    </row>
    <row r="33" spans="1:9" x14ac:dyDescent="0.25">
      <c r="A33" s="78"/>
      <c r="B33" s="10"/>
      <c r="C33" s="88"/>
      <c r="D33" s="11">
        <f t="shared" si="2"/>
        <v>0</v>
      </c>
      <c r="E33" s="11">
        <f t="shared" si="0"/>
        <v>0</v>
      </c>
      <c r="F33" s="11">
        <f t="shared" si="1"/>
        <v>0</v>
      </c>
      <c r="G33" s="58"/>
      <c r="H33" s="59"/>
    </row>
    <row r="34" spans="1:9" x14ac:dyDescent="0.25">
      <c r="A34" s="78"/>
      <c r="B34" s="10"/>
      <c r="C34" s="88"/>
      <c r="D34" s="11">
        <f t="shared" si="2"/>
        <v>0</v>
      </c>
      <c r="E34" s="11">
        <f t="shared" si="0"/>
        <v>0</v>
      </c>
      <c r="F34" s="11">
        <f t="shared" si="1"/>
        <v>0</v>
      </c>
      <c r="G34" s="58"/>
      <c r="H34" s="59"/>
    </row>
    <row r="35" spans="1:9" x14ac:dyDescent="0.25">
      <c r="A35" s="78"/>
      <c r="B35" s="10"/>
      <c r="C35" s="88"/>
      <c r="D35" s="11">
        <f t="shared" si="2"/>
        <v>0</v>
      </c>
      <c r="E35" s="11">
        <f t="shared" si="0"/>
        <v>0</v>
      </c>
      <c r="F35" s="11">
        <f t="shared" si="1"/>
        <v>0</v>
      </c>
      <c r="G35" s="58"/>
      <c r="H35" s="59"/>
    </row>
    <row r="36" spans="1:9" x14ac:dyDescent="0.25">
      <c r="A36" s="78"/>
      <c r="B36" s="10"/>
      <c r="C36" s="88"/>
      <c r="D36" s="11">
        <f t="shared" si="2"/>
        <v>0</v>
      </c>
      <c r="E36" s="11">
        <f t="shared" si="0"/>
        <v>0</v>
      </c>
      <c r="F36" s="11">
        <f t="shared" si="1"/>
        <v>0</v>
      </c>
      <c r="G36" s="58"/>
      <c r="H36" s="59"/>
    </row>
    <row r="37" spans="1:9" x14ac:dyDescent="0.25">
      <c r="A37" s="78"/>
      <c r="B37" s="10"/>
      <c r="C37" s="88"/>
      <c r="D37" s="11">
        <f t="shared" si="2"/>
        <v>0</v>
      </c>
      <c r="E37" s="11">
        <f t="shared" si="0"/>
        <v>0</v>
      </c>
      <c r="F37" s="11">
        <f t="shared" si="1"/>
        <v>0</v>
      </c>
      <c r="G37" s="58"/>
      <c r="H37" s="59"/>
    </row>
    <row r="38" spans="1:9" x14ac:dyDescent="0.25">
      <c r="A38" s="9"/>
      <c r="B38" s="10"/>
      <c r="C38" s="88"/>
      <c r="D38" s="11">
        <f t="shared" si="2"/>
        <v>0</v>
      </c>
      <c r="E38" s="11">
        <f t="shared" si="0"/>
        <v>0</v>
      </c>
      <c r="F38" s="11">
        <f t="shared" si="1"/>
        <v>0</v>
      </c>
      <c r="G38" s="58"/>
      <c r="H38" s="59"/>
    </row>
    <row r="39" spans="1:9" ht="14.4" thickBot="1" x14ac:dyDescent="0.3">
      <c r="A39" s="320"/>
      <c r="B39" s="321"/>
      <c r="C39" s="321"/>
      <c r="D39" s="321"/>
      <c r="E39" s="321"/>
      <c r="F39" s="321"/>
      <c r="G39" s="321"/>
      <c r="H39" s="322"/>
    </row>
    <row r="40" spans="1:9" ht="15.75" customHeight="1" thickBot="1" x14ac:dyDescent="0.3">
      <c r="A40" s="298" t="s">
        <v>125</v>
      </c>
      <c r="B40" s="299"/>
      <c r="C40" s="299"/>
      <c r="D40" s="299"/>
      <c r="E40" s="299"/>
      <c r="F40" s="299"/>
      <c r="G40" s="299"/>
      <c r="H40" s="300"/>
    </row>
    <row r="41" spans="1:9" ht="48" customHeight="1" outlineLevel="1" x14ac:dyDescent="0.25">
      <c r="A41" s="323" t="s">
        <v>125</v>
      </c>
      <c r="B41" s="293" t="s">
        <v>47</v>
      </c>
      <c r="C41" s="293" t="s">
        <v>95</v>
      </c>
      <c r="D41" s="293" t="s">
        <v>117</v>
      </c>
      <c r="E41" s="293" t="s">
        <v>122</v>
      </c>
      <c r="F41" s="293" t="s">
        <v>67</v>
      </c>
      <c r="G41" s="295" t="s">
        <v>56</v>
      </c>
      <c r="H41" s="291" t="s">
        <v>96</v>
      </c>
    </row>
    <row r="42" spans="1:9" ht="15.75" customHeight="1" outlineLevel="1" x14ac:dyDescent="0.25">
      <c r="A42" s="324"/>
      <c r="B42" s="294"/>
      <c r="C42" s="294"/>
      <c r="D42" s="307"/>
      <c r="E42" s="294"/>
      <c r="F42" s="294"/>
      <c r="G42" s="296"/>
      <c r="H42" s="292"/>
    </row>
    <row r="43" spans="1:9" ht="26.4" outlineLevel="1" x14ac:dyDescent="0.25">
      <c r="A43" s="157" t="s">
        <v>134</v>
      </c>
      <c r="B43" s="10" t="s">
        <v>55</v>
      </c>
      <c r="C43" s="88"/>
      <c r="D43" s="306">
        <f>IF('учебный план (модули)'!K20=Справочник!A27, 'учебный план (модули)'!H20, 0)</f>
        <v>0</v>
      </c>
      <c r="E43" s="47">
        <v>500</v>
      </c>
      <c r="F43" s="52">
        <f t="shared" ref="F43:F48" si="3">IF($D$43&gt;0, E43*$C$15, 0)</f>
        <v>0</v>
      </c>
      <c r="G43" s="1">
        <f>IF(AND(B43=Справочник!$A$2,'Фин модель (модули)'!C43=Справочник!$A$8),"Не заполнена должность",IF(AND(B43=Справочник!$A$2,C43=Справочник!$A$7),F43*1.18*1.302,IF(AND(B43=Справочник!$A$2,C43=Справочник!$A$6),'Фин модель (модули)'!F43*1.11*1.302,F43*1.3)))</f>
        <v>0</v>
      </c>
      <c r="H43" s="80">
        <f t="shared" ref="H43:H48" si="4">F43*0.87</f>
        <v>0</v>
      </c>
      <c r="I43" s="76"/>
    </row>
    <row r="44" spans="1:9" outlineLevel="1" x14ac:dyDescent="0.25">
      <c r="A44" s="9" t="s">
        <v>124</v>
      </c>
      <c r="B44" s="10" t="s">
        <v>55</v>
      </c>
      <c r="C44" s="89"/>
      <c r="D44" s="306"/>
      <c r="E44" s="51">
        <v>400</v>
      </c>
      <c r="F44" s="52">
        <f t="shared" si="3"/>
        <v>0</v>
      </c>
      <c r="G44" s="1">
        <f>IF(AND(B44=Справочник!$A$2, 'Фин модель (модули)'!C44=Справочник!$A$8), "Не заполнена должность", IF(AND(B44=Справочник!$A$2, C44=Справочник!$A$7), F44*1.18*1.302, IF(AND(B44=Справочник!$A$2, C44=Справочник!$A$6), 'Фин модель (модули)'!F44*1.11*1.302, F44*1.3)))</f>
        <v>0</v>
      </c>
      <c r="H44" s="80">
        <f t="shared" si="4"/>
        <v>0</v>
      </c>
    </row>
    <row r="45" spans="1:9" outlineLevel="1" x14ac:dyDescent="0.25">
      <c r="A45" s="9" t="s">
        <v>124</v>
      </c>
      <c r="B45" s="10" t="s">
        <v>54</v>
      </c>
      <c r="C45" s="89" t="s">
        <v>93</v>
      </c>
      <c r="D45" s="306"/>
      <c r="E45" s="51">
        <v>400</v>
      </c>
      <c r="F45" s="52">
        <f t="shared" si="3"/>
        <v>0</v>
      </c>
      <c r="G45" s="1">
        <f>IF(AND(B45=Справочник!$A$2, 'Фин модель (модули)'!C45=Справочник!$A$8), "Не заполнена должность", IF(AND(B45=Справочник!$A$2, C45=Справочник!$A$7), F45*1.18*1.302, IF(AND(B45=Справочник!$A$2, C45=Справочник!$A$6), 'Фин модель (модули)'!F45*1.11*1.302, F45*1.3)))</f>
        <v>0</v>
      </c>
      <c r="H45" s="80">
        <f t="shared" si="4"/>
        <v>0</v>
      </c>
    </row>
    <row r="46" spans="1:9" outlineLevel="1" x14ac:dyDescent="0.25">
      <c r="A46" s="9" t="s">
        <v>124</v>
      </c>
      <c r="B46" s="10" t="s">
        <v>54</v>
      </c>
      <c r="C46" s="89" t="s">
        <v>94</v>
      </c>
      <c r="D46" s="306"/>
      <c r="E46" s="51">
        <v>400</v>
      </c>
      <c r="F46" s="52">
        <f t="shared" si="3"/>
        <v>0</v>
      </c>
      <c r="G46" s="1">
        <f>IF(AND(B46=Справочник!$A$2, 'Фин модель (модули)'!C46=Справочник!$A$8), "Не заполнена должность", IF(AND(B46=Справочник!$A$2, C46=Справочник!$A$7), F46*1.18*1.302, IF(AND(B46=Справочник!$A$2, C46=Справочник!$A$6), 'Фин модель (модули)'!F46*1.11*1.302, F46*1.3)))</f>
        <v>0</v>
      </c>
      <c r="H46" s="80">
        <f t="shared" si="4"/>
        <v>0</v>
      </c>
    </row>
    <row r="47" spans="1:9" outlineLevel="1" x14ac:dyDescent="0.25">
      <c r="A47" s="9"/>
      <c r="B47" s="10"/>
      <c r="C47" s="89"/>
      <c r="D47" s="306"/>
      <c r="E47" s="51"/>
      <c r="F47" s="52">
        <f t="shared" si="3"/>
        <v>0</v>
      </c>
      <c r="G47" s="1">
        <f>IF(AND(B47=Справочник!$A$2, 'Фин модель (модули)'!C47=Справочник!$A$8), "Не заполнена должность", IF(AND(B47=Справочник!$A$2, C47=Справочник!$A$7), F47*1.18*1.302, IF(AND(B47=Справочник!$A$2, C47=Справочник!$A$6), 'Фин модель (модули)'!F47*1.11*1.302, F47*1.3)))</f>
        <v>0</v>
      </c>
      <c r="H47" s="80">
        <f t="shared" si="4"/>
        <v>0</v>
      </c>
    </row>
    <row r="48" spans="1:9" outlineLevel="1" x14ac:dyDescent="0.25">
      <c r="A48" s="9"/>
      <c r="B48" s="10"/>
      <c r="C48" s="89"/>
      <c r="D48" s="306"/>
      <c r="E48" s="51"/>
      <c r="F48" s="52">
        <f t="shared" si="3"/>
        <v>0</v>
      </c>
      <c r="G48" s="1">
        <f>IF(AND(B48=Справочник!$A$2, 'Фин модель (модули)'!C48=Справочник!$A$8), "Не заполнена должность", IF(AND(B48=Справочник!$A$2, C48=Справочник!$A$7), F48*1.18*1.302, IF(AND(B48=Справочник!$A$2, C48=Справочник!$A$6), 'Фин модель (модули)'!F48*1.11*1.302, F48*1.3)))</f>
        <v>0</v>
      </c>
      <c r="H48" s="80">
        <f t="shared" si="4"/>
        <v>0</v>
      </c>
    </row>
    <row r="49" spans="1:8" s="154" customFormat="1" ht="49.5" customHeight="1" thickBot="1" x14ac:dyDescent="0.35">
      <c r="A49" s="303" t="s">
        <v>53</v>
      </c>
      <c r="B49" s="304"/>
      <c r="C49" s="305"/>
      <c r="D49" s="151" t="str">
        <f>IF(SUM(D25:D38)+D43='учебный план (модули)'!AD44, SUM(D25:D38)+D43, "См. учебный план - часы указаны некорректно!")</f>
        <v>См. учебный план - часы указаны некорректно!</v>
      </c>
      <c r="E49" s="301" t="s">
        <v>247</v>
      </c>
      <c r="F49" s="302"/>
      <c r="G49" s="152">
        <f>SUM(E25:E38, G43:G48)</f>
        <v>385863.6</v>
      </c>
      <c r="H49" s="153">
        <f>SUM(F25:F38, H43:H48)</f>
        <v>256650</v>
      </c>
    </row>
    <row r="50" spans="1:8" ht="14.4" thickBot="1" x14ac:dyDescent="0.3">
      <c r="A50" s="62"/>
      <c r="B50" s="58"/>
      <c r="C50" s="58"/>
      <c r="D50" s="58"/>
      <c r="E50" s="58"/>
      <c r="F50" s="58"/>
      <c r="G50" s="58"/>
      <c r="H50" s="59"/>
    </row>
    <row r="51" spans="1:8" ht="14.4" customHeight="1" thickBot="1" x14ac:dyDescent="0.3">
      <c r="A51" s="298" t="s">
        <v>146</v>
      </c>
      <c r="B51" s="299"/>
      <c r="C51" s="299"/>
      <c r="D51" s="299"/>
      <c r="E51" s="299"/>
      <c r="F51" s="299"/>
      <c r="G51" s="299"/>
      <c r="H51" s="300"/>
    </row>
    <row r="52" spans="1:8" ht="41.4" x14ac:dyDescent="0.25">
      <c r="A52" s="63" t="s">
        <v>58</v>
      </c>
      <c r="B52" s="12" t="s">
        <v>59</v>
      </c>
      <c r="C52" s="12" t="s">
        <v>71</v>
      </c>
      <c r="D52" s="12" t="s">
        <v>108</v>
      </c>
      <c r="E52" s="58"/>
      <c r="F52" s="58"/>
      <c r="G52" s="58"/>
      <c r="H52" s="59"/>
    </row>
    <row r="53" spans="1:8" x14ac:dyDescent="0.25">
      <c r="A53" s="64">
        <v>0.15</v>
      </c>
      <c r="B53" s="17">
        <v>0.15</v>
      </c>
      <c r="C53" s="48">
        <v>0.05</v>
      </c>
      <c r="D53" s="196">
        <v>0.01</v>
      </c>
      <c r="E53" s="58"/>
      <c r="F53" s="58"/>
      <c r="G53" s="58"/>
      <c r="H53" s="59"/>
    </row>
    <row r="54" spans="1:8" x14ac:dyDescent="0.25">
      <c r="A54" s="65"/>
      <c r="B54" s="55"/>
      <c r="C54" s="55"/>
      <c r="D54" s="58"/>
      <c r="E54" s="58"/>
      <c r="F54" s="58"/>
      <c r="G54" s="58"/>
      <c r="H54" s="59"/>
    </row>
    <row r="55" spans="1:8" ht="14.4" thickBot="1" x14ac:dyDescent="0.3">
      <c r="A55" s="62"/>
      <c r="B55" s="58"/>
      <c r="C55" s="58"/>
      <c r="D55" s="58"/>
      <c r="E55" s="58"/>
      <c r="F55" s="58"/>
      <c r="G55" s="58"/>
      <c r="H55" s="59"/>
    </row>
    <row r="56" spans="1:8" s="77" customFormat="1" ht="15" customHeight="1" thickBot="1" x14ac:dyDescent="0.3">
      <c r="A56" s="298" t="s">
        <v>147</v>
      </c>
      <c r="B56" s="299"/>
      <c r="C56" s="299"/>
      <c r="D56" s="299"/>
      <c r="E56" s="299"/>
      <c r="F56" s="299"/>
      <c r="G56" s="299"/>
      <c r="H56" s="300"/>
    </row>
    <row r="57" spans="1:8" x14ac:dyDescent="0.25">
      <c r="A57" s="66" t="s">
        <v>60</v>
      </c>
      <c r="B57" s="13" t="s">
        <v>74</v>
      </c>
      <c r="C57" s="13" t="s">
        <v>75</v>
      </c>
      <c r="D57" s="13" t="s">
        <v>6</v>
      </c>
      <c r="E57" s="58"/>
      <c r="F57" s="58"/>
      <c r="G57" s="58"/>
      <c r="H57" s="59"/>
    </row>
    <row r="58" spans="1:8" x14ac:dyDescent="0.25">
      <c r="A58" s="67" t="s">
        <v>62</v>
      </c>
      <c r="B58" s="50">
        <f>$B$15</f>
        <v>10</v>
      </c>
      <c r="C58" s="49">
        <v>100</v>
      </c>
      <c r="D58" s="14">
        <f>B58*C58</f>
        <v>1000</v>
      </c>
      <c r="E58" s="58"/>
      <c r="F58" s="58"/>
      <c r="G58" s="58"/>
      <c r="H58" s="59"/>
    </row>
    <row r="59" spans="1:8" ht="41.4" x14ac:dyDescent="0.25">
      <c r="A59" s="78" t="s">
        <v>144</v>
      </c>
      <c r="B59" s="49"/>
      <c r="C59" s="49"/>
      <c r="D59" s="14">
        <f>B59*C59</f>
        <v>0</v>
      </c>
      <c r="E59" s="58"/>
      <c r="F59" s="58"/>
      <c r="G59" s="58"/>
      <c r="H59" s="59"/>
    </row>
    <row r="60" spans="1:8" ht="41.4" x14ac:dyDescent="0.25">
      <c r="A60" s="78" t="s">
        <v>145</v>
      </c>
      <c r="B60" s="49"/>
      <c r="C60" s="49"/>
      <c r="D60" s="14">
        <f t="shared" ref="D60:D66" si="5">B60*C60</f>
        <v>0</v>
      </c>
      <c r="E60" s="58"/>
      <c r="F60" s="58"/>
      <c r="G60" s="58"/>
      <c r="H60" s="59"/>
    </row>
    <row r="61" spans="1:8" x14ac:dyDescent="0.25">
      <c r="A61" s="68" t="s">
        <v>87</v>
      </c>
      <c r="B61" s="49"/>
      <c r="C61" s="49"/>
      <c r="D61" s="14">
        <f t="shared" si="5"/>
        <v>0</v>
      </c>
      <c r="E61" s="58"/>
      <c r="F61" s="58"/>
      <c r="G61" s="58"/>
      <c r="H61" s="59"/>
    </row>
    <row r="62" spans="1:8" x14ac:dyDescent="0.25">
      <c r="A62" s="68" t="s">
        <v>88</v>
      </c>
      <c r="B62" s="49"/>
      <c r="C62" s="49"/>
      <c r="D62" s="14">
        <f t="shared" si="5"/>
        <v>0</v>
      </c>
      <c r="E62" s="58"/>
      <c r="F62" s="58"/>
      <c r="G62" s="58"/>
      <c r="H62" s="59"/>
    </row>
    <row r="63" spans="1:8" ht="27.6" x14ac:dyDescent="0.25">
      <c r="A63" s="78" t="s">
        <v>142</v>
      </c>
      <c r="B63" s="49"/>
      <c r="C63" s="49"/>
      <c r="D63" s="14">
        <f t="shared" si="5"/>
        <v>0</v>
      </c>
      <c r="E63" s="58"/>
      <c r="F63" s="58"/>
      <c r="G63" s="58"/>
      <c r="H63" s="59"/>
    </row>
    <row r="64" spans="1:8" x14ac:dyDescent="0.25">
      <c r="A64" s="78"/>
      <c r="B64" s="49"/>
      <c r="C64" s="49"/>
      <c r="D64" s="14">
        <f t="shared" si="5"/>
        <v>0</v>
      </c>
      <c r="E64" s="58"/>
      <c r="F64" s="58"/>
      <c r="G64" s="58"/>
      <c r="H64" s="59"/>
    </row>
    <row r="65" spans="1:8" x14ac:dyDescent="0.25">
      <c r="A65" s="78"/>
      <c r="B65" s="49"/>
      <c r="C65" s="49"/>
      <c r="D65" s="14">
        <f t="shared" si="5"/>
        <v>0</v>
      </c>
      <c r="E65" s="58"/>
      <c r="F65" s="58"/>
      <c r="G65" s="58"/>
      <c r="H65" s="59"/>
    </row>
    <row r="66" spans="1:8" x14ac:dyDescent="0.25">
      <c r="A66" s="78"/>
      <c r="B66" s="49"/>
      <c r="C66" s="49"/>
      <c r="D66" s="14">
        <f t="shared" si="5"/>
        <v>0</v>
      </c>
      <c r="E66" s="58"/>
      <c r="F66" s="58"/>
      <c r="G66" s="58"/>
      <c r="H66" s="59"/>
    </row>
    <row r="67" spans="1:8" x14ac:dyDescent="0.25">
      <c r="A67" s="68"/>
      <c r="B67" s="49"/>
      <c r="C67" s="49"/>
      <c r="D67" s="14">
        <f>B67*C67</f>
        <v>0</v>
      </c>
      <c r="E67" s="58"/>
      <c r="F67" s="58"/>
      <c r="G67" s="58"/>
      <c r="H67" s="59"/>
    </row>
    <row r="68" spans="1:8" ht="14.4" thickBot="1" x14ac:dyDescent="0.3">
      <c r="A68" s="69" t="s">
        <v>61</v>
      </c>
      <c r="B68" s="70"/>
      <c r="C68" s="70"/>
      <c r="D68" s="70">
        <f>SUM(D58:D67)</f>
        <v>1000</v>
      </c>
      <c r="E68" s="58"/>
      <c r="F68" s="58"/>
      <c r="G68" s="58"/>
      <c r="H68" s="59"/>
    </row>
    <row r="69" spans="1:8" ht="28.2" thickBot="1" x14ac:dyDescent="0.3">
      <c r="A69" s="78" t="s">
        <v>232</v>
      </c>
      <c r="B69" s="70"/>
      <c r="C69" s="70"/>
      <c r="D69" s="70">
        <f>D68+D113+D152+D191+D230+D269+D308+D347+D386+D425+D464</f>
        <v>1000</v>
      </c>
      <c r="E69" s="58"/>
      <c r="F69" s="58"/>
      <c r="G69" s="58"/>
      <c r="H69" s="59"/>
    </row>
    <row r="70" spans="1:8" x14ac:dyDescent="0.25">
      <c r="A70" s="58"/>
      <c r="B70" s="58"/>
      <c r="C70" s="58"/>
      <c r="D70" s="58"/>
      <c r="E70" s="58"/>
      <c r="F70" s="58"/>
      <c r="G70" s="58"/>
      <c r="H70" s="59"/>
    </row>
    <row r="71" spans="1:8" ht="16.2" customHeight="1" x14ac:dyDescent="0.25">
      <c r="A71" s="58"/>
      <c r="B71" s="58"/>
      <c r="C71" s="58"/>
      <c r="D71" s="58"/>
      <c r="E71" s="58"/>
      <c r="F71" s="58"/>
      <c r="G71" s="58"/>
      <c r="H71" s="59"/>
    </row>
    <row r="72" spans="1:8" ht="16.8" customHeight="1" x14ac:dyDescent="0.25">
      <c r="A72" s="58"/>
      <c r="B72" s="58"/>
      <c r="C72" s="58"/>
      <c r="D72" s="58"/>
      <c r="E72" s="58"/>
      <c r="F72" s="58"/>
      <c r="G72" s="58"/>
      <c r="H72" s="59"/>
    </row>
    <row r="73" spans="1:8" ht="16.8" customHeight="1" x14ac:dyDescent="0.25">
      <c r="A73" s="58"/>
      <c r="B73" s="58"/>
      <c r="C73" s="58"/>
      <c r="D73" s="58"/>
      <c r="E73" s="58"/>
      <c r="F73" s="58"/>
      <c r="G73" s="58"/>
      <c r="H73" s="59"/>
    </row>
    <row r="74" spans="1:8" x14ac:dyDescent="0.25">
      <c r="A74" s="58"/>
      <c r="B74" s="58"/>
      <c r="C74" s="58"/>
      <c r="D74" s="58"/>
      <c r="E74" s="58"/>
      <c r="F74" s="58"/>
      <c r="G74" s="58"/>
      <c r="H74" s="59"/>
    </row>
    <row r="75" spans="1:8" x14ac:dyDescent="0.25">
      <c r="A75" s="58"/>
      <c r="B75" s="58"/>
      <c r="C75" s="58"/>
      <c r="D75" s="58"/>
      <c r="E75" s="58"/>
      <c r="F75" s="58"/>
      <c r="G75" s="58"/>
      <c r="H75" s="59"/>
    </row>
    <row r="76" spans="1:8" ht="14.4" thickBot="1" x14ac:dyDescent="0.3">
      <c r="A76" s="58"/>
      <c r="B76" s="58"/>
      <c r="C76" s="58"/>
      <c r="D76" s="58"/>
      <c r="E76" s="58"/>
      <c r="F76" s="58"/>
      <c r="G76" s="58"/>
      <c r="H76" s="59"/>
    </row>
    <row r="77" spans="1:8" ht="18" thickBot="1" x14ac:dyDescent="0.35">
      <c r="A77" s="317" t="s">
        <v>231</v>
      </c>
      <c r="B77" s="318"/>
      <c r="C77" s="318"/>
      <c r="D77" s="318"/>
      <c r="E77" s="318"/>
      <c r="F77" s="318"/>
      <c r="G77" s="318"/>
      <c r="H77" s="319"/>
    </row>
    <row r="78" spans="1:8" ht="14.4" thickBot="1" x14ac:dyDescent="0.3">
      <c r="A78" s="81"/>
      <c r="B78" s="82"/>
      <c r="C78" s="82"/>
      <c r="D78" s="58"/>
      <c r="E78" s="58"/>
      <c r="F78" s="58"/>
      <c r="G78" s="58"/>
      <c r="H78" s="59"/>
    </row>
    <row r="79" spans="1:8" ht="16.2" thickBot="1" x14ac:dyDescent="0.35">
      <c r="A79" s="308" t="s">
        <v>221</v>
      </c>
      <c r="B79" s="309"/>
      <c r="C79" s="310"/>
      <c r="D79" s="73" t="s">
        <v>42</v>
      </c>
      <c r="E79" s="58"/>
      <c r="F79" s="58"/>
      <c r="G79" s="58"/>
      <c r="H79" s="59"/>
    </row>
    <row r="80" spans="1:8" ht="16.8" thickTop="1" thickBot="1" x14ac:dyDescent="0.35">
      <c r="A80" s="311" t="s">
        <v>45</v>
      </c>
      <c r="B80" s="312"/>
      <c r="C80" s="313"/>
      <c r="D80" s="20">
        <f>SUM(G85:G98)+C103*$B$15+SUM(D104:D112)</f>
        <v>385863.6</v>
      </c>
      <c r="E80" s="58"/>
      <c r="F80" s="58"/>
      <c r="G80" s="58"/>
      <c r="H80" s="59"/>
    </row>
    <row r="81" spans="1:8" ht="15" thickTop="1" thickBot="1" x14ac:dyDescent="0.3">
      <c r="A81" s="81"/>
      <c r="B81" s="82"/>
      <c r="C81" s="82"/>
      <c r="D81" s="58"/>
      <c r="E81" s="58"/>
      <c r="F81" s="58"/>
      <c r="G81" s="58"/>
      <c r="H81" s="59"/>
    </row>
    <row r="82" spans="1:8" ht="14.4" thickBot="1" x14ac:dyDescent="0.3">
      <c r="A82" s="298" t="s">
        <v>148</v>
      </c>
      <c r="B82" s="299"/>
      <c r="C82" s="299"/>
      <c r="D82" s="299"/>
      <c r="E82" s="299"/>
      <c r="F82" s="299"/>
      <c r="G82" s="299"/>
      <c r="H82" s="300"/>
    </row>
    <row r="83" spans="1:8" ht="14.4" thickBot="1" x14ac:dyDescent="0.3">
      <c r="A83" s="81"/>
      <c r="B83" s="82"/>
      <c r="C83" s="82"/>
      <c r="D83" s="58"/>
      <c r="E83" s="58"/>
      <c r="F83" s="58"/>
      <c r="G83" s="58"/>
      <c r="H83" s="59"/>
    </row>
    <row r="84" spans="1:8" ht="52.8" x14ac:dyDescent="0.25">
      <c r="A84" s="6" t="s">
        <v>49</v>
      </c>
      <c r="B84" s="7" t="s">
        <v>47</v>
      </c>
      <c r="C84" s="7" t="s">
        <v>95</v>
      </c>
      <c r="D84" s="7" t="s">
        <v>50</v>
      </c>
      <c r="E84" s="7" t="s">
        <v>51</v>
      </c>
      <c r="F84" s="7" t="s">
        <v>67</v>
      </c>
      <c r="G84" s="8" t="s">
        <v>56</v>
      </c>
      <c r="H84" s="79" t="s">
        <v>96</v>
      </c>
    </row>
    <row r="85" spans="1:8" x14ac:dyDescent="0.25">
      <c r="A85" s="78" t="s">
        <v>57</v>
      </c>
      <c r="B85" s="10" t="s">
        <v>55</v>
      </c>
      <c r="C85" s="88" t="s">
        <v>93</v>
      </c>
      <c r="D85" s="47">
        <v>10</v>
      </c>
      <c r="E85" s="47">
        <v>1500</v>
      </c>
      <c r="F85" s="11">
        <f t="shared" ref="F85:F92" si="6">D85*E85</f>
        <v>15000</v>
      </c>
      <c r="G85" s="1">
        <f>IF(AND(B85=Справочник!$A$2, C85=Справочник!$A$8), "Не заполнена должность", IF(AND(B85=Справочник!$A$2, C85=Справочник!$A$7), F85*1.18*1.302, IF(AND(B85=Справочник!$A$2, C85=Справочник!$A$6),F85*1.11*1.302, F85*1.3)))</f>
        <v>19500</v>
      </c>
      <c r="H85" s="80">
        <f t="shared" ref="H85:H98" si="7">F85*0.87</f>
        <v>13050</v>
      </c>
    </row>
    <row r="86" spans="1:8" x14ac:dyDescent="0.25">
      <c r="A86" s="78" t="s">
        <v>81</v>
      </c>
      <c r="B86" s="10" t="s">
        <v>54</v>
      </c>
      <c r="C86" s="88" t="s">
        <v>94</v>
      </c>
      <c r="D86" s="47">
        <v>1</v>
      </c>
      <c r="E86" s="47">
        <v>10000</v>
      </c>
      <c r="F86" s="11">
        <f t="shared" si="6"/>
        <v>10000</v>
      </c>
      <c r="G86" s="1">
        <f>IF(AND(B86=Справочник!$A$2, C86=Справочник!$A$8), "Не заполнена должность", IF(AND(B86=Справочник!$A$2, C86=Справочник!$A$7), F86*1.18*1.302, IF(AND(B86=Справочник!$A$2, C86=Справочник!$A$6),F86*1.11*1.302, F86*1.3)))</f>
        <v>15363.6</v>
      </c>
      <c r="H86" s="80">
        <f t="shared" si="7"/>
        <v>8700</v>
      </c>
    </row>
    <row r="87" spans="1:8" x14ac:dyDescent="0.25">
      <c r="A87" s="78" t="s">
        <v>52</v>
      </c>
      <c r="B87" s="10" t="s">
        <v>55</v>
      </c>
      <c r="C87" s="88"/>
      <c r="D87" s="47">
        <v>1</v>
      </c>
      <c r="E87" s="47">
        <v>20000</v>
      </c>
      <c r="F87" s="11">
        <f t="shared" si="6"/>
        <v>20000</v>
      </c>
      <c r="G87" s="1">
        <f>IF(AND(B87=Справочник!$A$2, C87=Справочник!$A$8), "Не заполнена должность", IF(AND(B87=Справочник!$A$2, C87=Справочник!$A$7), F87*1.18*1.302, IF(AND(B87=Справочник!$A$2, C87=Справочник!$A$6),F87*1.11*1.302, F87*1.3)))</f>
        <v>26000</v>
      </c>
      <c r="H87" s="80">
        <f t="shared" si="7"/>
        <v>17400</v>
      </c>
    </row>
    <row r="88" spans="1:8" ht="27.6" x14ac:dyDescent="0.25">
      <c r="A88" s="78" t="s">
        <v>123</v>
      </c>
      <c r="B88" s="10" t="s">
        <v>55</v>
      </c>
      <c r="C88" s="88"/>
      <c r="D88" s="47">
        <v>1</v>
      </c>
      <c r="E88" s="47">
        <v>30000</v>
      </c>
      <c r="F88" s="11">
        <f t="shared" si="6"/>
        <v>30000</v>
      </c>
      <c r="G88" s="1">
        <f>IF(AND(B88=Справочник!$A$2, C88=Справочник!$A$8), "Не заполнена должность", IF(AND(B88=Справочник!$A$2, C88=Справочник!$A$7), F88*1.18*1.302, IF(AND(B88=Справочник!$A$2, C88=Справочник!$A$6),F88*1.11*1.302, F88*1.3)))</f>
        <v>39000</v>
      </c>
      <c r="H88" s="80">
        <f t="shared" si="7"/>
        <v>26100</v>
      </c>
    </row>
    <row r="89" spans="1:8" x14ac:dyDescent="0.25">
      <c r="A89" s="78" t="s">
        <v>79</v>
      </c>
      <c r="B89" s="10" t="s">
        <v>55</v>
      </c>
      <c r="C89" s="88"/>
      <c r="D89" s="47">
        <v>1</v>
      </c>
      <c r="E89" s="47">
        <v>40000</v>
      </c>
      <c r="F89" s="11">
        <f t="shared" si="6"/>
        <v>40000</v>
      </c>
      <c r="G89" s="1">
        <f>IF(AND(B89=Справочник!$A$2, C89=Справочник!$A$8), "Не заполнена должность", IF(AND(B89=Справочник!$A$2, C89=Справочник!$A$7), F89*1.18*1.302, IF(AND(B89=Справочник!$A$2, C89=Справочник!$A$6),F89*1.11*1.302, F89*1.3)))</f>
        <v>52000</v>
      </c>
      <c r="H89" s="80">
        <f t="shared" si="7"/>
        <v>34800</v>
      </c>
    </row>
    <row r="90" spans="1:8" x14ac:dyDescent="0.25">
      <c r="A90" s="78" t="s">
        <v>80</v>
      </c>
      <c r="B90" s="10" t="s">
        <v>55</v>
      </c>
      <c r="C90" s="88"/>
      <c r="D90" s="47">
        <v>1</v>
      </c>
      <c r="E90" s="47">
        <v>50000</v>
      </c>
      <c r="F90" s="11">
        <f t="shared" si="6"/>
        <v>50000</v>
      </c>
      <c r="G90" s="1">
        <f>IF(AND(B90=Справочник!$A$2, C90=Справочник!$A$8), "Не заполнена должность", IF(AND(B90=Справочник!$A$2, C90=Справочник!$A$7), F90*1.18*1.302, IF(AND(B90=Справочник!$A$2, C90=Справочник!$A$6),F90*1.11*1.302, F90*1.3)))</f>
        <v>65000</v>
      </c>
      <c r="H90" s="80">
        <f t="shared" si="7"/>
        <v>43500</v>
      </c>
    </row>
    <row r="91" spans="1:8" x14ac:dyDescent="0.25">
      <c r="A91" s="78" t="s">
        <v>48</v>
      </c>
      <c r="B91" s="10" t="s">
        <v>55</v>
      </c>
      <c r="C91" s="88"/>
      <c r="D91" s="47">
        <v>1</v>
      </c>
      <c r="E91" s="47">
        <v>60000</v>
      </c>
      <c r="F91" s="11">
        <f t="shared" si="6"/>
        <v>60000</v>
      </c>
      <c r="G91" s="1">
        <f>IF(AND(B91=Справочник!$A$2, C91=Справочник!$A$8), "Не заполнена должность", IF(AND(B91=Справочник!$A$2, C91=Справочник!$A$7), F91*1.18*1.302, IF(AND(B91=Справочник!$A$2, C91=Справочник!$A$6),F91*1.11*1.302, F91*1.3)))</f>
        <v>78000</v>
      </c>
      <c r="H91" s="80">
        <f t="shared" si="7"/>
        <v>52200</v>
      </c>
    </row>
    <row r="92" spans="1:8" ht="27.6" x14ac:dyDescent="0.25">
      <c r="A92" s="78" t="s">
        <v>111</v>
      </c>
      <c r="B92" s="10" t="s">
        <v>55</v>
      </c>
      <c r="C92" s="88"/>
      <c r="D92" s="47">
        <v>1</v>
      </c>
      <c r="E92" s="47">
        <v>70000</v>
      </c>
      <c r="F92" s="11">
        <f t="shared" si="6"/>
        <v>70000</v>
      </c>
      <c r="G92" s="1">
        <f>IF(AND(B92=Справочник!$A$2, C92=Справочник!$A$8), "Не заполнена должность", IF(AND(B92=Справочник!$A$2, C92=Справочник!$A$7), F92*1.18*1.302, IF(AND(B92=Справочник!$A$2, C92=Справочник!$A$6),F92*1.11*1.302, F92*1.3)))</f>
        <v>91000</v>
      </c>
      <c r="H92" s="80">
        <f t="shared" si="7"/>
        <v>60900</v>
      </c>
    </row>
    <row r="93" spans="1:8" x14ac:dyDescent="0.25">
      <c r="A93" s="78"/>
      <c r="B93" s="10"/>
      <c r="C93" s="88"/>
      <c r="D93" s="47"/>
      <c r="E93" s="47"/>
      <c r="F93" s="11">
        <f t="shared" ref="F93:F98" si="8">D93*E93</f>
        <v>0</v>
      </c>
      <c r="G93" s="1">
        <f>IF(AND(B93=Справочник!$A$2, C93=Справочник!$A$8), "Не заполнена должность", IF(AND(B93=Справочник!$A$2, C93=Справочник!$A$7), F93*1.18*1.302, IF(AND(B93=Справочник!$A$2, C93=Справочник!$A$6),F93*1.11*1.302, F93*1.3)))</f>
        <v>0</v>
      </c>
      <c r="H93" s="80">
        <f t="shared" si="7"/>
        <v>0</v>
      </c>
    </row>
    <row r="94" spans="1:8" x14ac:dyDescent="0.25">
      <c r="A94" s="78"/>
      <c r="B94" s="10"/>
      <c r="C94" s="88"/>
      <c r="D94" s="47"/>
      <c r="E94" s="47"/>
      <c r="F94" s="11">
        <f t="shared" si="8"/>
        <v>0</v>
      </c>
      <c r="G94" s="1">
        <f>IF(AND(B94=Справочник!$A$2, C94=Справочник!$A$8), "Не заполнена должность", IF(AND(B94=Справочник!$A$2, C94=Справочник!$A$7), F94*1.18*1.302, IF(AND(B94=Справочник!$A$2, C94=Справочник!$A$6),F94*1.11*1.302, F94*1.3)))</f>
        <v>0</v>
      </c>
      <c r="H94" s="80">
        <f t="shared" si="7"/>
        <v>0</v>
      </c>
    </row>
    <row r="95" spans="1:8" x14ac:dyDescent="0.25">
      <c r="A95" s="78"/>
      <c r="B95" s="10"/>
      <c r="C95" s="88"/>
      <c r="D95" s="47"/>
      <c r="E95" s="47"/>
      <c r="F95" s="11">
        <f t="shared" si="8"/>
        <v>0</v>
      </c>
      <c r="G95" s="1">
        <f>IF(AND(B95=Справочник!$A$2, C95=Справочник!$A$8), "Не заполнена должность", IF(AND(B95=Справочник!$A$2, C95=Справочник!$A$7), F95*1.18*1.302, IF(AND(B95=Справочник!$A$2, C95=Справочник!$A$6),F95*1.11*1.302, F95*1.3)))</f>
        <v>0</v>
      </c>
      <c r="H95" s="80">
        <f t="shared" si="7"/>
        <v>0</v>
      </c>
    </row>
    <row r="96" spans="1:8" x14ac:dyDescent="0.25">
      <c r="A96" s="78"/>
      <c r="B96" s="10"/>
      <c r="C96" s="88"/>
      <c r="D96" s="47"/>
      <c r="E96" s="47"/>
      <c r="F96" s="11">
        <f t="shared" si="8"/>
        <v>0</v>
      </c>
      <c r="G96" s="1">
        <f>IF(AND(B96=Справочник!$A$2, C96=Справочник!$A$8), "Не заполнена должность", IF(AND(B96=Справочник!$A$2, C96=Справочник!$A$7), F96*1.18*1.302, IF(AND(B96=Справочник!$A$2, C96=Справочник!$A$6),F96*1.11*1.302, F96*1.3)))</f>
        <v>0</v>
      </c>
      <c r="H96" s="80">
        <f t="shared" si="7"/>
        <v>0</v>
      </c>
    </row>
    <row r="97" spans="1:8" x14ac:dyDescent="0.25">
      <c r="A97" s="78"/>
      <c r="B97" s="10"/>
      <c r="C97" s="88"/>
      <c r="D97" s="47"/>
      <c r="E97" s="47"/>
      <c r="F97" s="11">
        <f t="shared" si="8"/>
        <v>0</v>
      </c>
      <c r="G97" s="1">
        <f>IF(AND(B97=Справочник!$A$2, C97=Справочник!$A$8), "Не заполнена должность", IF(AND(B97=Справочник!$A$2, C97=Справочник!$A$7), F97*1.18*1.302, IF(AND(B97=Справочник!$A$2, C97=Справочник!$A$6),F97*1.11*1.302, F97*1.3)))</f>
        <v>0</v>
      </c>
      <c r="H97" s="80">
        <f t="shared" si="7"/>
        <v>0</v>
      </c>
    </row>
    <row r="98" spans="1:8" x14ac:dyDescent="0.25">
      <c r="A98" s="9"/>
      <c r="B98" s="10"/>
      <c r="C98" s="88"/>
      <c r="D98" s="47"/>
      <c r="E98" s="47"/>
      <c r="F98" s="11">
        <f t="shared" si="8"/>
        <v>0</v>
      </c>
      <c r="G98" s="1">
        <f>IF(AND(B98=Справочник!$A$2, C98=Справочник!$A$8), "Не заполнена должность", IF(AND(B98=Справочник!$A$2, C98=Справочник!$A$7), F98*1.18*1.302, IF(AND(B98=Справочник!$A$2, C98=Справочник!$A$6),F98*1.11*1.302, F98*1.3)))</f>
        <v>0</v>
      </c>
      <c r="H98" s="80">
        <f t="shared" si="7"/>
        <v>0</v>
      </c>
    </row>
    <row r="99" spans="1:8" x14ac:dyDescent="0.25">
      <c r="A99" s="174"/>
      <c r="B99" s="175"/>
      <c r="C99" s="175"/>
      <c r="D99" s="175"/>
      <c r="E99" s="175"/>
      <c r="F99" s="175"/>
      <c r="G99" s="175"/>
      <c r="H99" s="176"/>
    </row>
    <row r="100" spans="1:8" ht="14.4" thickBot="1" x14ac:dyDescent="0.3">
      <c r="A100" s="62"/>
      <c r="B100" s="58"/>
      <c r="C100" s="58"/>
      <c r="D100" s="58"/>
      <c r="E100" s="58"/>
      <c r="F100" s="58"/>
      <c r="G100" s="58"/>
      <c r="H100" s="59"/>
    </row>
    <row r="101" spans="1:8" ht="15" customHeight="1" thickBot="1" x14ac:dyDescent="0.3">
      <c r="A101" s="298" t="s">
        <v>147</v>
      </c>
      <c r="B101" s="299"/>
      <c r="C101" s="299"/>
      <c r="D101" s="299"/>
      <c r="E101" s="299"/>
      <c r="F101" s="299"/>
      <c r="G101" s="299"/>
      <c r="H101" s="300"/>
    </row>
    <row r="102" spans="1:8" x14ac:dyDescent="0.25">
      <c r="A102" s="66" t="s">
        <v>60</v>
      </c>
      <c r="B102" s="13" t="s">
        <v>74</v>
      </c>
      <c r="C102" s="13" t="s">
        <v>75</v>
      </c>
      <c r="D102" s="13" t="s">
        <v>6</v>
      </c>
      <c r="E102" s="58"/>
      <c r="F102" s="58"/>
      <c r="G102" s="58"/>
      <c r="H102" s="59"/>
    </row>
    <row r="103" spans="1:8" x14ac:dyDescent="0.25">
      <c r="A103" s="67" t="s">
        <v>62</v>
      </c>
      <c r="B103" s="50">
        <f>$B$15</f>
        <v>10</v>
      </c>
      <c r="C103" s="49"/>
      <c r="D103" s="14">
        <f>B103*C103</f>
        <v>0</v>
      </c>
      <c r="E103" s="58"/>
      <c r="F103" s="58"/>
      <c r="G103" s="58"/>
      <c r="H103" s="59"/>
    </row>
    <row r="104" spans="1:8" ht="41.4" x14ac:dyDescent="0.25">
      <c r="A104" s="78" t="s">
        <v>144</v>
      </c>
      <c r="B104" s="49"/>
      <c r="C104" s="49"/>
      <c r="D104" s="14">
        <f>B104*C104</f>
        <v>0</v>
      </c>
      <c r="E104" s="58"/>
      <c r="F104" s="58"/>
      <c r="G104" s="58"/>
      <c r="H104" s="59"/>
    </row>
    <row r="105" spans="1:8" ht="41.4" x14ac:dyDescent="0.25">
      <c r="A105" s="78" t="s">
        <v>145</v>
      </c>
      <c r="B105" s="49"/>
      <c r="C105" s="49"/>
      <c r="D105" s="14">
        <f t="shared" ref="D105:D111" si="9">B105*C105</f>
        <v>0</v>
      </c>
      <c r="E105" s="58"/>
      <c r="F105" s="58"/>
      <c r="G105" s="58"/>
      <c r="H105" s="59"/>
    </row>
    <row r="106" spans="1:8" x14ac:dyDescent="0.25">
      <c r="A106" s="68" t="s">
        <v>87</v>
      </c>
      <c r="B106" s="49"/>
      <c r="C106" s="49"/>
      <c r="D106" s="14">
        <f t="shared" si="9"/>
        <v>0</v>
      </c>
      <c r="E106" s="58"/>
      <c r="F106" s="58"/>
      <c r="G106" s="58"/>
      <c r="H106" s="59"/>
    </row>
    <row r="107" spans="1:8" x14ac:dyDescent="0.25">
      <c r="A107" s="68" t="s">
        <v>88</v>
      </c>
      <c r="B107" s="49"/>
      <c r="C107" s="49"/>
      <c r="D107" s="14">
        <f t="shared" si="9"/>
        <v>0</v>
      </c>
      <c r="E107" s="58"/>
      <c r="F107" s="58"/>
      <c r="G107" s="58"/>
      <c r="H107" s="59"/>
    </row>
    <row r="108" spans="1:8" ht="27.6" x14ac:dyDescent="0.25">
      <c r="A108" s="78" t="s">
        <v>142</v>
      </c>
      <c r="B108" s="49"/>
      <c r="C108" s="49"/>
      <c r="D108" s="14">
        <f t="shared" si="9"/>
        <v>0</v>
      </c>
      <c r="E108" s="58"/>
      <c r="F108" s="58"/>
      <c r="G108" s="58"/>
      <c r="H108" s="59"/>
    </row>
    <row r="109" spans="1:8" x14ac:dyDescent="0.25">
      <c r="A109" s="78"/>
      <c r="B109" s="49"/>
      <c r="C109" s="49"/>
      <c r="D109" s="14">
        <f t="shared" si="9"/>
        <v>0</v>
      </c>
      <c r="E109" s="58"/>
      <c r="F109" s="58"/>
      <c r="G109" s="58"/>
      <c r="H109" s="59"/>
    </row>
    <row r="110" spans="1:8" x14ac:dyDescent="0.25">
      <c r="A110" s="78"/>
      <c r="B110" s="49"/>
      <c r="C110" s="49"/>
      <c r="D110" s="14">
        <f t="shared" si="9"/>
        <v>0</v>
      </c>
      <c r="E110" s="58"/>
      <c r="F110" s="58"/>
      <c r="G110" s="58"/>
      <c r="H110" s="59"/>
    </row>
    <row r="111" spans="1:8" x14ac:dyDescent="0.25">
      <c r="A111" s="78"/>
      <c r="B111" s="49"/>
      <c r="C111" s="49"/>
      <c r="D111" s="14">
        <f t="shared" si="9"/>
        <v>0</v>
      </c>
      <c r="E111" s="58"/>
      <c r="F111" s="58"/>
      <c r="G111" s="58"/>
      <c r="H111" s="59"/>
    </row>
    <row r="112" spans="1:8" x14ac:dyDescent="0.25">
      <c r="A112" s="68"/>
      <c r="B112" s="49"/>
      <c r="C112" s="49"/>
      <c r="D112" s="14">
        <f>B112*C112</f>
        <v>0</v>
      </c>
      <c r="E112" s="58"/>
      <c r="F112" s="58"/>
      <c r="G112" s="58"/>
      <c r="H112" s="59"/>
    </row>
    <row r="113" spans="1:8" ht="14.4" thickBot="1" x14ac:dyDescent="0.3">
      <c r="A113" s="69" t="s">
        <v>61</v>
      </c>
      <c r="B113" s="70"/>
      <c r="C113" s="70"/>
      <c r="D113" s="70">
        <f>SUM(D103:D112)</f>
        <v>0</v>
      </c>
      <c r="E113" s="71"/>
      <c r="F113" s="71"/>
      <c r="G113" s="71"/>
      <c r="H113" s="72"/>
    </row>
    <row r="114" spans="1:8" x14ac:dyDescent="0.25">
      <c r="A114" s="58"/>
      <c r="B114" s="58"/>
      <c r="C114" s="58"/>
      <c r="D114" s="58"/>
      <c r="E114" s="58"/>
      <c r="F114" s="58"/>
      <c r="G114" s="58"/>
      <c r="H114" s="59"/>
    </row>
    <row r="115" spans="1:8" ht="14.4" thickBot="1" x14ac:dyDescent="0.3">
      <c r="A115" s="58"/>
      <c r="B115" s="58"/>
      <c r="C115" s="58"/>
      <c r="D115" s="58"/>
      <c r="E115" s="58"/>
      <c r="F115" s="58"/>
      <c r="G115" s="58"/>
      <c r="H115" s="59"/>
    </row>
    <row r="116" spans="1:8" ht="18" thickBot="1" x14ac:dyDescent="0.35">
      <c r="A116" s="317" t="s">
        <v>230</v>
      </c>
      <c r="B116" s="318"/>
      <c r="C116" s="318"/>
      <c r="D116" s="318"/>
      <c r="E116" s="318"/>
      <c r="F116" s="318"/>
      <c r="G116" s="318"/>
      <c r="H116" s="319"/>
    </row>
    <row r="117" spans="1:8" ht="14.4" thickBot="1" x14ac:dyDescent="0.3">
      <c r="A117" s="81"/>
      <c r="B117" s="82"/>
      <c r="C117" s="82"/>
      <c r="D117" s="58"/>
      <c r="E117" s="58"/>
      <c r="F117" s="58"/>
      <c r="G117" s="58"/>
      <c r="H117" s="59"/>
    </row>
    <row r="118" spans="1:8" ht="16.2" thickBot="1" x14ac:dyDescent="0.35">
      <c r="A118" s="308" t="s">
        <v>221</v>
      </c>
      <c r="B118" s="309"/>
      <c r="C118" s="310"/>
      <c r="D118" s="73" t="s">
        <v>42</v>
      </c>
      <c r="E118" s="58"/>
      <c r="F118" s="58"/>
      <c r="G118" s="58"/>
      <c r="H118" s="59"/>
    </row>
    <row r="119" spans="1:8" ht="16.8" thickTop="1" thickBot="1" x14ac:dyDescent="0.35">
      <c r="A119" s="311" t="s">
        <v>45</v>
      </c>
      <c r="B119" s="312"/>
      <c r="C119" s="313"/>
      <c r="D119" s="20">
        <f>SUM(G124:G137)+C142*$B$15+SUM(D143:D151)</f>
        <v>0</v>
      </c>
      <c r="E119" s="58"/>
      <c r="F119" s="58"/>
      <c r="G119" s="58"/>
      <c r="H119" s="59"/>
    </row>
    <row r="120" spans="1:8" ht="15" thickTop="1" thickBot="1" x14ac:dyDescent="0.3">
      <c r="A120" s="81"/>
      <c r="B120" s="82"/>
      <c r="C120" s="82"/>
      <c r="D120" s="58"/>
      <c r="E120" s="58"/>
      <c r="F120" s="58"/>
      <c r="G120" s="58"/>
      <c r="H120" s="59"/>
    </row>
    <row r="121" spans="1:8" ht="14.4" thickBot="1" x14ac:dyDescent="0.3">
      <c r="A121" s="298" t="s">
        <v>148</v>
      </c>
      <c r="B121" s="299"/>
      <c r="C121" s="299"/>
      <c r="D121" s="299"/>
      <c r="E121" s="299"/>
      <c r="F121" s="299"/>
      <c r="G121" s="299"/>
      <c r="H121" s="300"/>
    </row>
    <row r="122" spans="1:8" ht="14.4" thickBot="1" x14ac:dyDescent="0.3">
      <c r="A122" s="81"/>
      <c r="B122" s="82"/>
      <c r="C122" s="82"/>
      <c r="D122" s="58"/>
      <c r="E122" s="58"/>
      <c r="F122" s="58"/>
      <c r="G122" s="58"/>
      <c r="H122" s="59"/>
    </row>
    <row r="123" spans="1:8" ht="52.8" x14ac:dyDescent="0.25">
      <c r="A123" s="6" t="s">
        <v>49</v>
      </c>
      <c r="B123" s="7" t="s">
        <v>47</v>
      </c>
      <c r="C123" s="7" t="s">
        <v>95</v>
      </c>
      <c r="D123" s="7" t="s">
        <v>50</v>
      </c>
      <c r="E123" s="7" t="s">
        <v>51</v>
      </c>
      <c r="F123" s="7" t="s">
        <v>67</v>
      </c>
      <c r="G123" s="8" t="s">
        <v>56</v>
      </c>
      <c r="H123" s="79" t="s">
        <v>96</v>
      </c>
    </row>
    <row r="124" spans="1:8" x14ac:dyDescent="0.25">
      <c r="A124" s="78" t="s">
        <v>57</v>
      </c>
      <c r="B124" s="10" t="s">
        <v>55</v>
      </c>
      <c r="C124" s="88" t="s">
        <v>93</v>
      </c>
      <c r="D124" s="47"/>
      <c r="E124" s="47"/>
      <c r="F124" s="11">
        <f t="shared" ref="F124:F137" si="10">D124*E124</f>
        <v>0</v>
      </c>
      <c r="G124" s="1">
        <f>IF(AND(B124=Справочник!$A$2, C124=Справочник!$A$8), "Не заполнена должность", IF(AND(B124=Справочник!$A$2, C124=Справочник!$A$7), F124*1.18*1.302, IF(AND(B124=Справочник!$A$2, C124=Справочник!$A$6),F124*1.11*1.302, F124*1.3)))</f>
        <v>0</v>
      </c>
      <c r="H124" s="80">
        <f t="shared" ref="H124:H137" si="11">F124*0.87</f>
        <v>0</v>
      </c>
    </row>
    <row r="125" spans="1:8" x14ac:dyDescent="0.25">
      <c r="A125" s="78" t="s">
        <v>81</v>
      </c>
      <c r="B125" s="10" t="s">
        <v>54</v>
      </c>
      <c r="C125" s="88" t="s">
        <v>94</v>
      </c>
      <c r="D125" s="47"/>
      <c r="E125" s="47"/>
      <c r="F125" s="11">
        <f t="shared" si="10"/>
        <v>0</v>
      </c>
      <c r="G125" s="1">
        <f>IF(AND(B125=Справочник!$A$2, C125=Справочник!$A$8), "Не заполнена должность", IF(AND(B125=Справочник!$A$2, C125=Справочник!$A$7), F125*1.18*1.302, IF(AND(B125=Справочник!$A$2, C125=Справочник!$A$6),F125*1.11*1.302, F125*1.3)))</f>
        <v>0</v>
      </c>
      <c r="H125" s="80">
        <f t="shared" si="11"/>
        <v>0</v>
      </c>
    </row>
    <row r="126" spans="1:8" x14ac:dyDescent="0.25">
      <c r="A126" s="78" t="s">
        <v>52</v>
      </c>
      <c r="B126" s="10" t="s">
        <v>55</v>
      </c>
      <c r="C126" s="88"/>
      <c r="D126" s="47"/>
      <c r="E126" s="47"/>
      <c r="F126" s="11">
        <f t="shared" si="10"/>
        <v>0</v>
      </c>
      <c r="G126" s="1">
        <f>IF(AND(B126=Справочник!$A$2, C126=Справочник!$A$8), "Не заполнена должность", IF(AND(B126=Справочник!$A$2, C126=Справочник!$A$7), F126*1.18*1.302, IF(AND(B126=Справочник!$A$2, C126=Справочник!$A$6),F126*1.11*1.302, F126*1.3)))</f>
        <v>0</v>
      </c>
      <c r="H126" s="80">
        <f t="shared" si="11"/>
        <v>0</v>
      </c>
    </row>
    <row r="127" spans="1:8" ht="27.6" x14ac:dyDescent="0.25">
      <c r="A127" s="78" t="s">
        <v>123</v>
      </c>
      <c r="B127" s="10" t="s">
        <v>55</v>
      </c>
      <c r="C127" s="88"/>
      <c r="D127" s="47"/>
      <c r="E127" s="47"/>
      <c r="F127" s="11">
        <f t="shared" si="10"/>
        <v>0</v>
      </c>
      <c r="G127" s="1">
        <f>IF(AND(B127=Справочник!$A$2, C127=Справочник!$A$8), "Не заполнена должность", IF(AND(B127=Справочник!$A$2, C127=Справочник!$A$7), F127*1.18*1.302, IF(AND(B127=Справочник!$A$2, C127=Справочник!$A$6),F127*1.11*1.302, F127*1.3)))</f>
        <v>0</v>
      </c>
      <c r="H127" s="80">
        <f t="shared" si="11"/>
        <v>0</v>
      </c>
    </row>
    <row r="128" spans="1:8" x14ac:dyDescent="0.25">
      <c r="A128" s="78" t="s">
        <v>79</v>
      </c>
      <c r="B128" s="10" t="s">
        <v>55</v>
      </c>
      <c r="C128" s="88"/>
      <c r="D128" s="47"/>
      <c r="E128" s="47"/>
      <c r="F128" s="11">
        <f t="shared" si="10"/>
        <v>0</v>
      </c>
      <c r="G128" s="1">
        <f>IF(AND(B128=Справочник!$A$2, C128=Справочник!$A$8), "Не заполнена должность", IF(AND(B128=Справочник!$A$2, C128=Справочник!$A$7), F128*1.18*1.302, IF(AND(B128=Справочник!$A$2, C128=Справочник!$A$6),F128*1.11*1.302, F128*1.3)))</f>
        <v>0</v>
      </c>
      <c r="H128" s="80">
        <f t="shared" si="11"/>
        <v>0</v>
      </c>
    </row>
    <row r="129" spans="1:8" x14ac:dyDescent="0.25">
      <c r="A129" s="78" t="s">
        <v>80</v>
      </c>
      <c r="B129" s="10" t="s">
        <v>55</v>
      </c>
      <c r="C129" s="88"/>
      <c r="D129" s="47"/>
      <c r="E129" s="47"/>
      <c r="F129" s="11">
        <f t="shared" si="10"/>
        <v>0</v>
      </c>
      <c r="G129" s="1">
        <f>IF(AND(B129=Справочник!$A$2, C129=Справочник!$A$8), "Не заполнена должность", IF(AND(B129=Справочник!$A$2, C129=Справочник!$A$7), F129*1.18*1.302, IF(AND(B129=Справочник!$A$2, C129=Справочник!$A$6),F129*1.11*1.302, F129*1.3)))</f>
        <v>0</v>
      </c>
      <c r="H129" s="80">
        <f t="shared" si="11"/>
        <v>0</v>
      </c>
    </row>
    <row r="130" spans="1:8" x14ac:dyDescent="0.25">
      <c r="A130" s="78" t="s">
        <v>48</v>
      </c>
      <c r="B130" s="10" t="s">
        <v>55</v>
      </c>
      <c r="C130" s="88"/>
      <c r="D130" s="47"/>
      <c r="E130" s="47"/>
      <c r="F130" s="11">
        <f t="shared" si="10"/>
        <v>0</v>
      </c>
      <c r="G130" s="1">
        <f>IF(AND(B130=Справочник!$A$2, C130=Справочник!$A$8), "Не заполнена должность", IF(AND(B130=Справочник!$A$2, C130=Справочник!$A$7), F130*1.18*1.302, IF(AND(B130=Справочник!$A$2, C130=Справочник!$A$6),F130*1.11*1.302, F130*1.3)))</f>
        <v>0</v>
      </c>
      <c r="H130" s="80">
        <f t="shared" si="11"/>
        <v>0</v>
      </c>
    </row>
    <row r="131" spans="1:8" ht="27.6" x14ac:dyDescent="0.25">
      <c r="A131" s="78" t="s">
        <v>111</v>
      </c>
      <c r="B131" s="10" t="s">
        <v>55</v>
      </c>
      <c r="C131" s="88"/>
      <c r="D131" s="47"/>
      <c r="E131" s="47"/>
      <c r="F131" s="11">
        <f t="shared" si="10"/>
        <v>0</v>
      </c>
      <c r="G131" s="1">
        <f>IF(AND(B131=Справочник!$A$2, C131=Справочник!$A$8), "Не заполнена должность", IF(AND(B131=Справочник!$A$2, C131=Справочник!$A$7), F131*1.18*1.302, IF(AND(B131=Справочник!$A$2, C131=Справочник!$A$6),F131*1.11*1.302, F131*1.3)))</f>
        <v>0</v>
      </c>
      <c r="H131" s="80">
        <f t="shared" si="11"/>
        <v>0</v>
      </c>
    </row>
    <row r="132" spans="1:8" x14ac:dyDescent="0.25">
      <c r="A132" s="78"/>
      <c r="B132" s="10"/>
      <c r="C132" s="88"/>
      <c r="D132" s="47"/>
      <c r="E132" s="47"/>
      <c r="F132" s="11">
        <f t="shared" si="10"/>
        <v>0</v>
      </c>
      <c r="G132" s="1">
        <f>IF(AND(B132=Справочник!$A$2, C132=Справочник!$A$8), "Не заполнена должность", IF(AND(B132=Справочник!$A$2, C132=Справочник!$A$7), F132*1.18*1.302, IF(AND(B132=Справочник!$A$2, C132=Справочник!$A$6),F132*1.11*1.302, F132*1.3)))</f>
        <v>0</v>
      </c>
      <c r="H132" s="80">
        <f t="shared" si="11"/>
        <v>0</v>
      </c>
    </row>
    <row r="133" spans="1:8" x14ac:dyDescent="0.25">
      <c r="A133" s="78"/>
      <c r="B133" s="10"/>
      <c r="C133" s="88"/>
      <c r="D133" s="47"/>
      <c r="E133" s="47"/>
      <c r="F133" s="11">
        <f t="shared" si="10"/>
        <v>0</v>
      </c>
      <c r="G133" s="1">
        <f>IF(AND(B133=Справочник!$A$2, C133=Справочник!$A$8), "Не заполнена должность", IF(AND(B133=Справочник!$A$2, C133=Справочник!$A$7), F133*1.18*1.302, IF(AND(B133=Справочник!$A$2, C133=Справочник!$A$6),F133*1.11*1.302, F133*1.3)))</f>
        <v>0</v>
      </c>
      <c r="H133" s="80">
        <f t="shared" si="11"/>
        <v>0</v>
      </c>
    </row>
    <row r="134" spans="1:8" x14ac:dyDescent="0.25">
      <c r="A134" s="78"/>
      <c r="B134" s="10"/>
      <c r="C134" s="88"/>
      <c r="D134" s="47"/>
      <c r="E134" s="47"/>
      <c r="F134" s="11">
        <f t="shared" si="10"/>
        <v>0</v>
      </c>
      <c r="G134" s="1">
        <f>IF(AND(B134=Справочник!$A$2, C134=Справочник!$A$8), "Не заполнена должность", IF(AND(B134=Справочник!$A$2, C134=Справочник!$A$7), F134*1.18*1.302, IF(AND(B134=Справочник!$A$2, C134=Справочник!$A$6),F134*1.11*1.302, F134*1.3)))</f>
        <v>0</v>
      </c>
      <c r="H134" s="80">
        <f t="shared" si="11"/>
        <v>0</v>
      </c>
    </row>
    <row r="135" spans="1:8" x14ac:dyDescent="0.25">
      <c r="A135" s="78"/>
      <c r="B135" s="10"/>
      <c r="C135" s="88"/>
      <c r="D135" s="47"/>
      <c r="E135" s="47"/>
      <c r="F135" s="11">
        <f t="shared" si="10"/>
        <v>0</v>
      </c>
      <c r="G135" s="1">
        <f>IF(AND(B135=Справочник!$A$2, C135=Справочник!$A$8), "Не заполнена должность", IF(AND(B135=Справочник!$A$2, C135=Справочник!$A$7), F135*1.18*1.302, IF(AND(B135=Справочник!$A$2, C135=Справочник!$A$6),F135*1.11*1.302, F135*1.3)))</f>
        <v>0</v>
      </c>
      <c r="H135" s="80">
        <f t="shared" si="11"/>
        <v>0</v>
      </c>
    </row>
    <row r="136" spans="1:8" x14ac:dyDescent="0.25">
      <c r="A136" s="78"/>
      <c r="B136" s="10"/>
      <c r="C136" s="88"/>
      <c r="D136" s="47"/>
      <c r="E136" s="47"/>
      <c r="F136" s="11">
        <f t="shared" si="10"/>
        <v>0</v>
      </c>
      <c r="G136" s="1">
        <f>IF(AND(B136=Справочник!$A$2, C136=Справочник!$A$8), "Не заполнена должность", IF(AND(B136=Справочник!$A$2, C136=Справочник!$A$7), F136*1.18*1.302, IF(AND(B136=Справочник!$A$2, C136=Справочник!$A$6),F136*1.11*1.302, F136*1.3)))</f>
        <v>0</v>
      </c>
      <c r="H136" s="80">
        <f t="shared" si="11"/>
        <v>0</v>
      </c>
    </row>
    <row r="137" spans="1:8" x14ac:dyDescent="0.25">
      <c r="A137" s="9"/>
      <c r="B137" s="10"/>
      <c r="C137" s="88"/>
      <c r="D137" s="47"/>
      <c r="E137" s="47"/>
      <c r="F137" s="11">
        <f t="shared" si="10"/>
        <v>0</v>
      </c>
      <c r="G137" s="1">
        <f>IF(AND(B137=Справочник!$A$2, C137=Справочник!$A$8), "Не заполнена должность", IF(AND(B137=Справочник!$A$2, C137=Справочник!$A$7), F137*1.18*1.302, IF(AND(B137=Справочник!$A$2, C137=Справочник!$A$6),F137*1.11*1.302, F137*1.3)))</f>
        <v>0</v>
      </c>
      <c r="H137" s="80">
        <f t="shared" si="11"/>
        <v>0</v>
      </c>
    </row>
    <row r="138" spans="1:8" x14ac:dyDescent="0.25">
      <c r="A138" s="174"/>
      <c r="B138" s="175"/>
      <c r="C138" s="175"/>
      <c r="D138" s="175"/>
      <c r="E138" s="175"/>
      <c r="F138" s="175"/>
      <c r="G138" s="175"/>
      <c r="H138" s="176"/>
    </row>
    <row r="139" spans="1:8" ht="14.4" thickBot="1" x14ac:dyDescent="0.3">
      <c r="A139" s="62"/>
      <c r="B139" s="58"/>
      <c r="C139" s="58"/>
      <c r="D139" s="58"/>
      <c r="E139" s="58"/>
      <c r="F139" s="58"/>
      <c r="G139" s="58"/>
      <c r="H139" s="59"/>
    </row>
    <row r="140" spans="1:8" ht="14.4" thickBot="1" x14ac:dyDescent="0.3">
      <c r="A140" s="298" t="s">
        <v>147</v>
      </c>
      <c r="B140" s="299"/>
      <c r="C140" s="299"/>
      <c r="D140" s="299"/>
      <c r="E140" s="299"/>
      <c r="F140" s="299"/>
      <c r="G140" s="299"/>
      <c r="H140" s="300"/>
    </row>
    <row r="141" spans="1:8" x14ac:dyDescent="0.25">
      <c r="A141" s="66" t="s">
        <v>60</v>
      </c>
      <c r="B141" s="13" t="s">
        <v>74</v>
      </c>
      <c r="C141" s="13" t="s">
        <v>75</v>
      </c>
      <c r="D141" s="13" t="s">
        <v>6</v>
      </c>
      <c r="E141" s="58"/>
      <c r="F141" s="58"/>
      <c r="G141" s="58"/>
      <c r="H141" s="59"/>
    </row>
    <row r="142" spans="1:8" x14ac:dyDescent="0.25">
      <c r="A142" s="67" t="s">
        <v>62</v>
      </c>
      <c r="B142" s="50">
        <f>$B$15</f>
        <v>10</v>
      </c>
      <c r="C142" s="49"/>
      <c r="D142" s="14">
        <f>B142*C142</f>
        <v>0</v>
      </c>
      <c r="E142" s="58"/>
      <c r="F142" s="58"/>
      <c r="G142" s="58"/>
      <c r="H142" s="59"/>
    </row>
    <row r="143" spans="1:8" ht="41.4" x14ac:dyDescent="0.25">
      <c r="A143" s="78" t="s">
        <v>144</v>
      </c>
      <c r="B143" s="49"/>
      <c r="C143" s="49"/>
      <c r="D143" s="14">
        <f>B143*C143</f>
        <v>0</v>
      </c>
      <c r="E143" s="58"/>
      <c r="F143" s="58"/>
      <c r="G143" s="58"/>
      <c r="H143" s="59"/>
    </row>
    <row r="144" spans="1:8" ht="41.4" x14ac:dyDescent="0.25">
      <c r="A144" s="78" t="s">
        <v>145</v>
      </c>
      <c r="B144" s="49"/>
      <c r="C144" s="49"/>
      <c r="D144" s="14">
        <f t="shared" ref="D144:D150" si="12">B144*C144</f>
        <v>0</v>
      </c>
      <c r="E144" s="58"/>
      <c r="F144" s="58"/>
      <c r="G144" s="58"/>
      <c r="H144" s="59"/>
    </row>
    <row r="145" spans="1:8" x14ac:dyDescent="0.25">
      <c r="A145" s="68" t="s">
        <v>87</v>
      </c>
      <c r="B145" s="49"/>
      <c r="C145" s="49"/>
      <c r="D145" s="14">
        <f t="shared" si="12"/>
        <v>0</v>
      </c>
      <c r="E145" s="58"/>
      <c r="F145" s="58"/>
      <c r="G145" s="58"/>
      <c r="H145" s="59"/>
    </row>
    <row r="146" spans="1:8" x14ac:dyDescent="0.25">
      <c r="A146" s="68" t="s">
        <v>88</v>
      </c>
      <c r="B146" s="49"/>
      <c r="C146" s="49"/>
      <c r="D146" s="14">
        <f t="shared" si="12"/>
        <v>0</v>
      </c>
      <c r="E146" s="58"/>
      <c r="F146" s="58"/>
      <c r="G146" s="58"/>
      <c r="H146" s="59"/>
    </row>
    <row r="147" spans="1:8" ht="27.6" x14ac:dyDescent="0.25">
      <c r="A147" s="78" t="s">
        <v>142</v>
      </c>
      <c r="B147" s="49"/>
      <c r="C147" s="49"/>
      <c r="D147" s="14">
        <f t="shared" si="12"/>
        <v>0</v>
      </c>
      <c r="E147" s="58"/>
      <c r="F147" s="58"/>
      <c r="G147" s="58"/>
      <c r="H147" s="59"/>
    </row>
    <row r="148" spans="1:8" x14ac:dyDescent="0.25">
      <c r="A148" s="78"/>
      <c r="B148" s="49"/>
      <c r="C148" s="49"/>
      <c r="D148" s="14">
        <f t="shared" si="12"/>
        <v>0</v>
      </c>
      <c r="E148" s="58"/>
      <c r="F148" s="58"/>
      <c r="G148" s="58"/>
      <c r="H148" s="59"/>
    </row>
    <row r="149" spans="1:8" x14ac:dyDescent="0.25">
      <c r="A149" s="78"/>
      <c r="B149" s="49"/>
      <c r="C149" s="49"/>
      <c r="D149" s="14">
        <f t="shared" si="12"/>
        <v>0</v>
      </c>
      <c r="E149" s="58"/>
      <c r="F149" s="58"/>
      <c r="G149" s="58"/>
      <c r="H149" s="59"/>
    </row>
    <row r="150" spans="1:8" x14ac:dyDescent="0.25">
      <c r="A150" s="78"/>
      <c r="B150" s="49"/>
      <c r="C150" s="49"/>
      <c r="D150" s="14">
        <f t="shared" si="12"/>
        <v>0</v>
      </c>
      <c r="E150" s="58"/>
      <c r="F150" s="58"/>
      <c r="G150" s="58"/>
      <c r="H150" s="59"/>
    </row>
    <row r="151" spans="1:8" x14ac:dyDescent="0.25">
      <c r="A151" s="68"/>
      <c r="B151" s="49"/>
      <c r="C151" s="49"/>
      <c r="D151" s="14">
        <f>B151*C151</f>
        <v>0</v>
      </c>
      <c r="E151" s="58"/>
      <c r="F151" s="58"/>
      <c r="G151" s="58"/>
      <c r="H151" s="59"/>
    </row>
    <row r="152" spans="1:8" ht="14.4" thickBot="1" x14ac:dyDescent="0.3">
      <c r="A152" s="69" t="s">
        <v>61</v>
      </c>
      <c r="B152" s="70"/>
      <c r="C152" s="70"/>
      <c r="D152" s="70">
        <f>SUM(D142:D151)</f>
        <v>0</v>
      </c>
      <c r="E152" s="71"/>
      <c r="F152" s="71"/>
      <c r="G152" s="71"/>
      <c r="H152" s="72"/>
    </row>
    <row r="153" spans="1:8" x14ac:dyDescent="0.25">
      <c r="A153" s="58"/>
      <c r="B153" s="58"/>
      <c r="C153" s="58"/>
      <c r="D153" s="58"/>
      <c r="E153" s="58"/>
      <c r="F153" s="58"/>
      <c r="G153" s="58"/>
      <c r="H153" s="59"/>
    </row>
    <row r="154" spans="1:8" ht="14.4" thickBot="1" x14ac:dyDescent="0.3">
      <c r="A154" s="58"/>
      <c r="B154" s="58"/>
      <c r="C154" s="58"/>
      <c r="D154" s="58"/>
      <c r="E154" s="58"/>
      <c r="F154" s="58"/>
      <c r="G154" s="58"/>
      <c r="H154" s="59"/>
    </row>
    <row r="155" spans="1:8" ht="18" thickBot="1" x14ac:dyDescent="0.35">
      <c r="A155" s="317" t="s">
        <v>229</v>
      </c>
      <c r="B155" s="318"/>
      <c r="C155" s="318"/>
      <c r="D155" s="318"/>
      <c r="E155" s="318"/>
      <c r="F155" s="318"/>
      <c r="G155" s="318"/>
      <c r="H155" s="319"/>
    </row>
    <row r="156" spans="1:8" ht="14.4" thickBot="1" x14ac:dyDescent="0.3">
      <c r="A156" s="81"/>
      <c r="B156" s="82"/>
      <c r="C156" s="82"/>
      <c r="D156" s="58"/>
      <c r="E156" s="58"/>
      <c r="F156" s="58"/>
      <c r="G156" s="58"/>
      <c r="H156" s="59"/>
    </row>
    <row r="157" spans="1:8" ht="16.2" thickBot="1" x14ac:dyDescent="0.35">
      <c r="A157" s="308" t="s">
        <v>221</v>
      </c>
      <c r="B157" s="309"/>
      <c r="C157" s="310"/>
      <c r="D157" s="73" t="s">
        <v>42</v>
      </c>
      <c r="E157" s="58"/>
      <c r="F157" s="58"/>
      <c r="G157" s="58"/>
      <c r="H157" s="59"/>
    </row>
    <row r="158" spans="1:8" ht="16.8" thickTop="1" thickBot="1" x14ac:dyDescent="0.35">
      <c r="A158" s="311" t="s">
        <v>45</v>
      </c>
      <c r="B158" s="312"/>
      <c r="C158" s="313"/>
      <c r="D158" s="20">
        <f>SUM(G163:G176)+C181*$B$15+SUM(D182:D190)</f>
        <v>0</v>
      </c>
      <c r="E158" s="58"/>
      <c r="F158" s="58"/>
      <c r="G158" s="58"/>
      <c r="H158" s="59"/>
    </row>
    <row r="159" spans="1:8" ht="15" thickTop="1" thickBot="1" x14ac:dyDescent="0.3">
      <c r="A159" s="81"/>
      <c r="B159" s="82"/>
      <c r="C159" s="82"/>
      <c r="D159" s="58"/>
      <c r="E159" s="58"/>
      <c r="F159" s="58"/>
      <c r="G159" s="58"/>
      <c r="H159" s="59"/>
    </row>
    <row r="160" spans="1:8" ht="14.4" thickBot="1" x14ac:dyDescent="0.3">
      <c r="A160" s="298" t="s">
        <v>148</v>
      </c>
      <c r="B160" s="299"/>
      <c r="C160" s="299"/>
      <c r="D160" s="299"/>
      <c r="E160" s="299"/>
      <c r="F160" s="299"/>
      <c r="G160" s="299"/>
      <c r="H160" s="300"/>
    </row>
    <row r="161" spans="1:8" ht="14.4" thickBot="1" x14ac:dyDescent="0.3">
      <c r="A161" s="81"/>
      <c r="B161" s="82"/>
      <c r="C161" s="82"/>
      <c r="D161" s="58"/>
      <c r="E161" s="58"/>
      <c r="F161" s="58"/>
      <c r="G161" s="58"/>
      <c r="H161" s="59"/>
    </row>
    <row r="162" spans="1:8" ht="52.8" x14ac:dyDescent="0.25">
      <c r="A162" s="6" t="s">
        <v>49</v>
      </c>
      <c r="B162" s="7" t="s">
        <v>47</v>
      </c>
      <c r="C162" s="7" t="s">
        <v>95</v>
      </c>
      <c r="D162" s="7" t="s">
        <v>50</v>
      </c>
      <c r="E162" s="7" t="s">
        <v>51</v>
      </c>
      <c r="F162" s="7" t="s">
        <v>67</v>
      </c>
      <c r="G162" s="8" t="s">
        <v>56</v>
      </c>
      <c r="H162" s="79" t="s">
        <v>96</v>
      </c>
    </row>
    <row r="163" spans="1:8" x14ac:dyDescent="0.25">
      <c r="A163" s="78" t="s">
        <v>57</v>
      </c>
      <c r="B163" s="10" t="s">
        <v>55</v>
      </c>
      <c r="C163" s="88" t="s">
        <v>93</v>
      </c>
      <c r="D163" s="47"/>
      <c r="E163" s="47"/>
      <c r="F163" s="11">
        <f t="shared" ref="F163:F176" si="13">D163*E163</f>
        <v>0</v>
      </c>
      <c r="G163" s="1">
        <f>IF(AND(B163=Справочник!$A$2, C163=Справочник!$A$8), "Не заполнена должность", IF(AND(B163=Справочник!$A$2, C163=Справочник!$A$7), F163*1.18*1.302, IF(AND(B163=Справочник!$A$2, C163=Справочник!$A$6),F163*1.11*1.302, F163*1.3)))</f>
        <v>0</v>
      </c>
      <c r="H163" s="80">
        <f t="shared" ref="H163:H176" si="14">F163*0.87</f>
        <v>0</v>
      </c>
    </row>
    <row r="164" spans="1:8" x14ac:dyDescent="0.25">
      <c r="A164" s="78" t="s">
        <v>81</v>
      </c>
      <c r="B164" s="10" t="s">
        <v>54</v>
      </c>
      <c r="C164" s="88" t="s">
        <v>94</v>
      </c>
      <c r="D164" s="47"/>
      <c r="E164" s="47"/>
      <c r="F164" s="11">
        <f t="shared" si="13"/>
        <v>0</v>
      </c>
      <c r="G164" s="1">
        <f>IF(AND(B164=Справочник!$A$2, C164=Справочник!$A$8), "Не заполнена должность", IF(AND(B164=Справочник!$A$2, C164=Справочник!$A$7), F164*1.18*1.302, IF(AND(B164=Справочник!$A$2, C164=Справочник!$A$6),F164*1.11*1.302, F164*1.3)))</f>
        <v>0</v>
      </c>
      <c r="H164" s="80">
        <f t="shared" si="14"/>
        <v>0</v>
      </c>
    </row>
    <row r="165" spans="1:8" x14ac:dyDescent="0.25">
      <c r="A165" s="78" t="s">
        <v>52</v>
      </c>
      <c r="B165" s="10" t="s">
        <v>55</v>
      </c>
      <c r="C165" s="88"/>
      <c r="D165" s="47"/>
      <c r="E165" s="47"/>
      <c r="F165" s="11">
        <f t="shared" si="13"/>
        <v>0</v>
      </c>
      <c r="G165" s="1">
        <f>IF(AND(B165=Справочник!$A$2, C165=Справочник!$A$8), "Не заполнена должность", IF(AND(B165=Справочник!$A$2, C165=Справочник!$A$7), F165*1.18*1.302, IF(AND(B165=Справочник!$A$2, C165=Справочник!$A$6),F165*1.11*1.302, F165*1.3)))</f>
        <v>0</v>
      </c>
      <c r="H165" s="80">
        <f t="shared" si="14"/>
        <v>0</v>
      </c>
    </row>
    <row r="166" spans="1:8" ht="27.6" x14ac:dyDescent="0.25">
      <c r="A166" s="78" t="s">
        <v>123</v>
      </c>
      <c r="B166" s="10" t="s">
        <v>55</v>
      </c>
      <c r="C166" s="88"/>
      <c r="D166" s="47"/>
      <c r="E166" s="47"/>
      <c r="F166" s="11">
        <f t="shared" si="13"/>
        <v>0</v>
      </c>
      <c r="G166" s="1">
        <f>IF(AND(B166=Справочник!$A$2, C166=Справочник!$A$8), "Не заполнена должность", IF(AND(B166=Справочник!$A$2, C166=Справочник!$A$7), F166*1.18*1.302, IF(AND(B166=Справочник!$A$2, C166=Справочник!$A$6),F166*1.11*1.302, F166*1.3)))</f>
        <v>0</v>
      </c>
      <c r="H166" s="80">
        <f t="shared" si="14"/>
        <v>0</v>
      </c>
    </row>
    <row r="167" spans="1:8" x14ac:dyDescent="0.25">
      <c r="A167" s="78" t="s">
        <v>79</v>
      </c>
      <c r="B167" s="10" t="s">
        <v>55</v>
      </c>
      <c r="C167" s="88"/>
      <c r="D167" s="47"/>
      <c r="E167" s="47"/>
      <c r="F167" s="11">
        <f t="shared" si="13"/>
        <v>0</v>
      </c>
      <c r="G167" s="1">
        <f>IF(AND(B167=Справочник!$A$2, C167=Справочник!$A$8), "Не заполнена должность", IF(AND(B167=Справочник!$A$2, C167=Справочник!$A$7), F167*1.18*1.302, IF(AND(B167=Справочник!$A$2, C167=Справочник!$A$6),F167*1.11*1.302, F167*1.3)))</f>
        <v>0</v>
      </c>
      <c r="H167" s="80">
        <f t="shared" si="14"/>
        <v>0</v>
      </c>
    </row>
    <row r="168" spans="1:8" x14ac:dyDescent="0.25">
      <c r="A168" s="78" t="s">
        <v>80</v>
      </c>
      <c r="B168" s="10" t="s">
        <v>55</v>
      </c>
      <c r="C168" s="88"/>
      <c r="D168" s="47"/>
      <c r="E168" s="47"/>
      <c r="F168" s="11">
        <f t="shared" si="13"/>
        <v>0</v>
      </c>
      <c r="G168" s="1">
        <f>IF(AND(B168=Справочник!$A$2, C168=Справочник!$A$8), "Не заполнена должность", IF(AND(B168=Справочник!$A$2, C168=Справочник!$A$7), F168*1.18*1.302, IF(AND(B168=Справочник!$A$2, C168=Справочник!$A$6),F168*1.11*1.302, F168*1.3)))</f>
        <v>0</v>
      </c>
      <c r="H168" s="80">
        <f t="shared" si="14"/>
        <v>0</v>
      </c>
    </row>
    <row r="169" spans="1:8" x14ac:dyDescent="0.25">
      <c r="A169" s="78" t="s">
        <v>48</v>
      </c>
      <c r="B169" s="10" t="s">
        <v>55</v>
      </c>
      <c r="C169" s="88"/>
      <c r="D169" s="47"/>
      <c r="E169" s="47"/>
      <c r="F169" s="11">
        <f t="shared" si="13"/>
        <v>0</v>
      </c>
      <c r="G169" s="1">
        <f>IF(AND(B169=Справочник!$A$2, C169=Справочник!$A$8), "Не заполнена должность", IF(AND(B169=Справочник!$A$2, C169=Справочник!$A$7), F169*1.18*1.302, IF(AND(B169=Справочник!$A$2, C169=Справочник!$A$6),F169*1.11*1.302, F169*1.3)))</f>
        <v>0</v>
      </c>
      <c r="H169" s="80">
        <f t="shared" si="14"/>
        <v>0</v>
      </c>
    </row>
    <row r="170" spans="1:8" ht="27.6" x14ac:dyDescent="0.25">
      <c r="A170" s="78" t="s">
        <v>111</v>
      </c>
      <c r="B170" s="10" t="s">
        <v>55</v>
      </c>
      <c r="C170" s="88"/>
      <c r="D170" s="47"/>
      <c r="E170" s="47"/>
      <c r="F170" s="11">
        <f t="shared" si="13"/>
        <v>0</v>
      </c>
      <c r="G170" s="1">
        <f>IF(AND(B170=Справочник!$A$2, C170=Справочник!$A$8), "Не заполнена должность", IF(AND(B170=Справочник!$A$2, C170=Справочник!$A$7), F170*1.18*1.302, IF(AND(B170=Справочник!$A$2, C170=Справочник!$A$6),F170*1.11*1.302, F170*1.3)))</f>
        <v>0</v>
      </c>
      <c r="H170" s="80">
        <f t="shared" si="14"/>
        <v>0</v>
      </c>
    </row>
    <row r="171" spans="1:8" x14ac:dyDescent="0.25">
      <c r="A171" s="78"/>
      <c r="B171" s="10"/>
      <c r="C171" s="88"/>
      <c r="D171" s="47"/>
      <c r="E171" s="47"/>
      <c r="F171" s="11">
        <f t="shared" si="13"/>
        <v>0</v>
      </c>
      <c r="G171" s="1">
        <f>IF(AND(B171=Справочник!$A$2, C171=Справочник!$A$8), "Не заполнена должность", IF(AND(B171=Справочник!$A$2, C171=Справочник!$A$7), F171*1.18*1.302, IF(AND(B171=Справочник!$A$2, C171=Справочник!$A$6),F171*1.11*1.302, F171*1.3)))</f>
        <v>0</v>
      </c>
      <c r="H171" s="80">
        <f t="shared" si="14"/>
        <v>0</v>
      </c>
    </row>
    <row r="172" spans="1:8" x14ac:dyDescent="0.25">
      <c r="A172" s="78"/>
      <c r="B172" s="10"/>
      <c r="C172" s="88"/>
      <c r="D172" s="47"/>
      <c r="E172" s="47"/>
      <c r="F172" s="11">
        <f t="shared" si="13"/>
        <v>0</v>
      </c>
      <c r="G172" s="1">
        <f>IF(AND(B172=Справочник!$A$2, C172=Справочник!$A$8), "Не заполнена должность", IF(AND(B172=Справочник!$A$2, C172=Справочник!$A$7), F172*1.18*1.302, IF(AND(B172=Справочник!$A$2, C172=Справочник!$A$6),F172*1.11*1.302, F172*1.3)))</f>
        <v>0</v>
      </c>
      <c r="H172" s="80">
        <f t="shared" si="14"/>
        <v>0</v>
      </c>
    </row>
    <row r="173" spans="1:8" x14ac:dyDescent="0.25">
      <c r="A173" s="78"/>
      <c r="B173" s="10"/>
      <c r="C173" s="88"/>
      <c r="D173" s="47"/>
      <c r="E173" s="47"/>
      <c r="F173" s="11">
        <f t="shared" si="13"/>
        <v>0</v>
      </c>
      <c r="G173" s="1">
        <f>IF(AND(B173=Справочник!$A$2, C173=Справочник!$A$8), "Не заполнена должность", IF(AND(B173=Справочник!$A$2, C173=Справочник!$A$7), F173*1.18*1.302, IF(AND(B173=Справочник!$A$2, C173=Справочник!$A$6),F173*1.11*1.302, F173*1.3)))</f>
        <v>0</v>
      </c>
      <c r="H173" s="80">
        <f t="shared" si="14"/>
        <v>0</v>
      </c>
    </row>
    <row r="174" spans="1:8" x14ac:dyDescent="0.25">
      <c r="A174" s="78"/>
      <c r="B174" s="10"/>
      <c r="C174" s="88"/>
      <c r="D174" s="47"/>
      <c r="E174" s="47"/>
      <c r="F174" s="11">
        <f t="shared" si="13"/>
        <v>0</v>
      </c>
      <c r="G174" s="1">
        <f>IF(AND(B174=Справочник!$A$2, C174=Справочник!$A$8), "Не заполнена должность", IF(AND(B174=Справочник!$A$2, C174=Справочник!$A$7), F174*1.18*1.302, IF(AND(B174=Справочник!$A$2, C174=Справочник!$A$6),F174*1.11*1.302, F174*1.3)))</f>
        <v>0</v>
      </c>
      <c r="H174" s="80">
        <f t="shared" si="14"/>
        <v>0</v>
      </c>
    </row>
    <row r="175" spans="1:8" x14ac:dyDescent="0.25">
      <c r="A175" s="78"/>
      <c r="B175" s="10"/>
      <c r="C175" s="88"/>
      <c r="D175" s="47"/>
      <c r="E175" s="47"/>
      <c r="F175" s="11">
        <f t="shared" si="13"/>
        <v>0</v>
      </c>
      <c r="G175" s="1">
        <f>IF(AND(B175=Справочник!$A$2, C175=Справочник!$A$8), "Не заполнена должность", IF(AND(B175=Справочник!$A$2, C175=Справочник!$A$7), F175*1.18*1.302, IF(AND(B175=Справочник!$A$2, C175=Справочник!$A$6),F175*1.11*1.302, F175*1.3)))</f>
        <v>0</v>
      </c>
      <c r="H175" s="80">
        <f t="shared" si="14"/>
        <v>0</v>
      </c>
    </row>
    <row r="176" spans="1:8" x14ac:dyDescent="0.25">
      <c r="A176" s="9"/>
      <c r="B176" s="10"/>
      <c r="C176" s="88"/>
      <c r="D176" s="47"/>
      <c r="E176" s="47"/>
      <c r="F176" s="11">
        <f t="shared" si="13"/>
        <v>0</v>
      </c>
      <c r="G176" s="1">
        <f>IF(AND(B176=Справочник!$A$2, C176=Справочник!$A$8), "Не заполнена должность", IF(AND(B176=Справочник!$A$2, C176=Справочник!$A$7), F176*1.18*1.302, IF(AND(B176=Справочник!$A$2, C176=Справочник!$A$6),F176*1.11*1.302, F176*1.3)))</f>
        <v>0</v>
      </c>
      <c r="H176" s="80">
        <f t="shared" si="14"/>
        <v>0</v>
      </c>
    </row>
    <row r="177" spans="1:8" x14ac:dyDescent="0.25">
      <c r="A177" s="174"/>
      <c r="B177" s="175"/>
      <c r="C177" s="175"/>
      <c r="D177" s="175"/>
      <c r="E177" s="175"/>
      <c r="F177" s="175"/>
      <c r="G177" s="175"/>
      <c r="H177" s="176"/>
    </row>
    <row r="178" spans="1:8" ht="14.4" thickBot="1" x14ac:dyDescent="0.3">
      <c r="A178" s="62"/>
      <c r="B178" s="58"/>
      <c r="C178" s="58"/>
      <c r="D178" s="58"/>
      <c r="E178" s="58"/>
      <c r="F178" s="58"/>
      <c r="G178" s="58"/>
      <c r="H178" s="59"/>
    </row>
    <row r="179" spans="1:8" ht="14.4" thickBot="1" x14ac:dyDescent="0.3">
      <c r="A179" s="298" t="s">
        <v>147</v>
      </c>
      <c r="B179" s="299"/>
      <c r="C179" s="299"/>
      <c r="D179" s="299"/>
      <c r="E179" s="299"/>
      <c r="F179" s="299"/>
      <c r="G179" s="299"/>
      <c r="H179" s="300"/>
    </row>
    <row r="180" spans="1:8" x14ac:dyDescent="0.25">
      <c r="A180" s="66" t="s">
        <v>60</v>
      </c>
      <c r="B180" s="13" t="s">
        <v>74</v>
      </c>
      <c r="C180" s="13" t="s">
        <v>75</v>
      </c>
      <c r="D180" s="13" t="s">
        <v>6</v>
      </c>
      <c r="E180" s="58"/>
      <c r="F180" s="58"/>
      <c r="G180" s="58"/>
      <c r="H180" s="59"/>
    </row>
    <row r="181" spans="1:8" x14ac:dyDescent="0.25">
      <c r="A181" s="67" t="s">
        <v>62</v>
      </c>
      <c r="B181" s="50">
        <f>$B$15</f>
        <v>10</v>
      </c>
      <c r="C181" s="49"/>
      <c r="D181" s="14">
        <f>B181*C181</f>
        <v>0</v>
      </c>
      <c r="E181" s="58"/>
      <c r="F181" s="58"/>
      <c r="G181" s="58"/>
      <c r="H181" s="59"/>
    </row>
    <row r="182" spans="1:8" ht="41.4" x14ac:dyDescent="0.25">
      <c r="A182" s="78" t="s">
        <v>144</v>
      </c>
      <c r="B182" s="49"/>
      <c r="C182" s="49"/>
      <c r="D182" s="14">
        <f>B182*C182</f>
        <v>0</v>
      </c>
      <c r="E182" s="58"/>
      <c r="F182" s="58"/>
      <c r="G182" s="58"/>
      <c r="H182" s="59"/>
    </row>
    <row r="183" spans="1:8" ht="41.4" x14ac:dyDescent="0.25">
      <c r="A183" s="78" t="s">
        <v>145</v>
      </c>
      <c r="B183" s="49"/>
      <c r="C183" s="49"/>
      <c r="D183" s="14">
        <f t="shared" ref="D183:D189" si="15">B183*C183</f>
        <v>0</v>
      </c>
      <c r="E183" s="58"/>
      <c r="F183" s="58"/>
      <c r="G183" s="58"/>
      <c r="H183" s="59"/>
    </row>
    <row r="184" spans="1:8" x14ac:dyDescent="0.25">
      <c r="A184" s="68" t="s">
        <v>87</v>
      </c>
      <c r="B184" s="49"/>
      <c r="C184" s="49"/>
      <c r="D184" s="14">
        <f t="shared" si="15"/>
        <v>0</v>
      </c>
      <c r="E184" s="58"/>
      <c r="F184" s="58"/>
      <c r="G184" s="58"/>
      <c r="H184" s="59"/>
    </row>
    <row r="185" spans="1:8" x14ac:dyDescent="0.25">
      <c r="A185" s="68" t="s">
        <v>88</v>
      </c>
      <c r="B185" s="49"/>
      <c r="C185" s="49"/>
      <c r="D185" s="14">
        <f t="shared" si="15"/>
        <v>0</v>
      </c>
      <c r="E185" s="58"/>
      <c r="F185" s="58"/>
      <c r="G185" s="58"/>
      <c r="H185" s="59"/>
    </row>
    <row r="186" spans="1:8" ht="27.6" x14ac:dyDescent="0.25">
      <c r="A186" s="78" t="s">
        <v>142</v>
      </c>
      <c r="B186" s="49"/>
      <c r="C186" s="49"/>
      <c r="D186" s="14">
        <f t="shared" si="15"/>
        <v>0</v>
      </c>
      <c r="E186" s="58"/>
      <c r="F186" s="58"/>
      <c r="G186" s="58"/>
      <c r="H186" s="59"/>
    </row>
    <row r="187" spans="1:8" x14ac:dyDescent="0.25">
      <c r="A187" s="78"/>
      <c r="B187" s="49"/>
      <c r="C187" s="49"/>
      <c r="D187" s="14">
        <f t="shared" si="15"/>
        <v>0</v>
      </c>
      <c r="E187" s="58"/>
      <c r="F187" s="58"/>
      <c r="G187" s="58"/>
      <c r="H187" s="59"/>
    </row>
    <row r="188" spans="1:8" x14ac:dyDescent="0.25">
      <c r="A188" s="78"/>
      <c r="B188" s="49"/>
      <c r="C188" s="49"/>
      <c r="D188" s="14">
        <f t="shared" si="15"/>
        <v>0</v>
      </c>
      <c r="E188" s="58"/>
      <c r="F188" s="58"/>
      <c r="G188" s="58"/>
      <c r="H188" s="59"/>
    </row>
    <row r="189" spans="1:8" x14ac:dyDescent="0.25">
      <c r="A189" s="78"/>
      <c r="B189" s="49"/>
      <c r="C189" s="49"/>
      <c r="D189" s="14">
        <f t="shared" si="15"/>
        <v>0</v>
      </c>
      <c r="E189" s="58"/>
      <c r="F189" s="58"/>
      <c r="G189" s="58"/>
      <c r="H189" s="59"/>
    </row>
    <row r="190" spans="1:8" x14ac:dyDescent="0.25">
      <c r="A190" s="68"/>
      <c r="B190" s="49"/>
      <c r="C190" s="49"/>
      <c r="D190" s="14">
        <f>B190*C190</f>
        <v>0</v>
      </c>
      <c r="E190" s="58"/>
      <c r="F190" s="58"/>
      <c r="G190" s="58"/>
      <c r="H190" s="59"/>
    </row>
    <row r="191" spans="1:8" ht="14.4" thickBot="1" x14ac:dyDescent="0.3">
      <c r="A191" s="69" t="s">
        <v>61</v>
      </c>
      <c r="B191" s="70"/>
      <c r="C191" s="70"/>
      <c r="D191" s="70">
        <f>SUM(D181:D190)</f>
        <v>0</v>
      </c>
      <c r="E191" s="71"/>
      <c r="F191" s="71"/>
      <c r="G191" s="71"/>
      <c r="H191" s="72"/>
    </row>
    <row r="192" spans="1:8" x14ac:dyDescent="0.25">
      <c r="A192" s="58"/>
      <c r="B192" s="58"/>
      <c r="C192" s="58"/>
      <c r="D192" s="58"/>
      <c r="E192" s="58"/>
      <c r="F192" s="58"/>
      <c r="G192" s="58"/>
      <c r="H192" s="59"/>
    </row>
    <row r="193" spans="1:8" ht="14.4" thickBot="1" x14ac:dyDescent="0.3">
      <c r="A193" s="58"/>
      <c r="B193" s="58"/>
      <c r="C193" s="58"/>
      <c r="D193" s="58"/>
      <c r="E193" s="58"/>
      <c r="F193" s="58"/>
      <c r="G193" s="58"/>
      <c r="H193" s="59"/>
    </row>
    <row r="194" spans="1:8" ht="18" thickBot="1" x14ac:dyDescent="0.35">
      <c r="A194" s="317" t="s">
        <v>228</v>
      </c>
      <c r="B194" s="318"/>
      <c r="C194" s="318"/>
      <c r="D194" s="318"/>
      <c r="E194" s="318"/>
      <c r="F194" s="318"/>
      <c r="G194" s="318"/>
      <c r="H194" s="319"/>
    </row>
    <row r="195" spans="1:8" ht="14.4" thickBot="1" x14ac:dyDescent="0.3">
      <c r="A195" s="81"/>
      <c r="B195" s="82"/>
      <c r="C195" s="82"/>
      <c r="D195" s="58"/>
      <c r="E195" s="58"/>
      <c r="F195" s="58"/>
      <c r="G195" s="58"/>
      <c r="H195" s="59"/>
    </row>
    <row r="196" spans="1:8" ht="16.2" thickBot="1" x14ac:dyDescent="0.35">
      <c r="A196" s="308" t="s">
        <v>221</v>
      </c>
      <c r="B196" s="309"/>
      <c r="C196" s="310"/>
      <c r="D196" s="73" t="s">
        <v>42</v>
      </c>
      <c r="E196" s="58"/>
      <c r="F196" s="58"/>
      <c r="G196" s="58"/>
      <c r="H196" s="59"/>
    </row>
    <row r="197" spans="1:8" ht="16.8" thickTop="1" thickBot="1" x14ac:dyDescent="0.35">
      <c r="A197" s="311" t="s">
        <v>45</v>
      </c>
      <c r="B197" s="312"/>
      <c r="C197" s="313"/>
      <c r="D197" s="20">
        <f>SUM(G202:G215)+C220*$B$15+SUM(D221:D229)</f>
        <v>0</v>
      </c>
      <c r="E197" s="58"/>
      <c r="F197" s="58"/>
      <c r="G197" s="58"/>
      <c r="H197" s="59"/>
    </row>
    <row r="198" spans="1:8" ht="15" thickTop="1" thickBot="1" x14ac:dyDescent="0.3">
      <c r="A198" s="81"/>
      <c r="B198" s="82"/>
      <c r="C198" s="82"/>
      <c r="D198" s="58"/>
      <c r="E198" s="58"/>
      <c r="F198" s="58"/>
      <c r="G198" s="58"/>
      <c r="H198" s="59"/>
    </row>
    <row r="199" spans="1:8" ht="14.4" thickBot="1" x14ac:dyDescent="0.3">
      <c r="A199" s="298" t="s">
        <v>148</v>
      </c>
      <c r="B199" s="299"/>
      <c r="C199" s="299"/>
      <c r="D199" s="299"/>
      <c r="E199" s="299"/>
      <c r="F199" s="299"/>
      <c r="G199" s="299"/>
      <c r="H199" s="300"/>
    </row>
    <row r="200" spans="1:8" ht="14.4" thickBot="1" x14ac:dyDescent="0.3">
      <c r="A200" s="81"/>
      <c r="B200" s="82"/>
      <c r="C200" s="82"/>
      <c r="D200" s="58"/>
      <c r="E200" s="58"/>
      <c r="F200" s="58"/>
      <c r="G200" s="58"/>
      <c r="H200" s="59"/>
    </row>
    <row r="201" spans="1:8" ht="52.8" x14ac:dyDescent="0.25">
      <c r="A201" s="6" t="s">
        <v>49</v>
      </c>
      <c r="B201" s="7" t="s">
        <v>47</v>
      </c>
      <c r="C201" s="7" t="s">
        <v>95</v>
      </c>
      <c r="D201" s="7" t="s">
        <v>50</v>
      </c>
      <c r="E201" s="7" t="s">
        <v>51</v>
      </c>
      <c r="F201" s="7" t="s">
        <v>67</v>
      </c>
      <c r="G201" s="8" t="s">
        <v>56</v>
      </c>
      <c r="H201" s="79" t="s">
        <v>96</v>
      </c>
    </row>
    <row r="202" spans="1:8" x14ac:dyDescent="0.25">
      <c r="A202" s="78" t="s">
        <v>57</v>
      </c>
      <c r="B202" s="10" t="s">
        <v>55</v>
      </c>
      <c r="C202" s="88" t="s">
        <v>93</v>
      </c>
      <c r="D202" s="47"/>
      <c r="E202" s="47"/>
      <c r="F202" s="11">
        <f t="shared" ref="F202:F215" si="16">D202*E202</f>
        <v>0</v>
      </c>
      <c r="G202" s="1">
        <f>IF(AND(B202=Справочник!$A$2, C202=Справочник!$A$8), "Не заполнена должность", IF(AND(B202=Справочник!$A$2, C202=Справочник!$A$7), F202*1.18*1.302, IF(AND(B202=Справочник!$A$2, C202=Справочник!$A$6),F202*1.11*1.302, F202*1.3)))</f>
        <v>0</v>
      </c>
      <c r="H202" s="80">
        <f t="shared" ref="H202:H215" si="17">F202*0.87</f>
        <v>0</v>
      </c>
    </row>
    <row r="203" spans="1:8" x14ac:dyDescent="0.25">
      <c r="A203" s="78" t="s">
        <v>81</v>
      </c>
      <c r="B203" s="10" t="s">
        <v>54</v>
      </c>
      <c r="C203" s="88" t="s">
        <v>94</v>
      </c>
      <c r="D203" s="47"/>
      <c r="E203" s="47"/>
      <c r="F203" s="11">
        <f t="shared" si="16"/>
        <v>0</v>
      </c>
      <c r="G203" s="1">
        <f>IF(AND(B203=Справочник!$A$2, C203=Справочник!$A$8), "Не заполнена должность", IF(AND(B203=Справочник!$A$2, C203=Справочник!$A$7), F203*1.18*1.302, IF(AND(B203=Справочник!$A$2, C203=Справочник!$A$6),F203*1.11*1.302, F203*1.3)))</f>
        <v>0</v>
      </c>
      <c r="H203" s="80">
        <f t="shared" si="17"/>
        <v>0</v>
      </c>
    </row>
    <row r="204" spans="1:8" x14ac:dyDescent="0.25">
      <c r="A204" s="78" t="s">
        <v>52</v>
      </c>
      <c r="B204" s="10" t="s">
        <v>55</v>
      </c>
      <c r="C204" s="88"/>
      <c r="D204" s="47"/>
      <c r="E204" s="47"/>
      <c r="F204" s="11">
        <f t="shared" si="16"/>
        <v>0</v>
      </c>
      <c r="G204" s="1">
        <f>IF(AND(B204=Справочник!$A$2, C204=Справочник!$A$8), "Не заполнена должность", IF(AND(B204=Справочник!$A$2, C204=Справочник!$A$7), F204*1.18*1.302, IF(AND(B204=Справочник!$A$2, C204=Справочник!$A$6),F204*1.11*1.302, F204*1.3)))</f>
        <v>0</v>
      </c>
      <c r="H204" s="80">
        <f t="shared" si="17"/>
        <v>0</v>
      </c>
    </row>
    <row r="205" spans="1:8" ht="27.6" x14ac:dyDescent="0.25">
      <c r="A205" s="78" t="s">
        <v>123</v>
      </c>
      <c r="B205" s="10" t="s">
        <v>55</v>
      </c>
      <c r="C205" s="88"/>
      <c r="D205" s="47"/>
      <c r="E205" s="47"/>
      <c r="F205" s="11">
        <f t="shared" si="16"/>
        <v>0</v>
      </c>
      <c r="G205" s="1">
        <f>IF(AND(B205=Справочник!$A$2, C205=Справочник!$A$8), "Не заполнена должность", IF(AND(B205=Справочник!$A$2, C205=Справочник!$A$7), F205*1.18*1.302, IF(AND(B205=Справочник!$A$2, C205=Справочник!$A$6),F205*1.11*1.302, F205*1.3)))</f>
        <v>0</v>
      </c>
      <c r="H205" s="80">
        <f t="shared" si="17"/>
        <v>0</v>
      </c>
    </row>
    <row r="206" spans="1:8" x14ac:dyDescent="0.25">
      <c r="A206" s="78" t="s">
        <v>79</v>
      </c>
      <c r="B206" s="10" t="s">
        <v>55</v>
      </c>
      <c r="C206" s="88"/>
      <c r="D206" s="47"/>
      <c r="E206" s="47"/>
      <c r="F206" s="11">
        <f t="shared" si="16"/>
        <v>0</v>
      </c>
      <c r="G206" s="1">
        <f>IF(AND(B206=Справочник!$A$2, C206=Справочник!$A$8), "Не заполнена должность", IF(AND(B206=Справочник!$A$2, C206=Справочник!$A$7), F206*1.18*1.302, IF(AND(B206=Справочник!$A$2, C206=Справочник!$A$6),F206*1.11*1.302, F206*1.3)))</f>
        <v>0</v>
      </c>
      <c r="H206" s="80">
        <f t="shared" si="17"/>
        <v>0</v>
      </c>
    </row>
    <row r="207" spans="1:8" x14ac:dyDescent="0.25">
      <c r="A207" s="78" t="s">
        <v>80</v>
      </c>
      <c r="B207" s="10" t="s">
        <v>55</v>
      </c>
      <c r="C207" s="88"/>
      <c r="D207" s="47"/>
      <c r="E207" s="47"/>
      <c r="F207" s="11">
        <f t="shared" si="16"/>
        <v>0</v>
      </c>
      <c r="G207" s="1">
        <f>IF(AND(B207=Справочник!$A$2, C207=Справочник!$A$8), "Не заполнена должность", IF(AND(B207=Справочник!$A$2, C207=Справочник!$A$7), F207*1.18*1.302, IF(AND(B207=Справочник!$A$2, C207=Справочник!$A$6),F207*1.11*1.302, F207*1.3)))</f>
        <v>0</v>
      </c>
      <c r="H207" s="80">
        <f t="shared" si="17"/>
        <v>0</v>
      </c>
    </row>
    <row r="208" spans="1:8" x14ac:dyDescent="0.25">
      <c r="A208" s="78" t="s">
        <v>48</v>
      </c>
      <c r="B208" s="10" t="s">
        <v>55</v>
      </c>
      <c r="C208" s="88"/>
      <c r="D208" s="47"/>
      <c r="E208" s="47"/>
      <c r="F208" s="11">
        <f t="shared" si="16"/>
        <v>0</v>
      </c>
      <c r="G208" s="1">
        <f>IF(AND(B208=Справочник!$A$2, C208=Справочник!$A$8), "Не заполнена должность", IF(AND(B208=Справочник!$A$2, C208=Справочник!$A$7), F208*1.18*1.302, IF(AND(B208=Справочник!$A$2, C208=Справочник!$A$6),F208*1.11*1.302, F208*1.3)))</f>
        <v>0</v>
      </c>
      <c r="H208" s="80">
        <f t="shared" si="17"/>
        <v>0</v>
      </c>
    </row>
    <row r="209" spans="1:8" ht="27.6" x14ac:dyDescent="0.25">
      <c r="A209" s="78" t="s">
        <v>111</v>
      </c>
      <c r="B209" s="10" t="s">
        <v>55</v>
      </c>
      <c r="C209" s="88"/>
      <c r="D209" s="47"/>
      <c r="E209" s="47"/>
      <c r="F209" s="11">
        <f t="shared" si="16"/>
        <v>0</v>
      </c>
      <c r="G209" s="1">
        <f>IF(AND(B209=Справочник!$A$2, C209=Справочник!$A$8), "Не заполнена должность", IF(AND(B209=Справочник!$A$2, C209=Справочник!$A$7), F209*1.18*1.302, IF(AND(B209=Справочник!$A$2, C209=Справочник!$A$6),F209*1.11*1.302, F209*1.3)))</f>
        <v>0</v>
      </c>
      <c r="H209" s="80">
        <f t="shared" si="17"/>
        <v>0</v>
      </c>
    </row>
    <row r="210" spans="1:8" x14ac:dyDescent="0.25">
      <c r="A210" s="78"/>
      <c r="B210" s="10"/>
      <c r="C210" s="88"/>
      <c r="D210" s="47"/>
      <c r="E210" s="47"/>
      <c r="F210" s="11">
        <f t="shared" si="16"/>
        <v>0</v>
      </c>
      <c r="G210" s="1">
        <f>IF(AND(B210=Справочник!$A$2, C210=Справочник!$A$8), "Не заполнена должность", IF(AND(B210=Справочник!$A$2, C210=Справочник!$A$7), F210*1.18*1.302, IF(AND(B210=Справочник!$A$2, C210=Справочник!$A$6),F210*1.11*1.302, F210*1.3)))</f>
        <v>0</v>
      </c>
      <c r="H210" s="80">
        <f t="shared" si="17"/>
        <v>0</v>
      </c>
    </row>
    <row r="211" spans="1:8" x14ac:dyDescent="0.25">
      <c r="A211" s="78"/>
      <c r="B211" s="10"/>
      <c r="C211" s="88"/>
      <c r="D211" s="47"/>
      <c r="E211" s="47"/>
      <c r="F211" s="11">
        <f t="shared" si="16"/>
        <v>0</v>
      </c>
      <c r="G211" s="1">
        <f>IF(AND(B211=Справочник!$A$2, C211=Справочник!$A$8), "Не заполнена должность", IF(AND(B211=Справочник!$A$2, C211=Справочник!$A$7), F211*1.18*1.302, IF(AND(B211=Справочник!$A$2, C211=Справочник!$A$6),F211*1.11*1.302, F211*1.3)))</f>
        <v>0</v>
      </c>
      <c r="H211" s="80">
        <f t="shared" si="17"/>
        <v>0</v>
      </c>
    </row>
    <row r="212" spans="1:8" x14ac:dyDescent="0.25">
      <c r="A212" s="78"/>
      <c r="B212" s="10"/>
      <c r="C212" s="88"/>
      <c r="D212" s="47"/>
      <c r="E212" s="47"/>
      <c r="F212" s="11">
        <f t="shared" si="16"/>
        <v>0</v>
      </c>
      <c r="G212" s="1">
        <f>IF(AND(B212=Справочник!$A$2, C212=Справочник!$A$8), "Не заполнена должность", IF(AND(B212=Справочник!$A$2, C212=Справочник!$A$7), F212*1.18*1.302, IF(AND(B212=Справочник!$A$2, C212=Справочник!$A$6),F212*1.11*1.302, F212*1.3)))</f>
        <v>0</v>
      </c>
      <c r="H212" s="80">
        <f t="shared" si="17"/>
        <v>0</v>
      </c>
    </row>
    <row r="213" spans="1:8" x14ac:dyDescent="0.25">
      <c r="A213" s="78"/>
      <c r="B213" s="10"/>
      <c r="C213" s="88"/>
      <c r="D213" s="47"/>
      <c r="E213" s="47"/>
      <c r="F213" s="11">
        <f t="shared" si="16"/>
        <v>0</v>
      </c>
      <c r="G213" s="1">
        <f>IF(AND(B213=Справочник!$A$2, C213=Справочник!$A$8), "Не заполнена должность", IF(AND(B213=Справочник!$A$2, C213=Справочник!$A$7), F213*1.18*1.302, IF(AND(B213=Справочник!$A$2, C213=Справочник!$A$6),F213*1.11*1.302, F213*1.3)))</f>
        <v>0</v>
      </c>
      <c r="H213" s="80">
        <f t="shared" si="17"/>
        <v>0</v>
      </c>
    </row>
    <row r="214" spans="1:8" x14ac:dyDescent="0.25">
      <c r="A214" s="78"/>
      <c r="B214" s="10"/>
      <c r="C214" s="88"/>
      <c r="D214" s="47"/>
      <c r="E214" s="47"/>
      <c r="F214" s="11">
        <f t="shared" si="16"/>
        <v>0</v>
      </c>
      <c r="G214" s="1">
        <f>IF(AND(B214=Справочник!$A$2, C214=Справочник!$A$8), "Не заполнена должность", IF(AND(B214=Справочник!$A$2, C214=Справочник!$A$7), F214*1.18*1.302, IF(AND(B214=Справочник!$A$2, C214=Справочник!$A$6),F214*1.11*1.302, F214*1.3)))</f>
        <v>0</v>
      </c>
      <c r="H214" s="80">
        <f t="shared" si="17"/>
        <v>0</v>
      </c>
    </row>
    <row r="215" spans="1:8" x14ac:dyDescent="0.25">
      <c r="A215" s="9"/>
      <c r="B215" s="10"/>
      <c r="C215" s="88"/>
      <c r="D215" s="47"/>
      <c r="E215" s="47"/>
      <c r="F215" s="11">
        <f t="shared" si="16"/>
        <v>0</v>
      </c>
      <c r="G215" s="1">
        <f>IF(AND(B215=Справочник!$A$2, C215=Справочник!$A$8), "Не заполнена должность", IF(AND(B215=Справочник!$A$2, C215=Справочник!$A$7), F215*1.18*1.302, IF(AND(B215=Справочник!$A$2, C215=Справочник!$A$6),F215*1.11*1.302, F215*1.3)))</f>
        <v>0</v>
      </c>
      <c r="H215" s="80">
        <f t="shared" si="17"/>
        <v>0</v>
      </c>
    </row>
    <row r="216" spans="1:8" x14ac:dyDescent="0.25">
      <c r="A216" s="174"/>
      <c r="B216" s="175"/>
      <c r="C216" s="175"/>
      <c r="D216" s="175"/>
      <c r="E216" s="175"/>
      <c r="F216" s="175"/>
      <c r="G216" s="175"/>
      <c r="H216" s="176"/>
    </row>
    <row r="217" spans="1:8" ht="14.4" thickBot="1" x14ac:dyDescent="0.3">
      <c r="A217" s="62"/>
      <c r="B217" s="58"/>
      <c r="C217" s="58"/>
      <c r="D217" s="58"/>
      <c r="E217" s="58"/>
      <c r="F217" s="58"/>
      <c r="G217" s="58"/>
      <c r="H217" s="59"/>
    </row>
    <row r="218" spans="1:8" ht="14.4" thickBot="1" x14ac:dyDescent="0.3">
      <c r="A218" s="298" t="s">
        <v>147</v>
      </c>
      <c r="B218" s="299"/>
      <c r="C218" s="299"/>
      <c r="D218" s="299"/>
      <c r="E218" s="299"/>
      <c r="F218" s="299"/>
      <c r="G218" s="299"/>
      <c r="H218" s="300"/>
    </row>
    <row r="219" spans="1:8" x14ac:dyDescent="0.25">
      <c r="A219" s="66" t="s">
        <v>60</v>
      </c>
      <c r="B219" s="13" t="s">
        <v>74</v>
      </c>
      <c r="C219" s="13" t="s">
        <v>75</v>
      </c>
      <c r="D219" s="13" t="s">
        <v>6</v>
      </c>
      <c r="E219" s="58"/>
      <c r="F219" s="58"/>
      <c r="G219" s="58"/>
      <c r="H219" s="59"/>
    </row>
    <row r="220" spans="1:8" x14ac:dyDescent="0.25">
      <c r="A220" s="67" t="s">
        <v>62</v>
      </c>
      <c r="B220" s="50">
        <f>$B$15</f>
        <v>10</v>
      </c>
      <c r="C220" s="49"/>
      <c r="D220" s="14">
        <f>B220*C220</f>
        <v>0</v>
      </c>
      <c r="E220" s="58"/>
      <c r="F220" s="58"/>
      <c r="G220" s="58"/>
      <c r="H220" s="59"/>
    </row>
    <row r="221" spans="1:8" ht="41.4" x14ac:dyDescent="0.25">
      <c r="A221" s="78" t="s">
        <v>144</v>
      </c>
      <c r="B221" s="49"/>
      <c r="C221" s="49"/>
      <c r="D221" s="14">
        <f>B221*C221</f>
        <v>0</v>
      </c>
      <c r="E221" s="58"/>
      <c r="F221" s="58"/>
      <c r="G221" s="58"/>
      <c r="H221" s="59"/>
    </row>
    <row r="222" spans="1:8" ht="41.4" x14ac:dyDescent="0.25">
      <c r="A222" s="78" t="s">
        <v>145</v>
      </c>
      <c r="B222" s="49"/>
      <c r="C222" s="49"/>
      <c r="D222" s="14">
        <f t="shared" ref="D222:D228" si="18">B222*C222</f>
        <v>0</v>
      </c>
      <c r="E222" s="58"/>
      <c r="F222" s="58"/>
      <c r="G222" s="58"/>
      <c r="H222" s="59"/>
    </row>
    <row r="223" spans="1:8" x14ac:dyDescent="0.25">
      <c r="A223" s="68" t="s">
        <v>87</v>
      </c>
      <c r="B223" s="49"/>
      <c r="C223" s="49"/>
      <c r="D223" s="14">
        <f t="shared" si="18"/>
        <v>0</v>
      </c>
      <c r="E223" s="58"/>
      <c r="F223" s="58"/>
      <c r="G223" s="58"/>
      <c r="H223" s="59"/>
    </row>
    <row r="224" spans="1:8" x14ac:dyDescent="0.25">
      <c r="A224" s="68" t="s">
        <v>88</v>
      </c>
      <c r="B224" s="49"/>
      <c r="C224" s="49"/>
      <c r="D224" s="14">
        <f t="shared" si="18"/>
        <v>0</v>
      </c>
      <c r="E224" s="58"/>
      <c r="F224" s="58"/>
      <c r="G224" s="58"/>
      <c r="H224" s="59"/>
    </row>
    <row r="225" spans="1:8" ht="27.6" x14ac:dyDescent="0.25">
      <c r="A225" s="78" t="s">
        <v>142</v>
      </c>
      <c r="B225" s="49"/>
      <c r="C225" s="49"/>
      <c r="D225" s="14">
        <f t="shared" si="18"/>
        <v>0</v>
      </c>
      <c r="E225" s="58"/>
      <c r="F225" s="58"/>
      <c r="G225" s="58"/>
      <c r="H225" s="59"/>
    </row>
    <row r="226" spans="1:8" x14ac:dyDescent="0.25">
      <c r="A226" s="78"/>
      <c r="B226" s="49"/>
      <c r="C226" s="49"/>
      <c r="D226" s="14">
        <f t="shared" si="18"/>
        <v>0</v>
      </c>
      <c r="E226" s="58"/>
      <c r="F226" s="58"/>
      <c r="G226" s="58"/>
      <c r="H226" s="59"/>
    </row>
    <row r="227" spans="1:8" x14ac:dyDescent="0.25">
      <c r="A227" s="78"/>
      <c r="B227" s="49"/>
      <c r="C227" s="49"/>
      <c r="D227" s="14">
        <f t="shared" si="18"/>
        <v>0</v>
      </c>
      <c r="E227" s="58"/>
      <c r="F227" s="58"/>
      <c r="G227" s="58"/>
      <c r="H227" s="59"/>
    </row>
    <row r="228" spans="1:8" x14ac:dyDescent="0.25">
      <c r="A228" s="78"/>
      <c r="B228" s="49"/>
      <c r="C228" s="49"/>
      <c r="D228" s="14">
        <f t="shared" si="18"/>
        <v>0</v>
      </c>
      <c r="E228" s="58"/>
      <c r="F228" s="58"/>
      <c r="G228" s="58"/>
      <c r="H228" s="59"/>
    </row>
    <row r="229" spans="1:8" x14ac:dyDescent="0.25">
      <c r="A229" s="68"/>
      <c r="B229" s="49"/>
      <c r="C229" s="49"/>
      <c r="D229" s="14">
        <f>B229*C229</f>
        <v>0</v>
      </c>
      <c r="E229" s="58"/>
      <c r="F229" s="58"/>
      <c r="G229" s="58"/>
      <c r="H229" s="59"/>
    </row>
    <row r="230" spans="1:8" ht="14.4" thickBot="1" x14ac:dyDescent="0.3">
      <c r="A230" s="69" t="s">
        <v>61</v>
      </c>
      <c r="B230" s="70"/>
      <c r="C230" s="70"/>
      <c r="D230" s="70">
        <f>SUM(D220:D229)</f>
        <v>0</v>
      </c>
      <c r="E230" s="71"/>
      <c r="F230" s="71"/>
      <c r="G230" s="71"/>
      <c r="H230" s="72"/>
    </row>
    <row r="231" spans="1:8" x14ac:dyDescent="0.25">
      <c r="A231" s="58"/>
      <c r="B231" s="58"/>
      <c r="C231" s="58"/>
      <c r="D231" s="58"/>
      <c r="E231" s="58"/>
      <c r="F231" s="58"/>
      <c r="G231" s="58"/>
      <c r="H231" s="59"/>
    </row>
    <row r="232" spans="1:8" ht="14.4" thickBot="1" x14ac:dyDescent="0.3">
      <c r="A232" s="58"/>
      <c r="B232" s="58"/>
      <c r="C232" s="58"/>
      <c r="D232" s="58"/>
      <c r="E232" s="58"/>
      <c r="F232" s="58"/>
      <c r="G232" s="58"/>
      <c r="H232" s="59"/>
    </row>
    <row r="233" spans="1:8" ht="18" thickBot="1" x14ac:dyDescent="0.35">
      <c r="A233" s="317" t="s">
        <v>227</v>
      </c>
      <c r="B233" s="318"/>
      <c r="C233" s="318"/>
      <c r="D233" s="318"/>
      <c r="E233" s="318"/>
      <c r="F233" s="318"/>
      <c r="G233" s="318"/>
      <c r="H233" s="319"/>
    </row>
    <row r="234" spans="1:8" ht="14.4" thickBot="1" x14ac:dyDescent="0.3">
      <c r="A234" s="81"/>
      <c r="B234" s="82"/>
      <c r="C234" s="82"/>
      <c r="D234" s="58"/>
      <c r="E234" s="58"/>
      <c r="F234" s="58"/>
      <c r="G234" s="58"/>
      <c r="H234" s="59"/>
    </row>
    <row r="235" spans="1:8" ht="16.2" thickBot="1" x14ac:dyDescent="0.35">
      <c r="A235" s="308" t="s">
        <v>221</v>
      </c>
      <c r="B235" s="309"/>
      <c r="C235" s="310"/>
      <c r="D235" s="73" t="s">
        <v>42</v>
      </c>
      <c r="E235" s="58"/>
      <c r="F235" s="58"/>
      <c r="G235" s="58"/>
      <c r="H235" s="59"/>
    </row>
    <row r="236" spans="1:8" ht="16.8" thickTop="1" thickBot="1" x14ac:dyDescent="0.35">
      <c r="A236" s="311" t="s">
        <v>45</v>
      </c>
      <c r="B236" s="312"/>
      <c r="C236" s="313"/>
      <c r="D236" s="20">
        <f>SUM(G241:G254)+C259*$B$15+SUM(D260:D268)</f>
        <v>0</v>
      </c>
      <c r="E236" s="58"/>
      <c r="F236" s="58"/>
      <c r="G236" s="58"/>
      <c r="H236" s="59"/>
    </row>
    <row r="237" spans="1:8" ht="15" thickTop="1" thickBot="1" x14ac:dyDescent="0.3">
      <c r="A237" s="81"/>
      <c r="B237" s="82"/>
      <c r="C237" s="82"/>
      <c r="D237" s="58"/>
      <c r="E237" s="58"/>
      <c r="F237" s="58"/>
      <c r="G237" s="58"/>
      <c r="H237" s="59"/>
    </row>
    <row r="238" spans="1:8" ht="14.4" thickBot="1" x14ac:dyDescent="0.3">
      <c r="A238" s="298" t="s">
        <v>148</v>
      </c>
      <c r="B238" s="299"/>
      <c r="C238" s="299"/>
      <c r="D238" s="299"/>
      <c r="E238" s="299"/>
      <c r="F238" s="299"/>
      <c r="G238" s="299"/>
      <c r="H238" s="300"/>
    </row>
    <row r="239" spans="1:8" ht="14.4" thickBot="1" x14ac:dyDescent="0.3">
      <c r="A239" s="81"/>
      <c r="B239" s="82"/>
      <c r="C239" s="82"/>
      <c r="D239" s="58"/>
      <c r="E239" s="58"/>
      <c r="F239" s="58"/>
      <c r="G239" s="58"/>
      <c r="H239" s="59"/>
    </row>
    <row r="240" spans="1:8" ht="52.8" x14ac:dyDescent="0.25">
      <c r="A240" s="6" t="s">
        <v>49</v>
      </c>
      <c r="B240" s="7" t="s">
        <v>47</v>
      </c>
      <c r="C240" s="7" t="s">
        <v>95</v>
      </c>
      <c r="D240" s="7" t="s">
        <v>50</v>
      </c>
      <c r="E240" s="7" t="s">
        <v>51</v>
      </c>
      <c r="F240" s="7" t="s">
        <v>67</v>
      </c>
      <c r="G240" s="8" t="s">
        <v>56</v>
      </c>
      <c r="H240" s="79" t="s">
        <v>96</v>
      </c>
    </row>
    <row r="241" spans="1:8" x14ac:dyDescent="0.25">
      <c r="A241" s="78" t="s">
        <v>57</v>
      </c>
      <c r="B241" s="10" t="s">
        <v>55</v>
      </c>
      <c r="C241" s="88" t="s">
        <v>93</v>
      </c>
      <c r="D241" s="47"/>
      <c r="E241" s="47"/>
      <c r="F241" s="11">
        <f t="shared" ref="F241:F254" si="19">D241*E241</f>
        <v>0</v>
      </c>
      <c r="G241" s="1">
        <f>IF(AND(B241=Справочник!$A$2, C241=Справочник!$A$8), "Не заполнена должность", IF(AND(B241=Справочник!$A$2, C241=Справочник!$A$7), F241*1.18*1.302, IF(AND(B241=Справочник!$A$2, C241=Справочник!$A$6),F241*1.11*1.302, F241*1.3)))</f>
        <v>0</v>
      </c>
      <c r="H241" s="80">
        <f t="shared" ref="H241:H254" si="20">F241*0.87</f>
        <v>0</v>
      </c>
    </row>
    <row r="242" spans="1:8" x14ac:dyDescent="0.25">
      <c r="A242" s="78" t="s">
        <v>81</v>
      </c>
      <c r="B242" s="10" t="s">
        <v>54</v>
      </c>
      <c r="C242" s="88" t="s">
        <v>94</v>
      </c>
      <c r="D242" s="47"/>
      <c r="E242" s="47"/>
      <c r="F242" s="11">
        <f t="shared" si="19"/>
        <v>0</v>
      </c>
      <c r="G242" s="1">
        <f>IF(AND(B242=Справочник!$A$2, C242=Справочник!$A$8), "Не заполнена должность", IF(AND(B242=Справочник!$A$2, C242=Справочник!$A$7), F242*1.18*1.302, IF(AND(B242=Справочник!$A$2, C242=Справочник!$A$6),F242*1.11*1.302, F242*1.3)))</f>
        <v>0</v>
      </c>
      <c r="H242" s="80">
        <f t="shared" si="20"/>
        <v>0</v>
      </c>
    </row>
    <row r="243" spans="1:8" x14ac:dyDescent="0.25">
      <c r="A243" s="78" t="s">
        <v>52</v>
      </c>
      <c r="B243" s="10" t="s">
        <v>55</v>
      </c>
      <c r="C243" s="88"/>
      <c r="D243" s="47"/>
      <c r="E243" s="47"/>
      <c r="F243" s="11">
        <f t="shared" si="19"/>
        <v>0</v>
      </c>
      <c r="G243" s="1">
        <f>IF(AND(B243=Справочник!$A$2, C243=Справочник!$A$8), "Не заполнена должность", IF(AND(B243=Справочник!$A$2, C243=Справочник!$A$7), F243*1.18*1.302, IF(AND(B243=Справочник!$A$2, C243=Справочник!$A$6),F243*1.11*1.302, F243*1.3)))</f>
        <v>0</v>
      </c>
      <c r="H243" s="80">
        <f t="shared" si="20"/>
        <v>0</v>
      </c>
    </row>
    <row r="244" spans="1:8" ht="27.6" x14ac:dyDescent="0.25">
      <c r="A244" s="78" t="s">
        <v>123</v>
      </c>
      <c r="B244" s="10" t="s">
        <v>55</v>
      </c>
      <c r="C244" s="88"/>
      <c r="D244" s="47"/>
      <c r="E244" s="47"/>
      <c r="F244" s="11">
        <f t="shared" si="19"/>
        <v>0</v>
      </c>
      <c r="G244" s="1">
        <f>IF(AND(B244=Справочник!$A$2, C244=Справочник!$A$8), "Не заполнена должность", IF(AND(B244=Справочник!$A$2, C244=Справочник!$A$7), F244*1.18*1.302, IF(AND(B244=Справочник!$A$2, C244=Справочник!$A$6),F244*1.11*1.302, F244*1.3)))</f>
        <v>0</v>
      </c>
      <c r="H244" s="80">
        <f t="shared" si="20"/>
        <v>0</v>
      </c>
    </row>
    <row r="245" spans="1:8" x14ac:dyDescent="0.25">
      <c r="A245" s="78" t="s">
        <v>79</v>
      </c>
      <c r="B245" s="10" t="s">
        <v>55</v>
      </c>
      <c r="C245" s="88"/>
      <c r="D245" s="47"/>
      <c r="E245" s="47"/>
      <c r="F245" s="11">
        <f t="shared" si="19"/>
        <v>0</v>
      </c>
      <c r="G245" s="1">
        <f>IF(AND(B245=Справочник!$A$2, C245=Справочник!$A$8), "Не заполнена должность", IF(AND(B245=Справочник!$A$2, C245=Справочник!$A$7), F245*1.18*1.302, IF(AND(B245=Справочник!$A$2, C245=Справочник!$A$6),F245*1.11*1.302, F245*1.3)))</f>
        <v>0</v>
      </c>
      <c r="H245" s="80">
        <f t="shared" si="20"/>
        <v>0</v>
      </c>
    </row>
    <row r="246" spans="1:8" x14ac:dyDescent="0.25">
      <c r="A246" s="78" t="s">
        <v>80</v>
      </c>
      <c r="B246" s="10" t="s">
        <v>55</v>
      </c>
      <c r="C246" s="88"/>
      <c r="D246" s="47"/>
      <c r="E246" s="47"/>
      <c r="F246" s="11">
        <f t="shared" si="19"/>
        <v>0</v>
      </c>
      <c r="G246" s="1">
        <f>IF(AND(B246=Справочник!$A$2, C246=Справочник!$A$8), "Не заполнена должность", IF(AND(B246=Справочник!$A$2, C246=Справочник!$A$7), F246*1.18*1.302, IF(AND(B246=Справочник!$A$2, C246=Справочник!$A$6),F246*1.11*1.302, F246*1.3)))</f>
        <v>0</v>
      </c>
      <c r="H246" s="80">
        <f t="shared" si="20"/>
        <v>0</v>
      </c>
    </row>
    <row r="247" spans="1:8" x14ac:dyDescent="0.25">
      <c r="A247" s="78" t="s">
        <v>48</v>
      </c>
      <c r="B247" s="10" t="s">
        <v>55</v>
      </c>
      <c r="C247" s="88"/>
      <c r="D247" s="47"/>
      <c r="E247" s="47"/>
      <c r="F247" s="11">
        <f t="shared" si="19"/>
        <v>0</v>
      </c>
      <c r="G247" s="1">
        <f>IF(AND(B247=Справочник!$A$2, C247=Справочник!$A$8), "Не заполнена должность", IF(AND(B247=Справочник!$A$2, C247=Справочник!$A$7), F247*1.18*1.302, IF(AND(B247=Справочник!$A$2, C247=Справочник!$A$6),F247*1.11*1.302, F247*1.3)))</f>
        <v>0</v>
      </c>
      <c r="H247" s="80">
        <f t="shared" si="20"/>
        <v>0</v>
      </c>
    </row>
    <row r="248" spans="1:8" ht="27.6" x14ac:dyDescent="0.25">
      <c r="A248" s="78" t="s">
        <v>111</v>
      </c>
      <c r="B248" s="10" t="s">
        <v>55</v>
      </c>
      <c r="C248" s="88"/>
      <c r="D248" s="47"/>
      <c r="E248" s="47"/>
      <c r="F248" s="11">
        <f t="shared" si="19"/>
        <v>0</v>
      </c>
      <c r="G248" s="1">
        <f>IF(AND(B248=Справочник!$A$2, C248=Справочник!$A$8), "Не заполнена должность", IF(AND(B248=Справочник!$A$2, C248=Справочник!$A$7), F248*1.18*1.302, IF(AND(B248=Справочник!$A$2, C248=Справочник!$A$6),F248*1.11*1.302, F248*1.3)))</f>
        <v>0</v>
      </c>
      <c r="H248" s="80">
        <f t="shared" si="20"/>
        <v>0</v>
      </c>
    </row>
    <row r="249" spans="1:8" x14ac:dyDescent="0.25">
      <c r="A249" s="78"/>
      <c r="B249" s="10"/>
      <c r="C249" s="88"/>
      <c r="D249" s="47"/>
      <c r="E249" s="47"/>
      <c r="F249" s="11">
        <f t="shared" si="19"/>
        <v>0</v>
      </c>
      <c r="G249" s="1">
        <f>IF(AND(B249=Справочник!$A$2, C249=Справочник!$A$8), "Не заполнена должность", IF(AND(B249=Справочник!$A$2, C249=Справочник!$A$7), F249*1.18*1.302, IF(AND(B249=Справочник!$A$2, C249=Справочник!$A$6),F249*1.11*1.302, F249*1.3)))</f>
        <v>0</v>
      </c>
      <c r="H249" s="80">
        <f t="shared" si="20"/>
        <v>0</v>
      </c>
    </row>
    <row r="250" spans="1:8" x14ac:dyDescent="0.25">
      <c r="A250" s="78"/>
      <c r="B250" s="10"/>
      <c r="C250" s="88"/>
      <c r="D250" s="47"/>
      <c r="E250" s="47"/>
      <c r="F250" s="11">
        <f t="shared" si="19"/>
        <v>0</v>
      </c>
      <c r="G250" s="1">
        <f>IF(AND(B250=Справочник!$A$2, C250=Справочник!$A$8), "Не заполнена должность", IF(AND(B250=Справочник!$A$2, C250=Справочник!$A$7), F250*1.18*1.302, IF(AND(B250=Справочник!$A$2, C250=Справочник!$A$6),F250*1.11*1.302, F250*1.3)))</f>
        <v>0</v>
      </c>
      <c r="H250" s="80">
        <f t="shared" si="20"/>
        <v>0</v>
      </c>
    </row>
    <row r="251" spans="1:8" x14ac:dyDescent="0.25">
      <c r="A251" s="78"/>
      <c r="B251" s="10"/>
      <c r="C251" s="88"/>
      <c r="D251" s="47"/>
      <c r="E251" s="47"/>
      <c r="F251" s="11">
        <f t="shared" si="19"/>
        <v>0</v>
      </c>
      <c r="G251" s="1">
        <f>IF(AND(B251=Справочник!$A$2, C251=Справочник!$A$8), "Не заполнена должность", IF(AND(B251=Справочник!$A$2, C251=Справочник!$A$7), F251*1.18*1.302, IF(AND(B251=Справочник!$A$2, C251=Справочник!$A$6),F251*1.11*1.302, F251*1.3)))</f>
        <v>0</v>
      </c>
      <c r="H251" s="80">
        <f t="shared" si="20"/>
        <v>0</v>
      </c>
    </row>
    <row r="252" spans="1:8" x14ac:dyDescent="0.25">
      <c r="A252" s="78"/>
      <c r="B252" s="10"/>
      <c r="C252" s="88"/>
      <c r="D252" s="47"/>
      <c r="E252" s="47"/>
      <c r="F252" s="11">
        <f t="shared" si="19"/>
        <v>0</v>
      </c>
      <c r="G252" s="1">
        <f>IF(AND(B252=Справочник!$A$2, C252=Справочник!$A$8), "Не заполнена должность", IF(AND(B252=Справочник!$A$2, C252=Справочник!$A$7), F252*1.18*1.302, IF(AND(B252=Справочник!$A$2, C252=Справочник!$A$6),F252*1.11*1.302, F252*1.3)))</f>
        <v>0</v>
      </c>
      <c r="H252" s="80">
        <f t="shared" si="20"/>
        <v>0</v>
      </c>
    </row>
    <row r="253" spans="1:8" x14ac:dyDescent="0.25">
      <c r="A253" s="78"/>
      <c r="B253" s="10"/>
      <c r="C253" s="88"/>
      <c r="D253" s="47"/>
      <c r="E253" s="47"/>
      <c r="F253" s="11">
        <f t="shared" si="19"/>
        <v>0</v>
      </c>
      <c r="G253" s="1">
        <f>IF(AND(B253=Справочник!$A$2, C253=Справочник!$A$8), "Не заполнена должность", IF(AND(B253=Справочник!$A$2, C253=Справочник!$A$7), F253*1.18*1.302, IF(AND(B253=Справочник!$A$2, C253=Справочник!$A$6),F253*1.11*1.302, F253*1.3)))</f>
        <v>0</v>
      </c>
      <c r="H253" s="80">
        <f t="shared" si="20"/>
        <v>0</v>
      </c>
    </row>
    <row r="254" spans="1:8" x14ac:dyDescent="0.25">
      <c r="A254" s="9"/>
      <c r="B254" s="10"/>
      <c r="C254" s="88"/>
      <c r="D254" s="47"/>
      <c r="E254" s="47"/>
      <c r="F254" s="11">
        <f t="shared" si="19"/>
        <v>0</v>
      </c>
      <c r="G254" s="1">
        <f>IF(AND(B254=Справочник!$A$2, C254=Справочник!$A$8), "Не заполнена должность", IF(AND(B254=Справочник!$A$2, C254=Справочник!$A$7), F254*1.18*1.302, IF(AND(B254=Справочник!$A$2, C254=Справочник!$A$6),F254*1.11*1.302, F254*1.3)))</f>
        <v>0</v>
      </c>
      <c r="H254" s="80">
        <f t="shared" si="20"/>
        <v>0</v>
      </c>
    </row>
    <row r="255" spans="1:8" x14ac:dyDescent="0.25">
      <c r="A255" s="174"/>
      <c r="B255" s="175"/>
      <c r="C255" s="175"/>
      <c r="D255" s="175"/>
      <c r="E255" s="175"/>
      <c r="F255" s="175"/>
      <c r="G255" s="175"/>
      <c r="H255" s="176"/>
    </row>
    <row r="256" spans="1:8" ht="14.4" thickBot="1" x14ac:dyDescent="0.3">
      <c r="A256" s="62"/>
      <c r="B256" s="58"/>
      <c r="C256" s="58"/>
      <c r="D256" s="58"/>
      <c r="E256" s="58"/>
      <c r="F256" s="58"/>
      <c r="G256" s="58"/>
      <c r="H256" s="59"/>
    </row>
    <row r="257" spans="1:8" ht="14.4" thickBot="1" x14ac:dyDescent="0.3">
      <c r="A257" s="298" t="s">
        <v>147</v>
      </c>
      <c r="B257" s="299"/>
      <c r="C257" s="299"/>
      <c r="D257" s="299"/>
      <c r="E257" s="299"/>
      <c r="F257" s="299"/>
      <c r="G257" s="299"/>
      <c r="H257" s="300"/>
    </row>
    <row r="258" spans="1:8" x14ac:dyDescent="0.25">
      <c r="A258" s="66" t="s">
        <v>60</v>
      </c>
      <c r="B258" s="13" t="s">
        <v>74</v>
      </c>
      <c r="C258" s="13" t="s">
        <v>75</v>
      </c>
      <c r="D258" s="13" t="s">
        <v>6</v>
      </c>
      <c r="E258" s="58"/>
      <c r="F258" s="58"/>
      <c r="G258" s="58"/>
      <c r="H258" s="59"/>
    </row>
    <row r="259" spans="1:8" x14ac:dyDescent="0.25">
      <c r="A259" s="67" t="s">
        <v>62</v>
      </c>
      <c r="B259" s="50">
        <f>$B$15</f>
        <v>10</v>
      </c>
      <c r="C259" s="49"/>
      <c r="D259" s="14">
        <f>B259*C259</f>
        <v>0</v>
      </c>
      <c r="E259" s="58"/>
      <c r="F259" s="58"/>
      <c r="G259" s="58"/>
      <c r="H259" s="59"/>
    </row>
    <row r="260" spans="1:8" ht="41.4" x14ac:dyDescent="0.25">
      <c r="A260" s="78" t="s">
        <v>144</v>
      </c>
      <c r="B260" s="49"/>
      <c r="C260" s="49"/>
      <c r="D260" s="14">
        <f>B260*C260</f>
        <v>0</v>
      </c>
      <c r="E260" s="58"/>
      <c r="F260" s="58"/>
      <c r="G260" s="58"/>
      <c r="H260" s="59"/>
    </row>
    <row r="261" spans="1:8" ht="41.4" x14ac:dyDescent="0.25">
      <c r="A261" s="78" t="s">
        <v>145</v>
      </c>
      <c r="B261" s="49"/>
      <c r="C261" s="49"/>
      <c r="D261" s="14">
        <f t="shared" ref="D261:D267" si="21">B261*C261</f>
        <v>0</v>
      </c>
      <c r="E261" s="58"/>
      <c r="F261" s="58"/>
      <c r="G261" s="58"/>
      <c r="H261" s="59"/>
    </row>
    <row r="262" spans="1:8" x14ac:dyDescent="0.25">
      <c r="A262" s="68" t="s">
        <v>87</v>
      </c>
      <c r="B262" s="49"/>
      <c r="C262" s="49"/>
      <c r="D262" s="14">
        <f t="shared" si="21"/>
        <v>0</v>
      </c>
      <c r="E262" s="58"/>
      <c r="F262" s="58"/>
      <c r="G262" s="58"/>
      <c r="H262" s="59"/>
    </row>
    <row r="263" spans="1:8" x14ac:dyDescent="0.25">
      <c r="A263" s="68" t="s">
        <v>88</v>
      </c>
      <c r="B263" s="49"/>
      <c r="C263" s="49"/>
      <c r="D263" s="14">
        <f t="shared" si="21"/>
        <v>0</v>
      </c>
      <c r="E263" s="58"/>
      <c r="F263" s="58"/>
      <c r="G263" s="58"/>
      <c r="H263" s="59"/>
    </row>
    <row r="264" spans="1:8" ht="27.6" x14ac:dyDescent="0.25">
      <c r="A264" s="78" t="s">
        <v>142</v>
      </c>
      <c r="B264" s="49"/>
      <c r="C264" s="49"/>
      <c r="D264" s="14">
        <f t="shared" si="21"/>
        <v>0</v>
      </c>
      <c r="E264" s="58"/>
      <c r="F264" s="58"/>
      <c r="G264" s="58"/>
      <c r="H264" s="59"/>
    </row>
    <row r="265" spans="1:8" x14ac:dyDescent="0.25">
      <c r="A265" s="78"/>
      <c r="B265" s="49"/>
      <c r="C265" s="49"/>
      <c r="D265" s="14">
        <f t="shared" si="21"/>
        <v>0</v>
      </c>
      <c r="E265" s="58"/>
      <c r="F265" s="58"/>
      <c r="G265" s="58"/>
      <c r="H265" s="59"/>
    </row>
    <row r="266" spans="1:8" x14ac:dyDescent="0.25">
      <c r="A266" s="78"/>
      <c r="B266" s="49"/>
      <c r="C266" s="49"/>
      <c r="D266" s="14">
        <f t="shared" si="21"/>
        <v>0</v>
      </c>
      <c r="E266" s="58"/>
      <c r="F266" s="58"/>
      <c r="G266" s="58"/>
      <c r="H266" s="59"/>
    </row>
    <row r="267" spans="1:8" x14ac:dyDescent="0.25">
      <c r="A267" s="78"/>
      <c r="B267" s="49"/>
      <c r="C267" s="49"/>
      <c r="D267" s="14">
        <f t="shared" si="21"/>
        <v>0</v>
      </c>
      <c r="E267" s="58"/>
      <c r="F267" s="58"/>
      <c r="G267" s="58"/>
      <c r="H267" s="59"/>
    </row>
    <row r="268" spans="1:8" x14ac:dyDescent="0.25">
      <c r="A268" s="68"/>
      <c r="B268" s="49"/>
      <c r="C268" s="49"/>
      <c r="D268" s="14">
        <f>B268*C268</f>
        <v>0</v>
      </c>
      <c r="E268" s="58"/>
      <c r="F268" s="58"/>
      <c r="G268" s="58"/>
      <c r="H268" s="59"/>
    </row>
    <row r="269" spans="1:8" ht="14.4" thickBot="1" x14ac:dyDescent="0.3">
      <c r="A269" s="69" t="s">
        <v>61</v>
      </c>
      <c r="B269" s="70"/>
      <c r="C269" s="70"/>
      <c r="D269" s="70">
        <f>SUM(D259:D268)</f>
        <v>0</v>
      </c>
      <c r="E269" s="71"/>
      <c r="F269" s="71"/>
      <c r="G269" s="71"/>
      <c r="H269" s="72"/>
    </row>
    <row r="270" spans="1:8" x14ac:dyDescent="0.25">
      <c r="A270" s="58"/>
      <c r="B270" s="58"/>
      <c r="C270" s="58"/>
      <c r="D270" s="58"/>
      <c r="E270" s="58"/>
      <c r="F270" s="58"/>
      <c r="G270" s="58"/>
      <c r="H270" s="59"/>
    </row>
    <row r="271" spans="1:8" ht="14.4" thickBot="1" x14ac:dyDescent="0.3">
      <c r="A271" s="58"/>
      <c r="B271" s="58"/>
      <c r="C271" s="58"/>
      <c r="D271" s="58"/>
      <c r="E271" s="58"/>
      <c r="F271" s="58"/>
      <c r="G271" s="58"/>
      <c r="H271" s="59"/>
    </row>
    <row r="272" spans="1:8" ht="18" thickBot="1" x14ac:dyDescent="0.35">
      <c r="A272" s="317" t="s">
        <v>226</v>
      </c>
      <c r="B272" s="318"/>
      <c r="C272" s="318"/>
      <c r="D272" s="318"/>
      <c r="E272" s="318"/>
      <c r="F272" s="318"/>
      <c r="G272" s="318"/>
      <c r="H272" s="319"/>
    </row>
    <row r="273" spans="1:8" ht="14.4" thickBot="1" x14ac:dyDescent="0.3">
      <c r="A273" s="81"/>
      <c r="B273" s="82"/>
      <c r="C273" s="82"/>
      <c r="D273" s="58"/>
      <c r="E273" s="58"/>
      <c r="F273" s="58"/>
      <c r="G273" s="58"/>
      <c r="H273" s="59"/>
    </row>
    <row r="274" spans="1:8" ht="16.2" thickBot="1" x14ac:dyDescent="0.35">
      <c r="A274" s="308" t="s">
        <v>221</v>
      </c>
      <c r="B274" s="309"/>
      <c r="C274" s="310"/>
      <c r="D274" s="73" t="s">
        <v>42</v>
      </c>
      <c r="E274" s="58"/>
      <c r="F274" s="58"/>
      <c r="G274" s="58"/>
      <c r="H274" s="59"/>
    </row>
    <row r="275" spans="1:8" ht="16.8" thickTop="1" thickBot="1" x14ac:dyDescent="0.35">
      <c r="A275" s="311" t="s">
        <v>45</v>
      </c>
      <c r="B275" s="312"/>
      <c r="C275" s="313"/>
      <c r="D275" s="20">
        <f>SUM(G280:G293)+C298*$B$15+SUM(D299:D307)</f>
        <v>0</v>
      </c>
      <c r="E275" s="58"/>
      <c r="F275" s="58"/>
      <c r="G275" s="58"/>
      <c r="H275" s="59"/>
    </row>
    <row r="276" spans="1:8" ht="15" thickTop="1" thickBot="1" x14ac:dyDescent="0.3">
      <c r="A276" s="81"/>
      <c r="B276" s="82"/>
      <c r="C276" s="82"/>
      <c r="D276" s="58"/>
      <c r="E276" s="58"/>
      <c r="F276" s="58"/>
      <c r="G276" s="58"/>
      <c r="H276" s="59"/>
    </row>
    <row r="277" spans="1:8" ht="14.4" thickBot="1" x14ac:dyDescent="0.3">
      <c r="A277" s="298" t="s">
        <v>148</v>
      </c>
      <c r="B277" s="299"/>
      <c r="C277" s="299"/>
      <c r="D277" s="299"/>
      <c r="E277" s="299"/>
      <c r="F277" s="299"/>
      <c r="G277" s="299"/>
      <c r="H277" s="300"/>
    </row>
    <row r="278" spans="1:8" ht="14.4" thickBot="1" x14ac:dyDescent="0.3">
      <c r="A278" s="81"/>
      <c r="B278" s="82"/>
      <c r="C278" s="82"/>
      <c r="D278" s="58"/>
      <c r="E278" s="58"/>
      <c r="F278" s="58"/>
      <c r="G278" s="58"/>
      <c r="H278" s="59"/>
    </row>
    <row r="279" spans="1:8" ht="52.8" x14ac:dyDescent="0.25">
      <c r="A279" s="6" t="s">
        <v>49</v>
      </c>
      <c r="B279" s="7" t="s">
        <v>47</v>
      </c>
      <c r="C279" s="7" t="s">
        <v>95</v>
      </c>
      <c r="D279" s="7" t="s">
        <v>50</v>
      </c>
      <c r="E279" s="7" t="s">
        <v>51</v>
      </c>
      <c r="F279" s="7" t="s">
        <v>67</v>
      </c>
      <c r="G279" s="8" t="s">
        <v>56</v>
      </c>
      <c r="H279" s="79" t="s">
        <v>96</v>
      </c>
    </row>
    <row r="280" spans="1:8" x14ac:dyDescent="0.25">
      <c r="A280" s="78" t="s">
        <v>57</v>
      </c>
      <c r="B280" s="10" t="s">
        <v>55</v>
      </c>
      <c r="C280" s="88" t="s">
        <v>93</v>
      </c>
      <c r="D280" s="47"/>
      <c r="E280" s="47"/>
      <c r="F280" s="11">
        <f t="shared" ref="F280:F293" si="22">D280*E280</f>
        <v>0</v>
      </c>
      <c r="G280" s="1">
        <f>IF(AND(B280=Справочник!$A$2, C280=Справочник!$A$8), "Не заполнена должность", IF(AND(B280=Справочник!$A$2, C280=Справочник!$A$7), F280*1.18*1.302, IF(AND(B280=Справочник!$A$2, C280=Справочник!$A$6),F280*1.11*1.302, F280*1.3)))</f>
        <v>0</v>
      </c>
      <c r="H280" s="80">
        <f t="shared" ref="H280:H293" si="23">F280*0.87</f>
        <v>0</v>
      </c>
    </row>
    <row r="281" spans="1:8" x14ac:dyDescent="0.25">
      <c r="A281" s="78" t="s">
        <v>81</v>
      </c>
      <c r="B281" s="10" t="s">
        <v>54</v>
      </c>
      <c r="C281" s="88" t="s">
        <v>94</v>
      </c>
      <c r="D281" s="47"/>
      <c r="E281" s="47"/>
      <c r="F281" s="11">
        <f t="shared" si="22"/>
        <v>0</v>
      </c>
      <c r="G281" s="1">
        <f>IF(AND(B281=Справочник!$A$2, C281=Справочник!$A$8), "Не заполнена должность", IF(AND(B281=Справочник!$A$2, C281=Справочник!$A$7), F281*1.18*1.302, IF(AND(B281=Справочник!$A$2, C281=Справочник!$A$6),F281*1.11*1.302, F281*1.3)))</f>
        <v>0</v>
      </c>
      <c r="H281" s="80">
        <f t="shared" si="23"/>
        <v>0</v>
      </c>
    </row>
    <row r="282" spans="1:8" x14ac:dyDescent="0.25">
      <c r="A282" s="78" t="s">
        <v>52</v>
      </c>
      <c r="B282" s="10" t="s">
        <v>55</v>
      </c>
      <c r="C282" s="88"/>
      <c r="D282" s="47"/>
      <c r="E282" s="47"/>
      <c r="F282" s="11">
        <f t="shared" si="22"/>
        <v>0</v>
      </c>
      <c r="G282" s="1">
        <f>IF(AND(B282=Справочник!$A$2, C282=Справочник!$A$8), "Не заполнена должность", IF(AND(B282=Справочник!$A$2, C282=Справочник!$A$7), F282*1.18*1.302, IF(AND(B282=Справочник!$A$2, C282=Справочник!$A$6),F282*1.11*1.302, F282*1.3)))</f>
        <v>0</v>
      </c>
      <c r="H282" s="80">
        <f t="shared" si="23"/>
        <v>0</v>
      </c>
    </row>
    <row r="283" spans="1:8" ht="27.6" x14ac:dyDescent="0.25">
      <c r="A283" s="78" t="s">
        <v>123</v>
      </c>
      <c r="B283" s="10" t="s">
        <v>55</v>
      </c>
      <c r="C283" s="88"/>
      <c r="D283" s="47"/>
      <c r="E283" s="47"/>
      <c r="F283" s="11">
        <f t="shared" si="22"/>
        <v>0</v>
      </c>
      <c r="G283" s="1">
        <f>IF(AND(B283=Справочник!$A$2, C283=Справочник!$A$8), "Не заполнена должность", IF(AND(B283=Справочник!$A$2, C283=Справочник!$A$7), F283*1.18*1.302, IF(AND(B283=Справочник!$A$2, C283=Справочник!$A$6),F283*1.11*1.302, F283*1.3)))</f>
        <v>0</v>
      </c>
      <c r="H283" s="80">
        <f t="shared" si="23"/>
        <v>0</v>
      </c>
    </row>
    <row r="284" spans="1:8" x14ac:dyDescent="0.25">
      <c r="A284" s="78" t="s">
        <v>79</v>
      </c>
      <c r="B284" s="10" t="s">
        <v>55</v>
      </c>
      <c r="C284" s="88"/>
      <c r="D284" s="47"/>
      <c r="E284" s="47"/>
      <c r="F284" s="11">
        <f t="shared" si="22"/>
        <v>0</v>
      </c>
      <c r="G284" s="1">
        <f>IF(AND(B284=Справочник!$A$2, C284=Справочник!$A$8), "Не заполнена должность", IF(AND(B284=Справочник!$A$2, C284=Справочник!$A$7), F284*1.18*1.302, IF(AND(B284=Справочник!$A$2, C284=Справочник!$A$6),F284*1.11*1.302, F284*1.3)))</f>
        <v>0</v>
      </c>
      <c r="H284" s="80">
        <f t="shared" si="23"/>
        <v>0</v>
      </c>
    </row>
    <row r="285" spans="1:8" x14ac:dyDescent="0.25">
      <c r="A285" s="78" t="s">
        <v>80</v>
      </c>
      <c r="B285" s="10" t="s">
        <v>55</v>
      </c>
      <c r="C285" s="88"/>
      <c r="D285" s="47"/>
      <c r="E285" s="47"/>
      <c r="F285" s="11">
        <f t="shared" si="22"/>
        <v>0</v>
      </c>
      <c r="G285" s="1">
        <f>IF(AND(B285=Справочник!$A$2, C285=Справочник!$A$8), "Не заполнена должность", IF(AND(B285=Справочник!$A$2, C285=Справочник!$A$7), F285*1.18*1.302, IF(AND(B285=Справочник!$A$2, C285=Справочник!$A$6),F285*1.11*1.302, F285*1.3)))</f>
        <v>0</v>
      </c>
      <c r="H285" s="80">
        <f t="shared" si="23"/>
        <v>0</v>
      </c>
    </row>
    <row r="286" spans="1:8" x14ac:dyDescent="0.25">
      <c r="A286" s="78" t="s">
        <v>48</v>
      </c>
      <c r="B286" s="10" t="s">
        <v>55</v>
      </c>
      <c r="C286" s="88"/>
      <c r="D286" s="47"/>
      <c r="E286" s="47"/>
      <c r="F286" s="11">
        <f t="shared" si="22"/>
        <v>0</v>
      </c>
      <c r="G286" s="1">
        <f>IF(AND(B286=Справочник!$A$2, C286=Справочник!$A$8), "Не заполнена должность", IF(AND(B286=Справочник!$A$2, C286=Справочник!$A$7), F286*1.18*1.302, IF(AND(B286=Справочник!$A$2, C286=Справочник!$A$6),F286*1.11*1.302, F286*1.3)))</f>
        <v>0</v>
      </c>
      <c r="H286" s="80">
        <f t="shared" si="23"/>
        <v>0</v>
      </c>
    </row>
    <row r="287" spans="1:8" ht="27.6" x14ac:dyDescent="0.25">
      <c r="A287" s="78" t="s">
        <v>111</v>
      </c>
      <c r="B287" s="10" t="s">
        <v>55</v>
      </c>
      <c r="C287" s="88"/>
      <c r="D287" s="47"/>
      <c r="E287" s="47"/>
      <c r="F287" s="11">
        <f t="shared" si="22"/>
        <v>0</v>
      </c>
      <c r="G287" s="1">
        <f>IF(AND(B287=Справочник!$A$2, C287=Справочник!$A$8), "Не заполнена должность", IF(AND(B287=Справочник!$A$2, C287=Справочник!$A$7), F287*1.18*1.302, IF(AND(B287=Справочник!$A$2, C287=Справочник!$A$6),F287*1.11*1.302, F287*1.3)))</f>
        <v>0</v>
      </c>
      <c r="H287" s="80">
        <f t="shared" si="23"/>
        <v>0</v>
      </c>
    </row>
    <row r="288" spans="1:8" x14ac:dyDescent="0.25">
      <c r="A288" s="78"/>
      <c r="B288" s="10"/>
      <c r="C288" s="88"/>
      <c r="D288" s="47"/>
      <c r="E288" s="47"/>
      <c r="F288" s="11">
        <f t="shared" si="22"/>
        <v>0</v>
      </c>
      <c r="G288" s="1">
        <f>IF(AND(B288=Справочник!$A$2, C288=Справочник!$A$8), "Не заполнена должность", IF(AND(B288=Справочник!$A$2, C288=Справочник!$A$7), F288*1.18*1.302, IF(AND(B288=Справочник!$A$2, C288=Справочник!$A$6),F288*1.11*1.302, F288*1.3)))</f>
        <v>0</v>
      </c>
      <c r="H288" s="80">
        <f t="shared" si="23"/>
        <v>0</v>
      </c>
    </row>
    <row r="289" spans="1:8" x14ac:dyDescent="0.25">
      <c r="A289" s="78"/>
      <c r="B289" s="10"/>
      <c r="C289" s="88"/>
      <c r="D289" s="47"/>
      <c r="E289" s="47"/>
      <c r="F289" s="11">
        <f t="shared" si="22"/>
        <v>0</v>
      </c>
      <c r="G289" s="1">
        <f>IF(AND(B289=Справочник!$A$2, C289=Справочник!$A$8), "Не заполнена должность", IF(AND(B289=Справочник!$A$2, C289=Справочник!$A$7), F289*1.18*1.302, IF(AND(B289=Справочник!$A$2, C289=Справочник!$A$6),F289*1.11*1.302, F289*1.3)))</f>
        <v>0</v>
      </c>
      <c r="H289" s="80">
        <f t="shared" si="23"/>
        <v>0</v>
      </c>
    </row>
    <row r="290" spans="1:8" x14ac:dyDescent="0.25">
      <c r="A290" s="78"/>
      <c r="B290" s="10"/>
      <c r="C290" s="88"/>
      <c r="D290" s="47"/>
      <c r="E290" s="47"/>
      <c r="F290" s="11">
        <f t="shared" si="22"/>
        <v>0</v>
      </c>
      <c r="G290" s="1">
        <f>IF(AND(B290=Справочник!$A$2, C290=Справочник!$A$8), "Не заполнена должность", IF(AND(B290=Справочник!$A$2, C290=Справочник!$A$7), F290*1.18*1.302, IF(AND(B290=Справочник!$A$2, C290=Справочник!$A$6),F290*1.11*1.302, F290*1.3)))</f>
        <v>0</v>
      </c>
      <c r="H290" s="80">
        <f t="shared" si="23"/>
        <v>0</v>
      </c>
    </row>
    <row r="291" spans="1:8" x14ac:dyDescent="0.25">
      <c r="A291" s="78"/>
      <c r="B291" s="10"/>
      <c r="C291" s="88"/>
      <c r="D291" s="47"/>
      <c r="E291" s="47"/>
      <c r="F291" s="11">
        <f t="shared" si="22"/>
        <v>0</v>
      </c>
      <c r="G291" s="1">
        <f>IF(AND(B291=Справочник!$A$2, C291=Справочник!$A$8), "Не заполнена должность", IF(AND(B291=Справочник!$A$2, C291=Справочник!$A$7), F291*1.18*1.302, IF(AND(B291=Справочник!$A$2, C291=Справочник!$A$6),F291*1.11*1.302, F291*1.3)))</f>
        <v>0</v>
      </c>
      <c r="H291" s="80">
        <f t="shared" si="23"/>
        <v>0</v>
      </c>
    </row>
    <row r="292" spans="1:8" x14ac:dyDescent="0.25">
      <c r="A292" s="78"/>
      <c r="B292" s="10"/>
      <c r="C292" s="88"/>
      <c r="D292" s="47"/>
      <c r="E292" s="47"/>
      <c r="F292" s="11">
        <f t="shared" si="22"/>
        <v>0</v>
      </c>
      <c r="G292" s="1">
        <f>IF(AND(B292=Справочник!$A$2, C292=Справочник!$A$8), "Не заполнена должность", IF(AND(B292=Справочник!$A$2, C292=Справочник!$A$7), F292*1.18*1.302, IF(AND(B292=Справочник!$A$2, C292=Справочник!$A$6),F292*1.11*1.302, F292*1.3)))</f>
        <v>0</v>
      </c>
      <c r="H292" s="80">
        <f t="shared" si="23"/>
        <v>0</v>
      </c>
    </row>
    <row r="293" spans="1:8" x14ac:dyDescent="0.25">
      <c r="A293" s="9"/>
      <c r="B293" s="10"/>
      <c r="C293" s="88"/>
      <c r="D293" s="47"/>
      <c r="E293" s="47"/>
      <c r="F293" s="11">
        <f t="shared" si="22"/>
        <v>0</v>
      </c>
      <c r="G293" s="1">
        <f>IF(AND(B293=Справочник!$A$2, C293=Справочник!$A$8), "Не заполнена должность", IF(AND(B293=Справочник!$A$2, C293=Справочник!$A$7), F293*1.18*1.302, IF(AND(B293=Справочник!$A$2, C293=Справочник!$A$6),F293*1.11*1.302, F293*1.3)))</f>
        <v>0</v>
      </c>
      <c r="H293" s="80">
        <f t="shared" si="23"/>
        <v>0</v>
      </c>
    </row>
    <row r="294" spans="1:8" x14ac:dyDescent="0.25">
      <c r="A294" s="174"/>
      <c r="B294" s="175"/>
      <c r="C294" s="175"/>
      <c r="D294" s="175"/>
      <c r="E294" s="175"/>
      <c r="F294" s="175"/>
      <c r="G294" s="175"/>
      <c r="H294" s="176"/>
    </row>
    <row r="295" spans="1:8" ht="14.4" thickBot="1" x14ac:dyDescent="0.3">
      <c r="A295" s="62"/>
      <c r="B295" s="58"/>
      <c r="C295" s="58"/>
      <c r="D295" s="58"/>
      <c r="E295" s="58"/>
      <c r="F295" s="58"/>
      <c r="G295" s="58"/>
      <c r="H295" s="59"/>
    </row>
    <row r="296" spans="1:8" ht="14.4" thickBot="1" x14ac:dyDescent="0.3">
      <c r="A296" s="298" t="s">
        <v>147</v>
      </c>
      <c r="B296" s="299"/>
      <c r="C296" s="299"/>
      <c r="D296" s="299"/>
      <c r="E296" s="299"/>
      <c r="F296" s="299"/>
      <c r="G296" s="299"/>
      <c r="H296" s="300"/>
    </row>
    <row r="297" spans="1:8" x14ac:dyDescent="0.25">
      <c r="A297" s="66" t="s">
        <v>60</v>
      </c>
      <c r="B297" s="13" t="s">
        <v>74</v>
      </c>
      <c r="C297" s="13" t="s">
        <v>75</v>
      </c>
      <c r="D297" s="13" t="s">
        <v>6</v>
      </c>
      <c r="E297" s="58"/>
      <c r="F297" s="58"/>
      <c r="G297" s="58"/>
      <c r="H297" s="59"/>
    </row>
    <row r="298" spans="1:8" x14ac:dyDescent="0.25">
      <c r="A298" s="67" t="s">
        <v>62</v>
      </c>
      <c r="B298" s="50">
        <f>$B$15</f>
        <v>10</v>
      </c>
      <c r="C298" s="49"/>
      <c r="D298" s="14">
        <f>B298*C298</f>
        <v>0</v>
      </c>
      <c r="E298" s="58"/>
      <c r="F298" s="58"/>
      <c r="G298" s="58"/>
      <c r="H298" s="59"/>
    </row>
    <row r="299" spans="1:8" ht="41.4" x14ac:dyDescent="0.25">
      <c r="A299" s="78" t="s">
        <v>144</v>
      </c>
      <c r="B299" s="49"/>
      <c r="C299" s="49"/>
      <c r="D299" s="14">
        <f>B299*C299</f>
        <v>0</v>
      </c>
      <c r="E299" s="58"/>
      <c r="F299" s="58"/>
      <c r="G299" s="58"/>
      <c r="H299" s="59"/>
    </row>
    <row r="300" spans="1:8" ht="41.4" x14ac:dyDescent="0.25">
      <c r="A300" s="78" t="s">
        <v>145</v>
      </c>
      <c r="B300" s="49"/>
      <c r="C300" s="49"/>
      <c r="D300" s="14">
        <f t="shared" ref="D300:D306" si="24">B300*C300</f>
        <v>0</v>
      </c>
      <c r="E300" s="58"/>
      <c r="F300" s="58"/>
      <c r="G300" s="58"/>
      <c r="H300" s="59"/>
    </row>
    <row r="301" spans="1:8" x14ac:dyDescent="0.25">
      <c r="A301" s="68" t="s">
        <v>87</v>
      </c>
      <c r="B301" s="49"/>
      <c r="C301" s="49"/>
      <c r="D301" s="14">
        <f t="shared" si="24"/>
        <v>0</v>
      </c>
      <c r="E301" s="58"/>
      <c r="F301" s="58"/>
      <c r="G301" s="58"/>
      <c r="H301" s="59"/>
    </row>
    <row r="302" spans="1:8" x14ac:dyDescent="0.25">
      <c r="A302" s="68" t="s">
        <v>88</v>
      </c>
      <c r="B302" s="49"/>
      <c r="C302" s="49"/>
      <c r="D302" s="14">
        <f t="shared" si="24"/>
        <v>0</v>
      </c>
      <c r="E302" s="58"/>
      <c r="F302" s="58"/>
      <c r="G302" s="58"/>
      <c r="H302" s="59"/>
    </row>
    <row r="303" spans="1:8" ht="27.6" x14ac:dyDescent="0.25">
      <c r="A303" s="78" t="s">
        <v>142</v>
      </c>
      <c r="B303" s="49"/>
      <c r="C303" s="49"/>
      <c r="D303" s="14">
        <f t="shared" si="24"/>
        <v>0</v>
      </c>
      <c r="E303" s="58"/>
      <c r="F303" s="58"/>
      <c r="G303" s="58"/>
      <c r="H303" s="59"/>
    </row>
    <row r="304" spans="1:8" x14ac:dyDescent="0.25">
      <c r="A304" s="78"/>
      <c r="B304" s="49"/>
      <c r="C304" s="49"/>
      <c r="D304" s="14">
        <f t="shared" si="24"/>
        <v>0</v>
      </c>
      <c r="E304" s="58"/>
      <c r="F304" s="58"/>
      <c r="G304" s="58"/>
      <c r="H304" s="59"/>
    </row>
    <row r="305" spans="1:8" x14ac:dyDescent="0.25">
      <c r="A305" s="78"/>
      <c r="B305" s="49"/>
      <c r="C305" s="49"/>
      <c r="D305" s="14">
        <f t="shared" si="24"/>
        <v>0</v>
      </c>
      <c r="E305" s="58"/>
      <c r="F305" s="58"/>
      <c r="G305" s="58"/>
      <c r="H305" s="59"/>
    </row>
    <row r="306" spans="1:8" x14ac:dyDescent="0.25">
      <c r="A306" s="78"/>
      <c r="B306" s="49"/>
      <c r="C306" s="49"/>
      <c r="D306" s="14">
        <f t="shared" si="24"/>
        <v>0</v>
      </c>
      <c r="E306" s="58"/>
      <c r="F306" s="58"/>
      <c r="G306" s="58"/>
      <c r="H306" s="59"/>
    </row>
    <row r="307" spans="1:8" x14ac:dyDescent="0.25">
      <c r="A307" s="68"/>
      <c r="B307" s="49"/>
      <c r="C307" s="49"/>
      <c r="D307" s="14">
        <f>B307*C307</f>
        <v>0</v>
      </c>
      <c r="E307" s="58"/>
      <c r="F307" s="58"/>
      <c r="G307" s="58"/>
      <c r="H307" s="59"/>
    </row>
    <row r="308" spans="1:8" ht="14.4" thickBot="1" x14ac:dyDescent="0.3">
      <c r="A308" s="69" t="s">
        <v>61</v>
      </c>
      <c r="B308" s="70"/>
      <c r="C308" s="70"/>
      <c r="D308" s="70">
        <f>SUM(D298:D307)</f>
        <v>0</v>
      </c>
      <c r="E308" s="71"/>
      <c r="F308" s="71"/>
      <c r="G308" s="71"/>
      <c r="H308" s="72"/>
    </row>
    <row r="309" spans="1:8" x14ac:dyDescent="0.25">
      <c r="A309" s="58"/>
      <c r="B309" s="58"/>
      <c r="C309" s="58"/>
      <c r="D309" s="58"/>
      <c r="E309" s="58"/>
      <c r="F309" s="58"/>
      <c r="G309" s="58"/>
      <c r="H309" s="59"/>
    </row>
    <row r="310" spans="1:8" ht="14.4" thickBot="1" x14ac:dyDescent="0.3">
      <c r="A310" s="58"/>
      <c r="B310" s="58"/>
      <c r="C310" s="58"/>
      <c r="D310" s="58"/>
      <c r="E310" s="58"/>
      <c r="F310" s="58"/>
      <c r="G310" s="58"/>
      <c r="H310" s="59"/>
    </row>
    <row r="311" spans="1:8" ht="18" thickBot="1" x14ac:dyDescent="0.35">
      <c r="A311" s="317" t="s">
        <v>225</v>
      </c>
      <c r="B311" s="318"/>
      <c r="C311" s="318"/>
      <c r="D311" s="318"/>
      <c r="E311" s="318"/>
      <c r="F311" s="318"/>
      <c r="G311" s="318"/>
      <c r="H311" s="319"/>
    </row>
    <row r="312" spans="1:8" ht="14.4" thickBot="1" x14ac:dyDescent="0.3">
      <c r="A312" s="81"/>
      <c r="B312" s="82"/>
      <c r="C312" s="82"/>
      <c r="D312" s="58"/>
      <c r="E312" s="58"/>
      <c r="F312" s="58"/>
      <c r="G312" s="58"/>
      <c r="H312" s="59"/>
    </row>
    <row r="313" spans="1:8" ht="16.2" thickBot="1" x14ac:dyDescent="0.35">
      <c r="A313" s="308" t="s">
        <v>221</v>
      </c>
      <c r="B313" s="309"/>
      <c r="C313" s="310"/>
      <c r="D313" s="73" t="s">
        <v>42</v>
      </c>
      <c r="E313" s="58"/>
      <c r="F313" s="58"/>
      <c r="G313" s="58"/>
      <c r="H313" s="59"/>
    </row>
    <row r="314" spans="1:8" ht="16.8" thickTop="1" thickBot="1" x14ac:dyDescent="0.35">
      <c r="A314" s="311" t="s">
        <v>45</v>
      </c>
      <c r="B314" s="312"/>
      <c r="C314" s="313"/>
      <c r="D314" s="20">
        <f>SUM(G319:G332)+C337*$B$15+SUM(D338:D346)</f>
        <v>0</v>
      </c>
      <c r="E314" s="58"/>
      <c r="F314" s="58"/>
      <c r="G314" s="58"/>
      <c r="H314" s="59"/>
    </row>
    <row r="315" spans="1:8" ht="15" thickTop="1" thickBot="1" x14ac:dyDescent="0.3">
      <c r="A315" s="81"/>
      <c r="B315" s="82"/>
      <c r="C315" s="82"/>
      <c r="D315" s="58"/>
      <c r="E315" s="58"/>
      <c r="F315" s="58"/>
      <c r="G315" s="58"/>
      <c r="H315" s="59"/>
    </row>
    <row r="316" spans="1:8" ht="14.4" thickBot="1" x14ac:dyDescent="0.3">
      <c r="A316" s="298" t="s">
        <v>148</v>
      </c>
      <c r="B316" s="299"/>
      <c r="C316" s="299"/>
      <c r="D316" s="299"/>
      <c r="E316" s="299"/>
      <c r="F316" s="299"/>
      <c r="G316" s="299"/>
      <c r="H316" s="300"/>
    </row>
    <row r="317" spans="1:8" ht="14.4" thickBot="1" x14ac:dyDescent="0.3">
      <c r="A317" s="81"/>
      <c r="B317" s="82"/>
      <c r="C317" s="82"/>
      <c r="D317" s="58"/>
      <c r="E317" s="58"/>
      <c r="F317" s="58"/>
      <c r="G317" s="58"/>
      <c r="H317" s="59"/>
    </row>
    <row r="318" spans="1:8" ht="52.8" x14ac:dyDescent="0.25">
      <c r="A318" s="6" t="s">
        <v>49</v>
      </c>
      <c r="B318" s="7" t="s">
        <v>47</v>
      </c>
      <c r="C318" s="7" t="s">
        <v>95</v>
      </c>
      <c r="D318" s="7" t="s">
        <v>50</v>
      </c>
      <c r="E318" s="7" t="s">
        <v>51</v>
      </c>
      <c r="F318" s="7" t="s">
        <v>67</v>
      </c>
      <c r="G318" s="8" t="s">
        <v>56</v>
      </c>
      <c r="H318" s="79" t="s">
        <v>96</v>
      </c>
    </row>
    <row r="319" spans="1:8" x14ac:dyDescent="0.25">
      <c r="A319" s="78" t="s">
        <v>57</v>
      </c>
      <c r="B319" s="10" t="s">
        <v>55</v>
      </c>
      <c r="C319" s="88" t="s">
        <v>93</v>
      </c>
      <c r="D319" s="47"/>
      <c r="E319" s="47"/>
      <c r="F319" s="11">
        <f t="shared" ref="F319:F332" si="25">D319*E319</f>
        <v>0</v>
      </c>
      <c r="G319" s="1">
        <f>IF(AND(B319=Справочник!$A$2, C319=Справочник!$A$8), "Не заполнена должность", IF(AND(B319=Справочник!$A$2, C319=Справочник!$A$7), F319*1.18*1.302, IF(AND(B319=Справочник!$A$2, C319=Справочник!$A$6),F319*1.11*1.302, F319*1.3)))</f>
        <v>0</v>
      </c>
      <c r="H319" s="80">
        <f t="shared" ref="H319:H332" si="26">F319*0.87</f>
        <v>0</v>
      </c>
    </row>
    <row r="320" spans="1:8" x14ac:dyDescent="0.25">
      <c r="A320" s="78" t="s">
        <v>81</v>
      </c>
      <c r="B320" s="10" t="s">
        <v>54</v>
      </c>
      <c r="C320" s="88" t="s">
        <v>94</v>
      </c>
      <c r="D320" s="47"/>
      <c r="E320" s="47"/>
      <c r="F320" s="11">
        <f t="shared" si="25"/>
        <v>0</v>
      </c>
      <c r="G320" s="1">
        <f>IF(AND(B320=Справочник!$A$2, C320=Справочник!$A$8), "Не заполнена должность", IF(AND(B320=Справочник!$A$2, C320=Справочник!$A$7), F320*1.18*1.302, IF(AND(B320=Справочник!$A$2, C320=Справочник!$A$6),F320*1.11*1.302, F320*1.3)))</f>
        <v>0</v>
      </c>
      <c r="H320" s="80">
        <f t="shared" si="26"/>
        <v>0</v>
      </c>
    </row>
    <row r="321" spans="1:8" x14ac:dyDescent="0.25">
      <c r="A321" s="78" t="s">
        <v>52</v>
      </c>
      <c r="B321" s="10" t="s">
        <v>55</v>
      </c>
      <c r="C321" s="88"/>
      <c r="D321" s="47"/>
      <c r="E321" s="47"/>
      <c r="F321" s="11">
        <f t="shared" si="25"/>
        <v>0</v>
      </c>
      <c r="G321" s="1">
        <f>IF(AND(B321=Справочник!$A$2, C321=Справочник!$A$8), "Не заполнена должность", IF(AND(B321=Справочник!$A$2, C321=Справочник!$A$7), F321*1.18*1.302, IF(AND(B321=Справочник!$A$2, C321=Справочник!$A$6),F321*1.11*1.302, F321*1.3)))</f>
        <v>0</v>
      </c>
      <c r="H321" s="80">
        <f t="shared" si="26"/>
        <v>0</v>
      </c>
    </row>
    <row r="322" spans="1:8" ht="27.6" x14ac:dyDescent="0.25">
      <c r="A322" s="78" t="s">
        <v>123</v>
      </c>
      <c r="B322" s="10" t="s">
        <v>55</v>
      </c>
      <c r="C322" s="88"/>
      <c r="D322" s="47"/>
      <c r="E322" s="47"/>
      <c r="F322" s="11">
        <f t="shared" si="25"/>
        <v>0</v>
      </c>
      <c r="G322" s="1">
        <f>IF(AND(B322=Справочник!$A$2, C322=Справочник!$A$8), "Не заполнена должность", IF(AND(B322=Справочник!$A$2, C322=Справочник!$A$7), F322*1.18*1.302, IF(AND(B322=Справочник!$A$2, C322=Справочник!$A$6),F322*1.11*1.302, F322*1.3)))</f>
        <v>0</v>
      </c>
      <c r="H322" s="80">
        <f t="shared" si="26"/>
        <v>0</v>
      </c>
    </row>
    <row r="323" spans="1:8" x14ac:dyDescent="0.25">
      <c r="A323" s="78" t="s">
        <v>79</v>
      </c>
      <c r="B323" s="10" t="s">
        <v>55</v>
      </c>
      <c r="C323" s="88"/>
      <c r="D323" s="47"/>
      <c r="E323" s="47"/>
      <c r="F323" s="11">
        <f t="shared" si="25"/>
        <v>0</v>
      </c>
      <c r="G323" s="1">
        <f>IF(AND(B323=Справочник!$A$2, C323=Справочник!$A$8), "Не заполнена должность", IF(AND(B323=Справочник!$A$2, C323=Справочник!$A$7), F323*1.18*1.302, IF(AND(B323=Справочник!$A$2, C323=Справочник!$A$6),F323*1.11*1.302, F323*1.3)))</f>
        <v>0</v>
      </c>
      <c r="H323" s="80">
        <f t="shared" si="26"/>
        <v>0</v>
      </c>
    </row>
    <row r="324" spans="1:8" x14ac:dyDescent="0.25">
      <c r="A324" s="78" t="s">
        <v>80</v>
      </c>
      <c r="B324" s="10" t="s">
        <v>55</v>
      </c>
      <c r="C324" s="88"/>
      <c r="D324" s="47"/>
      <c r="E324" s="47"/>
      <c r="F324" s="11">
        <f t="shared" si="25"/>
        <v>0</v>
      </c>
      <c r="G324" s="1">
        <f>IF(AND(B324=Справочник!$A$2, C324=Справочник!$A$8), "Не заполнена должность", IF(AND(B324=Справочник!$A$2, C324=Справочник!$A$7), F324*1.18*1.302, IF(AND(B324=Справочник!$A$2, C324=Справочник!$A$6),F324*1.11*1.302, F324*1.3)))</f>
        <v>0</v>
      </c>
      <c r="H324" s="80">
        <f t="shared" si="26"/>
        <v>0</v>
      </c>
    </row>
    <row r="325" spans="1:8" x14ac:dyDescent="0.25">
      <c r="A325" s="78" t="s">
        <v>48</v>
      </c>
      <c r="B325" s="10" t="s">
        <v>55</v>
      </c>
      <c r="C325" s="88"/>
      <c r="D325" s="47"/>
      <c r="E325" s="47"/>
      <c r="F325" s="11">
        <f t="shared" si="25"/>
        <v>0</v>
      </c>
      <c r="G325" s="1">
        <f>IF(AND(B325=Справочник!$A$2, C325=Справочник!$A$8), "Не заполнена должность", IF(AND(B325=Справочник!$A$2, C325=Справочник!$A$7), F325*1.18*1.302, IF(AND(B325=Справочник!$A$2, C325=Справочник!$A$6),F325*1.11*1.302, F325*1.3)))</f>
        <v>0</v>
      </c>
      <c r="H325" s="80">
        <f t="shared" si="26"/>
        <v>0</v>
      </c>
    </row>
    <row r="326" spans="1:8" ht="27.6" x14ac:dyDescent="0.25">
      <c r="A326" s="78" t="s">
        <v>111</v>
      </c>
      <c r="B326" s="10" t="s">
        <v>55</v>
      </c>
      <c r="C326" s="88"/>
      <c r="D326" s="47"/>
      <c r="E326" s="47"/>
      <c r="F326" s="11">
        <f t="shared" si="25"/>
        <v>0</v>
      </c>
      <c r="G326" s="1">
        <f>IF(AND(B326=Справочник!$A$2, C326=Справочник!$A$8), "Не заполнена должность", IF(AND(B326=Справочник!$A$2, C326=Справочник!$A$7), F326*1.18*1.302, IF(AND(B326=Справочник!$A$2, C326=Справочник!$A$6),F326*1.11*1.302, F326*1.3)))</f>
        <v>0</v>
      </c>
      <c r="H326" s="80">
        <f t="shared" si="26"/>
        <v>0</v>
      </c>
    </row>
    <row r="327" spans="1:8" x14ac:dyDescent="0.25">
      <c r="A327" s="78"/>
      <c r="B327" s="10"/>
      <c r="C327" s="88"/>
      <c r="D327" s="47"/>
      <c r="E327" s="47"/>
      <c r="F327" s="11">
        <f t="shared" si="25"/>
        <v>0</v>
      </c>
      <c r="G327" s="1">
        <f>IF(AND(B327=Справочник!$A$2, C327=Справочник!$A$8), "Не заполнена должность", IF(AND(B327=Справочник!$A$2, C327=Справочник!$A$7), F327*1.18*1.302, IF(AND(B327=Справочник!$A$2, C327=Справочник!$A$6),F327*1.11*1.302, F327*1.3)))</f>
        <v>0</v>
      </c>
      <c r="H327" s="80">
        <f t="shared" si="26"/>
        <v>0</v>
      </c>
    </row>
    <row r="328" spans="1:8" x14ac:dyDescent="0.25">
      <c r="A328" s="78"/>
      <c r="B328" s="10"/>
      <c r="C328" s="88"/>
      <c r="D328" s="47"/>
      <c r="E328" s="47"/>
      <c r="F328" s="11">
        <f t="shared" si="25"/>
        <v>0</v>
      </c>
      <c r="G328" s="1">
        <f>IF(AND(B328=Справочник!$A$2, C328=Справочник!$A$8), "Не заполнена должность", IF(AND(B328=Справочник!$A$2, C328=Справочник!$A$7), F328*1.18*1.302, IF(AND(B328=Справочник!$A$2, C328=Справочник!$A$6),F328*1.11*1.302, F328*1.3)))</f>
        <v>0</v>
      </c>
      <c r="H328" s="80">
        <f t="shared" si="26"/>
        <v>0</v>
      </c>
    </row>
    <row r="329" spans="1:8" x14ac:dyDescent="0.25">
      <c r="A329" s="78"/>
      <c r="B329" s="10"/>
      <c r="C329" s="88"/>
      <c r="D329" s="47"/>
      <c r="E329" s="47"/>
      <c r="F329" s="11">
        <f t="shared" si="25"/>
        <v>0</v>
      </c>
      <c r="G329" s="1">
        <f>IF(AND(B329=Справочник!$A$2, C329=Справочник!$A$8), "Не заполнена должность", IF(AND(B329=Справочник!$A$2, C329=Справочник!$A$7), F329*1.18*1.302, IF(AND(B329=Справочник!$A$2, C329=Справочник!$A$6),F329*1.11*1.302, F329*1.3)))</f>
        <v>0</v>
      </c>
      <c r="H329" s="80">
        <f t="shared" si="26"/>
        <v>0</v>
      </c>
    </row>
    <row r="330" spans="1:8" x14ac:dyDescent="0.25">
      <c r="A330" s="78"/>
      <c r="B330" s="10"/>
      <c r="C330" s="88"/>
      <c r="D330" s="47"/>
      <c r="E330" s="47"/>
      <c r="F330" s="11">
        <f t="shared" si="25"/>
        <v>0</v>
      </c>
      <c r="G330" s="1">
        <f>IF(AND(B330=Справочник!$A$2, C330=Справочник!$A$8), "Не заполнена должность", IF(AND(B330=Справочник!$A$2, C330=Справочник!$A$7), F330*1.18*1.302, IF(AND(B330=Справочник!$A$2, C330=Справочник!$A$6),F330*1.11*1.302, F330*1.3)))</f>
        <v>0</v>
      </c>
      <c r="H330" s="80">
        <f t="shared" si="26"/>
        <v>0</v>
      </c>
    </row>
    <row r="331" spans="1:8" x14ac:dyDescent="0.25">
      <c r="A331" s="78"/>
      <c r="B331" s="10"/>
      <c r="C331" s="88"/>
      <c r="D331" s="47"/>
      <c r="E331" s="47"/>
      <c r="F331" s="11">
        <f t="shared" si="25"/>
        <v>0</v>
      </c>
      <c r="G331" s="1">
        <f>IF(AND(B331=Справочник!$A$2, C331=Справочник!$A$8), "Не заполнена должность", IF(AND(B331=Справочник!$A$2, C331=Справочник!$A$7), F331*1.18*1.302, IF(AND(B331=Справочник!$A$2, C331=Справочник!$A$6),F331*1.11*1.302, F331*1.3)))</f>
        <v>0</v>
      </c>
      <c r="H331" s="80">
        <f t="shared" si="26"/>
        <v>0</v>
      </c>
    </row>
    <row r="332" spans="1:8" x14ac:dyDescent="0.25">
      <c r="A332" s="9"/>
      <c r="B332" s="10"/>
      <c r="C332" s="88"/>
      <c r="D332" s="47"/>
      <c r="E332" s="47"/>
      <c r="F332" s="11">
        <f t="shared" si="25"/>
        <v>0</v>
      </c>
      <c r="G332" s="1">
        <f>IF(AND(B332=Справочник!$A$2, C332=Справочник!$A$8), "Не заполнена должность", IF(AND(B332=Справочник!$A$2, C332=Справочник!$A$7), F332*1.18*1.302, IF(AND(B332=Справочник!$A$2, C332=Справочник!$A$6),F332*1.11*1.302, F332*1.3)))</f>
        <v>0</v>
      </c>
      <c r="H332" s="80">
        <f t="shared" si="26"/>
        <v>0</v>
      </c>
    </row>
    <row r="333" spans="1:8" x14ac:dyDescent="0.25">
      <c r="A333" s="174"/>
      <c r="B333" s="175"/>
      <c r="C333" s="175"/>
      <c r="D333" s="175"/>
      <c r="E333" s="175"/>
      <c r="F333" s="175"/>
      <c r="G333" s="175"/>
      <c r="H333" s="176"/>
    </row>
    <row r="334" spans="1:8" ht="14.4" thickBot="1" x14ac:dyDescent="0.3">
      <c r="A334" s="62"/>
      <c r="B334" s="58"/>
      <c r="C334" s="58"/>
      <c r="D334" s="58"/>
      <c r="E334" s="58"/>
      <c r="F334" s="58"/>
      <c r="G334" s="58"/>
      <c r="H334" s="59"/>
    </row>
    <row r="335" spans="1:8" ht="14.4" thickBot="1" x14ac:dyDescent="0.3">
      <c r="A335" s="298" t="s">
        <v>147</v>
      </c>
      <c r="B335" s="299"/>
      <c r="C335" s="299"/>
      <c r="D335" s="299"/>
      <c r="E335" s="299"/>
      <c r="F335" s="299"/>
      <c r="G335" s="299"/>
      <c r="H335" s="300"/>
    </row>
    <row r="336" spans="1:8" x14ac:dyDescent="0.25">
      <c r="A336" s="66" t="s">
        <v>60</v>
      </c>
      <c r="B336" s="13" t="s">
        <v>74</v>
      </c>
      <c r="C336" s="13" t="s">
        <v>75</v>
      </c>
      <c r="D336" s="13" t="s">
        <v>6</v>
      </c>
      <c r="E336" s="58"/>
      <c r="F336" s="58"/>
      <c r="G336" s="58"/>
      <c r="H336" s="59"/>
    </row>
    <row r="337" spans="1:8" x14ac:dyDescent="0.25">
      <c r="A337" s="67" t="s">
        <v>62</v>
      </c>
      <c r="B337" s="50">
        <f>$B$15</f>
        <v>10</v>
      </c>
      <c r="C337" s="49"/>
      <c r="D337" s="14">
        <f>B337*C337</f>
        <v>0</v>
      </c>
      <c r="E337" s="58"/>
      <c r="F337" s="58"/>
      <c r="G337" s="58"/>
      <c r="H337" s="59"/>
    </row>
    <row r="338" spans="1:8" ht="41.4" x14ac:dyDescent="0.25">
      <c r="A338" s="78" t="s">
        <v>144</v>
      </c>
      <c r="B338" s="49"/>
      <c r="C338" s="49"/>
      <c r="D338" s="14">
        <f>B338*C338</f>
        <v>0</v>
      </c>
      <c r="E338" s="58"/>
      <c r="F338" s="58"/>
      <c r="G338" s="58"/>
      <c r="H338" s="59"/>
    </row>
    <row r="339" spans="1:8" ht="41.4" x14ac:dyDescent="0.25">
      <c r="A339" s="78" t="s">
        <v>145</v>
      </c>
      <c r="B339" s="49"/>
      <c r="C339" s="49"/>
      <c r="D339" s="14">
        <f t="shared" ref="D339:D345" si="27">B339*C339</f>
        <v>0</v>
      </c>
      <c r="E339" s="58"/>
      <c r="F339" s="58"/>
      <c r="G339" s="58"/>
      <c r="H339" s="59"/>
    </row>
    <row r="340" spans="1:8" x14ac:dyDescent="0.25">
      <c r="A340" s="68" t="s">
        <v>87</v>
      </c>
      <c r="B340" s="49"/>
      <c r="C340" s="49"/>
      <c r="D340" s="14">
        <f t="shared" si="27"/>
        <v>0</v>
      </c>
      <c r="E340" s="58"/>
      <c r="F340" s="58"/>
      <c r="G340" s="58"/>
      <c r="H340" s="59"/>
    </row>
    <row r="341" spans="1:8" x14ac:dyDescent="0.25">
      <c r="A341" s="68" t="s">
        <v>88</v>
      </c>
      <c r="B341" s="49"/>
      <c r="C341" s="49"/>
      <c r="D341" s="14">
        <f t="shared" si="27"/>
        <v>0</v>
      </c>
      <c r="E341" s="58"/>
      <c r="F341" s="58"/>
      <c r="G341" s="58"/>
      <c r="H341" s="59"/>
    </row>
    <row r="342" spans="1:8" ht="27.6" x14ac:dyDescent="0.25">
      <c r="A342" s="78" t="s">
        <v>142</v>
      </c>
      <c r="B342" s="49"/>
      <c r="C342" s="49"/>
      <c r="D342" s="14">
        <f t="shared" si="27"/>
        <v>0</v>
      </c>
      <c r="E342" s="58"/>
      <c r="F342" s="58"/>
      <c r="G342" s="58"/>
      <c r="H342" s="59"/>
    </row>
    <row r="343" spans="1:8" x14ac:dyDescent="0.25">
      <c r="A343" s="78"/>
      <c r="B343" s="49"/>
      <c r="C343" s="49"/>
      <c r="D343" s="14">
        <f t="shared" si="27"/>
        <v>0</v>
      </c>
      <c r="E343" s="58"/>
      <c r="F343" s="58"/>
      <c r="G343" s="58"/>
      <c r="H343" s="59"/>
    </row>
    <row r="344" spans="1:8" x14ac:dyDescent="0.25">
      <c r="A344" s="78"/>
      <c r="B344" s="49"/>
      <c r="C344" s="49"/>
      <c r="D344" s="14">
        <f t="shared" si="27"/>
        <v>0</v>
      </c>
      <c r="E344" s="58"/>
      <c r="F344" s="58"/>
      <c r="G344" s="58"/>
      <c r="H344" s="59"/>
    </row>
    <row r="345" spans="1:8" x14ac:dyDescent="0.25">
      <c r="A345" s="78"/>
      <c r="B345" s="49"/>
      <c r="C345" s="49"/>
      <c r="D345" s="14">
        <f t="shared" si="27"/>
        <v>0</v>
      </c>
      <c r="E345" s="58"/>
      <c r="F345" s="58"/>
      <c r="G345" s="58"/>
      <c r="H345" s="59"/>
    </row>
    <row r="346" spans="1:8" x14ac:dyDescent="0.25">
      <c r="A346" s="68"/>
      <c r="B346" s="49"/>
      <c r="C346" s="49"/>
      <c r="D346" s="14">
        <f>B346*C346</f>
        <v>0</v>
      </c>
      <c r="E346" s="58"/>
      <c r="F346" s="58"/>
      <c r="G346" s="58"/>
      <c r="H346" s="59"/>
    </row>
    <row r="347" spans="1:8" ht="14.4" thickBot="1" x14ac:dyDescent="0.3">
      <c r="A347" s="69" t="s">
        <v>61</v>
      </c>
      <c r="B347" s="70"/>
      <c r="C347" s="70"/>
      <c r="D347" s="70">
        <f>SUM(D337:D346)</f>
        <v>0</v>
      </c>
      <c r="E347" s="71"/>
      <c r="F347" s="71"/>
      <c r="G347" s="71"/>
      <c r="H347" s="72"/>
    </row>
    <row r="348" spans="1:8" x14ac:dyDescent="0.25">
      <c r="A348" s="58"/>
      <c r="B348" s="58"/>
      <c r="C348" s="58"/>
      <c r="D348" s="58"/>
      <c r="E348" s="58"/>
      <c r="F348" s="58"/>
      <c r="G348" s="58"/>
      <c r="H348" s="59"/>
    </row>
    <row r="349" spans="1:8" ht="14.4" thickBot="1" x14ac:dyDescent="0.3">
      <c r="A349" s="58"/>
      <c r="B349" s="58"/>
      <c r="C349" s="58"/>
      <c r="D349" s="58"/>
      <c r="E349" s="58"/>
      <c r="F349" s="58"/>
      <c r="G349" s="58"/>
      <c r="H349" s="59"/>
    </row>
    <row r="350" spans="1:8" ht="18" thickBot="1" x14ac:dyDescent="0.35">
      <c r="A350" s="317" t="s">
        <v>224</v>
      </c>
      <c r="B350" s="318"/>
      <c r="C350" s="318"/>
      <c r="D350" s="318"/>
      <c r="E350" s="318"/>
      <c r="F350" s="318"/>
      <c r="G350" s="318"/>
      <c r="H350" s="319"/>
    </row>
    <row r="351" spans="1:8" ht="14.4" thickBot="1" x14ac:dyDescent="0.3">
      <c r="A351" s="81"/>
      <c r="B351" s="82"/>
      <c r="C351" s="82"/>
      <c r="D351" s="58"/>
      <c r="E351" s="58"/>
      <c r="F351" s="58"/>
      <c r="G351" s="58"/>
      <c r="H351" s="59"/>
    </row>
    <row r="352" spans="1:8" ht="16.2" thickBot="1" x14ac:dyDescent="0.35">
      <c r="A352" s="308" t="s">
        <v>221</v>
      </c>
      <c r="B352" s="309"/>
      <c r="C352" s="310"/>
      <c r="D352" s="73" t="s">
        <v>42</v>
      </c>
      <c r="E352" s="58"/>
      <c r="F352" s="58"/>
      <c r="G352" s="58"/>
      <c r="H352" s="59"/>
    </row>
    <row r="353" spans="1:8" ht="16.8" thickTop="1" thickBot="1" x14ac:dyDescent="0.35">
      <c r="A353" s="311" t="s">
        <v>45</v>
      </c>
      <c r="B353" s="312"/>
      <c r="C353" s="313"/>
      <c r="D353" s="20">
        <f>SUM(G358:G371)+C376*$B$15+SUM(D377:D385)</f>
        <v>0</v>
      </c>
      <c r="E353" s="58"/>
      <c r="F353" s="58"/>
      <c r="G353" s="58"/>
      <c r="H353" s="59"/>
    </row>
    <row r="354" spans="1:8" ht="15" thickTop="1" thickBot="1" x14ac:dyDescent="0.3">
      <c r="A354" s="81"/>
      <c r="B354" s="82"/>
      <c r="C354" s="82"/>
      <c r="D354" s="58"/>
      <c r="E354" s="58"/>
      <c r="F354" s="58"/>
      <c r="G354" s="58"/>
      <c r="H354" s="59"/>
    </row>
    <row r="355" spans="1:8" ht="14.4" thickBot="1" x14ac:dyDescent="0.3">
      <c r="A355" s="298" t="s">
        <v>148</v>
      </c>
      <c r="B355" s="299"/>
      <c r="C355" s="299"/>
      <c r="D355" s="299"/>
      <c r="E355" s="299"/>
      <c r="F355" s="299"/>
      <c r="G355" s="299"/>
      <c r="H355" s="300"/>
    </row>
    <row r="356" spans="1:8" ht="14.4" thickBot="1" x14ac:dyDescent="0.3">
      <c r="A356" s="81"/>
      <c r="B356" s="82"/>
      <c r="C356" s="82"/>
      <c r="D356" s="58"/>
      <c r="E356" s="58"/>
      <c r="F356" s="58"/>
      <c r="G356" s="58"/>
      <c r="H356" s="59"/>
    </row>
    <row r="357" spans="1:8" ht="52.8" x14ac:dyDescent="0.25">
      <c r="A357" s="6" t="s">
        <v>49</v>
      </c>
      <c r="B357" s="7" t="s">
        <v>47</v>
      </c>
      <c r="C357" s="7" t="s">
        <v>95</v>
      </c>
      <c r="D357" s="7" t="s">
        <v>50</v>
      </c>
      <c r="E357" s="7" t="s">
        <v>51</v>
      </c>
      <c r="F357" s="7" t="s">
        <v>67</v>
      </c>
      <c r="G357" s="8" t="s">
        <v>56</v>
      </c>
      <c r="H357" s="79" t="s">
        <v>96</v>
      </c>
    </row>
    <row r="358" spans="1:8" x14ac:dyDescent="0.25">
      <c r="A358" s="78" t="s">
        <v>57</v>
      </c>
      <c r="B358" s="10" t="s">
        <v>55</v>
      </c>
      <c r="C358" s="88" t="s">
        <v>93</v>
      </c>
      <c r="D358" s="47"/>
      <c r="E358" s="47"/>
      <c r="F358" s="11">
        <f t="shared" ref="F358:F371" si="28">D358*E358</f>
        <v>0</v>
      </c>
      <c r="G358" s="1">
        <f>IF(AND(B358=Справочник!$A$2, C358=Справочник!$A$8), "Не заполнена должность", IF(AND(B358=Справочник!$A$2, C358=Справочник!$A$7), F358*1.18*1.302, IF(AND(B358=Справочник!$A$2, C358=Справочник!$A$6),F358*1.11*1.302, F358*1.3)))</f>
        <v>0</v>
      </c>
      <c r="H358" s="80">
        <f t="shared" ref="H358:H371" si="29">F358*0.87</f>
        <v>0</v>
      </c>
    </row>
    <row r="359" spans="1:8" x14ac:dyDescent="0.25">
      <c r="A359" s="78" t="s">
        <v>81</v>
      </c>
      <c r="B359" s="10" t="s">
        <v>54</v>
      </c>
      <c r="C359" s="88" t="s">
        <v>94</v>
      </c>
      <c r="D359" s="47"/>
      <c r="E359" s="47"/>
      <c r="F359" s="11">
        <f t="shared" si="28"/>
        <v>0</v>
      </c>
      <c r="G359" s="1">
        <f>IF(AND(B359=Справочник!$A$2, C359=Справочник!$A$8), "Не заполнена должность", IF(AND(B359=Справочник!$A$2, C359=Справочник!$A$7), F359*1.18*1.302, IF(AND(B359=Справочник!$A$2, C359=Справочник!$A$6),F359*1.11*1.302, F359*1.3)))</f>
        <v>0</v>
      </c>
      <c r="H359" s="80">
        <f t="shared" si="29"/>
        <v>0</v>
      </c>
    </row>
    <row r="360" spans="1:8" x14ac:dyDescent="0.25">
      <c r="A360" s="78" t="s">
        <v>52</v>
      </c>
      <c r="B360" s="10" t="s">
        <v>55</v>
      </c>
      <c r="C360" s="88"/>
      <c r="D360" s="47"/>
      <c r="E360" s="47"/>
      <c r="F360" s="11">
        <f t="shared" si="28"/>
        <v>0</v>
      </c>
      <c r="G360" s="1">
        <f>IF(AND(B360=Справочник!$A$2, C360=Справочник!$A$8), "Не заполнена должность", IF(AND(B360=Справочник!$A$2, C360=Справочник!$A$7), F360*1.18*1.302, IF(AND(B360=Справочник!$A$2, C360=Справочник!$A$6),F360*1.11*1.302, F360*1.3)))</f>
        <v>0</v>
      </c>
      <c r="H360" s="80">
        <f t="shared" si="29"/>
        <v>0</v>
      </c>
    </row>
    <row r="361" spans="1:8" ht="27.6" x14ac:dyDescent="0.25">
      <c r="A361" s="78" t="s">
        <v>123</v>
      </c>
      <c r="B361" s="10" t="s">
        <v>55</v>
      </c>
      <c r="C361" s="88"/>
      <c r="D361" s="47"/>
      <c r="E361" s="47"/>
      <c r="F361" s="11">
        <f t="shared" si="28"/>
        <v>0</v>
      </c>
      <c r="G361" s="1">
        <f>IF(AND(B361=Справочник!$A$2, C361=Справочник!$A$8), "Не заполнена должность", IF(AND(B361=Справочник!$A$2, C361=Справочник!$A$7), F361*1.18*1.302, IF(AND(B361=Справочник!$A$2, C361=Справочник!$A$6),F361*1.11*1.302, F361*1.3)))</f>
        <v>0</v>
      </c>
      <c r="H361" s="80">
        <f t="shared" si="29"/>
        <v>0</v>
      </c>
    </row>
    <row r="362" spans="1:8" x14ac:dyDescent="0.25">
      <c r="A362" s="78" t="s">
        <v>79</v>
      </c>
      <c r="B362" s="10" t="s">
        <v>55</v>
      </c>
      <c r="C362" s="88"/>
      <c r="D362" s="47"/>
      <c r="E362" s="47"/>
      <c r="F362" s="11">
        <f t="shared" si="28"/>
        <v>0</v>
      </c>
      <c r="G362" s="1">
        <f>IF(AND(B362=Справочник!$A$2, C362=Справочник!$A$8), "Не заполнена должность", IF(AND(B362=Справочник!$A$2, C362=Справочник!$A$7), F362*1.18*1.302, IF(AND(B362=Справочник!$A$2, C362=Справочник!$A$6),F362*1.11*1.302, F362*1.3)))</f>
        <v>0</v>
      </c>
      <c r="H362" s="80">
        <f t="shared" si="29"/>
        <v>0</v>
      </c>
    </row>
    <row r="363" spans="1:8" x14ac:dyDescent="0.25">
      <c r="A363" s="78" t="s">
        <v>80</v>
      </c>
      <c r="B363" s="10" t="s">
        <v>55</v>
      </c>
      <c r="C363" s="88"/>
      <c r="D363" s="47"/>
      <c r="E363" s="47"/>
      <c r="F363" s="11">
        <f t="shared" si="28"/>
        <v>0</v>
      </c>
      <c r="G363" s="1">
        <f>IF(AND(B363=Справочник!$A$2, C363=Справочник!$A$8), "Не заполнена должность", IF(AND(B363=Справочник!$A$2, C363=Справочник!$A$7), F363*1.18*1.302, IF(AND(B363=Справочник!$A$2, C363=Справочник!$A$6),F363*1.11*1.302, F363*1.3)))</f>
        <v>0</v>
      </c>
      <c r="H363" s="80">
        <f t="shared" si="29"/>
        <v>0</v>
      </c>
    </row>
    <row r="364" spans="1:8" x14ac:dyDescent="0.25">
      <c r="A364" s="78" t="s">
        <v>48</v>
      </c>
      <c r="B364" s="10" t="s">
        <v>55</v>
      </c>
      <c r="C364" s="88"/>
      <c r="D364" s="47"/>
      <c r="E364" s="47"/>
      <c r="F364" s="11">
        <f t="shared" si="28"/>
        <v>0</v>
      </c>
      <c r="G364" s="1">
        <f>IF(AND(B364=Справочник!$A$2, C364=Справочник!$A$8), "Не заполнена должность", IF(AND(B364=Справочник!$A$2, C364=Справочник!$A$7), F364*1.18*1.302, IF(AND(B364=Справочник!$A$2, C364=Справочник!$A$6),F364*1.11*1.302, F364*1.3)))</f>
        <v>0</v>
      </c>
      <c r="H364" s="80">
        <f t="shared" si="29"/>
        <v>0</v>
      </c>
    </row>
    <row r="365" spans="1:8" ht="27.6" x14ac:dyDescent="0.25">
      <c r="A365" s="78" t="s">
        <v>111</v>
      </c>
      <c r="B365" s="10" t="s">
        <v>55</v>
      </c>
      <c r="C365" s="88"/>
      <c r="D365" s="47"/>
      <c r="E365" s="47"/>
      <c r="F365" s="11">
        <f t="shared" si="28"/>
        <v>0</v>
      </c>
      <c r="G365" s="1">
        <f>IF(AND(B365=Справочник!$A$2, C365=Справочник!$A$8), "Не заполнена должность", IF(AND(B365=Справочник!$A$2, C365=Справочник!$A$7), F365*1.18*1.302, IF(AND(B365=Справочник!$A$2, C365=Справочник!$A$6),F365*1.11*1.302, F365*1.3)))</f>
        <v>0</v>
      </c>
      <c r="H365" s="80">
        <f t="shared" si="29"/>
        <v>0</v>
      </c>
    </row>
    <row r="366" spans="1:8" x14ac:dyDescent="0.25">
      <c r="A366" s="78"/>
      <c r="B366" s="10"/>
      <c r="C366" s="88"/>
      <c r="D366" s="47"/>
      <c r="E366" s="47"/>
      <c r="F366" s="11">
        <f t="shared" si="28"/>
        <v>0</v>
      </c>
      <c r="G366" s="1">
        <f>IF(AND(B366=Справочник!$A$2, C366=Справочник!$A$8), "Не заполнена должность", IF(AND(B366=Справочник!$A$2, C366=Справочник!$A$7), F366*1.18*1.302, IF(AND(B366=Справочник!$A$2, C366=Справочник!$A$6),F366*1.11*1.302, F366*1.3)))</f>
        <v>0</v>
      </c>
      <c r="H366" s="80">
        <f t="shared" si="29"/>
        <v>0</v>
      </c>
    </row>
    <row r="367" spans="1:8" x14ac:dyDescent="0.25">
      <c r="A367" s="78"/>
      <c r="B367" s="10"/>
      <c r="C367" s="88"/>
      <c r="D367" s="47"/>
      <c r="E367" s="47"/>
      <c r="F367" s="11">
        <f t="shared" si="28"/>
        <v>0</v>
      </c>
      <c r="G367" s="1">
        <f>IF(AND(B367=Справочник!$A$2, C367=Справочник!$A$8), "Не заполнена должность", IF(AND(B367=Справочник!$A$2, C367=Справочник!$A$7), F367*1.18*1.302, IF(AND(B367=Справочник!$A$2, C367=Справочник!$A$6),F367*1.11*1.302, F367*1.3)))</f>
        <v>0</v>
      </c>
      <c r="H367" s="80">
        <f t="shared" si="29"/>
        <v>0</v>
      </c>
    </row>
    <row r="368" spans="1:8" x14ac:dyDescent="0.25">
      <c r="A368" s="78"/>
      <c r="B368" s="10"/>
      <c r="C368" s="88"/>
      <c r="D368" s="47"/>
      <c r="E368" s="47"/>
      <c r="F368" s="11">
        <f t="shared" si="28"/>
        <v>0</v>
      </c>
      <c r="G368" s="1">
        <f>IF(AND(B368=Справочник!$A$2, C368=Справочник!$A$8), "Не заполнена должность", IF(AND(B368=Справочник!$A$2, C368=Справочник!$A$7), F368*1.18*1.302, IF(AND(B368=Справочник!$A$2, C368=Справочник!$A$6),F368*1.11*1.302, F368*1.3)))</f>
        <v>0</v>
      </c>
      <c r="H368" s="80">
        <f t="shared" si="29"/>
        <v>0</v>
      </c>
    </row>
    <row r="369" spans="1:8" x14ac:dyDescent="0.25">
      <c r="A369" s="78"/>
      <c r="B369" s="10"/>
      <c r="C369" s="88"/>
      <c r="D369" s="47"/>
      <c r="E369" s="47"/>
      <c r="F369" s="11">
        <f t="shared" si="28"/>
        <v>0</v>
      </c>
      <c r="G369" s="1">
        <f>IF(AND(B369=Справочник!$A$2, C369=Справочник!$A$8), "Не заполнена должность", IF(AND(B369=Справочник!$A$2, C369=Справочник!$A$7), F369*1.18*1.302, IF(AND(B369=Справочник!$A$2, C369=Справочник!$A$6),F369*1.11*1.302, F369*1.3)))</f>
        <v>0</v>
      </c>
      <c r="H369" s="80">
        <f t="shared" si="29"/>
        <v>0</v>
      </c>
    </row>
    <row r="370" spans="1:8" x14ac:dyDescent="0.25">
      <c r="A370" s="78"/>
      <c r="B370" s="10"/>
      <c r="C370" s="88"/>
      <c r="D370" s="47"/>
      <c r="E370" s="47"/>
      <c r="F370" s="11">
        <f t="shared" si="28"/>
        <v>0</v>
      </c>
      <c r="G370" s="1">
        <f>IF(AND(B370=Справочник!$A$2, C370=Справочник!$A$8), "Не заполнена должность", IF(AND(B370=Справочник!$A$2, C370=Справочник!$A$7), F370*1.18*1.302, IF(AND(B370=Справочник!$A$2, C370=Справочник!$A$6),F370*1.11*1.302, F370*1.3)))</f>
        <v>0</v>
      </c>
      <c r="H370" s="80">
        <f t="shared" si="29"/>
        <v>0</v>
      </c>
    </row>
    <row r="371" spans="1:8" x14ac:dyDescent="0.25">
      <c r="A371" s="9"/>
      <c r="B371" s="10"/>
      <c r="C371" s="88"/>
      <c r="D371" s="47"/>
      <c r="E371" s="47"/>
      <c r="F371" s="11">
        <f t="shared" si="28"/>
        <v>0</v>
      </c>
      <c r="G371" s="1">
        <f>IF(AND(B371=Справочник!$A$2, C371=Справочник!$A$8), "Не заполнена должность", IF(AND(B371=Справочник!$A$2, C371=Справочник!$A$7), F371*1.18*1.302, IF(AND(B371=Справочник!$A$2, C371=Справочник!$A$6),F371*1.11*1.302, F371*1.3)))</f>
        <v>0</v>
      </c>
      <c r="H371" s="80">
        <f t="shared" si="29"/>
        <v>0</v>
      </c>
    </row>
    <row r="372" spans="1:8" x14ac:dyDescent="0.25">
      <c r="A372" s="174"/>
      <c r="B372" s="175"/>
      <c r="C372" s="175"/>
      <c r="D372" s="175"/>
      <c r="E372" s="175"/>
      <c r="F372" s="175"/>
      <c r="G372" s="175"/>
      <c r="H372" s="176"/>
    </row>
    <row r="373" spans="1:8" ht="14.4" thickBot="1" x14ac:dyDescent="0.3">
      <c r="A373" s="62"/>
      <c r="B373" s="58"/>
      <c r="C373" s="58"/>
      <c r="D373" s="58"/>
      <c r="E373" s="58"/>
      <c r="F373" s="58"/>
      <c r="G373" s="58"/>
      <c r="H373" s="59"/>
    </row>
    <row r="374" spans="1:8" ht="14.4" thickBot="1" x14ac:dyDescent="0.3">
      <c r="A374" s="298" t="s">
        <v>147</v>
      </c>
      <c r="B374" s="299"/>
      <c r="C374" s="299"/>
      <c r="D374" s="299"/>
      <c r="E374" s="299"/>
      <c r="F374" s="299"/>
      <c r="G374" s="299"/>
      <c r="H374" s="300"/>
    </row>
    <row r="375" spans="1:8" x14ac:dyDescent="0.25">
      <c r="A375" s="66" t="s">
        <v>60</v>
      </c>
      <c r="B375" s="13" t="s">
        <v>74</v>
      </c>
      <c r="C375" s="13" t="s">
        <v>75</v>
      </c>
      <c r="D375" s="13" t="s">
        <v>6</v>
      </c>
      <c r="E375" s="58"/>
      <c r="F375" s="58"/>
      <c r="G375" s="58"/>
      <c r="H375" s="59"/>
    </row>
    <row r="376" spans="1:8" x14ac:dyDescent="0.25">
      <c r="A376" s="67" t="s">
        <v>62</v>
      </c>
      <c r="B376" s="50">
        <f>$B$15</f>
        <v>10</v>
      </c>
      <c r="C376" s="49"/>
      <c r="D376" s="14">
        <f>B376*C376</f>
        <v>0</v>
      </c>
      <c r="E376" s="58"/>
      <c r="F376" s="58"/>
      <c r="G376" s="58"/>
      <c r="H376" s="59"/>
    </row>
    <row r="377" spans="1:8" ht="41.4" x14ac:dyDescent="0.25">
      <c r="A377" s="78" t="s">
        <v>144</v>
      </c>
      <c r="B377" s="49"/>
      <c r="C377" s="49"/>
      <c r="D377" s="14">
        <f>B377*C377</f>
        <v>0</v>
      </c>
      <c r="E377" s="58"/>
      <c r="F377" s="58"/>
      <c r="G377" s="58"/>
      <c r="H377" s="59"/>
    </row>
    <row r="378" spans="1:8" ht="41.4" x14ac:dyDescent="0.25">
      <c r="A378" s="78" t="s">
        <v>145</v>
      </c>
      <c r="B378" s="49"/>
      <c r="C378" s="49"/>
      <c r="D378" s="14">
        <f t="shared" ref="D378:D384" si="30">B378*C378</f>
        <v>0</v>
      </c>
      <c r="E378" s="58"/>
      <c r="F378" s="58"/>
      <c r="G378" s="58"/>
      <c r="H378" s="59"/>
    </row>
    <row r="379" spans="1:8" x14ac:dyDescent="0.25">
      <c r="A379" s="68" t="s">
        <v>87</v>
      </c>
      <c r="B379" s="49"/>
      <c r="C379" s="49"/>
      <c r="D379" s="14">
        <f t="shared" si="30"/>
        <v>0</v>
      </c>
      <c r="E379" s="58"/>
      <c r="F379" s="58"/>
      <c r="G379" s="58"/>
      <c r="H379" s="59"/>
    </row>
    <row r="380" spans="1:8" x14ac:dyDescent="0.25">
      <c r="A380" s="68" t="s">
        <v>88</v>
      </c>
      <c r="B380" s="49"/>
      <c r="C380" s="49"/>
      <c r="D380" s="14">
        <f t="shared" si="30"/>
        <v>0</v>
      </c>
      <c r="E380" s="58"/>
      <c r="F380" s="58"/>
      <c r="G380" s="58"/>
      <c r="H380" s="59"/>
    </row>
    <row r="381" spans="1:8" ht="27.6" x14ac:dyDescent="0.25">
      <c r="A381" s="78" t="s">
        <v>142</v>
      </c>
      <c r="B381" s="49"/>
      <c r="C381" s="49"/>
      <c r="D381" s="14">
        <f t="shared" si="30"/>
        <v>0</v>
      </c>
      <c r="E381" s="58"/>
      <c r="F381" s="58"/>
      <c r="G381" s="58"/>
      <c r="H381" s="59"/>
    </row>
    <row r="382" spans="1:8" x14ac:dyDescent="0.25">
      <c r="A382" s="78"/>
      <c r="B382" s="49"/>
      <c r="C382" s="49"/>
      <c r="D382" s="14">
        <f t="shared" si="30"/>
        <v>0</v>
      </c>
      <c r="E382" s="58"/>
      <c r="F382" s="58"/>
      <c r="G382" s="58"/>
      <c r="H382" s="59"/>
    </row>
    <row r="383" spans="1:8" x14ac:dyDescent="0.25">
      <c r="A383" s="78"/>
      <c r="B383" s="49"/>
      <c r="C383" s="49"/>
      <c r="D383" s="14">
        <f t="shared" si="30"/>
        <v>0</v>
      </c>
      <c r="E383" s="58"/>
      <c r="F383" s="58"/>
      <c r="G383" s="58"/>
      <c r="H383" s="59"/>
    </row>
    <row r="384" spans="1:8" x14ac:dyDescent="0.25">
      <c r="A384" s="78"/>
      <c r="B384" s="49"/>
      <c r="C384" s="49"/>
      <c r="D384" s="14">
        <f t="shared" si="30"/>
        <v>0</v>
      </c>
      <c r="E384" s="58"/>
      <c r="F384" s="58"/>
      <c r="G384" s="58"/>
      <c r="H384" s="59"/>
    </row>
    <row r="385" spans="1:8" x14ac:dyDescent="0.25">
      <c r="A385" s="68"/>
      <c r="B385" s="49"/>
      <c r="C385" s="49"/>
      <c r="D385" s="14">
        <f>B385*C385</f>
        <v>0</v>
      </c>
      <c r="E385" s="58"/>
      <c r="F385" s="58"/>
      <c r="G385" s="58"/>
      <c r="H385" s="59"/>
    </row>
    <row r="386" spans="1:8" ht="14.4" thickBot="1" x14ac:dyDescent="0.3">
      <c r="A386" s="69" t="s">
        <v>61</v>
      </c>
      <c r="B386" s="70"/>
      <c r="C386" s="70"/>
      <c r="D386" s="70">
        <f>SUM(D376:D385)</f>
        <v>0</v>
      </c>
      <c r="E386" s="71"/>
      <c r="F386" s="71"/>
      <c r="G386" s="71"/>
      <c r="H386" s="72"/>
    </row>
    <row r="387" spans="1:8" x14ac:dyDescent="0.25">
      <c r="A387" s="58"/>
      <c r="B387" s="58"/>
      <c r="C387" s="58"/>
      <c r="D387" s="58"/>
      <c r="E387" s="58"/>
      <c r="F387" s="58"/>
      <c r="G387" s="58"/>
      <c r="H387" s="59"/>
    </row>
    <row r="388" spans="1:8" ht="14.4" thickBot="1" x14ac:dyDescent="0.3">
      <c r="A388" s="58"/>
      <c r="B388" s="58"/>
      <c r="C388" s="58"/>
      <c r="D388" s="58"/>
      <c r="E388" s="58"/>
      <c r="F388" s="58"/>
      <c r="G388" s="58"/>
      <c r="H388" s="59"/>
    </row>
    <row r="389" spans="1:8" ht="18" thickBot="1" x14ac:dyDescent="0.35">
      <c r="A389" s="317" t="s">
        <v>223</v>
      </c>
      <c r="B389" s="318"/>
      <c r="C389" s="318"/>
      <c r="D389" s="318"/>
      <c r="E389" s="318"/>
      <c r="F389" s="318"/>
      <c r="G389" s="318"/>
      <c r="H389" s="319"/>
    </row>
    <row r="390" spans="1:8" ht="14.4" thickBot="1" x14ac:dyDescent="0.3">
      <c r="A390" s="81"/>
      <c r="B390" s="82"/>
      <c r="C390" s="82"/>
      <c r="D390" s="58"/>
      <c r="E390" s="58"/>
      <c r="F390" s="58"/>
      <c r="G390" s="58"/>
      <c r="H390" s="59"/>
    </row>
    <row r="391" spans="1:8" ht="16.2" thickBot="1" x14ac:dyDescent="0.35">
      <c r="A391" s="308" t="s">
        <v>221</v>
      </c>
      <c r="B391" s="309"/>
      <c r="C391" s="310"/>
      <c r="D391" s="73" t="s">
        <v>42</v>
      </c>
      <c r="E391" s="58"/>
      <c r="F391" s="58"/>
      <c r="G391" s="58"/>
      <c r="H391" s="59"/>
    </row>
    <row r="392" spans="1:8" ht="16.8" thickTop="1" thickBot="1" x14ac:dyDescent="0.35">
      <c r="A392" s="311" t="s">
        <v>45</v>
      </c>
      <c r="B392" s="312"/>
      <c r="C392" s="313"/>
      <c r="D392" s="20">
        <f>SUM(G397:G410)+C415*$B$15+SUM(D416:D424)</f>
        <v>0</v>
      </c>
      <c r="E392" s="58"/>
      <c r="F392" s="58"/>
      <c r="G392" s="58"/>
      <c r="H392" s="59"/>
    </row>
    <row r="393" spans="1:8" ht="15" thickTop="1" thickBot="1" x14ac:dyDescent="0.3">
      <c r="A393" s="81"/>
      <c r="B393" s="82"/>
      <c r="C393" s="82"/>
      <c r="D393" s="58"/>
      <c r="E393" s="58"/>
      <c r="F393" s="58"/>
      <c r="G393" s="58"/>
      <c r="H393" s="59"/>
    </row>
    <row r="394" spans="1:8" ht="14.4" thickBot="1" x14ac:dyDescent="0.3">
      <c r="A394" s="298" t="s">
        <v>148</v>
      </c>
      <c r="B394" s="299"/>
      <c r="C394" s="299"/>
      <c r="D394" s="299"/>
      <c r="E394" s="299"/>
      <c r="F394" s="299"/>
      <c r="G394" s="299"/>
      <c r="H394" s="300"/>
    </row>
    <row r="395" spans="1:8" ht="14.4" thickBot="1" x14ac:dyDescent="0.3">
      <c r="A395" s="81"/>
      <c r="B395" s="82"/>
      <c r="C395" s="82"/>
      <c r="D395" s="58"/>
      <c r="E395" s="58"/>
      <c r="F395" s="58"/>
      <c r="G395" s="58"/>
      <c r="H395" s="59"/>
    </row>
    <row r="396" spans="1:8" ht="52.8" x14ac:dyDescent="0.25">
      <c r="A396" s="6" t="s">
        <v>49</v>
      </c>
      <c r="B396" s="7" t="s">
        <v>47</v>
      </c>
      <c r="C396" s="7" t="s">
        <v>95</v>
      </c>
      <c r="D396" s="7" t="s">
        <v>50</v>
      </c>
      <c r="E396" s="7" t="s">
        <v>51</v>
      </c>
      <c r="F396" s="7" t="s">
        <v>67</v>
      </c>
      <c r="G396" s="8" t="s">
        <v>56</v>
      </c>
      <c r="H396" s="79" t="s">
        <v>96</v>
      </c>
    </row>
    <row r="397" spans="1:8" x14ac:dyDescent="0.25">
      <c r="A397" s="78" t="s">
        <v>57</v>
      </c>
      <c r="B397" s="10" t="s">
        <v>55</v>
      </c>
      <c r="C397" s="88" t="s">
        <v>93</v>
      </c>
      <c r="D397" s="47"/>
      <c r="E397" s="47"/>
      <c r="F397" s="11">
        <f t="shared" ref="F397:F410" si="31">D397*E397</f>
        <v>0</v>
      </c>
      <c r="G397" s="1">
        <f>IF(AND(B397=Справочник!$A$2, C397=Справочник!$A$8), "Не заполнена должность", IF(AND(B397=Справочник!$A$2, C397=Справочник!$A$7), F397*1.18*1.302, IF(AND(B397=Справочник!$A$2, C397=Справочник!$A$6),F397*1.11*1.302, F397*1.3)))</f>
        <v>0</v>
      </c>
      <c r="H397" s="80">
        <f t="shared" ref="H397:H410" si="32">F397*0.87</f>
        <v>0</v>
      </c>
    </row>
    <row r="398" spans="1:8" x14ac:dyDescent="0.25">
      <c r="A398" s="78" t="s">
        <v>81</v>
      </c>
      <c r="B398" s="10" t="s">
        <v>54</v>
      </c>
      <c r="C398" s="88" t="s">
        <v>94</v>
      </c>
      <c r="D398" s="47"/>
      <c r="E398" s="47"/>
      <c r="F398" s="11">
        <f t="shared" si="31"/>
        <v>0</v>
      </c>
      <c r="G398" s="1">
        <f>IF(AND(B398=Справочник!$A$2, C398=Справочник!$A$8), "Не заполнена должность", IF(AND(B398=Справочник!$A$2, C398=Справочник!$A$7), F398*1.18*1.302, IF(AND(B398=Справочник!$A$2, C398=Справочник!$A$6),F398*1.11*1.302, F398*1.3)))</f>
        <v>0</v>
      </c>
      <c r="H398" s="80">
        <f t="shared" si="32"/>
        <v>0</v>
      </c>
    </row>
    <row r="399" spans="1:8" x14ac:dyDescent="0.25">
      <c r="A399" s="78" t="s">
        <v>52</v>
      </c>
      <c r="B399" s="10" t="s">
        <v>55</v>
      </c>
      <c r="C399" s="88"/>
      <c r="D399" s="47"/>
      <c r="E399" s="47"/>
      <c r="F399" s="11">
        <f t="shared" si="31"/>
        <v>0</v>
      </c>
      <c r="G399" s="1">
        <f>IF(AND(B399=Справочник!$A$2, C399=Справочник!$A$8), "Не заполнена должность", IF(AND(B399=Справочник!$A$2, C399=Справочник!$A$7), F399*1.18*1.302, IF(AND(B399=Справочник!$A$2, C399=Справочник!$A$6),F399*1.11*1.302, F399*1.3)))</f>
        <v>0</v>
      </c>
      <c r="H399" s="80">
        <f t="shared" si="32"/>
        <v>0</v>
      </c>
    </row>
    <row r="400" spans="1:8" ht="27.6" x14ac:dyDescent="0.25">
      <c r="A400" s="78" t="s">
        <v>123</v>
      </c>
      <c r="B400" s="10" t="s">
        <v>55</v>
      </c>
      <c r="C400" s="88"/>
      <c r="D400" s="47"/>
      <c r="E400" s="47"/>
      <c r="F400" s="11">
        <f t="shared" si="31"/>
        <v>0</v>
      </c>
      <c r="G400" s="1">
        <f>IF(AND(B400=Справочник!$A$2, C400=Справочник!$A$8), "Не заполнена должность", IF(AND(B400=Справочник!$A$2, C400=Справочник!$A$7), F400*1.18*1.302, IF(AND(B400=Справочник!$A$2, C400=Справочник!$A$6),F400*1.11*1.302, F400*1.3)))</f>
        <v>0</v>
      </c>
      <c r="H400" s="80">
        <f t="shared" si="32"/>
        <v>0</v>
      </c>
    </row>
    <row r="401" spans="1:8" x14ac:dyDescent="0.25">
      <c r="A401" s="78" t="s">
        <v>79</v>
      </c>
      <c r="B401" s="10" t="s">
        <v>55</v>
      </c>
      <c r="C401" s="88"/>
      <c r="D401" s="47"/>
      <c r="E401" s="47"/>
      <c r="F401" s="11">
        <f t="shared" si="31"/>
        <v>0</v>
      </c>
      <c r="G401" s="1">
        <f>IF(AND(B401=Справочник!$A$2, C401=Справочник!$A$8), "Не заполнена должность", IF(AND(B401=Справочник!$A$2, C401=Справочник!$A$7), F401*1.18*1.302, IF(AND(B401=Справочник!$A$2, C401=Справочник!$A$6),F401*1.11*1.302, F401*1.3)))</f>
        <v>0</v>
      </c>
      <c r="H401" s="80">
        <f t="shared" si="32"/>
        <v>0</v>
      </c>
    </row>
    <row r="402" spans="1:8" x14ac:dyDescent="0.25">
      <c r="A402" s="78" t="s">
        <v>80</v>
      </c>
      <c r="B402" s="10" t="s">
        <v>55</v>
      </c>
      <c r="C402" s="88"/>
      <c r="D402" s="47"/>
      <c r="E402" s="47"/>
      <c r="F402" s="11">
        <f t="shared" si="31"/>
        <v>0</v>
      </c>
      <c r="G402" s="1">
        <f>IF(AND(B402=Справочник!$A$2, C402=Справочник!$A$8), "Не заполнена должность", IF(AND(B402=Справочник!$A$2, C402=Справочник!$A$7), F402*1.18*1.302, IF(AND(B402=Справочник!$A$2, C402=Справочник!$A$6),F402*1.11*1.302, F402*1.3)))</f>
        <v>0</v>
      </c>
      <c r="H402" s="80">
        <f t="shared" si="32"/>
        <v>0</v>
      </c>
    </row>
    <row r="403" spans="1:8" x14ac:dyDescent="0.25">
      <c r="A403" s="78" t="s">
        <v>48</v>
      </c>
      <c r="B403" s="10" t="s">
        <v>55</v>
      </c>
      <c r="C403" s="88"/>
      <c r="D403" s="47"/>
      <c r="E403" s="47"/>
      <c r="F403" s="11">
        <f t="shared" si="31"/>
        <v>0</v>
      </c>
      <c r="G403" s="1">
        <f>IF(AND(B403=Справочник!$A$2, C403=Справочник!$A$8), "Не заполнена должность", IF(AND(B403=Справочник!$A$2, C403=Справочник!$A$7), F403*1.18*1.302, IF(AND(B403=Справочник!$A$2, C403=Справочник!$A$6),F403*1.11*1.302, F403*1.3)))</f>
        <v>0</v>
      </c>
      <c r="H403" s="80">
        <f t="shared" si="32"/>
        <v>0</v>
      </c>
    </row>
    <row r="404" spans="1:8" ht="27.6" x14ac:dyDescent="0.25">
      <c r="A404" s="78" t="s">
        <v>111</v>
      </c>
      <c r="B404" s="10" t="s">
        <v>55</v>
      </c>
      <c r="C404" s="88"/>
      <c r="D404" s="47"/>
      <c r="E404" s="47"/>
      <c r="F404" s="11">
        <f t="shared" si="31"/>
        <v>0</v>
      </c>
      <c r="G404" s="1">
        <f>IF(AND(B404=Справочник!$A$2, C404=Справочник!$A$8), "Не заполнена должность", IF(AND(B404=Справочник!$A$2, C404=Справочник!$A$7), F404*1.18*1.302, IF(AND(B404=Справочник!$A$2, C404=Справочник!$A$6),F404*1.11*1.302, F404*1.3)))</f>
        <v>0</v>
      </c>
      <c r="H404" s="80">
        <f t="shared" si="32"/>
        <v>0</v>
      </c>
    </row>
    <row r="405" spans="1:8" x14ac:dyDescent="0.25">
      <c r="A405" s="78"/>
      <c r="B405" s="10"/>
      <c r="C405" s="88"/>
      <c r="D405" s="47"/>
      <c r="E405" s="47"/>
      <c r="F405" s="11">
        <f t="shared" si="31"/>
        <v>0</v>
      </c>
      <c r="G405" s="1">
        <f>IF(AND(B405=Справочник!$A$2, C405=Справочник!$A$8), "Не заполнена должность", IF(AND(B405=Справочник!$A$2, C405=Справочник!$A$7), F405*1.18*1.302, IF(AND(B405=Справочник!$A$2, C405=Справочник!$A$6),F405*1.11*1.302, F405*1.3)))</f>
        <v>0</v>
      </c>
      <c r="H405" s="80">
        <f t="shared" si="32"/>
        <v>0</v>
      </c>
    </row>
    <row r="406" spans="1:8" x14ac:dyDescent="0.25">
      <c r="A406" s="78"/>
      <c r="B406" s="10"/>
      <c r="C406" s="88"/>
      <c r="D406" s="47"/>
      <c r="E406" s="47"/>
      <c r="F406" s="11">
        <f t="shared" si="31"/>
        <v>0</v>
      </c>
      <c r="G406" s="1">
        <f>IF(AND(B406=Справочник!$A$2, C406=Справочник!$A$8), "Не заполнена должность", IF(AND(B406=Справочник!$A$2, C406=Справочник!$A$7), F406*1.18*1.302, IF(AND(B406=Справочник!$A$2, C406=Справочник!$A$6),F406*1.11*1.302, F406*1.3)))</f>
        <v>0</v>
      </c>
      <c r="H406" s="80">
        <f t="shared" si="32"/>
        <v>0</v>
      </c>
    </row>
    <row r="407" spans="1:8" x14ac:dyDescent="0.25">
      <c r="A407" s="78"/>
      <c r="B407" s="10"/>
      <c r="C407" s="88"/>
      <c r="D407" s="47"/>
      <c r="E407" s="47"/>
      <c r="F407" s="11">
        <f t="shared" si="31"/>
        <v>0</v>
      </c>
      <c r="G407" s="1">
        <f>IF(AND(B407=Справочник!$A$2, C407=Справочник!$A$8), "Не заполнена должность", IF(AND(B407=Справочник!$A$2, C407=Справочник!$A$7), F407*1.18*1.302, IF(AND(B407=Справочник!$A$2, C407=Справочник!$A$6),F407*1.11*1.302, F407*1.3)))</f>
        <v>0</v>
      </c>
      <c r="H407" s="80">
        <f t="shared" si="32"/>
        <v>0</v>
      </c>
    </row>
    <row r="408" spans="1:8" x14ac:dyDescent="0.25">
      <c r="A408" s="78"/>
      <c r="B408" s="10"/>
      <c r="C408" s="88"/>
      <c r="D408" s="47"/>
      <c r="E408" s="47"/>
      <c r="F408" s="11">
        <f t="shared" si="31"/>
        <v>0</v>
      </c>
      <c r="G408" s="1">
        <f>IF(AND(B408=Справочник!$A$2, C408=Справочник!$A$8), "Не заполнена должность", IF(AND(B408=Справочник!$A$2, C408=Справочник!$A$7), F408*1.18*1.302, IF(AND(B408=Справочник!$A$2, C408=Справочник!$A$6),F408*1.11*1.302, F408*1.3)))</f>
        <v>0</v>
      </c>
      <c r="H408" s="80">
        <f t="shared" si="32"/>
        <v>0</v>
      </c>
    </row>
    <row r="409" spans="1:8" x14ac:dyDescent="0.25">
      <c r="A409" s="78"/>
      <c r="B409" s="10"/>
      <c r="C409" s="88"/>
      <c r="D409" s="47"/>
      <c r="E409" s="47"/>
      <c r="F409" s="11">
        <f t="shared" si="31"/>
        <v>0</v>
      </c>
      <c r="G409" s="1">
        <f>IF(AND(B409=Справочник!$A$2, C409=Справочник!$A$8), "Не заполнена должность", IF(AND(B409=Справочник!$A$2, C409=Справочник!$A$7), F409*1.18*1.302, IF(AND(B409=Справочник!$A$2, C409=Справочник!$A$6),F409*1.11*1.302, F409*1.3)))</f>
        <v>0</v>
      </c>
      <c r="H409" s="80">
        <f t="shared" si="32"/>
        <v>0</v>
      </c>
    </row>
    <row r="410" spans="1:8" x14ac:dyDescent="0.25">
      <c r="A410" s="9"/>
      <c r="B410" s="10"/>
      <c r="C410" s="88"/>
      <c r="D410" s="47"/>
      <c r="E410" s="47"/>
      <c r="F410" s="11">
        <f t="shared" si="31"/>
        <v>0</v>
      </c>
      <c r="G410" s="1">
        <f>IF(AND(B410=Справочник!$A$2, C410=Справочник!$A$8), "Не заполнена должность", IF(AND(B410=Справочник!$A$2, C410=Справочник!$A$7), F410*1.18*1.302, IF(AND(B410=Справочник!$A$2, C410=Справочник!$A$6),F410*1.11*1.302, F410*1.3)))</f>
        <v>0</v>
      </c>
      <c r="H410" s="80">
        <f t="shared" si="32"/>
        <v>0</v>
      </c>
    </row>
    <row r="411" spans="1:8" x14ac:dyDescent="0.25">
      <c r="A411" s="174"/>
      <c r="B411" s="175"/>
      <c r="C411" s="175"/>
      <c r="D411" s="175"/>
      <c r="E411" s="175"/>
      <c r="F411" s="175"/>
      <c r="G411" s="175"/>
      <c r="H411" s="176"/>
    </row>
    <row r="412" spans="1:8" ht="14.4" thickBot="1" x14ac:dyDescent="0.3">
      <c r="A412" s="62"/>
      <c r="B412" s="58"/>
      <c r="C412" s="58"/>
      <c r="D412" s="58"/>
      <c r="E412" s="58"/>
      <c r="F412" s="58"/>
      <c r="G412" s="58"/>
      <c r="H412" s="59"/>
    </row>
    <row r="413" spans="1:8" ht="14.4" thickBot="1" x14ac:dyDescent="0.3">
      <c r="A413" s="298" t="s">
        <v>147</v>
      </c>
      <c r="B413" s="299"/>
      <c r="C413" s="299"/>
      <c r="D413" s="299"/>
      <c r="E413" s="299"/>
      <c r="F413" s="299"/>
      <c r="G413" s="299"/>
      <c r="H413" s="300"/>
    </row>
    <row r="414" spans="1:8" x14ac:dyDescent="0.25">
      <c r="A414" s="66" t="s">
        <v>60</v>
      </c>
      <c r="B414" s="13" t="s">
        <v>74</v>
      </c>
      <c r="C414" s="13" t="s">
        <v>75</v>
      </c>
      <c r="D414" s="13" t="s">
        <v>6</v>
      </c>
      <c r="E414" s="58"/>
      <c r="F414" s="58"/>
      <c r="G414" s="58"/>
      <c r="H414" s="59"/>
    </row>
    <row r="415" spans="1:8" x14ac:dyDescent="0.25">
      <c r="A415" s="67" t="s">
        <v>62</v>
      </c>
      <c r="B415" s="50">
        <f>$B$15</f>
        <v>10</v>
      </c>
      <c r="C415" s="49"/>
      <c r="D415" s="14">
        <f>B415*C415</f>
        <v>0</v>
      </c>
      <c r="E415" s="58"/>
      <c r="F415" s="58"/>
      <c r="G415" s="58"/>
      <c r="H415" s="59"/>
    </row>
    <row r="416" spans="1:8" ht="41.4" x14ac:dyDescent="0.25">
      <c r="A416" s="78" t="s">
        <v>144</v>
      </c>
      <c r="B416" s="49"/>
      <c r="C416" s="49"/>
      <c r="D416" s="14">
        <f>B416*C416</f>
        <v>0</v>
      </c>
      <c r="E416" s="58"/>
      <c r="F416" s="58"/>
      <c r="G416" s="58"/>
      <c r="H416" s="59"/>
    </row>
    <row r="417" spans="1:8" ht="41.4" x14ac:dyDescent="0.25">
      <c r="A417" s="78" t="s">
        <v>145</v>
      </c>
      <c r="B417" s="49"/>
      <c r="C417" s="49"/>
      <c r="D417" s="14">
        <f t="shared" ref="D417:D423" si="33">B417*C417</f>
        <v>0</v>
      </c>
      <c r="E417" s="58"/>
      <c r="F417" s="58"/>
      <c r="G417" s="58"/>
      <c r="H417" s="59"/>
    </row>
    <row r="418" spans="1:8" x14ac:dyDescent="0.25">
      <c r="A418" s="68" t="s">
        <v>87</v>
      </c>
      <c r="B418" s="49"/>
      <c r="C418" s="49"/>
      <c r="D418" s="14">
        <f t="shared" si="33"/>
        <v>0</v>
      </c>
      <c r="E418" s="58"/>
      <c r="F418" s="58"/>
      <c r="G418" s="58"/>
      <c r="H418" s="59"/>
    </row>
    <row r="419" spans="1:8" x14ac:dyDescent="0.25">
      <c r="A419" s="68" t="s">
        <v>88</v>
      </c>
      <c r="B419" s="49"/>
      <c r="C419" s="49"/>
      <c r="D419" s="14">
        <f t="shared" si="33"/>
        <v>0</v>
      </c>
      <c r="E419" s="58"/>
      <c r="F419" s="58"/>
      <c r="G419" s="58"/>
      <c r="H419" s="59"/>
    </row>
    <row r="420" spans="1:8" ht="27.6" x14ac:dyDescent="0.25">
      <c r="A420" s="78" t="s">
        <v>142</v>
      </c>
      <c r="B420" s="49"/>
      <c r="C420" s="49"/>
      <c r="D420" s="14">
        <f t="shared" si="33"/>
        <v>0</v>
      </c>
      <c r="E420" s="58"/>
      <c r="F420" s="58"/>
      <c r="G420" s="58"/>
      <c r="H420" s="59"/>
    </row>
    <row r="421" spans="1:8" x14ac:dyDescent="0.25">
      <c r="A421" s="78"/>
      <c r="B421" s="49"/>
      <c r="C421" s="49"/>
      <c r="D421" s="14">
        <f t="shared" si="33"/>
        <v>0</v>
      </c>
      <c r="E421" s="58"/>
      <c r="F421" s="58"/>
      <c r="G421" s="58"/>
      <c r="H421" s="59"/>
    </row>
    <row r="422" spans="1:8" x14ac:dyDescent="0.25">
      <c r="A422" s="78"/>
      <c r="B422" s="49"/>
      <c r="C422" s="49"/>
      <c r="D422" s="14">
        <f t="shared" si="33"/>
        <v>0</v>
      </c>
      <c r="E422" s="58"/>
      <c r="F422" s="58"/>
      <c r="G422" s="58"/>
      <c r="H422" s="59"/>
    </row>
    <row r="423" spans="1:8" x14ac:dyDescent="0.25">
      <c r="A423" s="78"/>
      <c r="B423" s="49"/>
      <c r="C423" s="49"/>
      <c r="D423" s="14">
        <f t="shared" si="33"/>
        <v>0</v>
      </c>
      <c r="E423" s="58"/>
      <c r="F423" s="58"/>
      <c r="G423" s="58"/>
      <c r="H423" s="59"/>
    </row>
    <row r="424" spans="1:8" x14ac:dyDescent="0.25">
      <c r="A424" s="68"/>
      <c r="B424" s="49"/>
      <c r="C424" s="49"/>
      <c r="D424" s="14">
        <f>B424*C424</f>
        <v>0</v>
      </c>
      <c r="E424" s="58"/>
      <c r="F424" s="58"/>
      <c r="G424" s="58"/>
      <c r="H424" s="59"/>
    </row>
    <row r="425" spans="1:8" ht="14.4" thickBot="1" x14ac:dyDescent="0.3">
      <c r="A425" s="69" t="s">
        <v>61</v>
      </c>
      <c r="B425" s="70"/>
      <c r="C425" s="70"/>
      <c r="D425" s="70">
        <f>SUM(D415:D424)</f>
        <v>0</v>
      </c>
      <c r="E425" s="71"/>
      <c r="F425" s="71"/>
      <c r="G425" s="71"/>
      <c r="H425" s="72"/>
    </row>
    <row r="426" spans="1:8" x14ac:dyDescent="0.25">
      <c r="A426" s="58"/>
      <c r="B426" s="58"/>
      <c r="C426" s="58"/>
      <c r="D426" s="58"/>
      <c r="E426" s="58"/>
      <c r="F426" s="58"/>
      <c r="G426" s="58"/>
      <c r="H426" s="59"/>
    </row>
    <row r="427" spans="1:8" ht="14.4" thickBot="1" x14ac:dyDescent="0.3">
      <c r="A427" s="58"/>
      <c r="B427" s="58"/>
      <c r="C427" s="58"/>
      <c r="D427" s="58"/>
      <c r="E427" s="58"/>
      <c r="F427" s="58"/>
      <c r="G427" s="58"/>
      <c r="H427" s="59"/>
    </row>
    <row r="428" spans="1:8" ht="18" thickBot="1" x14ac:dyDescent="0.35">
      <c r="A428" s="317" t="s">
        <v>222</v>
      </c>
      <c r="B428" s="318"/>
      <c r="C428" s="318"/>
      <c r="D428" s="318"/>
      <c r="E428" s="318"/>
      <c r="F428" s="318"/>
      <c r="G428" s="318"/>
      <c r="H428" s="319"/>
    </row>
    <row r="429" spans="1:8" ht="14.4" thickBot="1" x14ac:dyDescent="0.3">
      <c r="A429" s="81"/>
      <c r="B429" s="82"/>
      <c r="C429" s="82"/>
      <c r="D429" s="58"/>
      <c r="E429" s="58"/>
      <c r="F429" s="58"/>
      <c r="G429" s="58"/>
      <c r="H429" s="59"/>
    </row>
    <row r="430" spans="1:8" ht="16.2" thickBot="1" x14ac:dyDescent="0.35">
      <c r="A430" s="308" t="s">
        <v>221</v>
      </c>
      <c r="B430" s="309"/>
      <c r="C430" s="310"/>
      <c r="D430" s="73" t="s">
        <v>42</v>
      </c>
      <c r="E430" s="58"/>
      <c r="F430" s="58"/>
      <c r="G430" s="58"/>
      <c r="H430" s="59"/>
    </row>
    <row r="431" spans="1:8" ht="16.8" thickTop="1" thickBot="1" x14ac:dyDescent="0.35">
      <c r="A431" s="311" t="s">
        <v>45</v>
      </c>
      <c r="B431" s="312"/>
      <c r="C431" s="313"/>
      <c r="D431" s="20">
        <f>SUM(G436:G449)+C454*$B$15+SUM(D455:D463)</f>
        <v>0</v>
      </c>
      <c r="E431" s="58"/>
      <c r="F431" s="58"/>
      <c r="G431" s="58"/>
      <c r="H431" s="59"/>
    </row>
    <row r="432" spans="1:8" ht="15" thickTop="1" thickBot="1" x14ac:dyDescent="0.3">
      <c r="A432" s="81"/>
      <c r="B432" s="82"/>
      <c r="C432" s="82"/>
      <c r="D432" s="58"/>
      <c r="E432" s="58"/>
      <c r="F432" s="58"/>
      <c r="G432" s="58"/>
      <c r="H432" s="59"/>
    </row>
    <row r="433" spans="1:8" ht="14.4" thickBot="1" x14ac:dyDescent="0.3">
      <c r="A433" s="298" t="s">
        <v>148</v>
      </c>
      <c r="B433" s="299"/>
      <c r="C433" s="299"/>
      <c r="D433" s="299"/>
      <c r="E433" s="299"/>
      <c r="F433" s="299"/>
      <c r="G433" s="299"/>
      <c r="H433" s="300"/>
    </row>
    <row r="434" spans="1:8" ht="14.4" thickBot="1" x14ac:dyDescent="0.3">
      <c r="A434" s="81"/>
      <c r="B434" s="82"/>
      <c r="C434" s="82"/>
      <c r="D434" s="58"/>
      <c r="E434" s="58"/>
      <c r="F434" s="58"/>
      <c r="G434" s="58"/>
      <c r="H434" s="59"/>
    </row>
    <row r="435" spans="1:8" ht="52.8" x14ac:dyDescent="0.25">
      <c r="A435" s="6" t="s">
        <v>49</v>
      </c>
      <c r="B435" s="7" t="s">
        <v>47</v>
      </c>
      <c r="C435" s="7" t="s">
        <v>95</v>
      </c>
      <c r="D435" s="7" t="s">
        <v>50</v>
      </c>
      <c r="E435" s="7" t="s">
        <v>51</v>
      </c>
      <c r="F435" s="7" t="s">
        <v>67</v>
      </c>
      <c r="G435" s="8" t="s">
        <v>56</v>
      </c>
      <c r="H435" s="79" t="s">
        <v>96</v>
      </c>
    </row>
    <row r="436" spans="1:8" x14ac:dyDescent="0.25">
      <c r="A436" s="78" t="s">
        <v>57</v>
      </c>
      <c r="B436" s="10" t="s">
        <v>55</v>
      </c>
      <c r="C436" s="88" t="s">
        <v>93</v>
      </c>
      <c r="D436" s="47"/>
      <c r="E436" s="47"/>
      <c r="F436" s="11">
        <f t="shared" ref="F436:F449" si="34">D436*E436</f>
        <v>0</v>
      </c>
      <c r="G436" s="1">
        <f>IF(AND(B436=Справочник!$A$2, C436=Справочник!$A$8), "Не заполнена должность", IF(AND(B436=Справочник!$A$2, C436=Справочник!$A$7), F436*1.18*1.302, IF(AND(B436=Справочник!$A$2, C436=Справочник!$A$6),F436*1.11*1.302, F436*1.3)))</f>
        <v>0</v>
      </c>
      <c r="H436" s="80">
        <f t="shared" ref="H436:H449" si="35">F436*0.87</f>
        <v>0</v>
      </c>
    </row>
    <row r="437" spans="1:8" x14ac:dyDescent="0.25">
      <c r="A437" s="78" t="s">
        <v>81</v>
      </c>
      <c r="B437" s="10" t="s">
        <v>54</v>
      </c>
      <c r="C437" s="88" t="s">
        <v>94</v>
      </c>
      <c r="D437" s="47"/>
      <c r="E437" s="47"/>
      <c r="F437" s="11">
        <f t="shared" si="34"/>
        <v>0</v>
      </c>
      <c r="G437" s="1">
        <f>IF(AND(B437=Справочник!$A$2, C437=Справочник!$A$8), "Не заполнена должность", IF(AND(B437=Справочник!$A$2, C437=Справочник!$A$7), F437*1.18*1.302, IF(AND(B437=Справочник!$A$2, C437=Справочник!$A$6),F437*1.11*1.302, F437*1.3)))</f>
        <v>0</v>
      </c>
      <c r="H437" s="80">
        <f t="shared" si="35"/>
        <v>0</v>
      </c>
    </row>
    <row r="438" spans="1:8" x14ac:dyDescent="0.25">
      <c r="A438" s="78" t="s">
        <v>52</v>
      </c>
      <c r="B438" s="10" t="s">
        <v>55</v>
      </c>
      <c r="C438" s="88"/>
      <c r="D438" s="47"/>
      <c r="E438" s="47"/>
      <c r="F438" s="11">
        <f t="shared" si="34"/>
        <v>0</v>
      </c>
      <c r="G438" s="1">
        <f>IF(AND(B438=Справочник!$A$2, C438=Справочник!$A$8), "Не заполнена должность", IF(AND(B438=Справочник!$A$2, C438=Справочник!$A$7), F438*1.18*1.302, IF(AND(B438=Справочник!$A$2, C438=Справочник!$A$6),F438*1.11*1.302, F438*1.3)))</f>
        <v>0</v>
      </c>
      <c r="H438" s="80">
        <f t="shared" si="35"/>
        <v>0</v>
      </c>
    </row>
    <row r="439" spans="1:8" ht="27.6" x14ac:dyDescent="0.25">
      <c r="A439" s="78" t="s">
        <v>123</v>
      </c>
      <c r="B439" s="10" t="s">
        <v>55</v>
      </c>
      <c r="C439" s="88"/>
      <c r="D439" s="47"/>
      <c r="E439" s="47"/>
      <c r="F439" s="11">
        <f t="shared" si="34"/>
        <v>0</v>
      </c>
      <c r="G439" s="1">
        <f>IF(AND(B439=Справочник!$A$2, C439=Справочник!$A$8), "Не заполнена должность", IF(AND(B439=Справочник!$A$2, C439=Справочник!$A$7), F439*1.18*1.302, IF(AND(B439=Справочник!$A$2, C439=Справочник!$A$6),F439*1.11*1.302, F439*1.3)))</f>
        <v>0</v>
      </c>
      <c r="H439" s="80">
        <f t="shared" si="35"/>
        <v>0</v>
      </c>
    </row>
    <row r="440" spans="1:8" x14ac:dyDescent="0.25">
      <c r="A440" s="78" t="s">
        <v>79</v>
      </c>
      <c r="B440" s="10" t="s">
        <v>55</v>
      </c>
      <c r="C440" s="88"/>
      <c r="D440" s="47"/>
      <c r="E440" s="47"/>
      <c r="F440" s="11">
        <f t="shared" si="34"/>
        <v>0</v>
      </c>
      <c r="G440" s="1">
        <f>IF(AND(B440=Справочник!$A$2, C440=Справочник!$A$8), "Не заполнена должность", IF(AND(B440=Справочник!$A$2, C440=Справочник!$A$7), F440*1.18*1.302, IF(AND(B440=Справочник!$A$2, C440=Справочник!$A$6),F440*1.11*1.302, F440*1.3)))</f>
        <v>0</v>
      </c>
      <c r="H440" s="80">
        <f t="shared" si="35"/>
        <v>0</v>
      </c>
    </row>
    <row r="441" spans="1:8" x14ac:dyDescent="0.25">
      <c r="A441" s="78" t="s">
        <v>80</v>
      </c>
      <c r="B441" s="10" t="s">
        <v>55</v>
      </c>
      <c r="C441" s="88"/>
      <c r="D441" s="47"/>
      <c r="E441" s="47"/>
      <c r="F441" s="11">
        <f t="shared" si="34"/>
        <v>0</v>
      </c>
      <c r="G441" s="1">
        <f>IF(AND(B441=Справочник!$A$2, C441=Справочник!$A$8), "Не заполнена должность", IF(AND(B441=Справочник!$A$2, C441=Справочник!$A$7), F441*1.18*1.302, IF(AND(B441=Справочник!$A$2, C441=Справочник!$A$6),F441*1.11*1.302, F441*1.3)))</f>
        <v>0</v>
      </c>
      <c r="H441" s="80">
        <f t="shared" si="35"/>
        <v>0</v>
      </c>
    </row>
    <row r="442" spans="1:8" x14ac:dyDescent="0.25">
      <c r="A442" s="78" t="s">
        <v>48</v>
      </c>
      <c r="B442" s="10" t="s">
        <v>55</v>
      </c>
      <c r="C442" s="88"/>
      <c r="D442" s="47"/>
      <c r="E442" s="47"/>
      <c r="F442" s="11">
        <f t="shared" si="34"/>
        <v>0</v>
      </c>
      <c r="G442" s="1">
        <f>IF(AND(B442=Справочник!$A$2, C442=Справочник!$A$8), "Не заполнена должность", IF(AND(B442=Справочник!$A$2, C442=Справочник!$A$7), F442*1.18*1.302, IF(AND(B442=Справочник!$A$2, C442=Справочник!$A$6),F442*1.11*1.302, F442*1.3)))</f>
        <v>0</v>
      </c>
      <c r="H442" s="80">
        <f t="shared" si="35"/>
        <v>0</v>
      </c>
    </row>
    <row r="443" spans="1:8" ht="27.6" x14ac:dyDescent="0.25">
      <c r="A443" s="78" t="s">
        <v>111</v>
      </c>
      <c r="B443" s="10" t="s">
        <v>55</v>
      </c>
      <c r="C443" s="88"/>
      <c r="D443" s="47"/>
      <c r="E443" s="47"/>
      <c r="F443" s="11">
        <f t="shared" si="34"/>
        <v>0</v>
      </c>
      <c r="G443" s="1">
        <f>IF(AND(B443=Справочник!$A$2, C443=Справочник!$A$8), "Не заполнена должность", IF(AND(B443=Справочник!$A$2, C443=Справочник!$A$7), F443*1.18*1.302, IF(AND(B443=Справочник!$A$2, C443=Справочник!$A$6),F443*1.11*1.302, F443*1.3)))</f>
        <v>0</v>
      </c>
      <c r="H443" s="80">
        <f t="shared" si="35"/>
        <v>0</v>
      </c>
    </row>
    <row r="444" spans="1:8" x14ac:dyDescent="0.25">
      <c r="A444" s="78"/>
      <c r="B444" s="10"/>
      <c r="C444" s="88"/>
      <c r="D444" s="47"/>
      <c r="E444" s="47"/>
      <c r="F444" s="11">
        <f t="shared" si="34"/>
        <v>0</v>
      </c>
      <c r="G444" s="1">
        <f>IF(AND(B444=Справочник!$A$2, C444=Справочник!$A$8), "Не заполнена должность", IF(AND(B444=Справочник!$A$2, C444=Справочник!$A$7), F444*1.18*1.302, IF(AND(B444=Справочник!$A$2, C444=Справочник!$A$6),F444*1.11*1.302, F444*1.3)))</f>
        <v>0</v>
      </c>
      <c r="H444" s="80">
        <f t="shared" si="35"/>
        <v>0</v>
      </c>
    </row>
    <row r="445" spans="1:8" x14ac:dyDescent="0.25">
      <c r="A445" s="78"/>
      <c r="B445" s="10"/>
      <c r="C445" s="88"/>
      <c r="D445" s="47"/>
      <c r="E445" s="47"/>
      <c r="F445" s="11">
        <f t="shared" si="34"/>
        <v>0</v>
      </c>
      <c r="G445" s="1">
        <f>IF(AND(B445=Справочник!$A$2, C445=Справочник!$A$8), "Не заполнена должность", IF(AND(B445=Справочник!$A$2, C445=Справочник!$A$7), F445*1.18*1.302, IF(AND(B445=Справочник!$A$2, C445=Справочник!$A$6),F445*1.11*1.302, F445*1.3)))</f>
        <v>0</v>
      </c>
      <c r="H445" s="80">
        <f t="shared" si="35"/>
        <v>0</v>
      </c>
    </row>
    <row r="446" spans="1:8" x14ac:dyDescent="0.25">
      <c r="A446" s="78"/>
      <c r="B446" s="10"/>
      <c r="C446" s="88"/>
      <c r="D446" s="47"/>
      <c r="E446" s="47"/>
      <c r="F446" s="11">
        <f t="shared" si="34"/>
        <v>0</v>
      </c>
      <c r="G446" s="1">
        <f>IF(AND(B446=Справочник!$A$2, C446=Справочник!$A$8), "Не заполнена должность", IF(AND(B446=Справочник!$A$2, C446=Справочник!$A$7), F446*1.18*1.302, IF(AND(B446=Справочник!$A$2, C446=Справочник!$A$6),F446*1.11*1.302, F446*1.3)))</f>
        <v>0</v>
      </c>
      <c r="H446" s="80">
        <f t="shared" si="35"/>
        <v>0</v>
      </c>
    </row>
    <row r="447" spans="1:8" x14ac:dyDescent="0.25">
      <c r="A447" s="78"/>
      <c r="B447" s="10"/>
      <c r="C447" s="88"/>
      <c r="D447" s="47"/>
      <c r="E447" s="47"/>
      <c r="F447" s="11">
        <f t="shared" si="34"/>
        <v>0</v>
      </c>
      <c r="G447" s="1">
        <f>IF(AND(B447=Справочник!$A$2, C447=Справочник!$A$8), "Не заполнена должность", IF(AND(B447=Справочник!$A$2, C447=Справочник!$A$7), F447*1.18*1.302, IF(AND(B447=Справочник!$A$2, C447=Справочник!$A$6),F447*1.11*1.302, F447*1.3)))</f>
        <v>0</v>
      </c>
      <c r="H447" s="80">
        <f t="shared" si="35"/>
        <v>0</v>
      </c>
    </row>
    <row r="448" spans="1:8" x14ac:dyDescent="0.25">
      <c r="A448" s="78"/>
      <c r="B448" s="10"/>
      <c r="C448" s="88"/>
      <c r="D448" s="47"/>
      <c r="E448" s="47"/>
      <c r="F448" s="11">
        <f t="shared" si="34"/>
        <v>0</v>
      </c>
      <c r="G448" s="1">
        <f>IF(AND(B448=Справочник!$A$2, C448=Справочник!$A$8), "Не заполнена должность", IF(AND(B448=Справочник!$A$2, C448=Справочник!$A$7), F448*1.18*1.302, IF(AND(B448=Справочник!$A$2, C448=Справочник!$A$6),F448*1.11*1.302, F448*1.3)))</f>
        <v>0</v>
      </c>
      <c r="H448" s="80">
        <f t="shared" si="35"/>
        <v>0</v>
      </c>
    </row>
    <row r="449" spans="1:8" x14ac:dyDescent="0.25">
      <c r="A449" s="9"/>
      <c r="B449" s="10"/>
      <c r="C449" s="88"/>
      <c r="D449" s="47"/>
      <c r="E449" s="47"/>
      <c r="F449" s="11">
        <f t="shared" si="34"/>
        <v>0</v>
      </c>
      <c r="G449" s="1">
        <f>IF(AND(B449=Справочник!$A$2, C449=Справочник!$A$8), "Не заполнена должность", IF(AND(B449=Справочник!$A$2, C449=Справочник!$A$7), F449*1.18*1.302, IF(AND(B449=Справочник!$A$2, C449=Справочник!$A$6),F449*1.11*1.302, F449*1.3)))</f>
        <v>0</v>
      </c>
      <c r="H449" s="80">
        <f t="shared" si="35"/>
        <v>0</v>
      </c>
    </row>
    <row r="450" spans="1:8" x14ac:dyDescent="0.25">
      <c r="A450" s="174"/>
      <c r="B450" s="175"/>
      <c r="C450" s="175"/>
      <c r="D450" s="175"/>
      <c r="E450" s="175"/>
      <c r="F450" s="175"/>
      <c r="G450" s="175"/>
      <c r="H450" s="176"/>
    </row>
    <row r="451" spans="1:8" ht="14.4" thickBot="1" x14ac:dyDescent="0.3">
      <c r="A451" s="62"/>
      <c r="B451" s="58"/>
      <c r="C451" s="58"/>
      <c r="D451" s="58"/>
      <c r="E451" s="58"/>
      <c r="F451" s="58"/>
      <c r="G451" s="58"/>
      <c r="H451" s="59"/>
    </row>
    <row r="452" spans="1:8" ht="14.4" thickBot="1" x14ac:dyDescent="0.3">
      <c r="A452" s="298" t="s">
        <v>147</v>
      </c>
      <c r="B452" s="299"/>
      <c r="C452" s="299"/>
      <c r="D452" s="299"/>
      <c r="E452" s="299"/>
      <c r="F452" s="299"/>
      <c r="G452" s="299"/>
      <c r="H452" s="300"/>
    </row>
    <row r="453" spans="1:8" x14ac:dyDescent="0.25">
      <c r="A453" s="66" t="s">
        <v>60</v>
      </c>
      <c r="B453" s="13" t="s">
        <v>74</v>
      </c>
      <c r="C453" s="13" t="s">
        <v>75</v>
      </c>
      <c r="D453" s="13" t="s">
        <v>6</v>
      </c>
      <c r="E453" s="58"/>
      <c r="F453" s="58"/>
      <c r="G453" s="58"/>
      <c r="H453" s="59"/>
    </row>
    <row r="454" spans="1:8" x14ac:dyDescent="0.25">
      <c r="A454" s="67" t="s">
        <v>62</v>
      </c>
      <c r="B454" s="50">
        <f>$B$15</f>
        <v>10</v>
      </c>
      <c r="C454" s="49"/>
      <c r="D454" s="14">
        <f>B454*C454</f>
        <v>0</v>
      </c>
      <c r="E454" s="58"/>
      <c r="F454" s="58"/>
      <c r="G454" s="58"/>
      <c r="H454" s="59"/>
    </row>
    <row r="455" spans="1:8" ht="41.4" x14ac:dyDescent="0.25">
      <c r="A455" s="78" t="s">
        <v>144</v>
      </c>
      <c r="B455" s="49"/>
      <c r="C455" s="49"/>
      <c r="D455" s="14">
        <f>B455*C455</f>
        <v>0</v>
      </c>
      <c r="E455" s="58"/>
      <c r="F455" s="58"/>
      <c r="G455" s="58"/>
      <c r="H455" s="59"/>
    </row>
    <row r="456" spans="1:8" ht="41.4" x14ac:dyDescent="0.25">
      <c r="A456" s="78" t="s">
        <v>145</v>
      </c>
      <c r="B456" s="49"/>
      <c r="C456" s="49"/>
      <c r="D456" s="14">
        <f t="shared" ref="D456:D462" si="36">B456*C456</f>
        <v>0</v>
      </c>
      <c r="E456" s="58"/>
      <c r="F456" s="58"/>
      <c r="G456" s="58"/>
      <c r="H456" s="59"/>
    </row>
    <row r="457" spans="1:8" x14ac:dyDescent="0.25">
      <c r="A457" s="68" t="s">
        <v>87</v>
      </c>
      <c r="B457" s="49"/>
      <c r="C457" s="49"/>
      <c r="D457" s="14">
        <f t="shared" si="36"/>
        <v>0</v>
      </c>
      <c r="E457" s="58"/>
      <c r="F457" s="58"/>
      <c r="G457" s="58"/>
      <c r="H457" s="59"/>
    </row>
    <row r="458" spans="1:8" x14ac:dyDescent="0.25">
      <c r="A458" s="68" t="s">
        <v>88</v>
      </c>
      <c r="B458" s="49"/>
      <c r="C458" s="49"/>
      <c r="D458" s="14">
        <f t="shared" si="36"/>
        <v>0</v>
      </c>
      <c r="E458" s="58"/>
      <c r="F458" s="58"/>
      <c r="G458" s="58"/>
      <c r="H458" s="59"/>
    </row>
    <row r="459" spans="1:8" ht="27.6" x14ac:dyDescent="0.25">
      <c r="A459" s="78" t="s">
        <v>142</v>
      </c>
      <c r="B459" s="49"/>
      <c r="C459" s="49"/>
      <c r="D459" s="14">
        <f t="shared" si="36"/>
        <v>0</v>
      </c>
      <c r="E459" s="58"/>
      <c r="F459" s="58"/>
      <c r="G459" s="58"/>
      <c r="H459" s="59"/>
    </row>
    <row r="460" spans="1:8" x14ac:dyDescent="0.25">
      <c r="A460" s="78"/>
      <c r="B460" s="49"/>
      <c r="C460" s="49"/>
      <c r="D460" s="14">
        <f t="shared" si="36"/>
        <v>0</v>
      </c>
      <c r="E460" s="58"/>
      <c r="F460" s="58"/>
      <c r="G460" s="58"/>
      <c r="H460" s="59"/>
    </row>
    <row r="461" spans="1:8" x14ac:dyDescent="0.25">
      <c r="A461" s="78"/>
      <c r="B461" s="49"/>
      <c r="C461" s="49"/>
      <c r="D461" s="14">
        <f t="shared" si="36"/>
        <v>0</v>
      </c>
      <c r="E461" s="58"/>
      <c r="F461" s="58"/>
      <c r="G461" s="58"/>
      <c r="H461" s="59"/>
    </row>
    <row r="462" spans="1:8" x14ac:dyDescent="0.25">
      <c r="A462" s="78"/>
      <c r="B462" s="49"/>
      <c r="C462" s="49"/>
      <c r="D462" s="14">
        <f t="shared" si="36"/>
        <v>0</v>
      </c>
      <c r="E462" s="58"/>
      <c r="F462" s="58"/>
      <c r="G462" s="58"/>
      <c r="H462" s="59"/>
    </row>
    <row r="463" spans="1:8" x14ac:dyDescent="0.25">
      <c r="A463" s="68"/>
      <c r="B463" s="49"/>
      <c r="C463" s="49"/>
      <c r="D463" s="14">
        <f>B463*C463</f>
        <v>0</v>
      </c>
      <c r="E463" s="58"/>
      <c r="F463" s="58"/>
      <c r="G463" s="58"/>
      <c r="H463" s="59"/>
    </row>
    <row r="464" spans="1:8" ht="14.4" thickBot="1" x14ac:dyDescent="0.3">
      <c r="A464" s="69" t="s">
        <v>61</v>
      </c>
      <c r="B464" s="70"/>
      <c r="C464" s="70"/>
      <c r="D464" s="70">
        <f>SUM(D454:D463)</f>
        <v>0</v>
      </c>
      <c r="E464" s="71"/>
      <c r="F464" s="71"/>
      <c r="G464" s="71"/>
      <c r="H464" s="72"/>
    </row>
    <row r="465" spans="5:7" x14ac:dyDescent="0.25">
      <c r="E465" s="195"/>
      <c r="F465" s="195"/>
      <c r="G465" s="195"/>
    </row>
    <row r="466" spans="5:7" x14ac:dyDescent="0.25">
      <c r="E466" s="195"/>
      <c r="F466" s="195"/>
      <c r="G466" s="195"/>
    </row>
    <row r="467" spans="5:7" x14ac:dyDescent="0.25">
      <c r="E467" s="195"/>
      <c r="F467" s="195"/>
      <c r="G467" s="195"/>
    </row>
    <row r="468" spans="5:7" x14ac:dyDescent="0.25">
      <c r="E468" s="195"/>
      <c r="F468" s="195"/>
      <c r="G468" s="195"/>
    </row>
    <row r="469" spans="5:7" x14ac:dyDescent="0.25">
      <c r="E469" s="195"/>
      <c r="F469" s="195"/>
      <c r="G469" s="195"/>
    </row>
    <row r="470" spans="5:7" x14ac:dyDescent="0.25">
      <c r="E470" s="195"/>
      <c r="F470" s="195"/>
      <c r="G470" s="195"/>
    </row>
    <row r="471" spans="5:7" x14ac:dyDescent="0.25">
      <c r="E471" s="195"/>
      <c r="F471" s="195"/>
      <c r="G471" s="195"/>
    </row>
    <row r="472" spans="5:7" x14ac:dyDescent="0.25">
      <c r="E472" s="195"/>
      <c r="F472" s="195"/>
      <c r="G472" s="195"/>
    </row>
    <row r="473" spans="5:7" x14ac:dyDescent="0.25">
      <c r="E473" s="195"/>
      <c r="F473" s="195"/>
      <c r="G473" s="195"/>
    </row>
    <row r="474" spans="5:7" x14ac:dyDescent="0.25">
      <c r="E474" s="195"/>
      <c r="F474" s="195"/>
      <c r="G474" s="195"/>
    </row>
    <row r="475" spans="5:7" x14ac:dyDescent="0.25">
      <c r="E475" s="195"/>
      <c r="F475" s="195"/>
      <c r="G475" s="195"/>
    </row>
    <row r="476" spans="5:7" x14ac:dyDescent="0.25">
      <c r="E476" s="195"/>
      <c r="F476" s="195"/>
      <c r="G476" s="195"/>
    </row>
    <row r="477" spans="5:7" x14ac:dyDescent="0.25">
      <c r="E477" s="195"/>
      <c r="F477" s="195"/>
      <c r="G477" s="195"/>
    </row>
    <row r="478" spans="5:7" x14ac:dyDescent="0.25">
      <c r="E478" s="195"/>
      <c r="F478" s="195"/>
      <c r="G478" s="195"/>
    </row>
    <row r="479" spans="5:7" x14ac:dyDescent="0.25">
      <c r="E479" s="195"/>
      <c r="F479" s="195"/>
      <c r="G479" s="195"/>
    </row>
    <row r="480" spans="5:7" x14ac:dyDescent="0.25">
      <c r="E480" s="195"/>
      <c r="F480" s="195"/>
      <c r="G480" s="195"/>
    </row>
    <row r="481" spans="5:7" x14ac:dyDescent="0.25">
      <c r="E481" s="195"/>
      <c r="F481" s="195"/>
      <c r="G481" s="195"/>
    </row>
    <row r="482" spans="5:7" x14ac:dyDescent="0.25">
      <c r="E482" s="195"/>
      <c r="F482" s="195"/>
      <c r="G482" s="195"/>
    </row>
    <row r="483" spans="5:7" x14ac:dyDescent="0.25">
      <c r="E483" s="195"/>
      <c r="F483" s="195"/>
      <c r="G483" s="195"/>
    </row>
    <row r="484" spans="5:7" x14ac:dyDescent="0.25">
      <c r="E484" s="195"/>
      <c r="F484" s="195"/>
      <c r="G484" s="195"/>
    </row>
    <row r="485" spans="5:7" x14ac:dyDescent="0.25">
      <c r="E485" s="195"/>
      <c r="F485" s="195"/>
      <c r="G485" s="195"/>
    </row>
    <row r="486" spans="5:7" x14ac:dyDescent="0.25">
      <c r="E486" s="195"/>
      <c r="F486" s="195"/>
      <c r="G486" s="195"/>
    </row>
    <row r="487" spans="5:7" x14ac:dyDescent="0.25">
      <c r="E487" s="195"/>
      <c r="F487" s="195"/>
      <c r="G487" s="195"/>
    </row>
    <row r="488" spans="5:7" x14ac:dyDescent="0.25">
      <c r="E488" s="195"/>
      <c r="F488" s="195"/>
      <c r="G488" s="195"/>
    </row>
    <row r="489" spans="5:7" x14ac:dyDescent="0.25">
      <c r="E489" s="195"/>
      <c r="F489" s="195"/>
      <c r="G489" s="195"/>
    </row>
    <row r="490" spans="5:7" x14ac:dyDescent="0.25">
      <c r="E490" s="195"/>
      <c r="F490" s="195"/>
      <c r="G490" s="195"/>
    </row>
    <row r="491" spans="5:7" x14ac:dyDescent="0.25">
      <c r="E491" s="195"/>
      <c r="F491" s="195"/>
      <c r="G491" s="195"/>
    </row>
    <row r="492" spans="5:7" x14ac:dyDescent="0.25">
      <c r="E492" s="195"/>
      <c r="F492" s="195"/>
      <c r="G492" s="195"/>
    </row>
    <row r="493" spans="5:7" x14ac:dyDescent="0.25">
      <c r="E493" s="195"/>
      <c r="F493" s="195"/>
      <c r="G493" s="195"/>
    </row>
    <row r="494" spans="5:7" x14ac:dyDescent="0.25">
      <c r="E494" s="195"/>
      <c r="F494" s="195"/>
      <c r="G494" s="195"/>
    </row>
    <row r="495" spans="5:7" x14ac:dyDescent="0.25">
      <c r="E495" s="195"/>
      <c r="F495" s="195"/>
      <c r="G495" s="195"/>
    </row>
    <row r="496" spans="5:7" x14ac:dyDescent="0.25">
      <c r="E496" s="195"/>
      <c r="F496" s="195"/>
      <c r="G496" s="195"/>
    </row>
    <row r="497" spans="5:7" x14ac:dyDescent="0.25">
      <c r="E497" s="195"/>
      <c r="F497" s="195"/>
      <c r="G497" s="195"/>
    </row>
    <row r="498" spans="5:7" x14ac:dyDescent="0.25">
      <c r="E498" s="195"/>
      <c r="F498" s="195"/>
      <c r="G498" s="195"/>
    </row>
    <row r="499" spans="5:7" x14ac:dyDescent="0.25">
      <c r="E499" s="195"/>
      <c r="F499" s="195"/>
      <c r="G499" s="195"/>
    </row>
    <row r="500" spans="5:7" x14ac:dyDescent="0.25">
      <c r="E500" s="195"/>
      <c r="F500" s="195"/>
      <c r="G500" s="195"/>
    </row>
    <row r="501" spans="5:7" x14ac:dyDescent="0.25">
      <c r="E501" s="195"/>
      <c r="F501" s="195"/>
      <c r="G501" s="195"/>
    </row>
    <row r="502" spans="5:7" x14ac:dyDescent="0.25">
      <c r="E502" s="195"/>
      <c r="F502" s="195"/>
      <c r="G502" s="195"/>
    </row>
    <row r="503" spans="5:7" x14ac:dyDescent="0.25">
      <c r="E503" s="195"/>
      <c r="F503" s="195"/>
      <c r="G503" s="195"/>
    </row>
    <row r="504" spans="5:7" x14ac:dyDescent="0.25">
      <c r="E504" s="195"/>
      <c r="F504" s="195"/>
      <c r="G504" s="195"/>
    </row>
    <row r="505" spans="5:7" x14ac:dyDescent="0.25">
      <c r="E505" s="195"/>
      <c r="F505" s="195"/>
      <c r="G505" s="195"/>
    </row>
    <row r="506" spans="5:7" x14ac:dyDescent="0.25">
      <c r="E506" s="195"/>
      <c r="F506" s="195"/>
      <c r="G506" s="195"/>
    </row>
    <row r="507" spans="5:7" x14ac:dyDescent="0.25">
      <c r="E507" s="195"/>
      <c r="F507" s="195"/>
      <c r="G507" s="195"/>
    </row>
    <row r="508" spans="5:7" x14ac:dyDescent="0.25">
      <c r="E508" s="195"/>
      <c r="F508" s="195"/>
      <c r="G508" s="195"/>
    </row>
    <row r="509" spans="5:7" x14ac:dyDescent="0.25">
      <c r="E509" s="195"/>
      <c r="F509" s="195"/>
      <c r="G509" s="195"/>
    </row>
    <row r="510" spans="5:7" x14ac:dyDescent="0.25">
      <c r="E510" s="195"/>
      <c r="F510" s="195"/>
      <c r="G510" s="195"/>
    </row>
    <row r="511" spans="5:7" x14ac:dyDescent="0.25">
      <c r="E511" s="195"/>
      <c r="F511" s="195"/>
      <c r="G511" s="195"/>
    </row>
    <row r="512" spans="5:7" x14ac:dyDescent="0.25">
      <c r="E512" s="195"/>
      <c r="F512" s="195"/>
      <c r="G512" s="195"/>
    </row>
    <row r="513" spans="5:7" x14ac:dyDescent="0.25">
      <c r="E513" s="195"/>
      <c r="F513" s="195"/>
      <c r="G513" s="195"/>
    </row>
    <row r="514" spans="5:7" x14ac:dyDescent="0.25">
      <c r="E514" s="195"/>
      <c r="F514" s="195"/>
      <c r="G514" s="195"/>
    </row>
    <row r="515" spans="5:7" x14ac:dyDescent="0.25">
      <c r="E515" s="195"/>
      <c r="F515" s="195"/>
      <c r="G515" s="195"/>
    </row>
    <row r="516" spans="5:7" x14ac:dyDescent="0.25">
      <c r="E516" s="195"/>
      <c r="F516" s="195"/>
      <c r="G516" s="195"/>
    </row>
    <row r="517" spans="5:7" x14ac:dyDescent="0.25">
      <c r="E517" s="195"/>
      <c r="F517" s="195"/>
      <c r="G517" s="195"/>
    </row>
    <row r="518" spans="5:7" x14ac:dyDescent="0.25">
      <c r="E518" s="195"/>
      <c r="F518" s="195"/>
      <c r="G518" s="195"/>
    </row>
    <row r="519" spans="5:7" x14ac:dyDescent="0.25">
      <c r="E519" s="195"/>
      <c r="F519" s="195"/>
      <c r="G519" s="195"/>
    </row>
    <row r="520" spans="5:7" x14ac:dyDescent="0.25">
      <c r="E520" s="195"/>
      <c r="F520" s="195"/>
      <c r="G520" s="195"/>
    </row>
    <row r="521" spans="5:7" x14ac:dyDescent="0.25">
      <c r="E521" s="195"/>
      <c r="F521" s="195"/>
      <c r="G521" s="195"/>
    </row>
    <row r="522" spans="5:7" x14ac:dyDescent="0.25">
      <c r="E522" s="195"/>
      <c r="F522" s="195"/>
      <c r="G522" s="195"/>
    </row>
    <row r="523" spans="5:7" x14ac:dyDescent="0.25">
      <c r="E523" s="195"/>
      <c r="F523" s="195"/>
      <c r="G523" s="195"/>
    </row>
    <row r="524" spans="5:7" x14ac:dyDescent="0.25">
      <c r="E524" s="195"/>
      <c r="F524" s="195"/>
      <c r="G524" s="195"/>
    </row>
    <row r="525" spans="5:7" x14ac:dyDescent="0.25">
      <c r="E525" s="195"/>
      <c r="F525" s="195"/>
      <c r="G525" s="195"/>
    </row>
    <row r="526" spans="5:7" x14ac:dyDescent="0.25">
      <c r="E526" s="195"/>
      <c r="F526" s="195"/>
      <c r="G526" s="195"/>
    </row>
    <row r="527" spans="5:7" x14ac:dyDescent="0.25">
      <c r="E527" s="195"/>
      <c r="F527" s="195"/>
      <c r="G527" s="195"/>
    </row>
    <row r="528" spans="5:7" x14ac:dyDescent="0.25">
      <c r="E528" s="195"/>
      <c r="F528" s="195"/>
      <c r="G528" s="195"/>
    </row>
    <row r="529" spans="5:7" x14ac:dyDescent="0.25">
      <c r="E529" s="195"/>
      <c r="F529" s="195"/>
      <c r="G529" s="195"/>
    </row>
    <row r="530" spans="5:7" x14ac:dyDescent="0.25">
      <c r="E530" s="195"/>
      <c r="F530" s="195"/>
      <c r="G530" s="195"/>
    </row>
    <row r="531" spans="5:7" x14ac:dyDescent="0.25">
      <c r="E531" s="195"/>
      <c r="F531" s="195"/>
      <c r="G531" s="195"/>
    </row>
    <row r="532" spans="5:7" x14ac:dyDescent="0.25">
      <c r="E532" s="195"/>
      <c r="F532" s="195"/>
      <c r="G532" s="195"/>
    </row>
    <row r="533" spans="5:7" x14ac:dyDescent="0.25">
      <c r="E533" s="195"/>
      <c r="F533" s="195"/>
      <c r="G533" s="195"/>
    </row>
    <row r="534" spans="5:7" x14ac:dyDescent="0.25">
      <c r="E534" s="195"/>
      <c r="F534" s="195"/>
      <c r="G534" s="195"/>
    </row>
    <row r="535" spans="5:7" x14ac:dyDescent="0.25">
      <c r="E535" s="195"/>
      <c r="F535" s="195"/>
      <c r="G535" s="195"/>
    </row>
    <row r="536" spans="5:7" x14ac:dyDescent="0.25">
      <c r="E536" s="195"/>
      <c r="F536" s="195"/>
      <c r="G536" s="195"/>
    </row>
    <row r="537" spans="5:7" x14ac:dyDescent="0.25">
      <c r="E537" s="195"/>
      <c r="F537" s="195"/>
      <c r="G537" s="195"/>
    </row>
    <row r="538" spans="5:7" x14ac:dyDescent="0.25">
      <c r="E538" s="195"/>
      <c r="F538" s="195"/>
      <c r="G538" s="195"/>
    </row>
    <row r="539" spans="5:7" x14ac:dyDescent="0.25">
      <c r="E539" s="195"/>
      <c r="F539" s="195"/>
      <c r="G539" s="195"/>
    </row>
    <row r="540" spans="5:7" x14ac:dyDescent="0.25">
      <c r="E540" s="195"/>
      <c r="F540" s="195"/>
      <c r="G540" s="195"/>
    </row>
    <row r="541" spans="5:7" x14ac:dyDescent="0.25">
      <c r="E541" s="195"/>
      <c r="F541" s="195"/>
      <c r="G541" s="195"/>
    </row>
    <row r="542" spans="5:7" x14ac:dyDescent="0.25">
      <c r="E542" s="195"/>
      <c r="F542" s="195"/>
      <c r="G542" s="195"/>
    </row>
    <row r="543" spans="5:7" x14ac:dyDescent="0.25">
      <c r="E543" s="195"/>
      <c r="F543" s="195"/>
      <c r="G543" s="195"/>
    </row>
    <row r="544" spans="5:7" x14ac:dyDescent="0.25">
      <c r="E544" s="195"/>
      <c r="F544" s="195"/>
      <c r="G544" s="195"/>
    </row>
    <row r="545" spans="5:7" x14ac:dyDescent="0.25">
      <c r="E545" s="195"/>
      <c r="F545" s="195"/>
      <c r="G545" s="195"/>
    </row>
    <row r="546" spans="5:7" x14ac:dyDescent="0.25">
      <c r="E546" s="195"/>
      <c r="F546" s="195"/>
      <c r="G546" s="195"/>
    </row>
    <row r="547" spans="5:7" x14ac:dyDescent="0.25">
      <c r="E547" s="195"/>
      <c r="F547" s="195"/>
      <c r="G547" s="195"/>
    </row>
    <row r="548" spans="5:7" x14ac:dyDescent="0.25">
      <c r="E548" s="195"/>
      <c r="F548" s="195"/>
      <c r="G548" s="195"/>
    </row>
    <row r="549" spans="5:7" x14ac:dyDescent="0.25">
      <c r="E549" s="195"/>
      <c r="F549" s="195"/>
      <c r="G549" s="195"/>
    </row>
    <row r="550" spans="5:7" x14ac:dyDescent="0.25">
      <c r="E550" s="195"/>
      <c r="F550" s="195"/>
      <c r="G550" s="195"/>
    </row>
    <row r="551" spans="5:7" x14ac:dyDescent="0.25">
      <c r="E551" s="195"/>
      <c r="F551" s="195"/>
      <c r="G551" s="195"/>
    </row>
    <row r="552" spans="5:7" x14ac:dyDescent="0.25">
      <c r="E552" s="195"/>
      <c r="F552" s="195"/>
      <c r="G552" s="195"/>
    </row>
    <row r="553" spans="5:7" x14ac:dyDescent="0.25">
      <c r="E553" s="195"/>
      <c r="F553" s="195"/>
      <c r="G553" s="195"/>
    </row>
    <row r="554" spans="5:7" x14ac:dyDescent="0.25">
      <c r="E554" s="195"/>
      <c r="F554" s="195"/>
      <c r="G554" s="195"/>
    </row>
    <row r="555" spans="5:7" x14ac:dyDescent="0.25">
      <c r="E555" s="195"/>
      <c r="F555" s="195"/>
      <c r="G555" s="195"/>
    </row>
    <row r="556" spans="5:7" x14ac:dyDescent="0.25">
      <c r="E556" s="195"/>
      <c r="F556" s="195"/>
      <c r="G556" s="195"/>
    </row>
    <row r="557" spans="5:7" x14ac:dyDescent="0.25">
      <c r="E557" s="195"/>
      <c r="F557" s="195"/>
      <c r="G557" s="195"/>
    </row>
    <row r="558" spans="5:7" x14ac:dyDescent="0.25">
      <c r="E558" s="195"/>
      <c r="F558" s="195"/>
      <c r="G558" s="195"/>
    </row>
    <row r="559" spans="5:7" x14ac:dyDescent="0.25">
      <c r="E559" s="195"/>
      <c r="F559" s="195"/>
      <c r="G559" s="195"/>
    </row>
    <row r="560" spans="5:7" x14ac:dyDescent="0.25">
      <c r="E560" s="195"/>
      <c r="F560" s="195"/>
      <c r="G560" s="195"/>
    </row>
    <row r="561" spans="5:7" x14ac:dyDescent="0.25">
      <c r="E561" s="195"/>
      <c r="F561" s="195"/>
      <c r="G561" s="195"/>
    </row>
    <row r="562" spans="5:7" x14ac:dyDescent="0.25">
      <c r="E562" s="195"/>
      <c r="F562" s="195"/>
      <c r="G562" s="195"/>
    </row>
    <row r="563" spans="5:7" x14ac:dyDescent="0.25">
      <c r="E563" s="195"/>
      <c r="F563" s="195"/>
      <c r="G563" s="195"/>
    </row>
    <row r="564" spans="5:7" x14ac:dyDescent="0.25">
      <c r="E564" s="195"/>
      <c r="F564" s="195"/>
      <c r="G564" s="195"/>
    </row>
    <row r="565" spans="5:7" x14ac:dyDescent="0.25">
      <c r="E565" s="195"/>
      <c r="F565" s="195"/>
      <c r="G565" s="195"/>
    </row>
    <row r="566" spans="5:7" x14ac:dyDescent="0.25">
      <c r="E566" s="195"/>
      <c r="F566" s="195"/>
      <c r="G566" s="195"/>
    </row>
    <row r="567" spans="5:7" x14ac:dyDescent="0.25">
      <c r="E567" s="195"/>
      <c r="F567" s="195"/>
      <c r="G567" s="195"/>
    </row>
    <row r="568" spans="5:7" x14ac:dyDescent="0.25">
      <c r="E568" s="195"/>
      <c r="F568" s="195"/>
      <c r="G568" s="195"/>
    </row>
    <row r="569" spans="5:7" x14ac:dyDescent="0.25">
      <c r="E569" s="195"/>
      <c r="F569" s="195"/>
      <c r="G569" s="195"/>
    </row>
    <row r="570" spans="5:7" x14ac:dyDescent="0.25">
      <c r="E570" s="195"/>
      <c r="F570" s="195"/>
      <c r="G570" s="195"/>
    </row>
    <row r="571" spans="5:7" x14ac:dyDescent="0.25">
      <c r="E571" s="195"/>
      <c r="F571" s="195"/>
      <c r="G571" s="195"/>
    </row>
    <row r="572" spans="5:7" x14ac:dyDescent="0.25">
      <c r="E572" s="195"/>
      <c r="F572" s="195"/>
      <c r="G572" s="195"/>
    </row>
    <row r="573" spans="5:7" x14ac:dyDescent="0.25">
      <c r="E573" s="195"/>
      <c r="F573" s="195"/>
      <c r="G573" s="195"/>
    </row>
    <row r="574" spans="5:7" x14ac:dyDescent="0.25">
      <c r="E574" s="195"/>
      <c r="F574" s="195"/>
      <c r="G574" s="195"/>
    </row>
    <row r="575" spans="5:7" x14ac:dyDescent="0.25">
      <c r="E575" s="195"/>
      <c r="F575" s="195"/>
      <c r="G575" s="195"/>
    </row>
    <row r="576" spans="5:7" x14ac:dyDescent="0.25">
      <c r="E576" s="195"/>
      <c r="F576" s="195"/>
      <c r="G576" s="195"/>
    </row>
    <row r="577" spans="5:7" x14ac:dyDescent="0.25">
      <c r="E577" s="195"/>
      <c r="F577" s="195"/>
      <c r="G577" s="195"/>
    </row>
    <row r="578" spans="5:7" x14ac:dyDescent="0.25">
      <c r="E578" s="195"/>
      <c r="F578" s="195"/>
      <c r="G578" s="195"/>
    </row>
    <row r="579" spans="5:7" x14ac:dyDescent="0.25">
      <c r="E579" s="195"/>
      <c r="F579" s="195"/>
      <c r="G579" s="195"/>
    </row>
    <row r="580" spans="5:7" x14ac:dyDescent="0.25">
      <c r="E580" s="195"/>
      <c r="F580" s="195"/>
      <c r="G580" s="195"/>
    </row>
    <row r="581" spans="5:7" x14ac:dyDescent="0.25">
      <c r="E581" s="195"/>
      <c r="F581" s="195"/>
      <c r="G581" s="195"/>
    </row>
    <row r="582" spans="5:7" x14ac:dyDescent="0.25">
      <c r="E582" s="195"/>
      <c r="F582" s="195"/>
      <c r="G582" s="195"/>
    </row>
    <row r="583" spans="5:7" x14ac:dyDescent="0.25">
      <c r="E583" s="195"/>
      <c r="F583" s="195"/>
      <c r="G583" s="195"/>
    </row>
    <row r="584" spans="5:7" x14ac:dyDescent="0.25">
      <c r="E584" s="195"/>
      <c r="F584" s="195"/>
      <c r="G584" s="195"/>
    </row>
    <row r="585" spans="5:7" x14ac:dyDescent="0.25">
      <c r="E585" s="195"/>
      <c r="F585" s="195"/>
      <c r="G585" s="195"/>
    </row>
    <row r="586" spans="5:7" x14ac:dyDescent="0.25">
      <c r="E586" s="195"/>
      <c r="F586" s="195"/>
      <c r="G586" s="195"/>
    </row>
    <row r="587" spans="5:7" x14ac:dyDescent="0.25">
      <c r="E587" s="195"/>
      <c r="F587" s="195"/>
      <c r="G587" s="195"/>
    </row>
    <row r="588" spans="5:7" x14ac:dyDescent="0.25">
      <c r="E588" s="195"/>
      <c r="F588" s="195"/>
      <c r="G588" s="195"/>
    </row>
    <row r="589" spans="5:7" x14ac:dyDescent="0.25">
      <c r="E589" s="195"/>
      <c r="F589" s="195"/>
      <c r="G589" s="195"/>
    </row>
    <row r="590" spans="5:7" x14ac:dyDescent="0.25">
      <c r="E590" s="195"/>
      <c r="F590" s="195"/>
      <c r="G590" s="195"/>
    </row>
    <row r="591" spans="5:7" x14ac:dyDescent="0.25">
      <c r="E591" s="195"/>
      <c r="F591" s="195"/>
      <c r="G591" s="195"/>
    </row>
    <row r="592" spans="5:7" x14ac:dyDescent="0.25">
      <c r="E592" s="195"/>
      <c r="F592" s="195"/>
      <c r="G592" s="195"/>
    </row>
    <row r="593" spans="5:7" x14ac:dyDescent="0.25">
      <c r="E593" s="195"/>
      <c r="F593" s="195"/>
      <c r="G593" s="195"/>
    </row>
    <row r="594" spans="5:7" x14ac:dyDescent="0.25">
      <c r="E594" s="195"/>
      <c r="F594" s="195"/>
      <c r="G594" s="195"/>
    </row>
    <row r="595" spans="5:7" x14ac:dyDescent="0.25">
      <c r="E595" s="195"/>
      <c r="F595" s="195"/>
      <c r="G595" s="195"/>
    </row>
    <row r="596" spans="5:7" x14ac:dyDescent="0.25">
      <c r="E596" s="195"/>
      <c r="F596" s="195"/>
      <c r="G596" s="195"/>
    </row>
    <row r="597" spans="5:7" x14ac:dyDescent="0.25">
      <c r="E597" s="195"/>
      <c r="F597" s="195"/>
      <c r="G597" s="195"/>
    </row>
    <row r="598" spans="5:7" x14ac:dyDescent="0.25">
      <c r="E598" s="195"/>
      <c r="F598" s="195"/>
      <c r="G598" s="195"/>
    </row>
    <row r="599" spans="5:7" x14ac:dyDescent="0.25">
      <c r="E599" s="195"/>
      <c r="F599" s="195"/>
      <c r="G599" s="195"/>
    </row>
    <row r="600" spans="5:7" x14ac:dyDescent="0.25">
      <c r="E600" s="195"/>
      <c r="F600" s="195"/>
      <c r="G600" s="195"/>
    </row>
    <row r="601" spans="5:7" x14ac:dyDescent="0.25">
      <c r="E601" s="195"/>
      <c r="F601" s="195"/>
      <c r="G601" s="195"/>
    </row>
    <row r="602" spans="5:7" x14ac:dyDescent="0.25">
      <c r="E602" s="195"/>
      <c r="F602" s="195"/>
      <c r="G602" s="195"/>
    </row>
    <row r="603" spans="5:7" x14ac:dyDescent="0.25">
      <c r="E603" s="195"/>
      <c r="F603" s="195"/>
      <c r="G603" s="195"/>
    </row>
    <row r="604" spans="5:7" x14ac:dyDescent="0.25">
      <c r="E604" s="195"/>
      <c r="F604" s="195"/>
      <c r="G604" s="195"/>
    </row>
    <row r="605" spans="5:7" x14ac:dyDescent="0.25">
      <c r="E605" s="195"/>
      <c r="F605" s="195"/>
      <c r="G605" s="195"/>
    </row>
    <row r="606" spans="5:7" x14ac:dyDescent="0.25">
      <c r="E606" s="195"/>
      <c r="F606" s="195"/>
      <c r="G606" s="195"/>
    </row>
    <row r="607" spans="5:7" x14ac:dyDescent="0.25">
      <c r="E607" s="195"/>
      <c r="F607" s="195"/>
      <c r="G607" s="195"/>
    </row>
    <row r="608" spans="5:7" x14ac:dyDescent="0.25">
      <c r="E608" s="195"/>
      <c r="F608" s="195"/>
      <c r="G608" s="195"/>
    </row>
    <row r="609" spans="5:7" x14ac:dyDescent="0.25">
      <c r="E609" s="195"/>
      <c r="F609" s="195"/>
      <c r="G609" s="195"/>
    </row>
    <row r="610" spans="5:7" x14ac:dyDescent="0.25">
      <c r="E610" s="195"/>
      <c r="F610" s="195"/>
      <c r="G610" s="195"/>
    </row>
    <row r="611" spans="5:7" x14ac:dyDescent="0.25">
      <c r="E611" s="195"/>
      <c r="F611" s="195"/>
      <c r="G611" s="195"/>
    </row>
    <row r="612" spans="5:7" x14ac:dyDescent="0.25">
      <c r="E612" s="195"/>
      <c r="F612" s="195"/>
      <c r="G612" s="195"/>
    </row>
    <row r="613" spans="5:7" x14ac:dyDescent="0.25">
      <c r="E613" s="195"/>
      <c r="F613" s="195"/>
      <c r="G613" s="195"/>
    </row>
    <row r="614" spans="5:7" x14ac:dyDescent="0.25">
      <c r="E614" s="195"/>
      <c r="F614" s="195"/>
      <c r="G614" s="195"/>
    </row>
    <row r="615" spans="5:7" x14ac:dyDescent="0.25">
      <c r="E615" s="195"/>
      <c r="F615" s="195"/>
      <c r="G615" s="195"/>
    </row>
    <row r="616" spans="5:7" x14ac:dyDescent="0.25">
      <c r="E616" s="195"/>
      <c r="F616" s="195"/>
      <c r="G616" s="195"/>
    </row>
    <row r="617" spans="5:7" x14ac:dyDescent="0.25">
      <c r="E617" s="195"/>
      <c r="F617" s="195"/>
      <c r="G617" s="195"/>
    </row>
    <row r="618" spans="5:7" x14ac:dyDescent="0.25">
      <c r="E618" s="195"/>
      <c r="F618" s="195"/>
      <c r="G618" s="195"/>
    </row>
    <row r="619" spans="5:7" x14ac:dyDescent="0.25">
      <c r="E619" s="195"/>
      <c r="F619" s="195"/>
      <c r="G619" s="195"/>
    </row>
    <row r="620" spans="5:7" x14ac:dyDescent="0.25">
      <c r="E620" s="195"/>
      <c r="F620" s="195"/>
      <c r="G620" s="195"/>
    </row>
    <row r="621" spans="5:7" x14ac:dyDescent="0.25">
      <c r="E621" s="195"/>
      <c r="F621" s="195"/>
      <c r="G621" s="195"/>
    </row>
    <row r="622" spans="5:7" x14ac:dyDescent="0.25">
      <c r="E622" s="195"/>
      <c r="F622" s="195"/>
      <c r="G622" s="195"/>
    </row>
    <row r="623" spans="5:7" x14ac:dyDescent="0.25">
      <c r="E623" s="195"/>
      <c r="F623" s="195"/>
      <c r="G623" s="195"/>
    </row>
    <row r="624" spans="5:7" x14ac:dyDescent="0.25">
      <c r="E624" s="195"/>
      <c r="F624" s="195"/>
      <c r="G624" s="195"/>
    </row>
    <row r="625" spans="5:7" x14ac:dyDescent="0.25">
      <c r="E625" s="195"/>
      <c r="F625" s="195"/>
      <c r="G625" s="195"/>
    </row>
    <row r="626" spans="5:7" x14ac:dyDescent="0.25">
      <c r="E626" s="195"/>
      <c r="F626" s="195"/>
      <c r="G626" s="195"/>
    </row>
    <row r="627" spans="5:7" x14ac:dyDescent="0.25">
      <c r="E627" s="195"/>
      <c r="F627" s="195"/>
      <c r="G627" s="195"/>
    </row>
    <row r="628" spans="5:7" x14ac:dyDescent="0.25">
      <c r="E628" s="195"/>
      <c r="F628" s="195"/>
      <c r="G628" s="195"/>
    </row>
    <row r="629" spans="5:7" x14ac:dyDescent="0.25">
      <c r="E629" s="195"/>
      <c r="F629" s="195"/>
      <c r="G629" s="195"/>
    </row>
    <row r="630" spans="5:7" x14ac:dyDescent="0.25">
      <c r="E630" s="195"/>
      <c r="F630" s="195"/>
      <c r="G630" s="195"/>
    </row>
    <row r="631" spans="5:7" x14ac:dyDescent="0.25">
      <c r="E631" s="195"/>
      <c r="F631" s="195"/>
      <c r="G631" s="195"/>
    </row>
    <row r="632" spans="5:7" x14ac:dyDescent="0.25">
      <c r="E632" s="195"/>
      <c r="F632" s="195"/>
      <c r="G632" s="195"/>
    </row>
    <row r="633" spans="5:7" x14ac:dyDescent="0.25">
      <c r="E633" s="195"/>
      <c r="F633" s="195"/>
      <c r="G633" s="195"/>
    </row>
    <row r="634" spans="5:7" x14ac:dyDescent="0.25">
      <c r="E634" s="195"/>
      <c r="F634" s="195"/>
      <c r="G634" s="195"/>
    </row>
    <row r="635" spans="5:7" x14ac:dyDescent="0.25">
      <c r="E635" s="195"/>
      <c r="F635" s="195"/>
      <c r="G635" s="195"/>
    </row>
    <row r="636" spans="5:7" x14ac:dyDescent="0.25">
      <c r="E636" s="195"/>
      <c r="F636" s="195"/>
      <c r="G636" s="195"/>
    </row>
  </sheetData>
  <sheetProtection insertRows="0"/>
  <mergeCells count="72">
    <mergeCell ref="I2:K5"/>
    <mergeCell ref="D7:F7"/>
    <mergeCell ref="D8:F8"/>
    <mergeCell ref="D9:F9"/>
    <mergeCell ref="D10:F10"/>
    <mergeCell ref="A20:H20"/>
    <mergeCell ref="D43:D48"/>
    <mergeCell ref="A49:C49"/>
    <mergeCell ref="E49:F49"/>
    <mergeCell ref="A51:H51"/>
    <mergeCell ref="A56:H56"/>
    <mergeCell ref="A22:H22"/>
    <mergeCell ref="A39:H39"/>
    <mergeCell ref="A40:H40"/>
    <mergeCell ref="A41:A42"/>
    <mergeCell ref="B41:B42"/>
    <mergeCell ref="C41:C42"/>
    <mergeCell ref="D41:D42"/>
    <mergeCell ref="E41:E42"/>
    <mergeCell ref="F41:F42"/>
    <mergeCell ref="G41:G42"/>
    <mergeCell ref="H41:H42"/>
    <mergeCell ref="A77:H77"/>
    <mergeCell ref="A157:C157"/>
    <mergeCell ref="A158:C158"/>
    <mergeCell ref="A160:H160"/>
    <mergeCell ref="A179:H179"/>
    <mergeCell ref="A101:H101"/>
    <mergeCell ref="A80:C80"/>
    <mergeCell ref="A79:C79"/>
    <mergeCell ref="A116:H116"/>
    <mergeCell ref="A82:H82"/>
    <mergeCell ref="A197:C197"/>
    <mergeCell ref="A118:C118"/>
    <mergeCell ref="A119:C119"/>
    <mergeCell ref="A121:H121"/>
    <mergeCell ref="A140:H140"/>
    <mergeCell ref="A155:H155"/>
    <mergeCell ref="A194:H194"/>
    <mergeCell ref="A196:C196"/>
    <mergeCell ref="A296:H296"/>
    <mergeCell ref="A199:H199"/>
    <mergeCell ref="A218:H218"/>
    <mergeCell ref="A233:H233"/>
    <mergeCell ref="A235:C235"/>
    <mergeCell ref="A236:C236"/>
    <mergeCell ref="A238:H238"/>
    <mergeCell ref="A257:H257"/>
    <mergeCell ref="A277:H277"/>
    <mergeCell ref="A272:H272"/>
    <mergeCell ref="A274:C274"/>
    <mergeCell ref="A275:C275"/>
    <mergeCell ref="A391:C391"/>
    <mergeCell ref="A311:H311"/>
    <mergeCell ref="A313:C313"/>
    <mergeCell ref="A314:C314"/>
    <mergeCell ref="A316:H316"/>
    <mergeCell ref="A335:H335"/>
    <mergeCell ref="A350:H350"/>
    <mergeCell ref="A352:C352"/>
    <mergeCell ref="A353:C353"/>
    <mergeCell ref="A355:H355"/>
    <mergeCell ref="A374:H374"/>
    <mergeCell ref="A389:H389"/>
    <mergeCell ref="A433:H433"/>
    <mergeCell ref="A452:H452"/>
    <mergeCell ref="A392:C392"/>
    <mergeCell ref="A394:H394"/>
    <mergeCell ref="A413:H413"/>
    <mergeCell ref="A428:H428"/>
    <mergeCell ref="A430:C430"/>
    <mergeCell ref="A431:C431"/>
  </mergeCells>
  <conditionalFormatting sqref="C15">
    <cfRule type="cellIs" dxfId="2" priority="1" operator="lessThan">
      <formula>$B$15</formula>
    </cfRule>
  </conditionalFormatting>
  <conditionalFormatting sqref="G10:H10">
    <cfRule type="cellIs" dxfId="1" priority="2" operator="lessThan">
      <formula>0</formula>
    </cfRule>
  </conditionalFormatting>
  <dataValidations count="20">
    <dataValidation allowBlank="1" showInputMessage="1" showErrorMessage="1" prompt="Возможно указать общую стоимость услуг в графе &quot;Сумма&quot;" sqref="B104:C112 B143:C151 B182:C190 B260:C268 B299:C307 B338:C346 B377:C385 B416:C424 B455:C463 B59:C67 B221:C229" xr:uid="{2B37D2A4-D76C-46B5-A8ED-D4208D13C1A3}"/>
    <dataValidation allowBlank="1" showInputMessage="1" showErrorMessage="1" prompt="Заполняется минимальное количество слушателей и минимальная стоимость программы на 1 слушателя  (с учетом максимально возможных скидок) Таким образом определяется точка безубыточности программы, на основании которой формируется ценовая политика" sqref="B15:B16" xr:uid="{35A6611F-5147-4A5F-ADB2-464A88D1650F}"/>
    <dataValidation allowBlank="1" showInputMessage="1" showErrorMessage="1" prompt="Заполняется целевая (желаемая) стоимость программы на 1 слушателя или базовая стоимость реализации без применения скидок" sqref="C16" xr:uid="{8C65AF88-C2C6-463B-AF67-A9B441A282F3}"/>
    <dataValidation allowBlank="1" showInputMessage="1" showErrorMessage="1" prompt="для проведения занятий и доп.консультаций=количество часов*стоимость часа; для иных работ произвольная сумма" sqref="F436:F449 F85:F98 F124:F137 F163:F176 F202:F215 F241:F254 F280:F293 F319:F332 F358:F371 F397:F410 D25:F38" xr:uid="{94E9DA7A-1FC4-4672-BC57-392D8E1D785C}"/>
    <dataValidation allowBlank="1" showInputMessage="1" showErrorMessage="1" prompt="Часы заполняются только для проведения занятий, доп.консультаций и итоговой аттестации (без комиссии). _x000a_ Для иных работ необходимо указать общую сумму оплаты труда в графе &quot;ИТОГО оплата труда&quot;" sqref="D85:D98 D124:D137 D163:D176 D202:D215 D241:D254 D280:D293 D319:D332 D358:D371 D397:D410 D436:D449" xr:uid="{2EB462A4-CCBE-4D59-AC28-8D6DACFA0425}"/>
    <dataValidation allowBlank="1" showInputMessage="1" showErrorMessage="1" prompt="Заполнить" sqref="B7:B9 B11" xr:uid="{EACF2AF1-CA45-49EA-889E-740A322B1072}"/>
    <dataValidation allowBlank="1" showInputMessage="1" showErrorMessage="1" promptTitle="Заполняется автоматически" prompt="из учебного плана" sqref="B12" xr:uid="{13FB149F-7BAF-4722-BAAC-4C8643747809}"/>
    <dataValidation allowBlank="1" showInputMessage="1" showErrorMessage="1" prompt="Реалистичное количество без риска недобора, может быть больше или равен минимальному" sqref="C15" xr:uid="{D1270243-128D-4170-BE75-58943CB993D9}"/>
    <dataValidation allowBlank="1" showInputMessage="1" showErrorMessage="1" promptTitle="ЗАПОЛНЯЕТСЯ АВТОМАТИЧЕСКИ" prompt="по информации из учебного плана на основании информации о подгруппах" sqref="F15" xr:uid="{69985631-F5F8-41DE-BE0E-70AD7A4699D5}"/>
    <dataValidation allowBlank="1" showInputMessage="1" showErrorMessage="1" promptTitle="Заполняется автоматически" prompt="на основании данных об оплате труда" sqref="G358:G371 G319:G332 G397:G410 G85:G98 G124:G137 G163:G176 G202:G215 G241:G254 G280:G293 G436:G449" xr:uid="{4A9FE8E1-14CE-4988-A93B-D461F7D4E42D}"/>
    <dataValidation allowBlank="1" showInputMessage="1" showErrorMessage="1" prompt="Заполняется автоматически на основании учебного плана и параметра итоговой аттестации" sqref="D43:D48" xr:uid="{60F6CAFC-40FD-4FB8-BD52-E5C592D0E02A}"/>
    <dataValidation allowBlank="1" showInputMessage="1" showErrorMessage="1" promptTitle="Заполняется автоматически" prompt="на основании стоимости на 1 слушателя" sqref="G43:G48" xr:uid="{A64DF7B4-13E2-4591-9EA0-0ADA5790C8C9}"/>
    <dataValidation allowBlank="1" showInputMessage="1" showErrorMessage="1" prompt="устанавливается отдельным приказом Школы/структурного подразделения" sqref="C53" xr:uid="{40B9F954-D296-4A05-9260-F5DC428E66AF}"/>
    <dataValidation allowBlank="1" showInputMessage="1" showErrorMessage="1" prompt="Общеуниверситетский приказ._x000a_При реализации программы за счет бюджетного или целевого финансирования=0" sqref="A53:B53" xr:uid="{DACD2D6B-DFF4-44B6-8CA1-8F7AA220080A}"/>
    <dataValidation allowBlank="1" showInputMessage="1" showErrorMessage="1" promptTitle="Заполняется автоматически" prompt="на основании стоимости на 1 слушателя_x000a_либо произвольно на основании договоренности с экспертом" sqref="F43:F48" xr:uid="{87051817-3CD4-4685-AB90-0E1E443E60F0}"/>
    <dataValidation errorStyle="information" allowBlank="1" showInputMessage="1" showErrorMessage="1" sqref="G10:H10" xr:uid="{41928105-D049-45A3-812C-75872657EEED}"/>
    <dataValidation allowBlank="1" showInputMessage="1" showErrorMessage="1" promptTitle="Заполняется автоматически" prompt="Безубыточная выручка (скидка 15%) = Количество слушателей * Стоимость программы (на 1 слушателя)" sqref="B18" xr:uid="{C2DA943E-A26F-4B03-8D33-6880AD1D2473}"/>
    <dataValidation allowBlank="1" showInputMessage="1" showErrorMessage="1" promptTitle="Заполняется автоматически" prompt="Целевая валовая выручка = Количество слушателей * Стоимость программы (на 1 слушателя)" sqref="C18" xr:uid="{D84CE620-0B52-4B45-B248-7A85673CEF94}"/>
    <dataValidation allowBlank="1" showInputMessage="1" showErrorMessage="1" promptTitle="Заполняется автоматически" prompt="Сумма часов на всю программу" sqref="D49" xr:uid="{B85D927B-37F2-4F66-B60A-60993115C021}"/>
    <dataValidation allowBlank="1" showInputMessage="1" showErrorMessage="1" promptTitle="Заполняется автоматически" prompt="Количество * Цена" sqref="D58:D67 D103:D112 D142:D151 D181:D190 D220:D229 D259:D268 D298:D307 D337:D346 D376:D385 D415:D424 D454:D463" xr:uid="{ACABEBDB-EDFA-4B5A-9BFB-8D3B7B3D9C9F}"/>
  </dataValidations>
  <hyperlinks>
    <hyperlink ref="I2" location="Инструкция!M9" display="Перейти обратно к Инструкции" xr:uid="{25B432ED-034E-49A3-A73A-42E7D45B8AC3}"/>
    <hyperlink ref="E49:F49" location="'учебный план (модули)'!A1" display="Перейти к ЛИСТу &quot;Учебный план(модули)&quot;" xr:uid="{08B767DF-0297-4E15-AA2F-E34137B06F8E}"/>
  </hyperlinks>
  <pageMargins left="0.7" right="0.7" top="0.75" bottom="0.75" header="0.3" footer="0.3"/>
  <pageSetup paperSize="9" scale="3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="Выбрать из списка" xr:uid="{71280D40-BBB4-4B3B-A4CF-B5250BA54E9C}">
          <x14:formula1>
            <xm:f>Справочник!$A$24:$A$25</xm:f>
          </x14:formula1>
          <xm:sqref>A43:A48</xm:sqref>
        </x14:dataValidation>
        <x14:dataValidation type="list" allowBlank="1" showInputMessage="1" showErrorMessage="1" prompt="При виде занятости &quot;Трудовой договор&quot; обязательно заполнить категорию должности" xr:uid="{C545B773-65A5-4E62-97C3-ED5EA5ACAD87}">
          <x14:formula1>
            <xm:f>Справочник!$A$6:$A$7</xm:f>
          </x14:formula1>
          <xm:sqref>C43:C48</xm:sqref>
        </x14:dataValidation>
        <x14:dataValidation type="list" allowBlank="1" showInputMessage="1" showErrorMessage="1" prompt="Комиссия состоит не менее чем из 3х членов, председатель обязательно должен быть внешним экспертом (договор ГПХ)" xr:uid="{41F2D4A1-CFDE-4195-BC73-DD033BF5A373}">
          <x14:formula1>
            <xm:f>Справочник!$A$2:$A$3</xm:f>
          </x14:formula1>
          <xm:sqref>B43:B48</xm:sqref>
        </x14:dataValidation>
        <x14:dataValidation type="list" allowBlank="1" showInputMessage="1" showErrorMessage="1" prompt="Выбрать из списка_x000a_" xr:uid="{EE09EA76-0516-4E3C-B328-6BCB5DFB090D}">
          <x14:formula1>
            <xm:f>Справочник!$A$10:$A$13</xm:f>
          </x14:formula1>
          <xm:sqref>B10</xm:sqref>
        </x14:dataValidation>
        <x14:dataValidation type="list" allowBlank="1" showInputMessage="1" showErrorMessage="1" prompt="Выбрать из списка" xr:uid="{86624003-4E5B-4ABE-80D8-A8D4A7B67766}">
          <x14:formula1>
            <xm:f>Справочник!$A$16:$A$23</xm:f>
          </x14:formula1>
          <xm:sqref>A85:A98 A25:A38 A124:A137 A163:A176 A202:A215 A241:A254 A280:A293 A319:A332 A358:A371 A397:A410 A436:A449</xm:sqref>
        </x14:dataValidation>
        <x14:dataValidation type="list" allowBlank="1" showInputMessage="1" showErrorMessage="1" prompt="При виде занятости &quot;Трудовой договор&quot; обязательно заполнить категорию должности, по которой сотруднику будет выплата. На программах ДО преподавать могут и сотрудники категории АУП, а ППС могут заниматься административной работой. " xr:uid="{D3560A6A-AFBA-4959-B8D1-F172801789F7}">
          <x14:formula1>
            <xm:f>Справочник!$A$6:$A$7</xm:f>
          </x14:formula1>
          <xm:sqref>C85:C98 C25:C38 C124:C137 C163:C176 C202:C215 C241:C254 C280:C293 C319:C332 C358:C371 C397:C410 C436:C449</xm:sqref>
        </x14:dataValidation>
        <x14:dataValidation type="list" allowBlank="1" showInputMessage="1" showErrorMessage="1" prompt="Выбрать из списка" xr:uid="{5C8D80A0-525C-4A39-A908-81E85AF962C3}">
          <x14:formula1>
            <xm:f>Справочник!$A$2:$A$3</xm:f>
          </x14:formula1>
          <xm:sqref>B25:B38 B85:B98 B124:B137 B163:B176 B202:B215 B241:B254 B280:B293 B319:B332 B358:B371 B397:B410 B436:B449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270D-B4BB-48A3-A1CE-DBFE3735D0D4}">
  <sheetPr>
    <pageSetUpPr fitToPage="1"/>
  </sheetPr>
  <dimension ref="A1:K40"/>
  <sheetViews>
    <sheetView showGridLines="0" zoomScale="80" zoomScaleNormal="80" workbookViewId="0">
      <pane ySplit="16" topLeftCell="A17" activePane="bottomLeft" state="frozen"/>
      <selection pane="bottomLeft" activeCell="C37" sqref="C37"/>
    </sheetView>
  </sheetViews>
  <sheetFormatPr defaultColWidth="9.109375" defaultRowHeight="14.4" x14ac:dyDescent="0.3"/>
  <cols>
    <col min="1" max="1" width="5.6640625" style="24" customWidth="1"/>
    <col min="2" max="2" width="61.44140625" style="24" customWidth="1"/>
    <col min="3" max="3" width="11" style="24" customWidth="1"/>
    <col min="4" max="4" width="36.109375" style="24" customWidth="1"/>
    <col min="5" max="5" width="20.5546875" style="24" customWidth="1"/>
    <col min="6" max="6" width="6.109375" style="24" customWidth="1"/>
    <col min="7" max="7" width="5.5546875" style="24" customWidth="1"/>
    <col min="8" max="16384" width="9.109375" style="24"/>
  </cols>
  <sheetData>
    <row r="1" spans="1:11" ht="33" customHeight="1" x14ac:dyDescent="0.3">
      <c r="A1" s="354" t="str">
        <f>IF('Фин модель (модули)'!H10&lt;0, "Программа нерентабельна! Необходимо пересмотреть экономику программы", "")</f>
        <v>Программа нерентабельна! Необходимо пересмотреть экономику программы</v>
      </c>
      <c r="B1" s="354"/>
      <c r="C1" s="354"/>
      <c r="D1" s="354"/>
      <c r="F1" s="339" t="s">
        <v>245</v>
      </c>
      <c r="G1" s="339"/>
      <c r="H1" s="339"/>
      <c r="I1" s="339"/>
      <c r="J1" s="339"/>
      <c r="K1" s="339"/>
    </row>
    <row r="2" spans="1:11" ht="26.25" customHeight="1" x14ac:dyDescent="0.3">
      <c r="A2" s="354"/>
      <c r="B2" s="354"/>
      <c r="C2" s="354"/>
      <c r="D2" s="354"/>
      <c r="F2" s="339"/>
      <c r="G2" s="339"/>
      <c r="H2" s="339"/>
      <c r="I2" s="339"/>
      <c r="J2" s="339"/>
      <c r="K2" s="339"/>
    </row>
    <row r="3" spans="1:11" ht="18" x14ac:dyDescent="0.35">
      <c r="A3" s="356" t="str">
        <f>'Фин модель (модули)'!B8</f>
        <v>Карьерные траектории</v>
      </c>
      <c r="B3" s="356"/>
      <c r="C3" s="356"/>
      <c r="D3" s="356"/>
    </row>
    <row r="4" spans="1:11" ht="15.6" x14ac:dyDescent="0.3">
      <c r="A4" s="355" t="str">
        <f>'Фин модель (модули)'!B7</f>
        <v>ДВЦОО</v>
      </c>
      <c r="B4" s="355"/>
      <c r="C4" s="355"/>
      <c r="D4" s="355"/>
    </row>
    <row r="5" spans="1:11" ht="15.6" x14ac:dyDescent="0.3">
      <c r="A5" s="325" t="s">
        <v>0</v>
      </c>
      <c r="B5" s="326"/>
      <c r="C5" s="326"/>
      <c r="D5" s="326"/>
    </row>
    <row r="6" spans="1:11" ht="18.75" customHeight="1" x14ac:dyDescent="0.3">
      <c r="A6" s="325" t="s">
        <v>66</v>
      </c>
      <c r="B6" s="326"/>
      <c r="C6" s="326"/>
      <c r="D6" s="326"/>
    </row>
    <row r="7" spans="1:11" ht="15.6" x14ac:dyDescent="0.3">
      <c r="A7" s="342" t="str">
        <f>'Фин модель (модули)'!B11</f>
        <v>01.02.2024 - 30.12.2024</v>
      </c>
      <c r="B7" s="342"/>
      <c r="C7" s="342"/>
      <c r="D7" s="342"/>
    </row>
    <row r="8" spans="1:11" ht="15.6" x14ac:dyDescent="0.3">
      <c r="A8" s="349" t="str" cm="1">
        <f t="array" ref="A8">IF(OR('Фин модель (модули)'!B10=Справочник!A10:A11), CONCATENATE("по дополнительной профессиональной программе ",'Фин модель (модули)'!B10), IF('Фин модель (модули)'!B10=Справочник!$A$13, "по дополнительной общеразвивающей программе", "по программе профессионального обучения"))</f>
        <v>по дополнительной профессиональной программе повышения квалификации</v>
      </c>
      <c r="B8" s="326"/>
      <c r="C8" s="326"/>
      <c r="D8" s="326"/>
    </row>
    <row r="9" spans="1:11" ht="15.6" x14ac:dyDescent="0.3">
      <c r="A9" s="350" t="str">
        <f>'Фин модель (модули)'!B9</f>
        <v>Преподаватель высшей школы</v>
      </c>
      <c r="B9" s="326"/>
      <c r="C9" s="326"/>
      <c r="D9" s="326"/>
    </row>
    <row r="10" spans="1:11" ht="15.6" x14ac:dyDescent="0.3">
      <c r="A10" s="347" t="s">
        <v>1</v>
      </c>
      <c r="B10" s="326"/>
      <c r="C10" s="326"/>
      <c r="D10" s="136">
        <f>'Фин модель (модули)'!B12</f>
        <v>9</v>
      </c>
    </row>
    <row r="11" spans="1:11" ht="31.2" x14ac:dyDescent="0.3">
      <c r="A11" s="347" t="s">
        <v>2</v>
      </c>
      <c r="B11" s="348"/>
      <c r="C11" s="348"/>
      <c r="D11" s="155" t="str">
        <f>'Фин модель (модули)'!D49</f>
        <v>См. учебный план - часы указаны некорректно!</v>
      </c>
    </row>
    <row r="12" spans="1:11" ht="16.2" thickBot="1" x14ac:dyDescent="0.35">
      <c r="A12" s="351" t="s">
        <v>3</v>
      </c>
      <c r="B12" s="326"/>
      <c r="C12" s="326"/>
      <c r="D12" s="137">
        <f>'Фин модель (модули)'!C15</f>
        <v>20</v>
      </c>
    </row>
    <row r="13" spans="1:11" ht="30" customHeight="1" thickBot="1" x14ac:dyDescent="0.35">
      <c r="A13" s="352" t="s">
        <v>137</v>
      </c>
      <c r="B13" s="353"/>
      <c r="C13" s="353"/>
      <c r="D13" s="135" t="s">
        <v>115</v>
      </c>
    </row>
    <row r="14" spans="1:11" ht="36" customHeight="1" x14ac:dyDescent="0.3">
      <c r="A14" s="347" t="s">
        <v>4</v>
      </c>
      <c r="B14" s="348"/>
      <c r="C14" s="348"/>
      <c r="D14" s="138" t="str">
        <f>IF(D13=Справочник!$A$27,#REF!, "Устанавливается Приказом об открытии программы")</f>
        <v>Устанавливается Приказом об открытии программы</v>
      </c>
    </row>
    <row r="15" spans="1:11" ht="15.6" x14ac:dyDescent="0.3">
      <c r="A15" s="343" t="s">
        <v>5</v>
      </c>
      <c r="B15" s="344"/>
      <c r="C15" s="344"/>
      <c r="D15" s="340" t="s">
        <v>6</v>
      </c>
    </row>
    <row r="16" spans="1:11" ht="15.6" x14ac:dyDescent="0.3">
      <c r="A16" s="345" t="s">
        <v>7</v>
      </c>
      <c r="B16" s="346"/>
      <c r="C16" s="346"/>
      <c r="D16" s="341"/>
    </row>
    <row r="17" spans="1:5" x14ac:dyDescent="0.3">
      <c r="A17" s="25" t="s">
        <v>8</v>
      </c>
      <c r="B17" s="26" t="s">
        <v>16</v>
      </c>
      <c r="C17" s="27"/>
      <c r="D17" s="41">
        <f>SUM(D18:D21)</f>
        <v>11800</v>
      </c>
    </row>
    <row r="18" spans="1:5" x14ac:dyDescent="0.3">
      <c r="A18" s="28" t="s">
        <v>17</v>
      </c>
      <c r="B18" s="29" t="s">
        <v>13</v>
      </c>
      <c r="C18" s="30"/>
      <c r="D18" s="42">
        <f>SUMIFS('Фин модель (модули)'!F25:F38, 'Фин модель (модули)'!$B$25:$B$38, Справочник!$A$2, 'Фин модель (модули)'!$C$25:$C$38,Справочник!$A$6)+SUMIFS('Фин модель (модули)'!$F$43:$F$48,'Фин модель (модули)'!$B$43:$B$48, Справочник!$A$2,'Фин модель (модули)'!$C$43:$C$48, Справочник!$A$6)</f>
        <v>0</v>
      </c>
    </row>
    <row r="19" spans="1:5" x14ac:dyDescent="0.3">
      <c r="A19" s="28" t="s">
        <v>18</v>
      </c>
      <c r="B19" s="29" t="s">
        <v>14</v>
      </c>
      <c r="C19" s="30"/>
      <c r="D19" s="42">
        <f>D18*11%</f>
        <v>0</v>
      </c>
      <c r="E19" s="31"/>
    </row>
    <row r="20" spans="1:5" x14ac:dyDescent="0.3">
      <c r="A20" s="28" t="s">
        <v>63</v>
      </c>
      <c r="B20" s="29" t="s">
        <v>64</v>
      </c>
      <c r="C20" s="32"/>
      <c r="D20" s="42">
        <f>SUMIFS( 'Фин модель (модули)'!$D$25:$D$38, 'Фин модель (модули)'!$B$25:$B$38, Справочник!$A$2, 'Фин модель (модули)'!$C$25:$C$38,Справочник!$A$7)+SUMIFS('Фин модель (модули)'!$D$43:$D$48, 'Фин модель (модули)'!$B$43:$B$48, Справочник!$A$2, 'Фин модель (модули)'!$C$43:$C$48, Справочник!$A$7)</f>
        <v>10000</v>
      </c>
      <c r="E20" s="31"/>
    </row>
    <row r="21" spans="1:5" x14ac:dyDescent="0.3">
      <c r="A21" s="28" t="s">
        <v>65</v>
      </c>
      <c r="B21" s="29" t="s">
        <v>76</v>
      </c>
      <c r="C21" s="30"/>
      <c r="D21" s="42">
        <f>D20*0.18</f>
        <v>1800</v>
      </c>
    </row>
    <row r="22" spans="1:5" x14ac:dyDescent="0.3">
      <c r="A22" s="33" t="s">
        <v>9</v>
      </c>
      <c r="B22" s="334" t="s">
        <v>15</v>
      </c>
      <c r="C22" s="335"/>
      <c r="D22" s="41">
        <f>D17*30.2%</f>
        <v>3563.6</v>
      </c>
    </row>
    <row r="23" spans="1:5" ht="30.75" customHeight="1" x14ac:dyDescent="0.3">
      <c r="A23" s="33" t="s">
        <v>12</v>
      </c>
      <c r="B23" s="146" t="s">
        <v>135</v>
      </c>
      <c r="C23" s="34"/>
      <c r="D23" s="41">
        <f>SUM(D24:D28)</f>
        <v>285000</v>
      </c>
    </row>
    <row r="24" spans="1:5" x14ac:dyDescent="0.3">
      <c r="A24" s="35" t="s">
        <v>19</v>
      </c>
      <c r="B24" s="149" t="s">
        <v>20</v>
      </c>
      <c r="C24" s="148"/>
      <c r="D24" s="42">
        <f>SUMIFS('Фин модель (модули)'!$D$25:$D$38, 'Фин модель (модули)'!$A$25:$A$38, Справочник!$A$16, 'Фин модель (модули)'!$B$25:$B$38, Справочник!$A$3)+SUMIFS('Фин модель (модули)'!$D$25:$D$38, 'Фин модель (модули)'!$A$25:$A$38, Справочник!$A$19, 'Фин модель (модули)'!$B$25:$B$38, Справочник!$A$3)+SUMIFS('Фин модель (модули)'!$D$25:$D$38, 'Фин модель (модули)'!$A$25:$A$38, Справочник!$A$23, 'Фин модель (модули)'!$B$25:$B$38, Справочник!$A$3)</f>
        <v>115000</v>
      </c>
    </row>
    <row r="25" spans="1:5" x14ac:dyDescent="0.3">
      <c r="A25" s="35" t="s">
        <v>68</v>
      </c>
      <c r="B25" s="336" t="s">
        <v>90</v>
      </c>
      <c r="C25" s="337"/>
      <c r="D25" s="42">
        <f>SUMIFS('Фин модель (модули)'!$D$25:$D$38,'Фин модель (модули)'!$A$25:$A$38,Справочник!$A$18,'Фин модель (модули)'!$B$25:$B$38,Справочник!$A$3)</f>
        <v>20000</v>
      </c>
    </row>
    <row r="26" spans="1:5" x14ac:dyDescent="0.3">
      <c r="A26" s="35" t="s">
        <v>73</v>
      </c>
      <c r="B26" s="336" t="s">
        <v>89</v>
      </c>
      <c r="C26" s="337"/>
      <c r="D26" s="42">
        <f>SUMIFS('Фин модель (модули)'!$D$25:$D$38, 'Фин модель (модули)'!$A$25:$A$38, Справочник!$A$22, 'Фин модель (модули)'!$B$25:$B$38, Справочник!$A$3)</f>
        <v>60000</v>
      </c>
    </row>
    <row r="27" spans="1:5" x14ac:dyDescent="0.3">
      <c r="A27" s="35" t="s">
        <v>77</v>
      </c>
      <c r="B27" s="336" t="s">
        <v>91</v>
      </c>
      <c r="C27" s="337"/>
      <c r="D27" s="42">
        <f>SUMIFS('Фин модель (модули)'!$D$25:$D$38, 'Фин модель (модули)'!$B$25:$B$38, Справочник!$A$3, 'Фин модель (модули)'!$A$25:$A$38, Справочник!$A$17)+SUMIFS('Фин модель (модули)'!$D$25:$D$38, 'Фин модель (модули)'!$B$25:$B$38, Справочник!$A$3, 'Фин модель (модули)'!$A$25:$A$38, Справочник!$A$20)+SUMIFS('Фин модель (модули)'!$D$25:$D$38, 'Фин модель (модули)'!$B$25:$B$38,Справочник!$A$3, 'Фин модель (модули)'!$A$25:$A$38,Справочник!$A$21)</f>
        <v>90000</v>
      </c>
    </row>
    <row r="28" spans="1:5" ht="15" customHeight="1" x14ac:dyDescent="0.3">
      <c r="A28" s="35" t="s">
        <v>77</v>
      </c>
      <c r="B28" s="147" t="s">
        <v>136</v>
      </c>
      <c r="C28" s="148"/>
      <c r="D28" s="42">
        <f>SUMIF('Фин модель (модули)'!$B$43:$B$48,Справочник!$A$3,'Фин модель (модули)'!$F$43:$F$48)</f>
        <v>0</v>
      </c>
    </row>
    <row r="29" spans="1:5" x14ac:dyDescent="0.3">
      <c r="A29" s="33" t="s">
        <v>21</v>
      </c>
      <c r="B29" s="26" t="s">
        <v>30</v>
      </c>
      <c r="C29" s="36"/>
      <c r="D29" s="41">
        <f>D23*30%</f>
        <v>85500</v>
      </c>
    </row>
    <row r="30" spans="1:5" ht="19.5" customHeight="1" x14ac:dyDescent="0.3">
      <c r="A30" s="33" t="s">
        <v>22</v>
      </c>
      <c r="B30" s="150" t="s">
        <v>138</v>
      </c>
      <c r="C30" s="36"/>
      <c r="D30" s="41">
        <f>SUM('Фин модель (модули)'!D63,'Фин модель (модули)'!D108, 'Фин модель (модули)'!D147, 'Фин модель (модули)'!D186,'Фин модель (модули)'!D225,'Фин модель (модули)'!D264,'Фин модель (модули)'!D303,'Фин модель (модули)'!D342, 'Фин модель (модули)'!D381, 'Фин модель (модули)'!D420, 'Фин модель (модули)'!D459)</f>
        <v>0</v>
      </c>
    </row>
    <row r="31" spans="1:5" x14ac:dyDescent="0.3">
      <c r="A31" s="33" t="s">
        <v>24</v>
      </c>
      <c r="B31" s="26" t="s">
        <v>23</v>
      </c>
      <c r="C31" s="36"/>
      <c r="D31" s="41">
        <f>'Фин модель (модули)'!H8*0.15</f>
        <v>90000</v>
      </c>
    </row>
    <row r="32" spans="1:5" x14ac:dyDescent="0.3">
      <c r="A32" s="33" t="s">
        <v>26</v>
      </c>
      <c r="B32" s="37" t="s">
        <v>25</v>
      </c>
      <c r="C32" s="36"/>
      <c r="D32" s="41">
        <f>SUM(D33:D34)</f>
        <v>-2863.6</v>
      </c>
    </row>
    <row r="33" spans="1:5" x14ac:dyDescent="0.3">
      <c r="A33" s="35" t="s">
        <v>139</v>
      </c>
      <c r="B33" s="338" t="s">
        <v>69</v>
      </c>
      <c r="C33" s="337"/>
      <c r="D33" s="42">
        <f>'Фин модель (модули)'!C58*'Фин модель (модули)'!C15</f>
        <v>2000</v>
      </c>
    </row>
    <row r="34" spans="1:5" x14ac:dyDescent="0.3">
      <c r="A34" s="35" t="s">
        <v>140</v>
      </c>
      <c r="B34" s="338" t="s">
        <v>36</v>
      </c>
      <c r="C34" s="337"/>
      <c r="D34" s="42">
        <f>'Фин модель (модули)'!D98-D33-D30+'Фин модель (модули)'!H10</f>
        <v>-4863.6000000000004</v>
      </c>
    </row>
    <row r="35" spans="1:5" x14ac:dyDescent="0.3">
      <c r="A35" s="33" t="s">
        <v>28</v>
      </c>
      <c r="B35" s="26" t="s">
        <v>27</v>
      </c>
      <c r="C35" s="36"/>
      <c r="D35" s="41">
        <f>D31</f>
        <v>90000</v>
      </c>
    </row>
    <row r="36" spans="1:5" x14ac:dyDescent="0.3">
      <c r="A36" s="33" t="s">
        <v>129</v>
      </c>
      <c r="B36" s="38" t="s">
        <v>70</v>
      </c>
      <c r="C36" s="39" t="e">
        <f>#REF!</f>
        <v>#REF!</v>
      </c>
      <c r="D36" s="43">
        <f>'Фин модель (модули)'!H8*'Фин модель (модули)'!C53</f>
        <v>30000</v>
      </c>
      <c r="E36" s="31"/>
    </row>
    <row r="37" spans="1:5" x14ac:dyDescent="0.3">
      <c r="A37" s="143" t="s">
        <v>141</v>
      </c>
      <c r="B37" s="26" t="s">
        <v>128</v>
      </c>
      <c r="C37" s="144"/>
      <c r="D37" s="145">
        <f>'Фин модель (модули)'!H8*'Фин модель (модули)'!D53</f>
        <v>6000</v>
      </c>
      <c r="E37" s="31"/>
    </row>
    <row r="38" spans="1:5" ht="15.6" x14ac:dyDescent="0.3">
      <c r="A38" s="328" t="s">
        <v>10</v>
      </c>
      <c r="B38" s="329"/>
      <c r="C38" s="330"/>
      <c r="D38" s="44">
        <f>D17+D22+D23+D29+D30+D31+D32+D35+D36+D37</f>
        <v>599000</v>
      </c>
    </row>
    <row r="39" spans="1:5" ht="15.6" x14ac:dyDescent="0.3">
      <c r="A39" s="331" t="s">
        <v>11</v>
      </c>
      <c r="B39" s="332"/>
      <c r="C39" s="333"/>
      <c r="D39" s="45">
        <f>D38/D12</f>
        <v>29950</v>
      </c>
    </row>
    <row r="40" spans="1:5" s="40" customFormat="1" ht="15.6" x14ac:dyDescent="0.3">
      <c r="A40" s="327" t="s">
        <v>29</v>
      </c>
      <c r="B40" s="327"/>
      <c r="C40" s="327"/>
      <c r="D40" s="46">
        <f>D39</f>
        <v>29950</v>
      </c>
    </row>
  </sheetData>
  <sheetProtection insertRows="0"/>
  <mergeCells count="26">
    <mergeCell ref="F1:K2"/>
    <mergeCell ref="A7:D7"/>
    <mergeCell ref="A15:C15"/>
    <mergeCell ref="A16:C16"/>
    <mergeCell ref="A10:C10"/>
    <mergeCell ref="A11:C11"/>
    <mergeCell ref="A12:C12"/>
    <mergeCell ref="A13:C13"/>
    <mergeCell ref="A1:D2"/>
    <mergeCell ref="A4:D4"/>
    <mergeCell ref="A3:D3"/>
    <mergeCell ref="A5:D5"/>
    <mergeCell ref="A6:D6"/>
    <mergeCell ref="A40:C40"/>
    <mergeCell ref="A38:C38"/>
    <mergeCell ref="A39:C39"/>
    <mergeCell ref="B22:C22"/>
    <mergeCell ref="B25:C25"/>
    <mergeCell ref="B33:C33"/>
    <mergeCell ref="B34:C34"/>
    <mergeCell ref="B26:C26"/>
    <mergeCell ref="B27:C27"/>
    <mergeCell ref="A14:C14"/>
    <mergeCell ref="A8:D8"/>
    <mergeCell ref="A9:D9"/>
    <mergeCell ref="D15:D16"/>
  </mergeCells>
  <conditionalFormatting sqref="D17:D40">
    <cfRule type="cellIs" dxfId="0" priority="1" operator="lessThan">
      <formula>0</formula>
    </cfRule>
  </conditionalFormatting>
  <hyperlinks>
    <hyperlink ref="F1:I2" location="Инструкция!M30" display="Перейти обратно к Инструкции" xr:uid="{56A2E3D8-3E57-42FE-B627-F4063795FBEE}"/>
  </hyperlinks>
  <pageMargins left="0.70866141732283472" right="0.70866141732283472" top="0.74803149606299213" bottom="0.74803149606299213" header="0.31496062992125984" footer="0.31496062992125984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Инструкция</vt:lpstr>
      <vt:lpstr>Учебный план</vt:lpstr>
      <vt:lpstr>Фин. модель</vt:lpstr>
      <vt:lpstr>Форма калькуляции</vt:lpstr>
      <vt:lpstr>Приглашенные эксперты</vt:lpstr>
      <vt:lpstr>Справочник</vt:lpstr>
      <vt:lpstr>учебный план (модули)</vt:lpstr>
      <vt:lpstr>Фин модель (модули)</vt:lpstr>
      <vt:lpstr>Форма калькуляции (модули)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 Ксения Алексеевна</dc:creator>
  <cp:lastModifiedBy>Dmitrii Malnez</cp:lastModifiedBy>
  <cp:lastPrinted>2024-01-26T11:09:22Z</cp:lastPrinted>
  <dcterms:created xsi:type="dcterms:W3CDTF">2022-11-07T05:26:02Z</dcterms:created>
  <dcterms:modified xsi:type="dcterms:W3CDTF">2024-06-21T11:30:18Z</dcterms:modified>
</cp:coreProperties>
</file>