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Danko\Desktop\"/>
    </mc:Choice>
  </mc:AlternateContent>
  <xr:revisionPtr revIDLastSave="0" documentId="13_ncr:1_{5AE02ABA-6BA0-4C2A-996A-3AED816DE907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Vector" sheetId="1" r:id="rId1"/>
    <sheet name="Cinematica" sheetId="2" r:id="rId2"/>
    <sheet name="Dinamica" sheetId="3" r:id="rId3"/>
    <sheet name="Energy" sheetId="4" r:id="rId4"/>
    <sheet name="Colision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5" l="1"/>
  <c r="B17" i="5"/>
  <c r="B13" i="5"/>
  <c r="B9" i="5"/>
  <c r="B15" i="5"/>
  <c r="B24" i="5"/>
  <c r="W4" i="4"/>
  <c r="V4" i="4" s="1"/>
  <c r="P4" i="4" s="1"/>
  <c r="Y4" i="4"/>
  <c r="Z4" i="4"/>
  <c r="Q5" i="4"/>
  <c r="W5" i="4"/>
  <c r="V5" i="4" s="1"/>
  <c r="P5" i="4" s="1"/>
  <c r="Y5" i="4"/>
  <c r="Z5" i="4"/>
  <c r="M4" i="4"/>
  <c r="Q4" i="4" s="1"/>
  <c r="M5" i="4"/>
  <c r="L4" i="4"/>
  <c r="L5" i="4"/>
  <c r="AD3" i="4"/>
  <c r="Z3" i="4"/>
  <c r="M3" i="4"/>
  <c r="Q3" i="4" s="1"/>
  <c r="L3" i="4"/>
  <c r="W3" i="4" s="1"/>
  <c r="Y3" i="4"/>
  <c r="F4" i="4"/>
  <c r="F5" i="4"/>
  <c r="F6" i="4"/>
  <c r="F7" i="4"/>
  <c r="F8" i="4"/>
  <c r="F9" i="4"/>
  <c r="F10" i="4"/>
  <c r="D4" i="4"/>
  <c r="D5" i="4"/>
  <c r="D6" i="4"/>
  <c r="G6" i="4" s="1"/>
  <c r="D7" i="4"/>
  <c r="D8" i="4"/>
  <c r="D9" i="4"/>
  <c r="D10" i="4"/>
  <c r="F3" i="4"/>
  <c r="D3" i="4"/>
  <c r="F22" i="3"/>
  <c r="X18" i="3"/>
  <c r="W18" i="3"/>
  <c r="X17" i="3"/>
  <c r="W17" i="3"/>
  <c r="X16" i="3"/>
  <c r="W16" i="3"/>
  <c r="X15" i="3"/>
  <c r="W15" i="3"/>
  <c r="X14" i="3"/>
  <c r="W14" i="3"/>
  <c r="X13" i="3"/>
  <c r="W13" i="3"/>
  <c r="X12" i="3"/>
  <c r="W12" i="3"/>
  <c r="X11" i="3"/>
  <c r="W11" i="3"/>
  <c r="X10" i="3"/>
  <c r="W10" i="3"/>
  <c r="X9" i="3"/>
  <c r="W9" i="3"/>
  <c r="X8" i="3"/>
  <c r="W8" i="3"/>
  <c r="X7" i="3"/>
  <c r="W7" i="3"/>
  <c r="X6" i="3"/>
  <c r="W6" i="3"/>
  <c r="X5" i="3"/>
  <c r="W5" i="3"/>
  <c r="X4" i="3"/>
  <c r="W4" i="3"/>
  <c r="X3" i="3"/>
  <c r="W3" i="3"/>
  <c r="S18" i="3"/>
  <c r="R18" i="3"/>
  <c r="S17" i="3"/>
  <c r="R17" i="3"/>
  <c r="S16" i="3"/>
  <c r="R16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S7" i="3"/>
  <c r="R7" i="3"/>
  <c r="S6" i="3"/>
  <c r="R6" i="3"/>
  <c r="S5" i="3"/>
  <c r="R5" i="3"/>
  <c r="S4" i="3"/>
  <c r="R4" i="3"/>
  <c r="S3" i="3"/>
  <c r="R3" i="3"/>
  <c r="N15" i="3"/>
  <c r="N16" i="3"/>
  <c r="N17" i="3"/>
  <c r="N18" i="3"/>
  <c r="M15" i="3"/>
  <c r="M16" i="3"/>
  <c r="M17" i="3"/>
  <c r="M18" i="3"/>
  <c r="M14" i="3"/>
  <c r="N14" i="3"/>
  <c r="M13" i="3"/>
  <c r="N13" i="3"/>
  <c r="N4" i="3"/>
  <c r="N5" i="3"/>
  <c r="N6" i="3"/>
  <c r="N7" i="3"/>
  <c r="N8" i="3"/>
  <c r="N9" i="3"/>
  <c r="N10" i="3"/>
  <c r="N11" i="3"/>
  <c r="N12" i="3"/>
  <c r="M4" i="3"/>
  <c r="M5" i="3"/>
  <c r="M6" i="3"/>
  <c r="M7" i="3"/>
  <c r="M8" i="3"/>
  <c r="M9" i="3"/>
  <c r="M10" i="3"/>
  <c r="M11" i="3"/>
  <c r="M12" i="3"/>
  <c r="N3" i="3"/>
  <c r="M3" i="3"/>
  <c r="I3" i="3"/>
  <c r="G3" i="3"/>
  <c r="D3" i="3"/>
  <c r="J19" i="1"/>
  <c r="M19" i="1" s="1"/>
  <c r="I19" i="1"/>
  <c r="M17" i="1"/>
  <c r="L17" i="1"/>
  <c r="K17" i="1"/>
  <c r="M14" i="1"/>
  <c r="M15" i="1"/>
  <c r="M16" i="1"/>
  <c r="L15" i="1"/>
  <c r="L16" i="1"/>
  <c r="L14" i="1"/>
  <c r="K15" i="1"/>
  <c r="K16" i="1"/>
  <c r="K14" i="1"/>
  <c r="C13" i="1"/>
  <c r="C19" i="1"/>
  <c r="B18" i="1"/>
  <c r="B17" i="1"/>
  <c r="C16" i="1"/>
  <c r="B15" i="1"/>
  <c r="B14" i="1"/>
  <c r="C11" i="1"/>
  <c r="C12" i="1"/>
  <c r="D12" i="1" s="1"/>
  <c r="C8" i="1"/>
  <c r="C5" i="1"/>
  <c r="K4" i="1"/>
  <c r="L4" i="1"/>
  <c r="L5" i="1"/>
  <c r="L3" i="1"/>
  <c r="K5" i="1"/>
  <c r="K3" i="1"/>
  <c r="J5" i="1"/>
  <c r="O4" i="4" l="1"/>
  <c r="X4" i="4"/>
  <c r="O5" i="4"/>
  <c r="X5" i="4"/>
  <c r="N5" i="4"/>
  <c r="N4" i="4"/>
  <c r="V3" i="4"/>
  <c r="P3" i="4" s="1"/>
  <c r="G10" i="4"/>
  <c r="G8" i="4"/>
  <c r="G7" i="4"/>
  <c r="G3" i="4"/>
  <c r="G4" i="4"/>
  <c r="G5" i="4"/>
  <c r="G9" i="4"/>
  <c r="K19" i="1"/>
  <c r="L19" i="1"/>
  <c r="K10" i="1"/>
  <c r="L10" i="1"/>
  <c r="X3" i="4" l="1"/>
  <c r="N3" i="4"/>
  <c r="O3" i="4"/>
  <c r="M10" i="1"/>
</calcChain>
</file>

<file path=xl/sharedStrings.xml><?xml version="1.0" encoding="utf-8"?>
<sst xmlns="http://schemas.openxmlformats.org/spreadsheetml/2006/main" count="108" uniqueCount="89">
  <si>
    <t>Vector</t>
  </si>
  <si>
    <t>a</t>
  </si>
  <si>
    <t>b</t>
  </si>
  <si>
    <t>Angulo</t>
  </si>
  <si>
    <t>Modulo</t>
  </si>
  <si>
    <t>Componentes</t>
  </si>
  <si>
    <t>c</t>
  </si>
  <si>
    <t>d</t>
  </si>
  <si>
    <t>Suma</t>
  </si>
  <si>
    <t>Resta</t>
  </si>
  <si>
    <t>e</t>
  </si>
  <si>
    <t>f</t>
  </si>
  <si>
    <t>Polar a cartesiano</t>
  </si>
  <si>
    <t>Angulo(deg)</t>
  </si>
  <si>
    <t>Suma vectorial</t>
  </si>
  <si>
    <t>X</t>
  </si>
  <si>
    <t xml:space="preserve">Y </t>
  </si>
  <si>
    <t>Proyeccion ab sobre cd</t>
  </si>
  <si>
    <t>Rad</t>
  </si>
  <si>
    <t>Deg</t>
  </si>
  <si>
    <t>Angulo ab cd</t>
  </si>
  <si>
    <t>Cartesianas a polares</t>
  </si>
  <si>
    <t>Y</t>
  </si>
  <si>
    <t>Mod</t>
  </si>
  <si>
    <t>Ang</t>
  </si>
  <si>
    <t>Fuerza(N)</t>
  </si>
  <si>
    <t>Aceleracion(m/s^2)</t>
  </si>
  <si>
    <t>Masa(kg)</t>
  </si>
  <si>
    <t>Froz(N)</t>
  </si>
  <si>
    <t>Normal(N)</t>
  </si>
  <si>
    <t>Coeficiente</t>
  </si>
  <si>
    <t>Masas en cuestas</t>
  </si>
  <si>
    <t>Px=-Tx</t>
  </si>
  <si>
    <t>Py=N</t>
  </si>
  <si>
    <t>Ángulo(Deg)</t>
  </si>
  <si>
    <t>Relaciones de objetos</t>
  </si>
  <si>
    <t>Acc(m/s)</t>
  </si>
  <si>
    <t>Velocidad(m/s)</t>
  </si>
  <si>
    <t>Energia Cinetica(J)</t>
  </si>
  <si>
    <t>h</t>
  </si>
  <si>
    <t>Altura(m)</t>
  </si>
  <si>
    <t>Energia mecanica(J)</t>
  </si>
  <si>
    <t>Energia Potencial(J)</t>
  </si>
  <si>
    <t>Cinematica 2,0</t>
  </si>
  <si>
    <t>v0x</t>
  </si>
  <si>
    <t>v0y</t>
  </si>
  <si>
    <t>x0</t>
  </si>
  <si>
    <t>xf</t>
  </si>
  <si>
    <t>y0</t>
  </si>
  <si>
    <t>yf</t>
  </si>
  <si>
    <t>Em</t>
  </si>
  <si>
    <t>Ec0</t>
  </si>
  <si>
    <t>Ep0</t>
  </si>
  <si>
    <t>Ecf</t>
  </si>
  <si>
    <t>Epf</t>
  </si>
  <si>
    <t>masa(kg)</t>
  </si>
  <si>
    <t>vfx</t>
  </si>
  <si>
    <t>vfy</t>
  </si>
  <si>
    <t>vf</t>
  </si>
  <si>
    <t>v0</t>
  </si>
  <si>
    <t>Ángulo f</t>
  </si>
  <si>
    <t>Ángulo 0</t>
  </si>
  <si>
    <t>Velocidad de escape</t>
  </si>
  <si>
    <t>Cambio de orbita</t>
  </si>
  <si>
    <t>solo simetrico</t>
  </si>
  <si>
    <t>G</t>
  </si>
  <si>
    <t>M</t>
  </si>
  <si>
    <t>r</t>
  </si>
  <si>
    <t>Radio tierra</t>
  </si>
  <si>
    <t>Masa tierra</t>
  </si>
  <si>
    <t>Ve(m/s)</t>
  </si>
  <si>
    <t>ymax</t>
  </si>
  <si>
    <t>Colision inelastica</t>
  </si>
  <si>
    <t>Colision elastica</t>
  </si>
  <si>
    <t>Coeficiente de restitucion</t>
  </si>
  <si>
    <t>v1</t>
  </si>
  <si>
    <t>v2</t>
  </si>
  <si>
    <t>m1</t>
  </si>
  <si>
    <t>m2</t>
  </si>
  <si>
    <t>u1</t>
  </si>
  <si>
    <t>u2</t>
  </si>
  <si>
    <t>v1x</t>
  </si>
  <si>
    <t>v1y</t>
  </si>
  <si>
    <t>v2x</t>
  </si>
  <si>
    <t>v2y</t>
  </si>
  <si>
    <t>u1x</t>
  </si>
  <si>
    <t>u1y</t>
  </si>
  <si>
    <t>u2x</t>
  </si>
  <si>
    <t>u2y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</si>
</sst>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170" fontId="0" fillId="0" borderId="1" xfId="0" applyNumberFormat="1" applyBorder="1"/>
    <xf numFmtId="0" fontId="1" fillId="0" borderId="1" xfId="0" applyFont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9"/>
  <sheetViews>
    <sheetView zoomScale="115" zoomScaleNormal="115" workbookViewId="0">
      <selection activeCell="K21" sqref="K21"/>
    </sheetView>
  </sheetViews>
  <sheetFormatPr baseColWidth="10" defaultColWidth="8.88671875" defaultRowHeight="14.4" x14ac:dyDescent="0.3"/>
  <cols>
    <col min="1" max="1" width="19.88671875" bestFit="1" customWidth="1"/>
    <col min="2" max="2" width="4.109375" bestFit="1" customWidth="1"/>
    <col min="3" max="4" width="12" bestFit="1" customWidth="1"/>
    <col min="5" max="5" width="4.109375" bestFit="1" customWidth="1"/>
    <col min="6" max="6" width="12" bestFit="1" customWidth="1"/>
    <col min="7" max="7" width="7.33203125" bestFit="1" customWidth="1"/>
    <col min="8" max="8" width="18.44140625" bestFit="1" customWidth="1"/>
    <col min="9" max="9" width="7.33203125" bestFit="1" customWidth="1"/>
    <col min="10" max="10" width="10.5546875" bestFit="1" customWidth="1"/>
    <col min="11" max="13" width="12" bestFit="1" customWidth="1"/>
  </cols>
  <sheetData>
    <row r="2" spans="1:13" x14ac:dyDescent="0.3">
      <c r="A2" s="3" t="s">
        <v>5</v>
      </c>
      <c r="B2" s="3"/>
      <c r="C2" s="3" t="s">
        <v>4</v>
      </c>
      <c r="D2" s="3"/>
      <c r="H2" s="3" t="s">
        <v>12</v>
      </c>
      <c r="I2" s="3" t="s">
        <v>4</v>
      </c>
      <c r="J2" s="3" t="s">
        <v>13</v>
      </c>
      <c r="K2" s="3" t="s">
        <v>15</v>
      </c>
      <c r="L2" s="3" t="s">
        <v>16</v>
      </c>
      <c r="M2" s="3" t="s">
        <v>4</v>
      </c>
    </row>
    <row r="3" spans="1:13" x14ac:dyDescent="0.3">
      <c r="A3" s="3" t="s">
        <v>1</v>
      </c>
      <c r="B3" s="3">
        <v>1</v>
      </c>
      <c r="C3" s="3"/>
      <c r="D3" s="3"/>
      <c r="H3" s="3"/>
      <c r="I3" s="3">
        <v>6</v>
      </c>
      <c r="J3" s="3">
        <v>0</v>
      </c>
      <c r="K3" s="3">
        <f>I3*COS(RADIANS(J3))</f>
        <v>6</v>
      </c>
      <c r="L3" s="3">
        <f>I3*SIN(RADIANS(J3))</f>
        <v>0</v>
      </c>
      <c r="M3" s="3"/>
    </row>
    <row r="4" spans="1:13" x14ac:dyDescent="0.3">
      <c r="A4" s="3" t="s">
        <v>2</v>
      </c>
      <c r="B4" s="3">
        <v>2</v>
      </c>
      <c r="C4" s="3"/>
      <c r="D4" s="3"/>
      <c r="H4" s="3"/>
      <c r="I4" s="3">
        <v>5</v>
      </c>
      <c r="J4" s="3">
        <v>30</v>
      </c>
      <c r="K4" s="4">
        <f>I4*COS(RADIANS(J4))</f>
        <v>4.3301270189221936</v>
      </c>
      <c r="L4" s="5">
        <f t="shared" ref="L4:L5" si="0">I4*SIN(RADIANS(J4))</f>
        <v>2.4999999999999996</v>
      </c>
      <c r="M4" s="3"/>
    </row>
    <row r="5" spans="1:13" x14ac:dyDescent="0.3">
      <c r="A5" s="3" t="s">
        <v>0</v>
      </c>
      <c r="B5" s="3"/>
      <c r="C5" s="3">
        <f>SQRT(B3^2+B4^2)</f>
        <v>2.2360679774997898</v>
      </c>
      <c r="D5" s="3"/>
      <c r="H5" s="3"/>
      <c r="I5" s="3">
        <v>4</v>
      </c>
      <c r="J5" s="3">
        <f>90+30</f>
        <v>120</v>
      </c>
      <c r="K5" s="3">
        <f t="shared" ref="K5" si="1">I5*COS(RADIANS(J5))</f>
        <v>-1.9999999999999991</v>
      </c>
      <c r="L5" s="6">
        <f t="shared" si="0"/>
        <v>3.4641016151377548</v>
      </c>
      <c r="M5" s="3"/>
    </row>
    <row r="6" spans="1:13" x14ac:dyDescent="0.3">
      <c r="A6" s="3" t="s">
        <v>6</v>
      </c>
      <c r="B6" s="3">
        <v>3</v>
      </c>
      <c r="C6" s="3"/>
      <c r="D6" s="3"/>
      <c r="H6" s="3"/>
      <c r="I6" s="3"/>
      <c r="J6" s="3"/>
      <c r="K6" s="3"/>
      <c r="L6" s="3"/>
      <c r="M6" s="3"/>
    </row>
    <row r="7" spans="1:13" x14ac:dyDescent="0.3">
      <c r="A7" s="3" t="s">
        <v>7</v>
      </c>
      <c r="B7" s="3">
        <v>4</v>
      </c>
      <c r="C7" s="3"/>
      <c r="D7" s="3"/>
      <c r="H7" s="3"/>
      <c r="I7" s="3"/>
      <c r="J7" s="3"/>
      <c r="K7" s="3"/>
      <c r="L7" s="3"/>
      <c r="M7" s="3"/>
    </row>
    <row r="8" spans="1:13" x14ac:dyDescent="0.3">
      <c r="A8" s="3" t="s">
        <v>0</v>
      </c>
      <c r="B8" s="3"/>
      <c r="C8" s="3">
        <f>SQRT(B6^2+B7^2)</f>
        <v>5</v>
      </c>
      <c r="D8" s="3"/>
      <c r="H8" s="3"/>
      <c r="I8" s="3"/>
      <c r="J8" s="3"/>
      <c r="K8" s="3"/>
      <c r="L8" s="3"/>
      <c r="M8" s="3"/>
    </row>
    <row r="9" spans="1:13" x14ac:dyDescent="0.3">
      <c r="A9" s="3" t="s">
        <v>10</v>
      </c>
      <c r="B9" s="3"/>
      <c r="C9" s="3"/>
      <c r="D9" s="3"/>
      <c r="H9" s="3"/>
      <c r="I9" s="3"/>
      <c r="J9" s="3"/>
      <c r="K9" s="3"/>
      <c r="L9" s="3"/>
      <c r="M9" s="3"/>
    </row>
    <row r="10" spans="1:13" x14ac:dyDescent="0.3">
      <c r="A10" s="3" t="s">
        <v>11</v>
      </c>
      <c r="B10" s="3"/>
      <c r="C10" s="3"/>
      <c r="D10" s="3"/>
      <c r="H10" s="3" t="s">
        <v>14</v>
      </c>
      <c r="I10" s="3"/>
      <c r="J10" s="3"/>
      <c r="K10" s="7">
        <f>SUM(K3:K9)</f>
        <v>8.3301270189221945</v>
      </c>
      <c r="L10" s="7">
        <f>SUM(L3:L9)</f>
        <v>5.9641016151377544</v>
      </c>
      <c r="M10" s="3">
        <f>SQRT(K10^2+L10^2)</f>
        <v>10.245073168458406</v>
      </c>
    </row>
    <row r="11" spans="1:13" x14ac:dyDescent="0.3">
      <c r="A11" s="3"/>
      <c r="B11" s="3"/>
      <c r="C11" s="3">
        <f>SQRT(B9^2+B10^2)</f>
        <v>0</v>
      </c>
      <c r="D11" s="3"/>
      <c r="K11" s="1"/>
      <c r="L11" s="1"/>
    </row>
    <row r="12" spans="1:13" x14ac:dyDescent="0.3">
      <c r="A12" s="3" t="s">
        <v>20</v>
      </c>
      <c r="B12" s="3" t="s">
        <v>18</v>
      </c>
      <c r="C12" s="3">
        <f>ACOS(COS((B3*B6+B4*B7)/(C5*C8)))</f>
        <v>0.98386991009990743</v>
      </c>
      <c r="D12" s="3">
        <f>DEGREES(C12)</f>
        <v>56.371593438640424</v>
      </c>
      <c r="E12" t="s">
        <v>19</v>
      </c>
    </row>
    <row r="13" spans="1:13" x14ac:dyDescent="0.3">
      <c r="A13" s="3" t="s">
        <v>17</v>
      </c>
      <c r="B13" s="3"/>
      <c r="C13" s="3">
        <f>ABS(B3*B6+B4*B7)/C8</f>
        <v>2.2000000000000002</v>
      </c>
      <c r="D13" s="3"/>
      <c r="H13" s="3" t="s">
        <v>21</v>
      </c>
      <c r="I13" s="3" t="s">
        <v>15</v>
      </c>
      <c r="J13" s="3" t="s">
        <v>22</v>
      </c>
      <c r="K13" s="3" t="s">
        <v>23</v>
      </c>
      <c r="L13" s="3" t="s">
        <v>24</v>
      </c>
      <c r="M13" s="3" t="s">
        <v>18</v>
      </c>
    </row>
    <row r="14" spans="1:13" x14ac:dyDescent="0.3">
      <c r="A14" s="3" t="s">
        <v>8</v>
      </c>
      <c r="B14" s="3">
        <f>B3+B6</f>
        <v>4</v>
      </c>
      <c r="C14" s="3"/>
      <c r="D14" s="3"/>
      <c r="H14" s="3"/>
      <c r="I14" s="3">
        <v>2</v>
      </c>
      <c r="J14" s="3">
        <v>2</v>
      </c>
      <c r="K14" s="3">
        <f>SQRT(I14^2+J14^2)</f>
        <v>2.8284271247461903</v>
      </c>
      <c r="L14" s="3">
        <f>DEGREES(ATAN(J14/I14))</f>
        <v>45</v>
      </c>
      <c r="M14" s="3">
        <f>ATAN(J14/I14)</f>
        <v>0.78539816339744828</v>
      </c>
    </row>
    <row r="15" spans="1:13" x14ac:dyDescent="0.3">
      <c r="A15" s="3"/>
      <c r="B15" s="3">
        <f>B4+B7</f>
        <v>6</v>
      </c>
      <c r="C15" s="3"/>
      <c r="D15" s="3"/>
      <c r="H15" s="3"/>
      <c r="I15" s="3">
        <v>2</v>
      </c>
      <c r="J15" s="3">
        <v>4</v>
      </c>
      <c r="K15" s="3">
        <f t="shared" ref="K15:K19" si="2">SQRT(I15^2+J15^2)</f>
        <v>4.4721359549995796</v>
      </c>
      <c r="L15" s="3">
        <f t="shared" ref="L15:L19" si="3">DEGREES(ATAN(J15/I15))</f>
        <v>63.43494882292201</v>
      </c>
      <c r="M15" s="3">
        <f t="shared" ref="M15:M19" si="4">ATAN(J15/I15)</f>
        <v>1.1071487177940904</v>
      </c>
    </row>
    <row r="16" spans="1:13" x14ac:dyDescent="0.3">
      <c r="A16" s="3"/>
      <c r="B16" s="3"/>
      <c r="C16" s="3">
        <f>SQRT(B14^2+B15^2)</f>
        <v>7.2111025509279782</v>
      </c>
      <c r="D16" s="3"/>
      <c r="H16" s="3"/>
      <c r="I16" s="3">
        <v>4</v>
      </c>
      <c r="J16" s="3">
        <v>8</v>
      </c>
      <c r="K16" s="3">
        <f t="shared" si="2"/>
        <v>8.9442719099991592</v>
      </c>
      <c r="L16" s="3">
        <f t="shared" si="3"/>
        <v>63.43494882292201</v>
      </c>
      <c r="M16" s="3">
        <f t="shared" si="4"/>
        <v>1.1071487177940904</v>
      </c>
    </row>
    <row r="17" spans="1:13" x14ac:dyDescent="0.3">
      <c r="A17" s="3" t="s">
        <v>9</v>
      </c>
      <c r="B17" s="3">
        <f>B3-B6</f>
        <v>-2</v>
      </c>
      <c r="C17" s="3"/>
      <c r="D17" s="3"/>
      <c r="H17" s="3"/>
      <c r="I17" s="3">
        <v>12</v>
      </c>
      <c r="J17" s="3">
        <v>24</v>
      </c>
      <c r="K17" s="3">
        <f t="shared" si="2"/>
        <v>26.832815729997478</v>
      </c>
      <c r="L17" s="3">
        <f t="shared" si="3"/>
        <v>63.43494882292201</v>
      </c>
      <c r="M17" s="3">
        <f t="shared" si="4"/>
        <v>1.1071487177940904</v>
      </c>
    </row>
    <row r="18" spans="1:13" x14ac:dyDescent="0.3">
      <c r="A18" s="3"/>
      <c r="B18" s="3">
        <f>B4-B7</f>
        <v>-2</v>
      </c>
      <c r="C18" s="3"/>
      <c r="D18" s="3"/>
      <c r="H18" s="3"/>
      <c r="I18" s="3"/>
      <c r="J18" s="3"/>
      <c r="K18" s="3"/>
      <c r="L18" s="3"/>
      <c r="M18" s="3"/>
    </row>
    <row r="19" spans="1:13" x14ac:dyDescent="0.3">
      <c r="A19" s="3"/>
      <c r="B19" s="3"/>
      <c r="C19" s="3">
        <f>SQRT(B17^2+B18^2)</f>
        <v>2.8284271247461903</v>
      </c>
      <c r="D19" s="3"/>
      <c r="H19" s="3" t="s">
        <v>14</v>
      </c>
      <c r="I19" s="7">
        <f>SUM(I14:I18)</f>
        <v>20</v>
      </c>
      <c r="J19" s="7">
        <f>SUM(J14:J18)</f>
        <v>38</v>
      </c>
      <c r="K19" s="3">
        <f t="shared" si="2"/>
        <v>42.941821107167776</v>
      </c>
      <c r="L19" s="3">
        <f t="shared" si="3"/>
        <v>62.24145939893998</v>
      </c>
      <c r="M19" s="3">
        <f t="shared" si="4"/>
        <v>1.0863183977578734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0994-1E8F-4569-A083-E22F01704CCC}">
  <dimension ref="A1"/>
  <sheetViews>
    <sheetView workbookViewId="0">
      <selection activeCell="B2" sqref="B2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6E8BB-A636-499C-BE39-07B5A274C89F}">
  <dimension ref="B1:X22"/>
  <sheetViews>
    <sheetView topLeftCell="G1" workbookViewId="0">
      <selection activeCell="G22" sqref="G22"/>
    </sheetView>
  </sheetViews>
  <sheetFormatPr baseColWidth="10" defaultRowHeight="14.4" x14ac:dyDescent="0.3"/>
  <cols>
    <col min="2" max="2" width="8.33203125" bestFit="1" customWidth="1"/>
    <col min="3" max="3" width="16.88671875" bestFit="1" customWidth="1"/>
    <col min="4" max="4" width="8.77734375" bestFit="1" customWidth="1"/>
    <col min="6" max="6" width="8.33203125" bestFit="1" customWidth="1"/>
    <col min="7" max="7" width="9.5546875" bestFit="1" customWidth="1"/>
    <col min="8" max="8" width="10.33203125" bestFit="1" customWidth="1"/>
    <col min="9" max="9" width="6.88671875" bestFit="1" customWidth="1"/>
    <col min="11" max="11" width="18.88671875" bestFit="1" customWidth="1"/>
    <col min="12" max="12" width="10.77734375" bestFit="1" customWidth="1"/>
    <col min="13" max="14" width="12" bestFit="1" customWidth="1"/>
    <col min="16" max="16" width="8.33203125" bestFit="1" customWidth="1"/>
    <col min="17" max="17" width="10.77734375" bestFit="1" customWidth="1"/>
    <col min="18" max="19" width="12" bestFit="1" customWidth="1"/>
    <col min="21" max="21" width="8.33203125" bestFit="1" customWidth="1"/>
    <col min="22" max="22" width="10.77734375" bestFit="1" customWidth="1"/>
    <col min="23" max="24" width="12" bestFit="1" customWidth="1"/>
  </cols>
  <sheetData>
    <row r="1" spans="2:24" x14ac:dyDescent="0.3">
      <c r="K1" t="s">
        <v>31</v>
      </c>
    </row>
    <row r="2" spans="2:24" x14ac:dyDescent="0.3">
      <c r="B2" t="s">
        <v>27</v>
      </c>
      <c r="C2" t="s">
        <v>26</v>
      </c>
      <c r="D2" t="s">
        <v>25</v>
      </c>
      <c r="F2" t="s">
        <v>27</v>
      </c>
      <c r="G2" t="s">
        <v>29</v>
      </c>
      <c r="H2" t="s">
        <v>30</v>
      </c>
      <c r="I2" t="s">
        <v>28</v>
      </c>
      <c r="K2" t="s">
        <v>27</v>
      </c>
      <c r="L2" t="s">
        <v>34</v>
      </c>
      <c r="M2" t="s">
        <v>32</v>
      </c>
      <c r="N2" t="s">
        <v>33</v>
      </c>
      <c r="P2" t="s">
        <v>27</v>
      </c>
      <c r="Q2" t="s">
        <v>34</v>
      </c>
      <c r="R2" t="s">
        <v>32</v>
      </c>
      <c r="S2" t="s">
        <v>33</v>
      </c>
      <c r="U2" t="s">
        <v>27</v>
      </c>
      <c r="V2" t="s">
        <v>34</v>
      </c>
      <c r="W2" t="s">
        <v>32</v>
      </c>
      <c r="X2" t="s">
        <v>33</v>
      </c>
    </row>
    <row r="3" spans="2:24" x14ac:dyDescent="0.3">
      <c r="B3">
        <v>1</v>
      </c>
      <c r="C3">
        <v>1</v>
      </c>
      <c r="D3">
        <f>B3*C3</f>
        <v>1</v>
      </c>
      <c r="F3">
        <v>1</v>
      </c>
      <c r="G3">
        <f>F3*9.8</f>
        <v>9.8000000000000007</v>
      </c>
      <c r="H3">
        <v>0.1</v>
      </c>
      <c r="I3">
        <f>H3*G3</f>
        <v>0.98000000000000009</v>
      </c>
      <c r="K3">
        <v>1</v>
      </c>
      <c r="L3">
        <v>60</v>
      </c>
      <c r="M3">
        <f>K3*9.8*COS(RADIANS(L3))</f>
        <v>4.9000000000000012</v>
      </c>
      <c r="N3">
        <f>K3*9.8*SIN(RADIANS(L3))</f>
        <v>8.4870489570874987</v>
      </c>
      <c r="P3">
        <v>1</v>
      </c>
      <c r="Q3">
        <v>60</v>
      </c>
      <c r="R3">
        <f>P3*9.8*COS(RADIANS(Q3))</f>
        <v>4.9000000000000012</v>
      </c>
      <c r="S3">
        <f>P3*9.8*SIN(RADIANS(Q3))</f>
        <v>8.4870489570874987</v>
      </c>
      <c r="U3">
        <v>1</v>
      </c>
      <c r="V3">
        <v>60</v>
      </c>
      <c r="W3">
        <f>U3*9.8*COS(RADIANS(V3))</f>
        <v>4.9000000000000012</v>
      </c>
      <c r="X3">
        <f>U3*9.8*SIN(RADIANS(V3))</f>
        <v>8.4870489570874987</v>
      </c>
    </row>
    <row r="4" spans="2:24" x14ac:dyDescent="0.3">
      <c r="K4">
        <v>2</v>
      </c>
      <c r="L4">
        <v>60</v>
      </c>
      <c r="M4">
        <f t="shared" ref="M4:M18" si="0">K4*9.8*COS(RADIANS(L4))</f>
        <v>9.8000000000000025</v>
      </c>
      <c r="N4">
        <f t="shared" ref="N4:N18" si="1">K4*9.8*SIN(RADIANS(L4))</f>
        <v>16.974097914174997</v>
      </c>
      <c r="P4">
        <v>2</v>
      </c>
      <c r="Q4">
        <v>60</v>
      </c>
      <c r="R4">
        <f t="shared" ref="R4:R18" si="2">P4*9.8*COS(RADIANS(Q4))</f>
        <v>9.8000000000000025</v>
      </c>
      <c r="S4">
        <f t="shared" ref="S4:S18" si="3">P4*9.8*SIN(RADIANS(Q4))</f>
        <v>16.974097914174997</v>
      </c>
      <c r="U4">
        <v>2</v>
      </c>
      <c r="V4">
        <v>60</v>
      </c>
      <c r="W4">
        <f t="shared" ref="W4:W18" si="4">U4*9.8*COS(RADIANS(V4))</f>
        <v>9.8000000000000025</v>
      </c>
      <c r="X4">
        <f t="shared" ref="X4:X18" si="5">U4*9.8*SIN(RADIANS(V4))</f>
        <v>16.974097914174997</v>
      </c>
    </row>
    <row r="5" spans="2:24" x14ac:dyDescent="0.3">
      <c r="K5">
        <v>3</v>
      </c>
      <c r="L5">
        <v>60</v>
      </c>
      <c r="M5">
        <f t="shared" si="0"/>
        <v>14.700000000000005</v>
      </c>
      <c r="N5">
        <f t="shared" si="1"/>
        <v>25.461146871262496</v>
      </c>
      <c r="P5">
        <v>3</v>
      </c>
      <c r="Q5">
        <v>60</v>
      </c>
      <c r="R5">
        <f t="shared" si="2"/>
        <v>14.700000000000005</v>
      </c>
      <c r="S5">
        <f t="shared" si="3"/>
        <v>25.461146871262496</v>
      </c>
      <c r="U5">
        <v>3</v>
      </c>
      <c r="V5">
        <v>60</v>
      </c>
      <c r="W5">
        <f t="shared" si="4"/>
        <v>14.700000000000005</v>
      </c>
      <c r="X5">
        <f t="shared" si="5"/>
        <v>25.461146871262496</v>
      </c>
    </row>
    <row r="6" spans="2:24" x14ac:dyDescent="0.3">
      <c r="K6">
        <v>4</v>
      </c>
      <c r="L6">
        <v>60</v>
      </c>
      <c r="M6">
        <f t="shared" si="0"/>
        <v>19.600000000000005</v>
      </c>
      <c r="N6">
        <f t="shared" si="1"/>
        <v>33.948195828349995</v>
      </c>
      <c r="P6">
        <v>4</v>
      </c>
      <c r="Q6">
        <v>60</v>
      </c>
      <c r="R6">
        <f t="shared" si="2"/>
        <v>19.600000000000005</v>
      </c>
      <c r="S6">
        <f t="shared" si="3"/>
        <v>33.948195828349995</v>
      </c>
      <c r="U6">
        <v>4</v>
      </c>
      <c r="V6">
        <v>60</v>
      </c>
      <c r="W6">
        <f t="shared" si="4"/>
        <v>19.600000000000005</v>
      </c>
      <c r="X6">
        <f t="shared" si="5"/>
        <v>33.948195828349995</v>
      </c>
    </row>
    <row r="7" spans="2:24" x14ac:dyDescent="0.3">
      <c r="K7">
        <v>5</v>
      </c>
      <c r="L7">
        <v>60</v>
      </c>
      <c r="M7">
        <f t="shared" si="0"/>
        <v>24.500000000000007</v>
      </c>
      <c r="N7">
        <f t="shared" si="1"/>
        <v>42.43524478543749</v>
      </c>
      <c r="P7">
        <v>5</v>
      </c>
      <c r="Q7">
        <v>60</v>
      </c>
      <c r="R7">
        <f t="shared" si="2"/>
        <v>24.500000000000007</v>
      </c>
      <c r="S7">
        <f t="shared" si="3"/>
        <v>42.43524478543749</v>
      </c>
      <c r="U7">
        <v>5</v>
      </c>
      <c r="V7">
        <v>60</v>
      </c>
      <c r="W7">
        <f t="shared" si="4"/>
        <v>24.500000000000007</v>
      </c>
      <c r="X7">
        <f t="shared" si="5"/>
        <v>42.43524478543749</v>
      </c>
    </row>
    <row r="8" spans="2:24" x14ac:dyDescent="0.3">
      <c r="K8">
        <v>6</v>
      </c>
      <c r="L8">
        <v>60</v>
      </c>
      <c r="M8">
        <f t="shared" si="0"/>
        <v>29.400000000000009</v>
      </c>
      <c r="N8">
        <f t="shared" si="1"/>
        <v>50.922293742524992</v>
      </c>
      <c r="P8">
        <v>6</v>
      </c>
      <c r="Q8">
        <v>60</v>
      </c>
      <c r="R8">
        <f t="shared" si="2"/>
        <v>29.400000000000009</v>
      </c>
      <c r="S8">
        <f t="shared" si="3"/>
        <v>50.922293742524992</v>
      </c>
      <c r="U8">
        <v>6</v>
      </c>
      <c r="V8">
        <v>60</v>
      </c>
      <c r="W8">
        <f t="shared" si="4"/>
        <v>29.400000000000009</v>
      </c>
      <c r="X8">
        <f t="shared" si="5"/>
        <v>50.922293742524992</v>
      </c>
    </row>
    <row r="9" spans="2:24" x14ac:dyDescent="0.3">
      <c r="K9">
        <v>7</v>
      </c>
      <c r="L9">
        <v>60</v>
      </c>
      <c r="M9">
        <f t="shared" si="0"/>
        <v>34.300000000000011</v>
      </c>
      <c r="N9">
        <f t="shared" si="1"/>
        <v>59.409342699612495</v>
      </c>
      <c r="P9">
        <v>7</v>
      </c>
      <c r="Q9">
        <v>60</v>
      </c>
      <c r="R9">
        <f t="shared" si="2"/>
        <v>34.300000000000011</v>
      </c>
      <c r="S9">
        <f t="shared" si="3"/>
        <v>59.409342699612495</v>
      </c>
      <c r="U9">
        <v>7</v>
      </c>
      <c r="V9">
        <v>60</v>
      </c>
      <c r="W9">
        <f t="shared" si="4"/>
        <v>34.300000000000011</v>
      </c>
      <c r="X9">
        <f t="shared" si="5"/>
        <v>59.409342699612495</v>
      </c>
    </row>
    <row r="10" spans="2:24" x14ac:dyDescent="0.3">
      <c r="K10">
        <v>8</v>
      </c>
      <c r="L10">
        <v>60</v>
      </c>
      <c r="M10">
        <f t="shared" si="0"/>
        <v>39.20000000000001</v>
      </c>
      <c r="N10">
        <f t="shared" si="1"/>
        <v>67.89639165669999</v>
      </c>
      <c r="P10">
        <v>8</v>
      </c>
      <c r="Q10">
        <v>60</v>
      </c>
      <c r="R10">
        <f t="shared" si="2"/>
        <v>39.20000000000001</v>
      </c>
      <c r="S10">
        <f t="shared" si="3"/>
        <v>67.89639165669999</v>
      </c>
      <c r="U10">
        <v>8</v>
      </c>
      <c r="V10">
        <v>60</v>
      </c>
      <c r="W10">
        <f t="shared" si="4"/>
        <v>39.20000000000001</v>
      </c>
      <c r="X10">
        <f t="shared" si="5"/>
        <v>67.89639165669999</v>
      </c>
    </row>
    <row r="11" spans="2:24" x14ac:dyDescent="0.3">
      <c r="K11">
        <v>9</v>
      </c>
      <c r="L11">
        <v>60</v>
      </c>
      <c r="M11">
        <f t="shared" si="0"/>
        <v>44.100000000000009</v>
      </c>
      <c r="N11">
        <f t="shared" si="1"/>
        <v>76.383440613787485</v>
      </c>
      <c r="P11">
        <v>9</v>
      </c>
      <c r="Q11">
        <v>60</v>
      </c>
      <c r="R11">
        <f t="shared" si="2"/>
        <v>44.100000000000009</v>
      </c>
      <c r="S11">
        <f t="shared" si="3"/>
        <v>76.383440613787485</v>
      </c>
      <c r="U11">
        <v>9</v>
      </c>
      <c r="V11">
        <v>60</v>
      </c>
      <c r="W11">
        <f t="shared" si="4"/>
        <v>44.100000000000009</v>
      </c>
      <c r="X11">
        <f t="shared" si="5"/>
        <v>76.383440613787485</v>
      </c>
    </row>
    <row r="12" spans="2:24" x14ac:dyDescent="0.3">
      <c r="K12">
        <v>10</v>
      </c>
      <c r="L12">
        <v>60</v>
      </c>
      <c r="M12">
        <f t="shared" si="0"/>
        <v>49.000000000000014</v>
      </c>
      <c r="N12">
        <f t="shared" si="1"/>
        <v>84.87048957087498</v>
      </c>
      <c r="P12">
        <v>10</v>
      </c>
      <c r="Q12">
        <v>60</v>
      </c>
      <c r="R12">
        <f t="shared" si="2"/>
        <v>49.000000000000014</v>
      </c>
      <c r="S12">
        <f t="shared" si="3"/>
        <v>84.87048957087498</v>
      </c>
      <c r="U12">
        <v>10</v>
      </c>
      <c r="V12">
        <v>60</v>
      </c>
      <c r="W12">
        <f t="shared" si="4"/>
        <v>49.000000000000014</v>
      </c>
      <c r="X12">
        <f t="shared" si="5"/>
        <v>84.87048957087498</v>
      </c>
    </row>
    <row r="13" spans="2:24" x14ac:dyDescent="0.3">
      <c r="K13">
        <v>1</v>
      </c>
      <c r="L13">
        <v>15</v>
      </c>
      <c r="M13">
        <f t="shared" si="0"/>
        <v>9.4660730976328704</v>
      </c>
      <c r="N13">
        <f t="shared" si="1"/>
        <v>2.5364266420047032</v>
      </c>
      <c r="P13">
        <v>1</v>
      </c>
      <c r="Q13">
        <v>15</v>
      </c>
      <c r="R13">
        <f t="shared" si="2"/>
        <v>9.4660730976328704</v>
      </c>
      <c r="S13">
        <f t="shared" si="3"/>
        <v>2.5364266420047032</v>
      </c>
      <c r="U13">
        <v>1</v>
      </c>
      <c r="V13">
        <v>15</v>
      </c>
      <c r="W13">
        <f t="shared" si="4"/>
        <v>9.4660730976328704</v>
      </c>
      <c r="X13">
        <f t="shared" si="5"/>
        <v>2.5364266420047032</v>
      </c>
    </row>
    <row r="14" spans="2:24" x14ac:dyDescent="0.3">
      <c r="K14">
        <v>1</v>
      </c>
      <c r="L14">
        <v>30</v>
      </c>
      <c r="M14">
        <f t="shared" si="0"/>
        <v>8.4870489570875005</v>
      </c>
      <c r="N14">
        <f t="shared" si="1"/>
        <v>4.8999999999999995</v>
      </c>
      <c r="P14">
        <v>1</v>
      </c>
      <c r="Q14">
        <v>30</v>
      </c>
      <c r="R14">
        <f t="shared" si="2"/>
        <v>8.4870489570875005</v>
      </c>
      <c r="S14">
        <f t="shared" si="3"/>
        <v>4.8999999999999995</v>
      </c>
      <c r="U14">
        <v>1</v>
      </c>
      <c r="V14">
        <v>30</v>
      </c>
      <c r="W14">
        <f t="shared" si="4"/>
        <v>8.4870489570875005</v>
      </c>
      <c r="X14">
        <f t="shared" si="5"/>
        <v>4.8999999999999995</v>
      </c>
    </row>
    <row r="15" spans="2:24" x14ac:dyDescent="0.3">
      <c r="K15">
        <v>1</v>
      </c>
      <c r="L15">
        <v>45</v>
      </c>
      <c r="M15">
        <f t="shared" si="0"/>
        <v>6.9296464556281663</v>
      </c>
      <c r="N15">
        <f t="shared" si="1"/>
        <v>6.9296464556281654</v>
      </c>
      <c r="P15">
        <v>1</v>
      </c>
      <c r="Q15">
        <v>45</v>
      </c>
      <c r="R15">
        <f t="shared" si="2"/>
        <v>6.9296464556281663</v>
      </c>
      <c r="S15">
        <f t="shared" si="3"/>
        <v>6.9296464556281654</v>
      </c>
      <c r="U15">
        <v>1</v>
      </c>
      <c r="V15">
        <v>45</v>
      </c>
      <c r="W15">
        <f t="shared" si="4"/>
        <v>6.9296464556281663</v>
      </c>
      <c r="X15">
        <f t="shared" si="5"/>
        <v>6.9296464556281654</v>
      </c>
    </row>
    <row r="16" spans="2:24" x14ac:dyDescent="0.3">
      <c r="K16">
        <v>1</v>
      </c>
      <c r="L16">
        <v>60</v>
      </c>
      <c r="M16">
        <f t="shared" si="0"/>
        <v>4.9000000000000012</v>
      </c>
      <c r="N16">
        <f t="shared" si="1"/>
        <v>8.4870489570874987</v>
      </c>
      <c r="P16">
        <v>1</v>
      </c>
      <c r="Q16">
        <v>60</v>
      </c>
      <c r="R16">
        <f t="shared" si="2"/>
        <v>4.9000000000000012</v>
      </c>
      <c r="S16">
        <f t="shared" si="3"/>
        <v>8.4870489570874987</v>
      </c>
      <c r="U16">
        <v>1</v>
      </c>
      <c r="V16">
        <v>60</v>
      </c>
      <c r="W16">
        <f t="shared" si="4"/>
        <v>4.9000000000000012</v>
      </c>
      <c r="X16">
        <f t="shared" si="5"/>
        <v>8.4870489570874987</v>
      </c>
    </row>
    <row r="17" spans="6:24" x14ac:dyDescent="0.3">
      <c r="K17">
        <v>1</v>
      </c>
      <c r="L17">
        <v>75</v>
      </c>
      <c r="M17">
        <f t="shared" si="0"/>
        <v>2.5364266420047032</v>
      </c>
      <c r="N17">
        <f t="shared" si="1"/>
        <v>9.4660730976328704</v>
      </c>
      <c r="P17">
        <v>1</v>
      </c>
      <c r="Q17">
        <v>75</v>
      </c>
      <c r="R17">
        <f t="shared" si="2"/>
        <v>2.5364266420047032</v>
      </c>
      <c r="S17">
        <f t="shared" si="3"/>
        <v>9.4660730976328704</v>
      </c>
      <c r="U17">
        <v>1</v>
      </c>
      <c r="V17">
        <v>75</v>
      </c>
      <c r="W17">
        <f t="shared" si="4"/>
        <v>2.5364266420047032</v>
      </c>
      <c r="X17">
        <f t="shared" si="5"/>
        <v>9.4660730976328704</v>
      </c>
    </row>
    <row r="18" spans="6:24" x14ac:dyDescent="0.3">
      <c r="K18">
        <v>1</v>
      </c>
      <c r="L18">
        <v>90</v>
      </c>
      <c r="M18">
        <f t="shared" si="0"/>
        <v>6.0032274290522381E-16</v>
      </c>
      <c r="N18">
        <f t="shared" si="1"/>
        <v>9.8000000000000007</v>
      </c>
      <c r="P18">
        <v>1</v>
      </c>
      <c r="Q18">
        <v>90</v>
      </c>
      <c r="R18">
        <f t="shared" si="2"/>
        <v>6.0032274290522381E-16</v>
      </c>
      <c r="S18">
        <f t="shared" si="3"/>
        <v>9.8000000000000007</v>
      </c>
      <c r="U18">
        <v>1</v>
      </c>
      <c r="V18">
        <v>90</v>
      </c>
      <c r="W18">
        <f t="shared" si="4"/>
        <v>6.0032274290522381E-16</v>
      </c>
      <c r="X18">
        <f t="shared" si="5"/>
        <v>9.8000000000000007</v>
      </c>
    </row>
    <row r="21" spans="6:24" x14ac:dyDescent="0.3">
      <c r="F21" t="s">
        <v>36</v>
      </c>
      <c r="G21" t="s">
        <v>27</v>
      </c>
      <c r="H21" t="s">
        <v>25</v>
      </c>
      <c r="K21" t="s">
        <v>35</v>
      </c>
    </row>
    <row r="22" spans="6:24" x14ac:dyDescent="0.3">
      <c r="F22">
        <f>H22/G22</f>
        <v>12.5</v>
      </c>
      <c r="G22">
        <v>12</v>
      </c>
      <c r="H22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AA76A-AB9F-40EE-8CC5-86480CCD8968}">
  <dimension ref="B1:AG10"/>
  <sheetViews>
    <sheetView topLeftCell="Q1" zoomScale="115" zoomScaleNormal="115" workbookViewId="0">
      <selection activeCell="AG3" sqref="AG3"/>
    </sheetView>
  </sheetViews>
  <sheetFormatPr baseColWidth="10" defaultRowHeight="14.4" x14ac:dyDescent="0.3"/>
  <cols>
    <col min="2" max="2" width="8.33203125" bestFit="1" customWidth="1"/>
    <col min="3" max="3" width="13.21875" bestFit="1" customWidth="1"/>
    <col min="4" max="4" width="15.77734375" bestFit="1" customWidth="1"/>
    <col min="5" max="5" width="8.5546875" bestFit="1" customWidth="1"/>
    <col min="6" max="6" width="16.88671875" bestFit="1" customWidth="1"/>
    <col min="7" max="7" width="17.109375" bestFit="1" customWidth="1"/>
    <col min="8" max="8" width="15.21875" bestFit="1" customWidth="1"/>
    <col min="9" max="9" width="13" style="8" bestFit="1" customWidth="1"/>
    <col min="10" max="11" width="3.77734375" style="9" bestFit="1" customWidth="1"/>
    <col min="12" max="13" width="12" style="10" bestFit="1" customWidth="1"/>
    <col min="14" max="15" width="3.44140625" style="9" bestFit="1" customWidth="1"/>
    <col min="16" max="17" width="12" style="10" bestFit="1" customWidth="1"/>
    <col min="18" max="18" width="2.88671875" style="3" bestFit="1" customWidth="1"/>
    <col min="19" max="19" width="3" style="3" bestFit="1" customWidth="1"/>
    <col min="20" max="20" width="2.88671875" style="3" bestFit="1" customWidth="1"/>
    <col min="21" max="21" width="2.5546875" style="3" bestFit="1" customWidth="1"/>
    <col min="22" max="25" width="4" style="3" bestFit="1" customWidth="1"/>
    <col min="26" max="26" width="3.6640625" style="3" bestFit="1" customWidth="1"/>
    <col min="29" max="29" width="17.6640625" bestFit="1" customWidth="1"/>
    <col min="33" max="33" width="15" bestFit="1" customWidth="1"/>
  </cols>
  <sheetData>
    <row r="1" spans="2:33" x14ac:dyDescent="0.3">
      <c r="I1" s="8" t="s">
        <v>43</v>
      </c>
      <c r="L1" s="10" t="s">
        <v>64</v>
      </c>
    </row>
    <row r="2" spans="2:33" x14ac:dyDescent="0.3">
      <c r="B2" t="s">
        <v>27</v>
      </c>
      <c r="C2" t="s">
        <v>37</v>
      </c>
      <c r="D2" t="s">
        <v>38</v>
      </c>
      <c r="E2" t="s">
        <v>40</v>
      </c>
      <c r="F2" t="s">
        <v>42</v>
      </c>
      <c r="G2" t="s">
        <v>41</v>
      </c>
      <c r="I2" s="8" t="s">
        <v>55</v>
      </c>
      <c r="J2" s="9" t="s">
        <v>44</v>
      </c>
      <c r="K2" s="9" t="s">
        <v>45</v>
      </c>
      <c r="L2" s="10" t="s">
        <v>59</v>
      </c>
      <c r="M2" s="10" t="s">
        <v>61</v>
      </c>
      <c r="N2" s="9" t="s">
        <v>56</v>
      </c>
      <c r="O2" s="9" t="s">
        <v>57</v>
      </c>
      <c r="P2" s="10" t="s">
        <v>58</v>
      </c>
      <c r="Q2" s="10" t="s">
        <v>60</v>
      </c>
      <c r="R2" s="3" t="s">
        <v>46</v>
      </c>
      <c r="S2" s="3" t="s">
        <v>47</v>
      </c>
      <c r="T2" s="3" t="s">
        <v>48</v>
      </c>
      <c r="U2" s="3" t="s">
        <v>49</v>
      </c>
      <c r="V2" s="3" t="s">
        <v>50</v>
      </c>
      <c r="W2" s="3" t="s">
        <v>51</v>
      </c>
      <c r="X2" s="3" t="s">
        <v>53</v>
      </c>
      <c r="Y2" s="3" t="s">
        <v>52</v>
      </c>
      <c r="Z2" s="3" t="s">
        <v>54</v>
      </c>
      <c r="AA2" s="11" t="s">
        <v>71</v>
      </c>
      <c r="AC2" t="s">
        <v>62</v>
      </c>
      <c r="AG2" t="s">
        <v>63</v>
      </c>
    </row>
    <row r="3" spans="2:33" x14ac:dyDescent="0.3">
      <c r="B3">
        <v>1</v>
      </c>
      <c r="C3">
        <v>2</v>
      </c>
      <c r="D3">
        <f>0.5*B3*C3</f>
        <v>1</v>
      </c>
      <c r="E3">
        <v>10</v>
      </c>
      <c r="F3">
        <f>9.8*E3*B3</f>
        <v>98</v>
      </c>
      <c r="G3">
        <f>D3+F3</f>
        <v>99</v>
      </c>
      <c r="I3" s="8">
        <v>1</v>
      </c>
      <c r="J3" s="9">
        <v>10</v>
      </c>
      <c r="K3" s="9">
        <v>20</v>
      </c>
      <c r="L3" s="10">
        <f>SQRT(J3^2+K3^2)</f>
        <v>22.360679774997898</v>
      </c>
      <c r="M3" s="10">
        <f>DEGREES(ATAN(K3/J3))</f>
        <v>63.43494882292201</v>
      </c>
      <c r="N3" s="9">
        <f>COS(RADIANS(Q3))*P3</f>
        <v>10.000000000000004</v>
      </c>
      <c r="O3" s="9">
        <f>SIN(RADIANS(Q3))*P3</f>
        <v>20</v>
      </c>
      <c r="P3" s="10">
        <f>SQRT(2*(I3*V3-9.8*U3))</f>
        <v>22.360679774997898</v>
      </c>
      <c r="Q3" s="10">
        <f>M3</f>
        <v>63.43494882292201</v>
      </c>
      <c r="R3" s="3">
        <v>0</v>
      </c>
      <c r="S3" s="3">
        <v>10</v>
      </c>
      <c r="T3" s="3">
        <v>0</v>
      </c>
      <c r="U3" s="3">
        <v>0</v>
      </c>
      <c r="V3" s="3">
        <f>W3+Y3</f>
        <v>250.00000000000003</v>
      </c>
      <c r="W3" s="3">
        <f>0.5*I3*L3^2</f>
        <v>250.00000000000003</v>
      </c>
      <c r="X3" s="3">
        <f>0.5*I3*P3^2</f>
        <v>250.00000000000003</v>
      </c>
      <c r="Y3" s="3">
        <f>I3*9.8*T3</f>
        <v>0</v>
      </c>
      <c r="Z3" s="3">
        <f>I3*9.8*U3</f>
        <v>0</v>
      </c>
      <c r="AC3" t="s">
        <v>70</v>
      </c>
      <c r="AD3">
        <f>SQRT(2*AD4*AD5/(AD6+AD7))</f>
        <v>11186.353293187194</v>
      </c>
    </row>
    <row r="4" spans="2:33" x14ac:dyDescent="0.3">
      <c r="B4">
        <v>2</v>
      </c>
      <c r="C4">
        <v>2</v>
      </c>
      <c r="D4">
        <f t="shared" ref="D4:D10" si="0">0.5*B4*C4</f>
        <v>2</v>
      </c>
      <c r="E4">
        <v>10</v>
      </c>
      <c r="F4">
        <f t="shared" ref="F4:F10" si="1">9.8*E4*B4</f>
        <v>196</v>
      </c>
      <c r="G4">
        <f t="shared" ref="G4:G10" si="2">D4+F4</f>
        <v>198</v>
      </c>
      <c r="I4" s="8">
        <v>1</v>
      </c>
      <c r="J4" s="9">
        <v>20</v>
      </c>
      <c r="K4" s="9">
        <v>20</v>
      </c>
      <c r="L4" s="10">
        <f t="shared" ref="L4:L5" si="3">SQRT(J4^2+K4^2)</f>
        <v>28.284271247461902</v>
      </c>
      <c r="M4" s="10">
        <f t="shared" ref="M4:M5" si="4">DEGREES(ATAN(K4/J4))</f>
        <v>45</v>
      </c>
      <c r="N4" s="9">
        <f t="shared" ref="N4:N5" si="5">COS(RADIANS(Q4))*P4</f>
        <v>20.000000000000004</v>
      </c>
      <c r="O4" s="9">
        <f t="shared" ref="O4:O5" si="6">SIN(RADIANS(Q4))*P4</f>
        <v>20</v>
      </c>
      <c r="P4" s="10">
        <f t="shared" ref="P4:P5" si="7">SQRT(2*(I4*V4-9.8*U4))</f>
        <v>28.284271247461902</v>
      </c>
      <c r="Q4" s="10">
        <f t="shared" ref="Q4:Q5" si="8">M4</f>
        <v>45</v>
      </c>
      <c r="R4" s="3">
        <v>0</v>
      </c>
      <c r="S4" s="3">
        <v>10</v>
      </c>
      <c r="T4" s="3">
        <v>0</v>
      </c>
      <c r="U4" s="3">
        <v>0</v>
      </c>
      <c r="V4" s="3">
        <f t="shared" ref="V4:V5" si="9">W4+Y4</f>
        <v>400.00000000000006</v>
      </c>
      <c r="W4" s="3">
        <f t="shared" ref="W4:W5" si="10">0.5*I4*L4^2</f>
        <v>400.00000000000006</v>
      </c>
      <c r="X4" s="3">
        <f t="shared" ref="X4:X5" si="11">0.5*I4*P4^2</f>
        <v>400.00000000000006</v>
      </c>
      <c r="Y4" s="3">
        <f t="shared" ref="Y4:Y5" si="12">I4*9.8*T4</f>
        <v>0</v>
      </c>
      <c r="Z4" s="3">
        <f t="shared" ref="Z4:Z5" si="13">I4*9.8*U4</f>
        <v>0</v>
      </c>
      <c r="AC4" t="s">
        <v>65</v>
      </c>
      <c r="AD4" s="2">
        <v>6.6738400000000001E-11</v>
      </c>
    </row>
    <row r="5" spans="2:33" x14ac:dyDescent="0.3">
      <c r="B5">
        <v>3</v>
      </c>
      <c r="C5">
        <v>2</v>
      </c>
      <c r="D5">
        <f t="shared" si="0"/>
        <v>3</v>
      </c>
      <c r="E5">
        <v>10</v>
      </c>
      <c r="F5">
        <f t="shared" si="1"/>
        <v>294</v>
      </c>
      <c r="G5">
        <f t="shared" si="2"/>
        <v>297</v>
      </c>
      <c r="I5" s="8">
        <v>1</v>
      </c>
      <c r="J5" s="9">
        <v>30</v>
      </c>
      <c r="K5" s="9">
        <v>20</v>
      </c>
      <c r="L5" s="10">
        <f t="shared" si="3"/>
        <v>36.055512754639892</v>
      </c>
      <c r="M5" s="10">
        <f t="shared" si="4"/>
        <v>33.690067525979785</v>
      </c>
      <c r="N5" s="9">
        <f t="shared" si="5"/>
        <v>30</v>
      </c>
      <c r="O5" s="9">
        <f t="shared" si="6"/>
        <v>19.999999999999996</v>
      </c>
      <c r="P5" s="10">
        <f t="shared" si="7"/>
        <v>36.055512754639892</v>
      </c>
      <c r="Q5" s="10">
        <f t="shared" si="8"/>
        <v>33.690067525979785</v>
      </c>
      <c r="R5" s="3">
        <v>0</v>
      </c>
      <c r="S5" s="3">
        <v>10</v>
      </c>
      <c r="T5" s="3">
        <v>0</v>
      </c>
      <c r="U5" s="3">
        <v>0</v>
      </c>
      <c r="V5" s="3">
        <f t="shared" si="9"/>
        <v>650</v>
      </c>
      <c r="W5" s="3">
        <f t="shared" si="10"/>
        <v>650</v>
      </c>
      <c r="X5" s="3">
        <f t="shared" si="11"/>
        <v>650</v>
      </c>
      <c r="Y5" s="3">
        <f t="shared" si="12"/>
        <v>0</v>
      </c>
      <c r="Z5" s="3">
        <f t="shared" si="13"/>
        <v>0</v>
      </c>
      <c r="AC5" t="s">
        <v>66</v>
      </c>
      <c r="AD5" s="2">
        <v>5.9999999999999999E+24</v>
      </c>
      <c r="AE5" t="s">
        <v>69</v>
      </c>
    </row>
    <row r="6" spans="2:33" x14ac:dyDescent="0.3">
      <c r="B6">
        <v>4</v>
      </c>
      <c r="C6">
        <v>2</v>
      </c>
      <c r="D6">
        <f t="shared" si="0"/>
        <v>4</v>
      </c>
      <c r="E6">
        <v>10</v>
      </c>
      <c r="F6">
        <f t="shared" si="1"/>
        <v>392</v>
      </c>
      <c r="G6">
        <f t="shared" si="2"/>
        <v>396</v>
      </c>
      <c r="AC6" t="s">
        <v>67</v>
      </c>
      <c r="AD6" s="2">
        <v>6400000</v>
      </c>
      <c r="AE6" t="s">
        <v>68</v>
      </c>
    </row>
    <row r="7" spans="2:33" x14ac:dyDescent="0.3">
      <c r="B7">
        <v>5</v>
      </c>
      <c r="C7">
        <v>2</v>
      </c>
      <c r="D7">
        <f t="shared" si="0"/>
        <v>5</v>
      </c>
      <c r="E7">
        <v>10</v>
      </c>
      <c r="F7">
        <f t="shared" si="1"/>
        <v>490</v>
      </c>
      <c r="G7">
        <f t="shared" si="2"/>
        <v>495</v>
      </c>
      <c r="AC7" t="s">
        <v>39</v>
      </c>
      <c r="AD7">
        <v>0</v>
      </c>
    </row>
    <row r="8" spans="2:33" x14ac:dyDescent="0.3">
      <c r="B8">
        <v>6</v>
      </c>
      <c r="C8">
        <v>2</v>
      </c>
      <c r="D8">
        <f t="shared" si="0"/>
        <v>6</v>
      </c>
      <c r="E8">
        <v>15</v>
      </c>
      <c r="F8">
        <f t="shared" si="1"/>
        <v>882</v>
      </c>
      <c r="G8">
        <f t="shared" si="2"/>
        <v>888</v>
      </c>
    </row>
    <row r="9" spans="2:33" x14ac:dyDescent="0.3">
      <c r="B9">
        <v>7</v>
      </c>
      <c r="C9">
        <v>2</v>
      </c>
      <c r="D9">
        <f t="shared" si="0"/>
        <v>7</v>
      </c>
      <c r="E9">
        <v>15</v>
      </c>
      <c r="F9">
        <f t="shared" si="1"/>
        <v>1029</v>
      </c>
      <c r="G9">
        <f t="shared" si="2"/>
        <v>1036</v>
      </c>
    </row>
    <row r="10" spans="2:33" x14ac:dyDescent="0.3">
      <c r="B10">
        <v>8</v>
      </c>
      <c r="C10">
        <v>2</v>
      </c>
      <c r="D10">
        <f t="shared" si="0"/>
        <v>8</v>
      </c>
      <c r="E10">
        <v>15</v>
      </c>
      <c r="F10">
        <f t="shared" si="1"/>
        <v>1176</v>
      </c>
      <c r="G10">
        <f t="shared" si="2"/>
        <v>1184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EE2BD-C970-47C6-B507-D62E20A11528}">
  <dimension ref="A3:H24"/>
  <sheetViews>
    <sheetView tabSelected="1" workbookViewId="0">
      <selection activeCell="C9" sqref="C9"/>
    </sheetView>
  </sheetViews>
  <sheetFormatPr baseColWidth="10" defaultColWidth="22.33203125" defaultRowHeight="14.4" x14ac:dyDescent="0.3"/>
  <cols>
    <col min="1" max="1" width="3.88671875" bestFit="1" customWidth="1"/>
    <col min="2" max="2" width="22.109375" bestFit="1" customWidth="1"/>
    <col min="3" max="3" width="6.5546875" bestFit="1" customWidth="1"/>
    <col min="4" max="4" width="7.33203125" bestFit="1" customWidth="1"/>
    <col min="5" max="5" width="14.109375" bestFit="1" customWidth="1"/>
    <col min="8" max="8" width="15.5546875" bestFit="1" customWidth="1"/>
  </cols>
  <sheetData>
    <row r="3" spans="1:8" x14ac:dyDescent="0.3">
      <c r="C3" t="s">
        <v>3</v>
      </c>
      <c r="E3" t="s">
        <v>73</v>
      </c>
      <c r="H3" t="s">
        <v>72</v>
      </c>
    </row>
    <row r="4" spans="1:8" x14ac:dyDescent="0.3">
      <c r="A4" t="s">
        <v>77</v>
      </c>
      <c r="B4">
        <v>1</v>
      </c>
    </row>
    <row r="5" spans="1:8" x14ac:dyDescent="0.3">
      <c r="A5" t="s">
        <v>78</v>
      </c>
      <c r="B5">
        <v>1</v>
      </c>
    </row>
    <row r="7" spans="1:8" x14ac:dyDescent="0.3">
      <c r="A7" t="s">
        <v>81</v>
      </c>
      <c r="B7">
        <v>3</v>
      </c>
    </row>
    <row r="8" spans="1:8" x14ac:dyDescent="0.3">
      <c r="A8" t="s">
        <v>82</v>
      </c>
      <c r="B8">
        <v>0</v>
      </c>
    </row>
    <row r="9" spans="1:8" x14ac:dyDescent="0.3">
      <c r="A9" t="s">
        <v>75</v>
      </c>
      <c r="B9">
        <f>SQRT(B7^2+B8^2)</f>
        <v>3</v>
      </c>
    </row>
    <row r="11" spans="1:8" x14ac:dyDescent="0.3">
      <c r="A11" t="s">
        <v>83</v>
      </c>
      <c r="B11">
        <v>4</v>
      </c>
    </row>
    <row r="12" spans="1:8" x14ac:dyDescent="0.3">
      <c r="A12" t="s">
        <v>84</v>
      </c>
      <c r="B12">
        <v>0</v>
      </c>
    </row>
    <row r="13" spans="1:8" x14ac:dyDescent="0.3">
      <c r="A13" t="s">
        <v>76</v>
      </c>
      <c r="B13">
        <f>SQRT(B11^2+B12^2)</f>
        <v>4</v>
      </c>
    </row>
    <row r="15" spans="1:8" x14ac:dyDescent="0.3">
      <c r="A15" t="s">
        <v>85</v>
      </c>
      <c r="B15">
        <f>B7+B11-B19</f>
        <v>6</v>
      </c>
    </row>
    <row r="16" spans="1:8" x14ac:dyDescent="0.3">
      <c r="A16" t="s">
        <v>86</v>
      </c>
      <c r="B16">
        <v>0</v>
      </c>
    </row>
    <row r="17" spans="1:2" x14ac:dyDescent="0.3">
      <c r="A17" t="s">
        <v>79</v>
      </c>
      <c r="B17">
        <f>SQRT(B15^2+B16^2)</f>
        <v>6</v>
      </c>
    </row>
    <row r="19" spans="1:2" x14ac:dyDescent="0.3">
      <c r="A19" t="s">
        <v>87</v>
      </c>
      <c r="B19">
        <v>1</v>
      </c>
    </row>
    <row r="20" spans="1:2" x14ac:dyDescent="0.3">
      <c r="A20" t="s">
        <v>88</v>
      </c>
      <c r="B20">
        <v>0</v>
      </c>
    </row>
    <row r="21" spans="1:2" x14ac:dyDescent="0.3">
      <c r="A21" t="s">
        <v>80</v>
      </c>
      <c r="B21">
        <f>SQRT(B19^2+B20^2)</f>
        <v>1</v>
      </c>
    </row>
    <row r="23" spans="1:2" x14ac:dyDescent="0.3">
      <c r="B23" t="s">
        <v>74</v>
      </c>
    </row>
    <row r="24" spans="1:2" x14ac:dyDescent="0.3">
      <c r="B24">
        <f>-(B7-B11)/(B15-B19)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Vector</vt:lpstr>
      <vt:lpstr>Cinematica</vt:lpstr>
      <vt:lpstr>Dinamica</vt:lpstr>
      <vt:lpstr>Energy</vt:lpstr>
      <vt:lpstr>Colisiones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Danko</dc:creator>
  <cp:lastModifiedBy>Danko</cp:lastModifiedBy>
  <dcterms:created xsi:type="dcterms:W3CDTF">2015-06-05T18:19:34Z</dcterms:created>
  <dcterms:modified xsi:type="dcterms:W3CDTF">2020-07-05T14:11:32Z</dcterms:modified>
</cp:coreProperties>
</file>