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8"/>
  <workbookPr/>
  <mc:AlternateContent xmlns:mc="http://schemas.openxmlformats.org/markup-compatibility/2006">
    <mc:Choice Requires="x15">
      <x15ac:absPath xmlns:x15ac="http://schemas.microsoft.com/office/spreadsheetml/2010/11/ac" url="C:\Users\Dann\Downloads\Reformado\"/>
    </mc:Choice>
  </mc:AlternateContent>
  <xr:revisionPtr revIDLastSave="1" documentId="13_ncr:1_{6635DEF0-C793-4144-9FF2-8242B089B09D}" xr6:coauthVersionLast="47" xr6:coauthVersionMax="47" xr10:uidLastSave="{2052E1A8-9778-4741-BF4F-E6B403B87C1D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88" i="1"/>
  <c r="A96" i="1"/>
  <c r="A104" i="1"/>
  <c r="A112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4" i="1"/>
  <c r="A132" i="1"/>
  <c r="A140" i="1"/>
  <c r="A148" i="1"/>
  <c r="A88" i="1"/>
  <c r="B79" i="1"/>
  <c r="B80" i="1"/>
  <c r="B81" i="1"/>
  <c r="B82" i="1"/>
  <c r="B83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52" i="1"/>
  <c r="A68" i="1"/>
  <c r="A76" i="1"/>
  <c r="A60" i="1"/>
  <c r="A52" i="1"/>
  <c r="A124" i="1"/>
  <c r="P119" i="1"/>
  <c r="R119" i="1" s="1"/>
  <c r="K119" i="1"/>
  <c r="E119" i="1"/>
  <c r="P118" i="1"/>
  <c r="R118" i="1" s="1"/>
  <c r="K118" i="1"/>
  <c r="E118" i="1"/>
  <c r="P117" i="1"/>
  <c r="R117" i="1" s="1"/>
  <c r="K117" i="1"/>
  <c r="E117" i="1"/>
  <c r="P116" i="1"/>
  <c r="R116" i="1" s="1"/>
  <c r="K116" i="1"/>
  <c r="E116" i="1"/>
  <c r="P115" i="1"/>
  <c r="R115" i="1" s="1"/>
  <c r="K115" i="1"/>
  <c r="E115" i="1"/>
  <c r="P114" i="1"/>
  <c r="R114" i="1" s="1"/>
  <c r="K114" i="1"/>
  <c r="E114" i="1"/>
  <c r="P113" i="1"/>
  <c r="R113" i="1" s="1"/>
  <c r="K113" i="1"/>
  <c r="E113" i="1"/>
  <c r="P112" i="1"/>
  <c r="R112" i="1" s="1"/>
  <c r="K112" i="1"/>
  <c r="E112" i="1"/>
  <c r="P111" i="1"/>
  <c r="R111" i="1" s="1"/>
  <c r="K111" i="1"/>
  <c r="E111" i="1"/>
  <c r="P110" i="1"/>
  <c r="R110" i="1" s="1"/>
  <c r="K110" i="1"/>
  <c r="E110" i="1"/>
  <c r="P109" i="1"/>
  <c r="R109" i="1" s="1"/>
  <c r="K109" i="1"/>
  <c r="E109" i="1"/>
  <c r="P108" i="1"/>
  <c r="R108" i="1" s="1"/>
  <c r="K108" i="1"/>
  <c r="E108" i="1"/>
  <c r="P107" i="1"/>
  <c r="R107" i="1" s="1"/>
  <c r="K107" i="1"/>
  <c r="E107" i="1"/>
  <c r="P106" i="1"/>
  <c r="R106" i="1" s="1"/>
  <c r="K106" i="1"/>
  <c r="E106" i="1"/>
  <c r="P105" i="1"/>
  <c r="R105" i="1" s="1"/>
  <c r="K105" i="1"/>
  <c r="E105" i="1"/>
  <c r="P104" i="1"/>
  <c r="R104" i="1" s="1"/>
  <c r="K104" i="1"/>
  <c r="E104" i="1"/>
  <c r="P103" i="1"/>
  <c r="R103" i="1" s="1"/>
  <c r="K103" i="1"/>
  <c r="E103" i="1"/>
  <c r="P102" i="1"/>
  <c r="R102" i="1" s="1"/>
  <c r="K102" i="1"/>
  <c r="E102" i="1"/>
  <c r="P101" i="1"/>
  <c r="R101" i="1" s="1"/>
  <c r="K101" i="1"/>
  <c r="E101" i="1"/>
  <c r="P100" i="1"/>
  <c r="R100" i="1" s="1"/>
  <c r="K100" i="1"/>
  <c r="E100" i="1"/>
  <c r="P99" i="1"/>
  <c r="R99" i="1" s="1"/>
  <c r="K99" i="1"/>
  <c r="E99" i="1"/>
  <c r="P98" i="1"/>
  <c r="R98" i="1" s="1"/>
  <c r="K98" i="1"/>
  <c r="E98" i="1"/>
  <c r="P97" i="1"/>
  <c r="R97" i="1" s="1"/>
  <c r="K97" i="1"/>
  <c r="E97" i="1"/>
  <c r="P96" i="1"/>
  <c r="R96" i="1" s="1"/>
  <c r="K96" i="1"/>
  <c r="E96" i="1"/>
  <c r="P95" i="1"/>
  <c r="R95" i="1" s="1"/>
  <c r="K95" i="1"/>
  <c r="E95" i="1"/>
  <c r="P94" i="1"/>
  <c r="R94" i="1" s="1"/>
  <c r="K94" i="1"/>
  <c r="E94" i="1"/>
  <c r="P93" i="1"/>
  <c r="R93" i="1" s="1"/>
  <c r="K93" i="1"/>
  <c r="E93" i="1"/>
  <c r="P92" i="1"/>
  <c r="R92" i="1" s="1"/>
  <c r="K92" i="1"/>
  <c r="E92" i="1"/>
  <c r="P91" i="1"/>
  <c r="R91" i="1" s="1"/>
  <c r="K91" i="1"/>
  <c r="E91" i="1"/>
  <c r="P90" i="1"/>
  <c r="R90" i="1" s="1"/>
  <c r="K90" i="1"/>
  <c r="E90" i="1"/>
  <c r="P89" i="1"/>
  <c r="R89" i="1" s="1"/>
  <c r="K89" i="1"/>
  <c r="E89" i="1"/>
  <c r="P88" i="1"/>
  <c r="R88" i="1" s="1"/>
  <c r="K88" i="1"/>
  <c r="E88" i="1"/>
  <c r="D8" i="1"/>
  <c r="D7" i="1"/>
  <c r="C33" i="1" l="1"/>
  <c r="E33" i="1" s="1"/>
  <c r="F33" i="1" s="1"/>
  <c r="H33" i="1" s="1"/>
  <c r="J33" i="1" s="1"/>
  <c r="K33" i="1" s="1"/>
  <c r="C30" i="1"/>
  <c r="E30" i="1" s="1"/>
  <c r="F30" i="1" s="1"/>
  <c r="H30" i="1" s="1"/>
  <c r="J30" i="1" s="1"/>
  <c r="K30" i="1" s="1"/>
  <c r="L30" i="1"/>
  <c r="C102" i="1"/>
  <c r="F102" i="1" s="1"/>
  <c r="J102" i="1" s="1"/>
  <c r="L33" i="1"/>
  <c r="G105" i="1"/>
  <c r="C37" i="1"/>
  <c r="C25" i="1"/>
  <c r="C35" i="1"/>
  <c r="C47" i="1"/>
  <c r="C46" i="1"/>
  <c r="C45" i="1"/>
  <c r="C44" i="1"/>
  <c r="C43" i="1"/>
  <c r="C42" i="1"/>
  <c r="C41" i="1"/>
  <c r="C40" i="1"/>
  <c r="C39" i="1"/>
  <c r="C38" i="1"/>
  <c r="C16" i="1"/>
  <c r="D9" i="1"/>
  <c r="C24" i="1"/>
  <c r="C23" i="1"/>
  <c r="C22" i="1"/>
  <c r="C21" i="1"/>
  <c r="C20" i="1"/>
  <c r="C19" i="1"/>
  <c r="C18" i="1"/>
  <c r="C36" i="1"/>
  <c r="C27" i="1"/>
  <c r="C31" i="1"/>
  <c r="C34" i="1"/>
  <c r="C28" i="1"/>
  <c r="D33" i="1"/>
  <c r="P30" i="1"/>
  <c r="Q30" i="1" s="1"/>
  <c r="R30" i="1" s="1"/>
  <c r="C66" i="1" s="1"/>
  <c r="D30" i="1"/>
  <c r="C17" i="1"/>
  <c r="C29" i="1"/>
  <c r="C26" i="1"/>
  <c r="C32" i="1"/>
  <c r="L102" i="1" l="1"/>
  <c r="M102" i="1" s="1"/>
  <c r="C138" i="1" s="1"/>
  <c r="E16" i="1"/>
  <c r="F16" i="1" s="1"/>
  <c r="H16" i="1" s="1"/>
  <c r="J16" i="1" s="1"/>
  <c r="K16" i="1" s="1"/>
  <c r="D16" i="1"/>
  <c r="D38" i="1"/>
  <c r="E38" i="1"/>
  <c r="F38" i="1" s="1"/>
  <c r="H38" i="1" s="1"/>
  <c r="J38" i="1" s="1"/>
  <c r="K38" i="1" s="1"/>
  <c r="D27" i="1"/>
  <c r="E27" i="1"/>
  <c r="F27" i="1" s="1"/>
  <c r="H27" i="1" s="1"/>
  <c r="J27" i="1" s="1"/>
  <c r="K27" i="1" s="1"/>
  <c r="D36" i="1"/>
  <c r="E36" i="1"/>
  <c r="F36" i="1" s="1"/>
  <c r="H36" i="1" s="1"/>
  <c r="J36" i="1" s="1"/>
  <c r="K36" i="1" s="1"/>
  <c r="E18" i="1"/>
  <c r="F18" i="1" s="1"/>
  <c r="H18" i="1" s="1"/>
  <c r="J18" i="1" s="1"/>
  <c r="K18" i="1" s="1"/>
  <c r="D18" i="1"/>
  <c r="D42" i="1"/>
  <c r="E42" i="1"/>
  <c r="F42" i="1" s="1"/>
  <c r="H42" i="1" s="1"/>
  <c r="J42" i="1" s="1"/>
  <c r="K42" i="1" s="1"/>
  <c r="N33" i="1"/>
  <c r="M33" i="1"/>
  <c r="D25" i="1"/>
  <c r="E25" i="1"/>
  <c r="F25" i="1" s="1"/>
  <c r="H25" i="1" s="1"/>
  <c r="J25" i="1" s="1"/>
  <c r="K25" i="1" s="1"/>
  <c r="D37" i="1"/>
  <c r="E37" i="1"/>
  <c r="F37" i="1" s="1"/>
  <c r="H37" i="1" s="1"/>
  <c r="J37" i="1" s="1"/>
  <c r="K37" i="1" s="1"/>
  <c r="D39" i="1"/>
  <c r="E39" i="1"/>
  <c r="F39" i="1" s="1"/>
  <c r="H39" i="1" s="1"/>
  <c r="J39" i="1" s="1"/>
  <c r="K39" i="1" s="1"/>
  <c r="D32" i="1"/>
  <c r="E32" i="1"/>
  <c r="F32" i="1" s="1"/>
  <c r="H32" i="1" s="1"/>
  <c r="J32" i="1" s="1"/>
  <c r="K32" i="1" s="1"/>
  <c r="E40" i="1"/>
  <c r="F40" i="1" s="1"/>
  <c r="H40" i="1" s="1"/>
  <c r="J40" i="1" s="1"/>
  <c r="K40" i="1" s="1"/>
  <c r="D40" i="1"/>
  <c r="D26" i="1"/>
  <c r="E26" i="1"/>
  <c r="F26" i="1" s="1"/>
  <c r="H26" i="1" s="1"/>
  <c r="J26" i="1" s="1"/>
  <c r="K26" i="1" s="1"/>
  <c r="D29" i="1"/>
  <c r="E29" i="1"/>
  <c r="F29" i="1" s="1"/>
  <c r="H29" i="1" s="1"/>
  <c r="J29" i="1" s="1"/>
  <c r="K29" i="1" s="1"/>
  <c r="D66" i="1"/>
  <c r="D34" i="1"/>
  <c r="E34" i="1"/>
  <c r="F34" i="1" s="1"/>
  <c r="H34" i="1" s="1"/>
  <c r="J34" i="1" s="1"/>
  <c r="K34" i="1" s="1"/>
  <c r="D31" i="1"/>
  <c r="E31" i="1"/>
  <c r="F31" i="1" s="1"/>
  <c r="H31" i="1" s="1"/>
  <c r="J31" i="1" s="1"/>
  <c r="K31" i="1" s="1"/>
  <c r="D41" i="1"/>
  <c r="E41" i="1"/>
  <c r="F41" i="1" s="1"/>
  <c r="H41" i="1" s="1"/>
  <c r="J41" i="1" s="1"/>
  <c r="K41" i="1" s="1"/>
  <c r="E19" i="1"/>
  <c r="F19" i="1" s="1"/>
  <c r="H19" i="1" s="1"/>
  <c r="J19" i="1" s="1"/>
  <c r="K19" i="1" s="1"/>
  <c r="D19" i="1"/>
  <c r="D17" i="1"/>
  <c r="E17" i="1"/>
  <c r="F17" i="1" s="1"/>
  <c r="H17" i="1" s="1"/>
  <c r="J17" i="1" s="1"/>
  <c r="K17" i="1" s="1"/>
  <c r="E20" i="1"/>
  <c r="F20" i="1" s="1"/>
  <c r="H20" i="1" s="1"/>
  <c r="J20" i="1" s="1"/>
  <c r="K20" i="1" s="1"/>
  <c r="D20" i="1"/>
  <c r="D43" i="1"/>
  <c r="E43" i="1"/>
  <c r="F43" i="1" s="1"/>
  <c r="H43" i="1" s="1"/>
  <c r="J43" i="1" s="1"/>
  <c r="K43" i="1" s="1"/>
  <c r="C105" i="1"/>
  <c r="F105" i="1" s="1"/>
  <c r="E21" i="1"/>
  <c r="F21" i="1" s="1"/>
  <c r="H21" i="1" s="1"/>
  <c r="J21" i="1" s="1"/>
  <c r="K21" i="1" s="1"/>
  <c r="D21" i="1"/>
  <c r="D44" i="1"/>
  <c r="E44" i="1"/>
  <c r="F44" i="1" s="1"/>
  <c r="H44" i="1" s="1"/>
  <c r="J44" i="1" s="1"/>
  <c r="K44" i="1" s="1"/>
  <c r="D46" i="1"/>
  <c r="E46" i="1"/>
  <c r="F46" i="1" s="1"/>
  <c r="H46" i="1" s="1"/>
  <c r="J46" i="1" s="1"/>
  <c r="K46" i="1" s="1"/>
  <c r="E22" i="1"/>
  <c r="F22" i="1" s="1"/>
  <c r="H22" i="1" s="1"/>
  <c r="J22" i="1" s="1"/>
  <c r="K22" i="1" s="1"/>
  <c r="D22" i="1"/>
  <c r="D45" i="1"/>
  <c r="E45" i="1"/>
  <c r="F45" i="1" s="1"/>
  <c r="H45" i="1" s="1"/>
  <c r="J45" i="1" s="1"/>
  <c r="K45" i="1" s="1"/>
  <c r="E23" i="1"/>
  <c r="F23" i="1" s="1"/>
  <c r="H23" i="1" s="1"/>
  <c r="J23" i="1" s="1"/>
  <c r="K23" i="1" s="1"/>
  <c r="D23" i="1"/>
  <c r="P33" i="1"/>
  <c r="Q33" i="1" s="1"/>
  <c r="R33" i="1" s="1"/>
  <c r="C69" i="1" s="1"/>
  <c r="D24" i="1"/>
  <c r="E24" i="1"/>
  <c r="F24" i="1" s="1"/>
  <c r="H24" i="1" s="1"/>
  <c r="J24" i="1" s="1"/>
  <c r="K24" i="1" s="1"/>
  <c r="E47" i="1"/>
  <c r="F47" i="1" s="1"/>
  <c r="H47" i="1" s="1"/>
  <c r="J47" i="1" s="1"/>
  <c r="K47" i="1" s="1"/>
  <c r="D47" i="1"/>
  <c r="N30" i="1"/>
  <c r="M30" i="1"/>
  <c r="D28" i="1"/>
  <c r="E28" i="1"/>
  <c r="F28" i="1" s="1"/>
  <c r="H28" i="1" s="1"/>
  <c r="J28" i="1" s="1"/>
  <c r="K28" i="1" s="1"/>
  <c r="E35" i="1"/>
  <c r="F35" i="1" s="1"/>
  <c r="H35" i="1" s="1"/>
  <c r="J35" i="1" s="1"/>
  <c r="K35" i="1" s="1"/>
  <c r="D35" i="1"/>
  <c r="G102" i="1"/>
  <c r="H102" i="1" s="1"/>
  <c r="L25" i="1" l="1"/>
  <c r="G97" i="1"/>
  <c r="L23" i="1"/>
  <c r="G95" i="1"/>
  <c r="C95" i="1"/>
  <c r="F95" i="1" s="1"/>
  <c r="L34" i="1"/>
  <c r="G106" i="1" s="1"/>
  <c r="L36" i="1"/>
  <c r="G108" i="1" s="1"/>
  <c r="L17" i="1"/>
  <c r="G89" i="1"/>
  <c r="C89" i="1"/>
  <c r="F89" i="1" s="1"/>
  <c r="H89" i="1" s="1"/>
  <c r="L40" i="1"/>
  <c r="C112" i="1" s="1"/>
  <c r="F112" i="1" s="1"/>
  <c r="J112" i="1" s="1"/>
  <c r="L45" i="1"/>
  <c r="L21" i="1"/>
  <c r="C93" i="1" s="1"/>
  <c r="F93" i="1" s="1"/>
  <c r="P21" i="1"/>
  <c r="Q21" i="1" s="1"/>
  <c r="R21" i="1" s="1"/>
  <c r="C57" i="1" s="1"/>
  <c r="L29" i="1"/>
  <c r="C101" i="1" s="1"/>
  <c r="F101" i="1" s="1"/>
  <c r="L38" i="1"/>
  <c r="G110" i="1" s="1"/>
  <c r="C110" i="1"/>
  <c r="F110" i="1" s="1"/>
  <c r="J110" i="1" s="1"/>
  <c r="L27" i="1"/>
  <c r="L47" i="1"/>
  <c r="L42" i="1"/>
  <c r="G114" i="1" s="1"/>
  <c r="C114" i="1"/>
  <c r="F114" i="1" s="1"/>
  <c r="H114" i="1" s="1"/>
  <c r="J114" i="1"/>
  <c r="L43" i="1"/>
  <c r="P42" i="1"/>
  <c r="Q42" i="1" s="1"/>
  <c r="R42" i="1" s="1"/>
  <c r="C78" i="1" s="1"/>
  <c r="P38" i="1"/>
  <c r="Q38" i="1" s="1"/>
  <c r="R38" i="1" s="1"/>
  <c r="C74" i="1" s="1"/>
  <c r="L44" i="1"/>
  <c r="F66" i="1"/>
  <c r="G66" i="1" s="1"/>
  <c r="E66" i="1"/>
  <c r="P27" i="1"/>
  <c r="Q27" i="1" s="1"/>
  <c r="R27" i="1" s="1"/>
  <c r="C63" i="1" s="1"/>
  <c r="H105" i="1"/>
  <c r="J105" i="1"/>
  <c r="L39" i="1"/>
  <c r="C111" i="1" s="1"/>
  <c r="F111" i="1" s="1"/>
  <c r="J111" i="1" s="1"/>
  <c r="G111" i="1"/>
  <c r="L24" i="1"/>
  <c r="C96" i="1"/>
  <c r="F96" i="1" s="1"/>
  <c r="G96" i="1"/>
  <c r="L41" i="1"/>
  <c r="G113" i="1" s="1"/>
  <c r="P24" i="1"/>
  <c r="Q24" i="1" s="1"/>
  <c r="R24" i="1" s="1"/>
  <c r="C60" i="1" s="1"/>
  <c r="P43" i="1"/>
  <c r="Q43" i="1" s="1"/>
  <c r="R43" i="1" s="1"/>
  <c r="C79" i="1" s="1"/>
  <c r="P41" i="1"/>
  <c r="Q41" i="1" s="1"/>
  <c r="R41" i="1" s="1"/>
  <c r="C77" i="1" s="1"/>
  <c r="L19" i="1"/>
  <c r="G91" i="1"/>
  <c r="L46" i="1"/>
  <c r="C118" i="1" s="1"/>
  <c r="F118" i="1" s="1"/>
  <c r="L26" i="1"/>
  <c r="G98" i="1"/>
  <c r="L37" i="1"/>
  <c r="C109" i="1" s="1"/>
  <c r="F109" i="1" s="1"/>
  <c r="L35" i="1"/>
  <c r="P35" i="1" s="1"/>
  <c r="Q35" i="1" s="1"/>
  <c r="R35" i="1" s="1"/>
  <c r="C71" i="1" s="1"/>
  <c r="D69" i="1"/>
  <c r="P37" i="1"/>
  <c r="Q37" i="1" s="1"/>
  <c r="R37" i="1" s="1"/>
  <c r="C73" i="1" s="1"/>
  <c r="L18" i="1"/>
  <c r="C90" i="1" s="1"/>
  <c r="F90" i="1" s="1"/>
  <c r="L16" i="1"/>
  <c r="C88" i="1"/>
  <c r="F88" i="1" s="1"/>
  <c r="L32" i="1"/>
  <c r="C104" i="1" s="1"/>
  <c r="F104" i="1" s="1"/>
  <c r="G104" i="1"/>
  <c r="L22" i="1"/>
  <c r="P22" i="1" s="1"/>
  <c r="Q22" i="1" s="1"/>
  <c r="R22" i="1" s="1"/>
  <c r="C58" i="1" s="1"/>
  <c r="C94" i="1"/>
  <c r="F94" i="1" s="1"/>
  <c r="J94" i="1" s="1"/>
  <c r="P19" i="1"/>
  <c r="Q19" i="1" s="1"/>
  <c r="R19" i="1" s="1"/>
  <c r="C55" i="1" s="1"/>
  <c r="L28" i="1"/>
  <c r="L31" i="1"/>
  <c r="L20" i="1"/>
  <c r="P26" i="1"/>
  <c r="Q26" i="1" s="1"/>
  <c r="R26" i="1" s="1"/>
  <c r="C62" i="1" s="1"/>
  <c r="P18" i="1"/>
  <c r="Q18" i="1" s="1"/>
  <c r="R18" i="1" s="1"/>
  <c r="C54" i="1" s="1"/>
  <c r="P16" i="1"/>
  <c r="Q16" i="1" s="1"/>
  <c r="R16" i="1" s="1"/>
  <c r="C52" i="1" s="1"/>
  <c r="L94" i="1" l="1"/>
  <c r="M94" i="1" s="1"/>
  <c r="C130" i="1" s="1"/>
  <c r="H104" i="1"/>
  <c r="L111" i="1"/>
  <c r="M111" i="1" s="1"/>
  <c r="L105" i="1"/>
  <c r="M105" i="1" s="1"/>
  <c r="C141" i="1" s="1"/>
  <c r="G116" i="1"/>
  <c r="C116" i="1"/>
  <c r="F116" i="1" s="1"/>
  <c r="H116" i="1" s="1"/>
  <c r="L114" i="1"/>
  <c r="M114" i="1" s="1"/>
  <c r="C150" i="1" s="1"/>
  <c r="C99" i="1"/>
  <c r="F99" i="1" s="1"/>
  <c r="G99" i="1"/>
  <c r="L110" i="1"/>
  <c r="M110" i="1" s="1"/>
  <c r="C146" i="1" s="1"/>
  <c r="L112" i="1"/>
  <c r="M112" i="1" s="1"/>
  <c r="H95" i="1"/>
  <c r="J95" i="1"/>
  <c r="J90" i="1"/>
  <c r="D71" i="1"/>
  <c r="J109" i="1"/>
  <c r="D58" i="1"/>
  <c r="J101" i="1"/>
  <c r="J118" i="1"/>
  <c r="J93" i="1"/>
  <c r="H99" i="1"/>
  <c r="N40" i="1"/>
  <c r="M40" i="1"/>
  <c r="N31" i="1"/>
  <c r="M31" i="1"/>
  <c r="P31" i="1"/>
  <c r="Q31" i="1" s="1"/>
  <c r="R31" i="1" s="1"/>
  <c r="C67" i="1" s="1"/>
  <c r="D52" i="1"/>
  <c r="D60" i="1"/>
  <c r="N42" i="1"/>
  <c r="M42" i="1"/>
  <c r="N46" i="1"/>
  <c r="M46" i="1"/>
  <c r="D79" i="1"/>
  <c r="N18" i="1"/>
  <c r="M18" i="1"/>
  <c r="N37" i="1"/>
  <c r="M37" i="1"/>
  <c r="G118" i="1"/>
  <c r="H118" i="1" s="1"/>
  <c r="N39" i="1"/>
  <c r="M39" i="1"/>
  <c r="J116" i="1"/>
  <c r="H110" i="1"/>
  <c r="N21" i="1"/>
  <c r="M21" i="1"/>
  <c r="G112" i="1"/>
  <c r="H112" i="1" s="1"/>
  <c r="D57" i="1"/>
  <c r="D54" i="1"/>
  <c r="N28" i="1"/>
  <c r="M28" i="1"/>
  <c r="P28" i="1"/>
  <c r="Q28" i="1" s="1"/>
  <c r="R28" i="1" s="1"/>
  <c r="C64" i="1" s="1"/>
  <c r="N32" i="1"/>
  <c r="M32" i="1"/>
  <c r="G90" i="1"/>
  <c r="H90" i="1" s="1"/>
  <c r="G109" i="1"/>
  <c r="H109" i="1" s="1"/>
  <c r="D74" i="1"/>
  <c r="N47" i="1"/>
  <c r="M47" i="1"/>
  <c r="P47" i="1"/>
  <c r="Q47" i="1" s="1"/>
  <c r="R47" i="1" s="1"/>
  <c r="C83" i="1" s="1"/>
  <c r="N38" i="1"/>
  <c r="M38" i="1"/>
  <c r="G93" i="1"/>
  <c r="H93" i="1" s="1"/>
  <c r="N25" i="1"/>
  <c r="M25" i="1"/>
  <c r="N43" i="1"/>
  <c r="M43" i="1"/>
  <c r="C119" i="1"/>
  <c r="F119" i="1" s="1"/>
  <c r="P25" i="1"/>
  <c r="Q25" i="1" s="1"/>
  <c r="R25" i="1" s="1"/>
  <c r="C61" i="1" s="1"/>
  <c r="C106" i="1"/>
  <c r="F106" i="1" s="1"/>
  <c r="C97" i="1"/>
  <c r="F97" i="1" s="1"/>
  <c r="N20" i="1"/>
  <c r="M20" i="1"/>
  <c r="P20" i="1"/>
  <c r="Q20" i="1" s="1"/>
  <c r="R20" i="1" s="1"/>
  <c r="C56" i="1" s="1"/>
  <c r="P46" i="1"/>
  <c r="Q46" i="1" s="1"/>
  <c r="R46" i="1" s="1"/>
  <c r="C82" i="1" s="1"/>
  <c r="G119" i="1"/>
  <c r="P40" i="1"/>
  <c r="Q40" i="1" s="1"/>
  <c r="R40" i="1" s="1"/>
  <c r="C76" i="1" s="1"/>
  <c r="M36" i="1"/>
  <c r="N36" i="1"/>
  <c r="H111" i="1"/>
  <c r="F69" i="1"/>
  <c r="G69" i="1" s="1"/>
  <c r="E69" i="1"/>
  <c r="N19" i="1"/>
  <c r="M19" i="1"/>
  <c r="D63" i="1"/>
  <c r="N45" i="1"/>
  <c r="M45" i="1"/>
  <c r="P45" i="1"/>
  <c r="Q45" i="1" s="1"/>
  <c r="R45" i="1" s="1"/>
  <c r="C81" i="1" s="1"/>
  <c r="D77" i="1"/>
  <c r="D78" i="1"/>
  <c r="N34" i="1"/>
  <c r="M34" i="1"/>
  <c r="P34" i="1"/>
  <c r="Q34" i="1" s="1"/>
  <c r="R34" i="1" s="1"/>
  <c r="C70" i="1" s="1"/>
  <c r="G100" i="1"/>
  <c r="D55" i="1"/>
  <c r="N35" i="1"/>
  <c r="M35" i="1"/>
  <c r="H96" i="1"/>
  <c r="M29" i="1"/>
  <c r="N29" i="1"/>
  <c r="J89" i="1"/>
  <c r="P36" i="1"/>
  <c r="Q36" i="1" s="1"/>
  <c r="R36" i="1" s="1"/>
  <c r="C72" i="1" s="1"/>
  <c r="D62" i="1"/>
  <c r="C100" i="1"/>
  <c r="F100" i="1" s="1"/>
  <c r="M41" i="1"/>
  <c r="N41" i="1"/>
  <c r="J104" i="1"/>
  <c r="C113" i="1"/>
  <c r="F113" i="1" s="1"/>
  <c r="M16" i="1"/>
  <c r="N16" i="1"/>
  <c r="N26" i="1"/>
  <c r="M26" i="1"/>
  <c r="J99" i="1"/>
  <c r="C103" i="1"/>
  <c r="F103" i="1" s="1"/>
  <c r="C107" i="1"/>
  <c r="F107" i="1" s="1"/>
  <c r="P39" i="1"/>
  <c r="Q39" i="1" s="1"/>
  <c r="R39" i="1" s="1"/>
  <c r="C75" i="1" s="1"/>
  <c r="H66" i="1"/>
  <c r="I66" i="1" s="1"/>
  <c r="J66" i="1" s="1"/>
  <c r="L66" i="1"/>
  <c r="M66" i="1"/>
  <c r="G115" i="1"/>
  <c r="N27" i="1"/>
  <c r="M27" i="1"/>
  <c r="G101" i="1"/>
  <c r="H101" i="1" s="1"/>
  <c r="C117" i="1"/>
  <c r="F117" i="1" s="1"/>
  <c r="N17" i="1"/>
  <c r="M17" i="1"/>
  <c r="P17" i="1"/>
  <c r="Q17" i="1" s="1"/>
  <c r="R17" i="1" s="1"/>
  <c r="C53" i="1" s="1"/>
  <c r="P32" i="1"/>
  <c r="Q32" i="1" s="1"/>
  <c r="R32" i="1" s="1"/>
  <c r="C68" i="1" s="1"/>
  <c r="D73" i="1"/>
  <c r="C92" i="1"/>
  <c r="F92" i="1" s="1"/>
  <c r="G92" i="1"/>
  <c r="C91" i="1"/>
  <c r="F91" i="1" s="1"/>
  <c r="C115" i="1"/>
  <c r="F115" i="1" s="1"/>
  <c r="N22" i="1"/>
  <c r="M22" i="1"/>
  <c r="G88" i="1"/>
  <c r="H88" i="1" s="1"/>
  <c r="J96" i="1"/>
  <c r="G103" i="1"/>
  <c r="G94" i="1"/>
  <c r="H94" i="1" s="1"/>
  <c r="J88" i="1"/>
  <c r="G107" i="1"/>
  <c r="C98" i="1"/>
  <c r="F98" i="1" s="1"/>
  <c r="P29" i="1"/>
  <c r="Q29" i="1" s="1"/>
  <c r="R29" i="1" s="1"/>
  <c r="C65" i="1" s="1"/>
  <c r="N24" i="1"/>
  <c r="M24" i="1"/>
  <c r="N44" i="1"/>
  <c r="M44" i="1"/>
  <c r="G117" i="1"/>
  <c r="C108" i="1"/>
  <c r="F108" i="1" s="1"/>
  <c r="N23" i="1"/>
  <c r="M23" i="1"/>
  <c r="P23" i="1"/>
  <c r="Q23" i="1" s="1"/>
  <c r="R23" i="1" s="1"/>
  <c r="C59" i="1" s="1"/>
  <c r="P44" i="1"/>
  <c r="Q44" i="1" s="1"/>
  <c r="R44" i="1" s="1"/>
  <c r="C80" i="1" s="1"/>
  <c r="L88" i="1" l="1"/>
  <c r="M88" i="1" s="1"/>
  <c r="C124" i="1" s="1"/>
  <c r="L96" i="1"/>
  <c r="M96" i="1" s="1"/>
  <c r="C132" i="1" s="1"/>
  <c r="L99" i="1"/>
  <c r="M99" i="1" s="1"/>
  <c r="C135" i="1" s="1"/>
  <c r="L104" i="1"/>
  <c r="M104" i="1" s="1"/>
  <c r="C140" i="1" s="1"/>
  <c r="L89" i="1"/>
  <c r="M89" i="1" s="1"/>
  <c r="C125" i="1" s="1"/>
  <c r="L116" i="1"/>
  <c r="M116" i="1" s="1"/>
  <c r="C152" i="1" s="1"/>
  <c r="L93" i="1"/>
  <c r="M93" i="1" s="1"/>
  <c r="C129" i="1" s="1"/>
  <c r="L118" i="1"/>
  <c r="M118" i="1" s="1"/>
  <c r="C154" i="1" s="1"/>
  <c r="L101" i="1"/>
  <c r="M101" i="1" s="1"/>
  <c r="C137" i="1" s="1"/>
  <c r="L109" i="1"/>
  <c r="M109" i="1" s="1"/>
  <c r="C145" i="1" s="1"/>
  <c r="L90" i="1"/>
  <c r="M90" i="1" s="1"/>
  <c r="C126" i="1" s="1"/>
  <c r="L95" i="1"/>
  <c r="M95" i="1" s="1"/>
  <c r="C131" i="1" s="1"/>
  <c r="C148" i="1"/>
  <c r="C147" i="1"/>
  <c r="D64" i="1"/>
  <c r="D67" i="1"/>
  <c r="F77" i="1"/>
  <c r="G77" i="1" s="1"/>
  <c r="E77" i="1"/>
  <c r="D61" i="1"/>
  <c r="H119" i="1"/>
  <c r="J119" i="1"/>
  <c r="D83" i="1"/>
  <c r="F79" i="1"/>
  <c r="G79" i="1" s="1"/>
  <c r="E79" i="1"/>
  <c r="H100" i="1"/>
  <c r="J100" i="1"/>
  <c r="H115" i="1"/>
  <c r="J115" i="1"/>
  <c r="F62" i="1"/>
  <c r="G62" i="1" s="1"/>
  <c r="E62" i="1"/>
  <c r="H98" i="1"/>
  <c r="J98" i="1"/>
  <c r="D72" i="1"/>
  <c r="H97" i="1"/>
  <c r="J97" i="1"/>
  <c r="D65" i="1"/>
  <c r="D70" i="1"/>
  <c r="D76" i="1"/>
  <c r="F58" i="1"/>
  <c r="G58" i="1" s="1"/>
  <c r="E58" i="1"/>
  <c r="H106" i="1"/>
  <c r="J106" i="1"/>
  <c r="F55" i="1"/>
  <c r="G55" i="1" s="1"/>
  <c r="E55" i="1"/>
  <c r="E63" i="1"/>
  <c r="F63" i="1"/>
  <c r="G63" i="1" s="1"/>
  <c r="H91" i="1"/>
  <c r="J91" i="1"/>
  <c r="H92" i="1"/>
  <c r="J92" i="1"/>
  <c r="D82" i="1"/>
  <c r="F54" i="1"/>
  <c r="G54" i="1" s="1"/>
  <c r="E54" i="1"/>
  <c r="H117" i="1"/>
  <c r="J117" i="1"/>
  <c r="E52" i="1"/>
  <c r="F52" i="1"/>
  <c r="G52" i="1" s="1"/>
  <c r="H108" i="1"/>
  <c r="J108" i="1"/>
  <c r="E73" i="1"/>
  <c r="F73" i="1"/>
  <c r="G73" i="1" s="1"/>
  <c r="D68" i="1"/>
  <c r="N66" i="1"/>
  <c r="O66" i="1" s="1"/>
  <c r="H113" i="1"/>
  <c r="J113" i="1"/>
  <c r="D56" i="1"/>
  <c r="F74" i="1"/>
  <c r="G74" i="1" s="1"/>
  <c r="E74" i="1"/>
  <c r="H103" i="1"/>
  <c r="J103" i="1"/>
  <c r="D59" i="1"/>
  <c r="D53" i="1"/>
  <c r="F57" i="1"/>
  <c r="G57" i="1" s="1"/>
  <c r="E57" i="1"/>
  <c r="F71" i="1"/>
  <c r="G71" i="1" s="1"/>
  <c r="E71" i="1"/>
  <c r="D81" i="1"/>
  <c r="D75" i="1"/>
  <c r="F78" i="1"/>
  <c r="G78" i="1" s="1"/>
  <c r="E78" i="1"/>
  <c r="D80" i="1"/>
  <c r="H107" i="1"/>
  <c r="J107" i="1"/>
  <c r="H69" i="1"/>
  <c r="I69" i="1" s="1"/>
  <c r="J69" i="1" s="1"/>
  <c r="L69" i="1"/>
  <c r="M69" i="1"/>
  <c r="E60" i="1"/>
  <c r="F60" i="1"/>
  <c r="G60" i="1" s="1"/>
  <c r="L107" i="1" l="1"/>
  <c r="M107" i="1" s="1"/>
  <c r="C143" i="1" s="1"/>
  <c r="L103" i="1"/>
  <c r="M103" i="1" s="1"/>
  <c r="C139" i="1" s="1"/>
  <c r="L113" i="1"/>
  <c r="M113" i="1" s="1"/>
  <c r="C149" i="1" s="1"/>
  <c r="L108" i="1"/>
  <c r="M108" i="1" s="1"/>
  <c r="C144" i="1" s="1"/>
  <c r="L117" i="1"/>
  <c r="M117" i="1" s="1"/>
  <c r="C153" i="1" s="1"/>
  <c r="L92" i="1"/>
  <c r="M92" i="1" s="1"/>
  <c r="C128" i="1" s="1"/>
  <c r="L91" i="1"/>
  <c r="M91" i="1" s="1"/>
  <c r="C127" i="1" s="1"/>
  <c r="L106" i="1"/>
  <c r="M106" i="1" s="1"/>
  <c r="C142" i="1" s="1"/>
  <c r="L97" i="1"/>
  <c r="M97" i="1" s="1"/>
  <c r="C133" i="1" s="1"/>
  <c r="L98" i="1"/>
  <c r="M98" i="1" s="1"/>
  <c r="C134" i="1" s="1"/>
  <c r="L115" i="1"/>
  <c r="M115" i="1" s="1"/>
  <c r="C151" i="1" s="1"/>
  <c r="L100" i="1"/>
  <c r="M100" i="1" s="1"/>
  <c r="C136" i="1" s="1"/>
  <c r="L119" i="1"/>
  <c r="M119" i="1" s="1"/>
  <c r="C155" i="1" s="1"/>
  <c r="F82" i="1"/>
  <c r="G82" i="1" s="1"/>
  <c r="E82" i="1"/>
  <c r="H58" i="1"/>
  <c r="I58" i="1" s="1"/>
  <c r="J58" i="1" s="1"/>
  <c r="L58" i="1"/>
  <c r="M58" i="1"/>
  <c r="H78" i="1"/>
  <c r="I78" i="1" s="1"/>
  <c r="J78" i="1" s="1"/>
  <c r="L78" i="1"/>
  <c r="M78" i="1"/>
  <c r="F59" i="1"/>
  <c r="G59" i="1" s="1"/>
  <c r="E59" i="1"/>
  <c r="H73" i="1"/>
  <c r="I73" i="1" s="1"/>
  <c r="J73" i="1" s="1"/>
  <c r="L73" i="1"/>
  <c r="M73" i="1"/>
  <c r="H54" i="1"/>
  <c r="I54" i="1" s="1"/>
  <c r="J54" i="1" s="1"/>
  <c r="L54" i="1"/>
  <c r="M54" i="1"/>
  <c r="F83" i="1"/>
  <c r="G83" i="1" s="1"/>
  <c r="E83" i="1"/>
  <c r="E53" i="1"/>
  <c r="F53" i="1"/>
  <c r="G53" i="1" s="1"/>
  <c r="E61" i="1"/>
  <c r="F61" i="1"/>
  <c r="G61" i="1" s="1"/>
  <c r="E75" i="1"/>
  <c r="F75" i="1"/>
  <c r="G75" i="1" s="1"/>
  <c r="F70" i="1"/>
  <c r="G70" i="1" s="1"/>
  <c r="E70" i="1"/>
  <c r="H77" i="1"/>
  <c r="I77" i="1" s="1"/>
  <c r="J77" i="1" s="1"/>
  <c r="L77" i="1"/>
  <c r="M77" i="1"/>
  <c r="E76" i="1"/>
  <c r="F76" i="1"/>
  <c r="G76" i="1" s="1"/>
  <c r="H60" i="1"/>
  <c r="I60" i="1" s="1"/>
  <c r="J60" i="1" s="1"/>
  <c r="L60" i="1"/>
  <c r="M60" i="1"/>
  <c r="H52" i="1"/>
  <c r="I52" i="1" s="1"/>
  <c r="J52" i="1" s="1"/>
  <c r="L52" i="1"/>
  <c r="M52" i="1"/>
  <c r="F72" i="1"/>
  <c r="G72" i="1" s="1"/>
  <c r="E72" i="1"/>
  <c r="H62" i="1"/>
  <c r="I62" i="1" s="1"/>
  <c r="J62" i="1" s="1"/>
  <c r="L62" i="1"/>
  <c r="M62" i="1"/>
  <c r="F81" i="1"/>
  <c r="G81" i="1" s="1"/>
  <c r="E81" i="1"/>
  <c r="H74" i="1"/>
  <c r="I74" i="1" s="1"/>
  <c r="J74" i="1" s="1"/>
  <c r="L74" i="1"/>
  <c r="M74" i="1"/>
  <c r="H63" i="1"/>
  <c r="I63" i="1" s="1"/>
  <c r="J63" i="1" s="1"/>
  <c r="L63" i="1"/>
  <c r="M63" i="1"/>
  <c r="N69" i="1"/>
  <c r="O69" i="1" s="1"/>
  <c r="F65" i="1"/>
  <c r="G65" i="1" s="1"/>
  <c r="E65" i="1"/>
  <c r="F67" i="1"/>
  <c r="G67" i="1" s="1"/>
  <c r="E67" i="1"/>
  <c r="H57" i="1"/>
  <c r="I57" i="1" s="1"/>
  <c r="J57" i="1" s="1"/>
  <c r="L57" i="1"/>
  <c r="M57" i="1"/>
  <c r="F80" i="1"/>
  <c r="G80" i="1" s="1"/>
  <c r="E80" i="1"/>
  <c r="F68" i="1"/>
  <c r="G68" i="1" s="1"/>
  <c r="E68" i="1"/>
  <c r="H71" i="1"/>
  <c r="I71" i="1" s="1"/>
  <c r="J71" i="1" s="1"/>
  <c r="L71" i="1"/>
  <c r="M71" i="1"/>
  <c r="F56" i="1"/>
  <c r="G56" i="1" s="1"/>
  <c r="E56" i="1"/>
  <c r="H55" i="1"/>
  <c r="I55" i="1" s="1"/>
  <c r="J55" i="1" s="1"/>
  <c r="L55" i="1"/>
  <c r="M55" i="1"/>
  <c r="H79" i="1"/>
  <c r="I79" i="1" s="1"/>
  <c r="J79" i="1" s="1"/>
  <c r="L79" i="1"/>
  <c r="M79" i="1"/>
  <c r="E64" i="1"/>
  <c r="F64" i="1"/>
  <c r="G64" i="1" s="1"/>
  <c r="N79" i="1" l="1"/>
  <c r="O79" i="1" s="1"/>
  <c r="N52" i="1"/>
  <c r="O52" i="1" s="1"/>
  <c r="N77" i="1"/>
  <c r="O77" i="1" s="1"/>
  <c r="N73" i="1"/>
  <c r="O73" i="1" s="1"/>
  <c r="N78" i="1"/>
  <c r="O78" i="1" s="1"/>
  <c r="N74" i="1"/>
  <c r="O74" i="1" s="1"/>
  <c r="H61" i="1"/>
  <c r="I61" i="1" s="1"/>
  <c r="J61" i="1" s="1"/>
  <c r="L61" i="1"/>
  <c r="M61" i="1"/>
  <c r="N60" i="1"/>
  <c r="O60" i="1" s="1"/>
  <c r="H59" i="1"/>
  <c r="I59" i="1" s="1"/>
  <c r="J59" i="1" s="1"/>
  <c r="L59" i="1"/>
  <c r="M59" i="1"/>
  <c r="H75" i="1"/>
  <c r="I75" i="1" s="1"/>
  <c r="J75" i="1" s="1"/>
  <c r="L75" i="1"/>
  <c r="M75" i="1"/>
  <c r="H53" i="1"/>
  <c r="I53" i="1" s="1"/>
  <c r="J53" i="1" s="1"/>
  <c r="L53" i="1"/>
  <c r="M53" i="1"/>
  <c r="H80" i="1"/>
  <c r="I80" i="1" s="1"/>
  <c r="J80" i="1" s="1"/>
  <c r="L80" i="1"/>
  <c r="M80" i="1"/>
  <c r="H76" i="1"/>
  <c r="I76" i="1" s="1"/>
  <c r="J76" i="1" s="1"/>
  <c r="L76" i="1"/>
  <c r="M76" i="1"/>
  <c r="N62" i="1"/>
  <c r="O62" i="1" s="1"/>
  <c r="H83" i="1"/>
  <c r="I83" i="1" s="1"/>
  <c r="J83" i="1" s="1"/>
  <c r="L83" i="1"/>
  <c r="M83" i="1"/>
  <c r="N55" i="1"/>
  <c r="O55" i="1" s="1"/>
  <c r="N58" i="1"/>
  <c r="O58" i="1" s="1"/>
  <c r="N57" i="1"/>
  <c r="O57" i="1" s="1"/>
  <c r="H81" i="1"/>
  <c r="I81" i="1" s="1"/>
  <c r="J81" i="1" s="1"/>
  <c r="L81" i="1"/>
  <c r="H56" i="1"/>
  <c r="I56" i="1" s="1"/>
  <c r="J56" i="1" s="1"/>
  <c r="L56" i="1"/>
  <c r="M56" i="1"/>
  <c r="N71" i="1"/>
  <c r="O71" i="1" s="1"/>
  <c r="H64" i="1"/>
  <c r="I64" i="1" s="1"/>
  <c r="J64" i="1" s="1"/>
  <c r="L64" i="1"/>
  <c r="M64" i="1"/>
  <c r="N54" i="1"/>
  <c r="O54" i="1" s="1"/>
  <c r="H65" i="1"/>
  <c r="I65" i="1" s="1"/>
  <c r="J65" i="1" s="1"/>
  <c r="L65" i="1"/>
  <c r="M65" i="1"/>
  <c r="H72" i="1"/>
  <c r="I72" i="1" s="1"/>
  <c r="J72" i="1" s="1"/>
  <c r="L72" i="1"/>
  <c r="M72" i="1"/>
  <c r="H67" i="1"/>
  <c r="I67" i="1" s="1"/>
  <c r="J67" i="1" s="1"/>
  <c r="L67" i="1"/>
  <c r="M67" i="1"/>
  <c r="H68" i="1"/>
  <c r="I68" i="1" s="1"/>
  <c r="J68" i="1" s="1"/>
  <c r="L68" i="1"/>
  <c r="M68" i="1"/>
  <c r="N63" i="1"/>
  <c r="O63" i="1" s="1"/>
  <c r="H70" i="1"/>
  <c r="I70" i="1" s="1"/>
  <c r="J70" i="1" s="1"/>
  <c r="L70" i="1"/>
  <c r="M70" i="1"/>
  <c r="H82" i="1"/>
  <c r="I82" i="1" s="1"/>
  <c r="J82" i="1" s="1"/>
  <c r="L82" i="1"/>
  <c r="M82" i="1"/>
  <c r="N70" i="1" l="1"/>
  <c r="O70" i="1" s="1"/>
  <c r="N72" i="1"/>
  <c r="O72" i="1" s="1"/>
  <c r="N65" i="1"/>
  <c r="O65" i="1" s="1"/>
  <c r="N81" i="1"/>
  <c r="O81" i="1" s="1"/>
  <c r="N76" i="1"/>
  <c r="O76" i="1" s="1"/>
  <c r="N80" i="1"/>
  <c r="O80" i="1" s="1"/>
  <c r="N59" i="1"/>
  <c r="O59" i="1" s="1"/>
  <c r="N61" i="1"/>
  <c r="O61" i="1" s="1"/>
  <c r="N75" i="1"/>
  <c r="O75" i="1" s="1"/>
  <c r="N53" i="1"/>
  <c r="O53" i="1" s="1"/>
  <c r="N83" i="1"/>
  <c r="O83" i="1" s="1"/>
  <c r="N82" i="1"/>
  <c r="O82" i="1" s="1"/>
  <c r="N56" i="1"/>
  <c r="O56" i="1" s="1"/>
  <c r="N64" i="1"/>
  <c r="O64" i="1" s="1"/>
  <c r="N68" i="1"/>
  <c r="O68" i="1" s="1"/>
  <c r="N67" i="1"/>
  <c r="O67" i="1" s="1"/>
</calcChain>
</file>

<file path=xl/sharedStrings.xml><?xml version="1.0" encoding="utf-8"?>
<sst xmlns="http://schemas.openxmlformats.org/spreadsheetml/2006/main" count="112" uniqueCount="82">
  <si>
    <t>Design of Beams</t>
  </si>
  <si>
    <t xml:space="preserve">Plate 3 Referrence: </t>
  </si>
  <si>
    <t>Legend:</t>
  </si>
  <si>
    <t>⌀</t>
  </si>
  <si>
    <t>For Designation</t>
  </si>
  <si>
    <t>Fy</t>
  </si>
  <si>
    <t>For Outputs</t>
  </si>
  <si>
    <t>F'c</t>
  </si>
  <si>
    <t>For Inputs</t>
  </si>
  <si>
    <t>Bar size</t>
  </si>
  <si>
    <t>For Groupings</t>
  </si>
  <si>
    <t xml:space="preserve">ρ </t>
  </si>
  <si>
    <t>ρbal</t>
  </si>
  <si>
    <t>ρmin</t>
  </si>
  <si>
    <t>ρmax</t>
  </si>
  <si>
    <t>cc</t>
  </si>
  <si>
    <t>Stirrups/Ties ⌀</t>
  </si>
  <si>
    <t>LOCATION</t>
  </si>
  <si>
    <r>
      <rPr>
        <b/>
        <sz val="11"/>
        <color rgb="FF9C5700"/>
        <rFont val="Calibri"/>
        <scheme val="minor"/>
      </rPr>
      <t xml:space="preserve">FOR DESIGN  </t>
    </r>
    <r>
      <rPr>
        <b/>
        <sz val="11"/>
        <color rgb="FFFFC7CE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 xml:space="preserve">             </t>
    </r>
  </si>
  <si>
    <t>Assume</t>
  </si>
  <si>
    <t>Steel Yields</t>
  </si>
  <si>
    <t>ω</t>
  </si>
  <si>
    <t>bd^2 (mm^2) (10^6)</t>
  </si>
  <si>
    <t>Mu (kn-m) ( x10^6)</t>
  </si>
  <si>
    <t>Size of b</t>
  </si>
  <si>
    <t>b final (mm)</t>
  </si>
  <si>
    <t>d (mm)</t>
  </si>
  <si>
    <t>d^2 (mm^2)</t>
  </si>
  <si>
    <t>t (mm)</t>
  </si>
  <si>
    <t>As (mm^2)</t>
  </si>
  <si>
    <t>No. of Bars (n)</t>
  </si>
  <si>
    <t>ρ</t>
  </si>
  <si>
    <t>b (mm)</t>
  </si>
  <si>
    <t>b min. (mm)</t>
  </si>
  <si>
    <t>b (governing) (mm)</t>
  </si>
  <si>
    <t xml:space="preserve">Solved </t>
  </si>
  <si>
    <t xml:space="preserve">Final </t>
  </si>
  <si>
    <t>Frame 1</t>
  </si>
  <si>
    <t>GF Beam 1 - 2</t>
  </si>
  <si>
    <t>1F Beam 2 - 2</t>
  </si>
  <si>
    <t>2F Beam 3-2</t>
  </si>
  <si>
    <t>3F Beam 4 - 2</t>
  </si>
  <si>
    <t>4F Beam 5 - 2</t>
  </si>
  <si>
    <t>RD Beam 6 - 2</t>
  </si>
  <si>
    <t>Frame 2</t>
  </si>
  <si>
    <t>Frame 3</t>
  </si>
  <si>
    <t xml:space="preserve"> </t>
  </si>
  <si>
    <t>Frame 4</t>
  </si>
  <si>
    <t>CHECK AGAINST FLEXURE</t>
  </si>
  <si>
    <t>ULTIMATE MOMENT CAPACITY</t>
  </si>
  <si>
    <t>As act (mm^2)</t>
  </si>
  <si>
    <t>ρ act</t>
  </si>
  <si>
    <t>Adequacy</t>
  </si>
  <si>
    <t>a (mm)</t>
  </si>
  <si>
    <t>c (mm)</t>
  </si>
  <si>
    <t>fs (Mpa)</t>
  </si>
  <si>
    <t>Steel Yields?</t>
  </si>
  <si>
    <t>at Compression</t>
  </si>
  <si>
    <t>at Tension</t>
  </si>
  <si>
    <t>governing Mu (kN-m)</t>
  </si>
  <si>
    <t>Is beam safe against flexure?</t>
  </si>
  <si>
    <t>Muc (kN-m)</t>
  </si>
  <si>
    <t>Mut (kN-m)</t>
  </si>
  <si>
    <t>FOR SHEAR</t>
  </si>
  <si>
    <t>SPACING</t>
  </si>
  <si>
    <t>DEFLECTION</t>
  </si>
  <si>
    <t>Vc (kN)</t>
  </si>
  <si>
    <t>Vmax (kN)</t>
  </si>
  <si>
    <t>Vn (kN)</t>
  </si>
  <si>
    <t>Vs (kN)</t>
  </si>
  <si>
    <t>Stirrups Capacity (kN)</t>
  </si>
  <si>
    <t>Is beam size adeq.?</t>
  </si>
  <si>
    <t>s (mm)</t>
  </si>
  <si>
    <t>s max. (mm)</t>
  </si>
  <si>
    <t>STIRRUPS at</t>
  </si>
  <si>
    <t>Stirrups</t>
  </si>
  <si>
    <t>Length</t>
  </si>
  <si>
    <t>δ (allowable)</t>
  </si>
  <si>
    <t>δ (max)</t>
  </si>
  <si>
    <t>Is Beam safe against deflection?</t>
  </si>
  <si>
    <t>FROM GIVEN DATA ABOVE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</si>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</sst>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18"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8"/>
      <color theme="1"/>
      <name val="Rockwell"/>
    </font>
    <font>
      <sz val="18"/>
      <color theme="1"/>
      <name val="Calibri"/>
      <scheme val="minor"/>
    </font>
    <font>
      <b/>
      <sz val="11"/>
      <color theme="1"/>
      <name val="Rockwell"/>
    </font>
    <font>
      <b/>
      <i/>
      <sz val="11"/>
      <color theme="1"/>
      <name val="Calibri"/>
      <scheme val="minor"/>
    </font>
    <font>
      <b/>
      <sz val="20"/>
      <color theme="0"/>
      <name val="Calibri"/>
      <scheme val="minor"/>
    </font>
    <font>
      <sz val="11"/>
      <color rgb="FF9C5700"/>
      <name val="Calibri"/>
      <scheme val="minor"/>
    </font>
    <font>
      <b/>
      <sz val="11"/>
      <color rgb="FF9C0006"/>
      <name val="Calibri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</font>
    <font>
      <b/>
      <sz val="11"/>
      <color theme="1"/>
      <name val="Calibri"/>
    </font>
    <font>
      <b/>
      <sz val="11"/>
      <color rgb="FF006100"/>
      <name val="Calibri"/>
      <scheme val="minor"/>
    </font>
    <font>
      <b/>
      <i/>
      <sz val="11"/>
      <color rgb="FF006100"/>
      <name val="Calibri"/>
    </font>
    <font>
      <b/>
      <sz val="10"/>
      <color theme="1"/>
      <name val="Calibri"/>
      <scheme val="minor"/>
    </font>
    <font>
      <b/>
      <sz val="11"/>
      <color rgb="FF9C5700"/>
      <name val="Calibri"/>
      <scheme val="minor"/>
    </font>
    <font>
      <b/>
      <sz val="11"/>
      <color rgb="FFFFC7CE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6743"/>
        <bgColor rgb="FFFF6743"/>
      </patternFill>
    </fill>
    <fill>
      <patternFill patternType="solid">
        <fgColor theme="1"/>
        <bgColor theme="1"/>
      </patternFill>
    </fill>
    <fill>
      <patternFill patternType="solid">
        <fgColor rgb="FFFFEB9C"/>
        <bgColor rgb="FFFFEB9C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C6EFCE"/>
        <bgColor rgb="FFC6EFCE"/>
      </patternFill>
    </fill>
    <fill>
      <patternFill patternType="solid">
        <fgColor rgb="FFFEB6A8"/>
        <bgColor rgb="FFFEB6A8"/>
      </patternFill>
    </fill>
    <fill>
      <patternFill patternType="solid">
        <fgColor theme="7" tint="0.59999389629810485"/>
        <bgColor theme="7" tint="0.59999389629810485"/>
      </patternFill>
    </fill>
  </fills>
  <borders count="26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Protection="0"/>
    <xf numFmtId="0" fontId="2" fillId="3" borderId="0" applyNumberFormat="0" applyBorder="0" applyProtection="0"/>
  </cellStyleXfs>
  <cellXfs count="150"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8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1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9" borderId="1" xfId="0" quotePrefix="1" applyFont="1" applyFill="1" applyBorder="1" applyAlignment="1">
      <alignment horizontal="center" vertical="center"/>
    </xf>
    <xf numFmtId="0" fontId="14" fillId="9" borderId="11" xfId="0" quotePrefix="1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67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6" fillId="11" borderId="20" xfId="0" applyFont="1" applyFill="1" applyBorder="1" applyAlignment="1">
      <alignment horizontal="left" vertical="center"/>
    </xf>
    <xf numFmtId="0" fontId="16" fillId="11" borderId="21" xfId="0" applyFont="1" applyFill="1" applyBorder="1" applyAlignment="1">
      <alignment horizontal="left" vertical="center"/>
    </xf>
    <xf numFmtId="0" fontId="16" fillId="11" borderId="18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left" vertical="center"/>
    </xf>
    <xf numFmtId="0" fontId="16" fillId="11" borderId="5" xfId="0" applyFont="1" applyFill="1" applyBorder="1" applyAlignment="1">
      <alignment horizontal="left" vertical="center"/>
    </xf>
    <xf numFmtId="0" fontId="16" fillId="11" borderId="22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18" xfId="0" applyFont="1" applyFill="1" applyBorder="1" applyAlignment="1">
      <alignment horizontal="left" vertical="center"/>
    </xf>
    <xf numFmtId="0" fontId="6" fillId="8" borderId="2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10" xfId="0" quotePrefix="1" applyFont="1" applyFill="1" applyBorder="1" applyAlignment="1">
      <alignment horizontal="center" vertical="center" wrapText="1"/>
    </xf>
    <xf numFmtId="0" fontId="11" fillId="8" borderId="15" xfId="0" quotePrefix="1" applyFont="1" applyFill="1" applyBorder="1" applyAlignment="1">
      <alignment horizontal="center" vertical="center" wrapText="1"/>
    </xf>
    <xf numFmtId="0" fontId="12" fillId="8" borderId="10" xfId="0" quotePrefix="1" applyFont="1" applyFill="1" applyBorder="1" applyAlignment="1">
      <alignment horizontal="center" vertical="center" wrapText="1"/>
    </xf>
    <xf numFmtId="0" fontId="12" fillId="8" borderId="15" xfId="0" quotePrefix="1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1" fillId="9" borderId="2" xfId="1" applyFill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5"/>
  <sheetViews>
    <sheetView tabSelected="1" zoomScale="85" zoomScaleNormal="85" workbookViewId="0">
      <pane xSplit="2" ySplit="11" topLeftCell="C159" activePane="bottomRight" state="frozen"/>
      <selection pane="bottomRight" activeCell="M82" sqref="M82"/>
      <selection pane="bottomLeft" activeCell="A12" sqref="A12"/>
      <selection pane="topRight" activeCell="C1" sqref="C1"/>
    </sheetView>
  </sheetViews>
  <sheetFormatPr defaultRowHeight="15"/>
  <cols>
    <col min="1" max="3" width="15.7109375" customWidth="1"/>
    <col min="4" max="4" width="20.7109375" customWidth="1"/>
    <col min="5" max="9" width="12.7109375" customWidth="1"/>
    <col min="10" max="12" width="15.7109375" customWidth="1"/>
    <col min="13" max="18" width="12.7109375" customWidth="1"/>
    <col min="20" max="20" width="14.28515625" customWidth="1"/>
    <col min="22" max="22" width="12.42578125" customWidth="1"/>
    <col min="23" max="23" width="10.85546875" customWidth="1"/>
    <col min="26" max="26" width="12" customWidth="1"/>
    <col min="29" max="29" width="32.140625" customWidth="1"/>
    <col min="30" max="30" width="21.5703125" customWidth="1"/>
    <col min="31" max="31" width="11.140625" customWidth="1"/>
    <col min="32" max="32" width="19.28515625" customWidth="1"/>
    <col min="34" max="34" width="17.42578125" customWidth="1"/>
    <col min="35" max="35" width="10.42578125" customWidth="1"/>
    <col min="36" max="36" width="11.140625" customWidth="1"/>
    <col min="38" max="38" width="15.7109375" customWidth="1"/>
    <col min="39" max="39" width="12.28515625" customWidth="1"/>
    <col min="41" max="41" width="21.140625" customWidth="1"/>
    <col min="44" max="44" width="28.7109375" customWidth="1"/>
    <col min="47" max="47" width="11.42578125" customWidth="1"/>
    <col min="49" max="49" width="21" customWidth="1"/>
  </cols>
  <sheetData>
    <row r="1" spans="1:40" ht="18.75" customHeight="1">
      <c r="A1" s="140" t="s">
        <v>0</v>
      </c>
      <c r="B1" s="141"/>
      <c r="C1" s="143" t="s">
        <v>1</v>
      </c>
      <c r="D1" s="144"/>
      <c r="J1" s="145" t="s">
        <v>2</v>
      </c>
      <c r="K1" s="145"/>
      <c r="L1" s="145"/>
    </row>
    <row r="2" spans="1:40" ht="18.75" customHeight="1">
      <c r="A2" s="141"/>
      <c r="B2" s="141"/>
      <c r="C2" s="1" t="s">
        <v>3</v>
      </c>
      <c r="D2" s="1">
        <v>0.9</v>
      </c>
      <c r="J2" s="146" t="s">
        <v>4</v>
      </c>
      <c r="K2" s="146"/>
      <c r="L2" s="146"/>
    </row>
    <row r="3" spans="1:40" ht="18.75" customHeight="1">
      <c r="A3" s="141"/>
      <c r="B3" s="141"/>
      <c r="C3" s="2" t="s">
        <v>5</v>
      </c>
      <c r="D3" s="2">
        <v>415</v>
      </c>
      <c r="J3" s="147" t="s">
        <v>6</v>
      </c>
      <c r="K3" s="147"/>
      <c r="L3" s="147"/>
    </row>
    <row r="4" spans="1:40" ht="18.75" customHeight="1">
      <c r="A4" s="141"/>
      <c r="B4" s="141"/>
      <c r="C4" s="2" t="s">
        <v>7</v>
      </c>
      <c r="D4" s="2">
        <v>25</v>
      </c>
      <c r="J4" s="148" t="s">
        <v>8</v>
      </c>
      <c r="K4" s="148"/>
      <c r="L4" s="148"/>
    </row>
    <row r="5" spans="1:40" ht="18.75" customHeight="1">
      <c r="A5" s="141"/>
      <c r="B5" s="141"/>
      <c r="C5" s="2" t="s">
        <v>9</v>
      </c>
      <c r="D5" s="2">
        <v>25</v>
      </c>
      <c r="J5" s="149" t="s">
        <v>10</v>
      </c>
      <c r="K5" s="149"/>
      <c r="L5" s="149"/>
    </row>
    <row r="6" spans="1:40" ht="18.75" customHeight="1">
      <c r="A6" s="141"/>
      <c r="B6" s="141"/>
      <c r="C6" s="3" t="s">
        <v>11</v>
      </c>
      <c r="D6" s="3">
        <v>0.03</v>
      </c>
    </row>
    <row r="7" spans="1:40" ht="18.75" customHeight="1">
      <c r="A7" s="141"/>
      <c r="B7" s="141"/>
      <c r="C7" s="3" t="s">
        <v>12</v>
      </c>
      <c r="D7" s="4">
        <f>(0.85*0.85*$D$4*600)/($D$3*(600+$D$3))</f>
        <v>2.572852988307911E-2</v>
      </c>
    </row>
    <row r="8" spans="1:40" ht="18.75" customHeight="1">
      <c r="A8" s="141"/>
      <c r="B8" s="141"/>
      <c r="C8" s="3" t="s">
        <v>13</v>
      </c>
      <c r="D8" s="4">
        <f>1.4/$D$3</f>
        <v>3.3734939759036144E-3</v>
      </c>
    </row>
    <row r="9" spans="1:40" ht="18.75" customHeight="1">
      <c r="A9" s="141"/>
      <c r="B9" s="141"/>
      <c r="C9" s="3" t="s">
        <v>14</v>
      </c>
      <c r="D9" s="4">
        <f>0.75*$D$7</f>
        <v>1.9296397412309332E-2</v>
      </c>
    </row>
    <row r="10" spans="1:40" ht="18.75" customHeight="1">
      <c r="A10" s="141"/>
      <c r="B10" s="141"/>
      <c r="C10" s="2" t="s">
        <v>15</v>
      </c>
      <c r="D10" s="2">
        <v>40</v>
      </c>
    </row>
    <row r="11" spans="1:40" ht="18.75" customHeight="1">
      <c r="A11" s="142"/>
      <c r="B11" s="142"/>
      <c r="C11" s="2" t="s">
        <v>16</v>
      </c>
      <c r="D11" s="2">
        <v>16</v>
      </c>
    </row>
    <row r="12" spans="1:40" ht="14.25" customHeight="1"/>
    <row r="13" spans="1:40" ht="15.75" customHeight="1">
      <c r="A13" s="92" t="s">
        <v>17</v>
      </c>
      <c r="B13" s="93"/>
      <c r="C13" s="5" t="s">
        <v>18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8"/>
      <c r="AB13" s="8"/>
      <c r="AG13" s="8"/>
      <c r="AN13" s="8"/>
    </row>
    <row r="14" spans="1:40" ht="15.75" customHeight="1">
      <c r="A14" s="94"/>
      <c r="B14" s="95"/>
      <c r="C14" s="9" t="s">
        <v>19</v>
      </c>
      <c r="D14" s="137" t="s">
        <v>20</v>
      </c>
      <c r="E14" s="103" t="s">
        <v>21</v>
      </c>
      <c r="F14" s="136" t="s">
        <v>22</v>
      </c>
      <c r="G14" s="139" t="s">
        <v>23</v>
      </c>
      <c r="H14" s="133" t="s">
        <v>24</v>
      </c>
      <c r="I14" s="134"/>
      <c r="J14" s="135"/>
      <c r="K14" s="136" t="s">
        <v>25</v>
      </c>
      <c r="L14" s="137" t="s">
        <v>26</v>
      </c>
      <c r="M14" s="137" t="s">
        <v>27</v>
      </c>
      <c r="N14" s="138" t="s">
        <v>28</v>
      </c>
      <c r="O14" s="10"/>
      <c r="P14" s="129" t="s">
        <v>29</v>
      </c>
      <c r="Q14" s="131" t="s">
        <v>30</v>
      </c>
      <c r="R14" s="132"/>
      <c r="AN14" s="11"/>
    </row>
    <row r="15" spans="1:40" ht="15.75" customHeight="1">
      <c r="A15" s="94"/>
      <c r="B15" s="95"/>
      <c r="C15" s="12" t="s">
        <v>31</v>
      </c>
      <c r="D15" s="124"/>
      <c r="E15" s="104"/>
      <c r="F15" s="100"/>
      <c r="G15" s="102"/>
      <c r="H15" s="13" t="s">
        <v>32</v>
      </c>
      <c r="I15" s="14" t="s">
        <v>33</v>
      </c>
      <c r="J15" s="15" t="s">
        <v>34</v>
      </c>
      <c r="K15" s="100"/>
      <c r="L15" s="124"/>
      <c r="M15" s="124"/>
      <c r="N15" s="130"/>
      <c r="O15" s="10"/>
      <c r="P15" s="130"/>
      <c r="Q15" s="16" t="s">
        <v>35</v>
      </c>
      <c r="R15" s="17" t="s">
        <v>36</v>
      </c>
      <c r="AN15" s="18"/>
    </row>
    <row r="16" spans="1:40" ht="15.75" customHeight="1">
      <c r="A16" s="80" t="s">
        <v>37</v>
      </c>
      <c r="B16" s="19" t="s">
        <v>38</v>
      </c>
      <c r="C16" s="20">
        <f t="shared" ref="C16:C47" si="0">0.5*$D$7</f>
        <v>1.2864264941539555E-2</v>
      </c>
      <c r="D16" s="21" t="str">
        <f t="shared" ref="D16:D47" si="1">IF(C16&lt;=$D$9,"YES")</f>
        <v>YES</v>
      </c>
      <c r="E16" s="22">
        <f t="shared" ref="E16:E47" si="2">(C16*$D$3)/$D$4</f>
        <v>0.21354679802955662</v>
      </c>
      <c r="F16" s="23">
        <f t="shared" ref="F16:F47" si="3">((G16*10^6)/($D$2*$D$4*E16*(1-0.59*(E16))))/(10^6)</f>
        <v>54.78810693993217</v>
      </c>
      <c r="G16" s="24">
        <v>230.07900000000001</v>
      </c>
      <c r="H16" s="25">
        <f t="shared" ref="H16:H47" si="4">((F16*(10^6))/4)^(1/3)</f>
        <v>239.26293975565989</v>
      </c>
      <c r="I16" s="26">
        <v>250</v>
      </c>
      <c r="J16" s="27">
        <f t="shared" ref="J16:J47" si="5">MAX(H16,I16)</f>
        <v>250</v>
      </c>
      <c r="K16" s="26">
        <f t="shared" ref="K16:K47" si="6">ROUNDUP(J16,0)</f>
        <v>250</v>
      </c>
      <c r="L16" s="28">
        <f t="shared" ref="L16:L47" si="7">2*K16</f>
        <v>500</v>
      </c>
      <c r="M16" s="28">
        <f t="shared" ref="M16:M47" si="8">L16^2</f>
        <v>250000</v>
      </c>
      <c r="N16" s="24">
        <f t="shared" ref="N16:N47" si="9">L16+$D$10</f>
        <v>540</v>
      </c>
      <c r="O16" s="29"/>
      <c r="P16" s="30">
        <f t="shared" ref="P16:P47" si="10">C16*K16*L16</f>
        <v>1608.0331176924442</v>
      </c>
      <c r="Q16" s="31">
        <f t="shared" ref="Q16:Q47" si="11">P16/((3.14159/4)*($D$5)^2)</f>
        <v>3.2758609345050256</v>
      </c>
      <c r="R16" s="32">
        <f t="shared" ref="R16:R47" si="12">ROUNDUP(Q16,0)</f>
        <v>4</v>
      </c>
      <c r="AB16" s="33"/>
      <c r="AG16" s="33"/>
      <c r="AN16" s="34"/>
    </row>
    <row r="17" spans="1:18" ht="15.75" customHeight="1">
      <c r="A17" s="81"/>
      <c r="B17" s="19" t="s">
        <v>39</v>
      </c>
      <c r="C17" s="20">
        <f t="shared" si="0"/>
        <v>1.2864264941539555E-2</v>
      </c>
      <c r="D17" s="21" t="str">
        <f t="shared" si="1"/>
        <v>YES</v>
      </c>
      <c r="E17" s="22">
        <f t="shared" si="2"/>
        <v>0.21354679802955662</v>
      </c>
      <c r="F17" s="23">
        <f t="shared" si="3"/>
        <v>53.397681232143697</v>
      </c>
      <c r="G17" s="25">
        <v>224.24</v>
      </c>
      <c r="H17" s="25">
        <f t="shared" si="4"/>
        <v>237.221548058911</v>
      </c>
      <c r="I17" s="26">
        <v>250</v>
      </c>
      <c r="J17" s="27">
        <f t="shared" si="5"/>
        <v>250</v>
      </c>
      <c r="K17" s="26">
        <f t="shared" si="6"/>
        <v>250</v>
      </c>
      <c r="L17" s="28">
        <f t="shared" si="7"/>
        <v>500</v>
      </c>
      <c r="M17" s="28">
        <f t="shared" si="8"/>
        <v>250000</v>
      </c>
      <c r="N17" s="24">
        <f t="shared" si="9"/>
        <v>540</v>
      </c>
      <c r="O17" s="35"/>
      <c r="P17" s="30">
        <f t="shared" si="10"/>
        <v>1608.0331176924442</v>
      </c>
      <c r="Q17" s="31">
        <f t="shared" si="11"/>
        <v>3.2758609345050256</v>
      </c>
      <c r="R17" s="32">
        <f t="shared" si="12"/>
        <v>4</v>
      </c>
    </row>
    <row r="18" spans="1:18" ht="15.75" customHeight="1">
      <c r="A18" s="81"/>
      <c r="B18" s="19" t="s">
        <v>40</v>
      </c>
      <c r="C18" s="20">
        <f t="shared" si="0"/>
        <v>1.2864264941539555E-2</v>
      </c>
      <c r="D18" s="21" t="str">
        <f t="shared" si="1"/>
        <v>YES</v>
      </c>
      <c r="E18" s="22">
        <f t="shared" si="2"/>
        <v>0.21354679802955662</v>
      </c>
      <c r="F18" s="23">
        <f t="shared" si="3"/>
        <v>53.31100286981539</v>
      </c>
      <c r="G18" s="25">
        <v>223.876</v>
      </c>
      <c r="H18" s="25">
        <f t="shared" si="4"/>
        <v>237.09312106432748</v>
      </c>
      <c r="I18" s="26">
        <v>251</v>
      </c>
      <c r="J18" s="27">
        <f t="shared" si="5"/>
        <v>251</v>
      </c>
      <c r="K18" s="26">
        <f t="shared" si="6"/>
        <v>251</v>
      </c>
      <c r="L18" s="28">
        <f t="shared" si="7"/>
        <v>502</v>
      </c>
      <c r="M18" s="28">
        <f t="shared" si="8"/>
        <v>252004</v>
      </c>
      <c r="N18" s="24">
        <f t="shared" si="9"/>
        <v>542</v>
      </c>
      <c r="O18" s="35"/>
      <c r="P18" s="30">
        <f t="shared" si="10"/>
        <v>1620.9231111638671</v>
      </c>
      <c r="Q18" s="31">
        <f t="shared" si="11"/>
        <v>3.3021202357560187</v>
      </c>
      <c r="R18" s="32">
        <f t="shared" si="12"/>
        <v>4</v>
      </c>
    </row>
    <row r="19" spans="1:18" ht="15.75" customHeight="1">
      <c r="A19" s="81"/>
      <c r="B19" s="19" t="s">
        <v>41</v>
      </c>
      <c r="C19" s="20">
        <f t="shared" si="0"/>
        <v>1.2864264941539555E-2</v>
      </c>
      <c r="D19" s="21" t="str">
        <f t="shared" si="1"/>
        <v>YES</v>
      </c>
      <c r="E19" s="22">
        <f t="shared" si="2"/>
        <v>0.21354679802955662</v>
      </c>
      <c r="F19" s="23">
        <f t="shared" si="3"/>
        <v>53.098831384006253</v>
      </c>
      <c r="G19" s="25">
        <v>222.98500000000001</v>
      </c>
      <c r="H19" s="25">
        <f t="shared" si="4"/>
        <v>236.77816867680295</v>
      </c>
      <c r="I19" s="26">
        <v>252</v>
      </c>
      <c r="J19" s="27">
        <f t="shared" si="5"/>
        <v>252</v>
      </c>
      <c r="K19" s="26">
        <f t="shared" si="6"/>
        <v>252</v>
      </c>
      <c r="L19" s="28">
        <f t="shared" si="7"/>
        <v>504</v>
      </c>
      <c r="M19" s="28">
        <f t="shared" si="8"/>
        <v>254016</v>
      </c>
      <c r="N19" s="24">
        <f t="shared" si="9"/>
        <v>544</v>
      </c>
      <c r="O19" s="35"/>
      <c r="P19" s="30">
        <f t="shared" si="10"/>
        <v>1633.8645616950557</v>
      </c>
      <c r="Q19" s="31">
        <f t="shared" si="11"/>
        <v>3.3284843645569144</v>
      </c>
      <c r="R19" s="32">
        <f t="shared" si="12"/>
        <v>4</v>
      </c>
    </row>
    <row r="20" spans="1:18" ht="15.75" customHeight="1">
      <c r="A20" s="81"/>
      <c r="B20" s="19" t="s">
        <v>42</v>
      </c>
      <c r="C20" s="20">
        <f t="shared" si="0"/>
        <v>1.2864264941539555E-2</v>
      </c>
      <c r="D20" s="21" t="str">
        <f t="shared" si="1"/>
        <v>YES</v>
      </c>
      <c r="E20" s="22">
        <f t="shared" si="2"/>
        <v>0.21354679802955662</v>
      </c>
      <c r="F20" s="23">
        <f t="shared" si="3"/>
        <v>30.546978899658374</v>
      </c>
      <c r="G20" s="36">
        <v>128.28</v>
      </c>
      <c r="H20" s="25">
        <f t="shared" si="4"/>
        <v>196.92586321927965</v>
      </c>
      <c r="I20" s="26">
        <v>250</v>
      </c>
      <c r="J20" s="27">
        <f t="shared" si="5"/>
        <v>250</v>
      </c>
      <c r="K20" s="26">
        <f t="shared" si="6"/>
        <v>250</v>
      </c>
      <c r="L20" s="28">
        <f t="shared" si="7"/>
        <v>500</v>
      </c>
      <c r="M20" s="28">
        <f t="shared" si="8"/>
        <v>250000</v>
      </c>
      <c r="N20" s="24">
        <f t="shared" si="9"/>
        <v>540</v>
      </c>
      <c r="O20" s="35"/>
      <c r="P20" s="30">
        <f t="shared" si="10"/>
        <v>1608.0331176924442</v>
      </c>
      <c r="Q20" s="31">
        <f t="shared" si="11"/>
        <v>3.2758609345050256</v>
      </c>
      <c r="R20" s="32">
        <f t="shared" si="12"/>
        <v>4</v>
      </c>
    </row>
    <row r="21" spans="1:18" ht="15.75" customHeight="1">
      <c r="A21" s="81"/>
      <c r="B21" s="19" t="s">
        <v>39</v>
      </c>
      <c r="C21" s="20">
        <f t="shared" si="0"/>
        <v>1.2864264941539555E-2</v>
      </c>
      <c r="D21" s="21" t="str">
        <f t="shared" si="1"/>
        <v>YES</v>
      </c>
      <c r="E21" s="22">
        <f t="shared" si="2"/>
        <v>0.21354679802955662</v>
      </c>
      <c r="F21" s="23">
        <f t="shared" si="3"/>
        <v>53.397681232143697</v>
      </c>
      <c r="G21" s="25">
        <v>224.24</v>
      </c>
      <c r="H21" s="25">
        <f t="shared" si="4"/>
        <v>237.221548058911</v>
      </c>
      <c r="I21" s="26">
        <v>250</v>
      </c>
      <c r="J21" s="27">
        <f t="shared" si="5"/>
        <v>250</v>
      </c>
      <c r="K21" s="26">
        <f t="shared" si="6"/>
        <v>250</v>
      </c>
      <c r="L21" s="28">
        <f t="shared" si="7"/>
        <v>500</v>
      </c>
      <c r="M21" s="28">
        <f t="shared" si="8"/>
        <v>250000</v>
      </c>
      <c r="N21" s="24">
        <f t="shared" si="9"/>
        <v>540</v>
      </c>
      <c r="O21" s="35"/>
      <c r="P21" s="30">
        <f t="shared" si="10"/>
        <v>1608.0331176924442</v>
      </c>
      <c r="Q21" s="31">
        <f t="shared" si="11"/>
        <v>3.2758609345050256</v>
      </c>
      <c r="R21" s="32">
        <f t="shared" si="12"/>
        <v>4</v>
      </c>
    </row>
    <row r="22" spans="1:18" ht="15.75" customHeight="1">
      <c r="A22" s="81"/>
      <c r="B22" s="19" t="s">
        <v>40</v>
      </c>
      <c r="C22" s="20">
        <f t="shared" si="0"/>
        <v>1.2864264941539555E-2</v>
      </c>
      <c r="D22" s="21" t="str">
        <f t="shared" si="1"/>
        <v>YES</v>
      </c>
      <c r="E22" s="22">
        <f t="shared" si="2"/>
        <v>0.21354679802955662</v>
      </c>
      <c r="F22" s="23">
        <f t="shared" si="3"/>
        <v>53.31100286981539</v>
      </c>
      <c r="G22" s="25">
        <v>223.876</v>
      </c>
      <c r="H22" s="25">
        <f t="shared" si="4"/>
        <v>237.09312106432748</v>
      </c>
      <c r="I22" s="26">
        <v>251</v>
      </c>
      <c r="J22" s="27">
        <f t="shared" si="5"/>
        <v>251</v>
      </c>
      <c r="K22" s="26">
        <f t="shared" si="6"/>
        <v>251</v>
      </c>
      <c r="L22" s="28">
        <f t="shared" si="7"/>
        <v>502</v>
      </c>
      <c r="M22" s="28">
        <f t="shared" si="8"/>
        <v>252004</v>
      </c>
      <c r="N22" s="24">
        <f t="shared" si="9"/>
        <v>542</v>
      </c>
      <c r="O22" s="35"/>
      <c r="P22" s="30">
        <f t="shared" si="10"/>
        <v>1620.9231111638671</v>
      </c>
      <c r="Q22" s="31">
        <f t="shared" si="11"/>
        <v>3.3021202357560187</v>
      </c>
      <c r="R22" s="32">
        <f t="shared" si="12"/>
        <v>4</v>
      </c>
    </row>
    <row r="23" spans="1:18" ht="15.75" customHeight="1">
      <c r="A23" s="82"/>
      <c r="B23" s="19" t="s">
        <v>43</v>
      </c>
      <c r="C23" s="20">
        <f t="shared" si="0"/>
        <v>1.2864264941539555E-2</v>
      </c>
      <c r="D23" s="21" t="str">
        <f t="shared" si="1"/>
        <v>YES</v>
      </c>
      <c r="E23" s="22">
        <f t="shared" si="2"/>
        <v>0.21354679802955662</v>
      </c>
      <c r="F23" s="23">
        <f t="shared" si="3"/>
        <v>21.924386866943767</v>
      </c>
      <c r="G23" s="36">
        <v>92.07</v>
      </c>
      <c r="H23" s="25">
        <f t="shared" si="4"/>
        <v>176.31495683808225</v>
      </c>
      <c r="I23" s="26">
        <v>251</v>
      </c>
      <c r="J23" s="27">
        <f t="shared" si="5"/>
        <v>251</v>
      </c>
      <c r="K23" s="26">
        <f t="shared" si="6"/>
        <v>251</v>
      </c>
      <c r="L23" s="28">
        <f t="shared" si="7"/>
        <v>502</v>
      </c>
      <c r="M23" s="28">
        <f t="shared" si="8"/>
        <v>252004</v>
      </c>
      <c r="N23" s="24">
        <f t="shared" si="9"/>
        <v>542</v>
      </c>
      <c r="O23" s="35"/>
      <c r="P23" s="30">
        <f t="shared" si="10"/>
        <v>1620.9231111638671</v>
      </c>
      <c r="Q23" s="31">
        <f t="shared" si="11"/>
        <v>3.3021202357560187</v>
      </c>
      <c r="R23" s="32">
        <f t="shared" si="12"/>
        <v>4</v>
      </c>
    </row>
    <row r="24" spans="1:18" ht="15.75" customHeight="1">
      <c r="A24" s="80" t="s">
        <v>44</v>
      </c>
      <c r="B24" s="19" t="s">
        <v>38</v>
      </c>
      <c r="C24" s="20">
        <f t="shared" si="0"/>
        <v>1.2864264941539555E-2</v>
      </c>
      <c r="D24" s="21" t="str">
        <f t="shared" si="1"/>
        <v>YES</v>
      </c>
      <c r="E24" s="22">
        <f t="shared" si="2"/>
        <v>0.21354679802955662</v>
      </c>
      <c r="F24" s="23">
        <f t="shared" si="3"/>
        <v>61.504727510900096</v>
      </c>
      <c r="G24" s="24">
        <v>258.28500000000003</v>
      </c>
      <c r="H24" s="25">
        <f t="shared" si="4"/>
        <v>248.66586299317063</v>
      </c>
      <c r="I24" s="26">
        <v>250</v>
      </c>
      <c r="J24" s="27">
        <f t="shared" si="5"/>
        <v>250</v>
      </c>
      <c r="K24" s="26">
        <f t="shared" si="6"/>
        <v>250</v>
      </c>
      <c r="L24" s="28">
        <f t="shared" si="7"/>
        <v>500</v>
      </c>
      <c r="M24" s="28">
        <f t="shared" si="8"/>
        <v>250000</v>
      </c>
      <c r="N24" s="24">
        <f t="shared" si="9"/>
        <v>540</v>
      </c>
      <c r="O24" s="35"/>
      <c r="P24" s="30">
        <f t="shared" si="10"/>
        <v>1608.0331176924442</v>
      </c>
      <c r="Q24" s="31">
        <f t="shared" si="11"/>
        <v>3.2758609345050256</v>
      </c>
      <c r="R24" s="32">
        <f t="shared" si="12"/>
        <v>4</v>
      </c>
    </row>
    <row r="25" spans="1:18" ht="15.75" customHeight="1">
      <c r="A25" s="81"/>
      <c r="B25" s="19" t="s">
        <v>39</v>
      </c>
      <c r="C25" s="20">
        <f t="shared" si="0"/>
        <v>1.2864264941539555E-2</v>
      </c>
      <c r="D25" s="21" t="str">
        <f t="shared" si="1"/>
        <v>YES</v>
      </c>
      <c r="E25" s="22">
        <f t="shared" si="2"/>
        <v>0.21354679802955662</v>
      </c>
      <c r="F25" s="23">
        <f t="shared" si="3"/>
        <v>51.744839163679956</v>
      </c>
      <c r="G25" s="24">
        <v>217.29900000000001</v>
      </c>
      <c r="H25" s="25">
        <f t="shared" si="4"/>
        <v>234.74824278122983</v>
      </c>
      <c r="I25" s="26">
        <v>251</v>
      </c>
      <c r="J25" s="27">
        <f t="shared" si="5"/>
        <v>251</v>
      </c>
      <c r="K25" s="26">
        <f t="shared" si="6"/>
        <v>251</v>
      </c>
      <c r="L25" s="28">
        <f t="shared" si="7"/>
        <v>502</v>
      </c>
      <c r="M25" s="28">
        <f t="shared" si="8"/>
        <v>252004</v>
      </c>
      <c r="N25" s="24">
        <f t="shared" si="9"/>
        <v>542</v>
      </c>
      <c r="O25" s="35"/>
      <c r="P25" s="30">
        <f t="shared" si="10"/>
        <v>1620.9231111638671</v>
      </c>
      <c r="Q25" s="31">
        <f t="shared" si="11"/>
        <v>3.3021202357560187</v>
      </c>
      <c r="R25" s="32">
        <f t="shared" si="12"/>
        <v>4</v>
      </c>
    </row>
    <row r="26" spans="1:18" ht="15.75" customHeight="1">
      <c r="A26" s="81"/>
      <c r="B26" s="19" t="s">
        <v>40</v>
      </c>
      <c r="C26" s="20">
        <f t="shared" si="0"/>
        <v>1.2864264941539555E-2</v>
      </c>
      <c r="D26" s="21" t="str">
        <f t="shared" si="1"/>
        <v>YES</v>
      </c>
      <c r="E26" s="22">
        <f t="shared" si="2"/>
        <v>0.21354679802955662</v>
      </c>
      <c r="F26" s="23">
        <f t="shared" si="3"/>
        <v>51.552670376869663</v>
      </c>
      <c r="G26" s="24">
        <v>216.49199999999999</v>
      </c>
      <c r="H26" s="25">
        <f t="shared" si="4"/>
        <v>234.4572814301624</v>
      </c>
      <c r="I26" s="26">
        <v>252</v>
      </c>
      <c r="J26" s="27">
        <f t="shared" si="5"/>
        <v>252</v>
      </c>
      <c r="K26" s="26">
        <f t="shared" si="6"/>
        <v>252</v>
      </c>
      <c r="L26" s="28">
        <f t="shared" si="7"/>
        <v>504</v>
      </c>
      <c r="M26" s="28">
        <f t="shared" si="8"/>
        <v>254016</v>
      </c>
      <c r="N26" s="24">
        <f t="shared" si="9"/>
        <v>544</v>
      </c>
      <c r="O26" s="35"/>
      <c r="P26" s="30">
        <f t="shared" si="10"/>
        <v>1633.8645616950557</v>
      </c>
      <c r="Q26" s="31">
        <f t="shared" si="11"/>
        <v>3.3284843645569144</v>
      </c>
      <c r="R26" s="32">
        <f t="shared" si="12"/>
        <v>4</v>
      </c>
    </row>
    <row r="27" spans="1:18" ht="15.75" customHeight="1">
      <c r="A27" s="81"/>
      <c r="B27" s="19" t="s">
        <v>41</v>
      </c>
      <c r="C27" s="20">
        <f t="shared" si="0"/>
        <v>1.2864264941539555E-2</v>
      </c>
      <c r="D27" s="21" t="str">
        <f t="shared" si="1"/>
        <v>YES</v>
      </c>
      <c r="E27" s="22">
        <f t="shared" si="2"/>
        <v>0.21354679802955662</v>
      </c>
      <c r="F27" s="23">
        <f t="shared" si="3"/>
        <v>51.316448026788116</v>
      </c>
      <c r="G27" s="36">
        <v>215.5</v>
      </c>
      <c r="H27" s="25">
        <f t="shared" si="4"/>
        <v>234.0986264960508</v>
      </c>
      <c r="I27" s="26">
        <v>250</v>
      </c>
      <c r="J27" s="27">
        <f t="shared" si="5"/>
        <v>250</v>
      </c>
      <c r="K27" s="26">
        <f t="shared" si="6"/>
        <v>250</v>
      </c>
      <c r="L27" s="28">
        <f t="shared" si="7"/>
        <v>500</v>
      </c>
      <c r="M27" s="28">
        <f t="shared" si="8"/>
        <v>250000</v>
      </c>
      <c r="N27" s="24">
        <f t="shared" si="9"/>
        <v>540</v>
      </c>
      <c r="O27" s="35"/>
      <c r="P27" s="30">
        <f t="shared" si="10"/>
        <v>1608.0331176924442</v>
      </c>
      <c r="Q27" s="31">
        <f t="shared" si="11"/>
        <v>3.2758609345050256</v>
      </c>
      <c r="R27" s="32">
        <f t="shared" si="12"/>
        <v>4</v>
      </c>
    </row>
    <row r="28" spans="1:18" ht="15.75" customHeight="1">
      <c r="A28" s="81"/>
      <c r="B28" s="19" t="s">
        <v>42</v>
      </c>
      <c r="C28" s="20">
        <f t="shared" si="0"/>
        <v>1.2864264941539555E-2</v>
      </c>
      <c r="D28" s="21" t="str">
        <f t="shared" si="1"/>
        <v>YES</v>
      </c>
      <c r="E28" s="22">
        <f t="shared" si="2"/>
        <v>0.21354679802955662</v>
      </c>
      <c r="F28" s="23">
        <f t="shared" si="3"/>
        <v>64.274863194870505</v>
      </c>
      <c r="G28" s="36">
        <v>269.91800000000001</v>
      </c>
      <c r="H28" s="25">
        <f t="shared" si="4"/>
        <v>252.34443012503795</v>
      </c>
      <c r="I28" s="26">
        <v>250</v>
      </c>
      <c r="J28" s="27">
        <f t="shared" si="5"/>
        <v>252.34443012503795</v>
      </c>
      <c r="K28" s="26">
        <f t="shared" si="6"/>
        <v>253</v>
      </c>
      <c r="L28" s="28">
        <f t="shared" si="7"/>
        <v>506</v>
      </c>
      <c r="M28" s="28">
        <f t="shared" si="8"/>
        <v>256036</v>
      </c>
      <c r="N28" s="24">
        <f t="shared" si="9"/>
        <v>546</v>
      </c>
      <c r="O28" s="35"/>
      <c r="P28" s="30">
        <f t="shared" si="10"/>
        <v>1646.8574692860109</v>
      </c>
      <c r="Q28" s="31">
        <f t="shared" si="11"/>
        <v>3.3549533209077156</v>
      </c>
      <c r="R28" s="32">
        <f t="shared" si="12"/>
        <v>4</v>
      </c>
    </row>
    <row r="29" spans="1:18" ht="15.75" customHeight="1">
      <c r="A29" s="81"/>
      <c r="B29" s="19" t="s">
        <v>39</v>
      </c>
      <c r="C29" s="20">
        <f t="shared" si="0"/>
        <v>1.2864264941539555E-2</v>
      </c>
      <c r="D29" s="21" t="str">
        <f t="shared" si="1"/>
        <v>YES</v>
      </c>
      <c r="E29" s="22">
        <f t="shared" si="2"/>
        <v>0.21354679802955662</v>
      </c>
      <c r="F29" s="23">
        <f t="shared" si="3"/>
        <v>51.744839163679956</v>
      </c>
      <c r="G29" s="24">
        <v>217.29900000000001</v>
      </c>
      <c r="H29" s="25">
        <f t="shared" si="4"/>
        <v>234.74824278122983</v>
      </c>
      <c r="I29" s="26">
        <v>251</v>
      </c>
      <c r="J29" s="27">
        <f t="shared" si="5"/>
        <v>251</v>
      </c>
      <c r="K29" s="26">
        <f t="shared" si="6"/>
        <v>251</v>
      </c>
      <c r="L29" s="28">
        <f t="shared" si="7"/>
        <v>502</v>
      </c>
      <c r="M29" s="28">
        <f t="shared" si="8"/>
        <v>252004</v>
      </c>
      <c r="N29" s="24">
        <f t="shared" si="9"/>
        <v>542</v>
      </c>
      <c r="O29" s="35"/>
      <c r="P29" s="30">
        <f t="shared" si="10"/>
        <v>1620.9231111638671</v>
      </c>
      <c r="Q29" s="31">
        <f t="shared" si="11"/>
        <v>3.3021202357560187</v>
      </c>
      <c r="R29" s="32">
        <f t="shared" si="12"/>
        <v>4</v>
      </c>
    </row>
    <row r="30" spans="1:18" ht="15.75" customHeight="1">
      <c r="A30" s="81"/>
      <c r="B30" s="19" t="s">
        <v>40</v>
      </c>
      <c r="C30" s="20">
        <f t="shared" si="0"/>
        <v>1.2864264941539555E-2</v>
      </c>
      <c r="D30" s="21" t="str">
        <f t="shared" si="1"/>
        <v>YES</v>
      </c>
      <c r="E30" s="22">
        <f t="shared" si="2"/>
        <v>0.21354679802955662</v>
      </c>
      <c r="F30" s="23">
        <f t="shared" si="3"/>
        <v>51.552670376869663</v>
      </c>
      <c r="G30" s="24">
        <v>216.49199999999999</v>
      </c>
      <c r="H30" s="25">
        <f t="shared" si="4"/>
        <v>234.4572814301624</v>
      </c>
      <c r="I30" s="26">
        <v>252</v>
      </c>
      <c r="J30" s="27">
        <f t="shared" si="5"/>
        <v>252</v>
      </c>
      <c r="K30" s="26">
        <f t="shared" si="6"/>
        <v>252</v>
      </c>
      <c r="L30" s="28">
        <f t="shared" si="7"/>
        <v>504</v>
      </c>
      <c r="M30" s="28">
        <f t="shared" si="8"/>
        <v>254016</v>
      </c>
      <c r="N30" s="24">
        <f t="shared" si="9"/>
        <v>544</v>
      </c>
      <c r="O30" s="35"/>
      <c r="P30" s="30">
        <f t="shared" si="10"/>
        <v>1633.8645616950557</v>
      </c>
      <c r="Q30" s="31">
        <f t="shared" si="11"/>
        <v>3.3284843645569144</v>
      </c>
      <c r="R30" s="32">
        <f t="shared" si="12"/>
        <v>4</v>
      </c>
    </row>
    <row r="31" spans="1:18" ht="15.75" customHeight="1">
      <c r="A31" s="82"/>
      <c r="B31" s="19" t="s">
        <v>43</v>
      </c>
      <c r="C31" s="20">
        <f t="shared" si="0"/>
        <v>1.2864264941539555E-2</v>
      </c>
      <c r="D31" s="21" t="str">
        <f t="shared" si="1"/>
        <v>YES</v>
      </c>
      <c r="E31" s="22">
        <f t="shared" si="2"/>
        <v>0.21354679802955662</v>
      </c>
      <c r="F31" s="23">
        <f t="shared" si="3"/>
        <v>35.84626537013699</v>
      </c>
      <c r="G31" s="36">
        <v>150.53399999999999</v>
      </c>
      <c r="H31" s="25">
        <f t="shared" si="4"/>
        <v>207.71186638130598</v>
      </c>
      <c r="I31" s="26">
        <v>251</v>
      </c>
      <c r="J31" s="27">
        <f t="shared" si="5"/>
        <v>251</v>
      </c>
      <c r="K31" s="26">
        <f t="shared" si="6"/>
        <v>251</v>
      </c>
      <c r="L31" s="28">
        <f t="shared" si="7"/>
        <v>502</v>
      </c>
      <c r="M31" s="28">
        <f t="shared" si="8"/>
        <v>252004</v>
      </c>
      <c r="N31" s="24">
        <f t="shared" si="9"/>
        <v>542</v>
      </c>
      <c r="O31" s="35"/>
      <c r="P31" s="30">
        <f t="shared" si="10"/>
        <v>1620.9231111638671</v>
      </c>
      <c r="Q31" s="31">
        <f t="shared" si="11"/>
        <v>3.3021202357560187</v>
      </c>
      <c r="R31" s="32">
        <f t="shared" si="12"/>
        <v>4</v>
      </c>
    </row>
    <row r="32" spans="1:18" ht="15.75" customHeight="1">
      <c r="A32" s="80" t="s">
        <v>45</v>
      </c>
      <c r="B32" s="19" t="s">
        <v>38</v>
      </c>
      <c r="C32" s="20">
        <f t="shared" si="0"/>
        <v>1.2864264941539555E-2</v>
      </c>
      <c r="D32" s="21" t="str">
        <f t="shared" si="1"/>
        <v>YES</v>
      </c>
      <c r="E32" s="22">
        <f t="shared" si="2"/>
        <v>0.21354679802955662</v>
      </c>
      <c r="F32" s="23">
        <f t="shared" si="3"/>
        <v>77.609757733395369</v>
      </c>
      <c r="G32" s="24">
        <v>325.91699999999997</v>
      </c>
      <c r="H32" s="25">
        <f t="shared" si="4"/>
        <v>268.71100019868913</v>
      </c>
      <c r="I32" s="26">
        <v>250</v>
      </c>
      <c r="J32" s="27">
        <f t="shared" si="5"/>
        <v>268.71100019868913</v>
      </c>
      <c r="K32" s="26">
        <f t="shared" si="6"/>
        <v>269</v>
      </c>
      <c r="L32" s="28">
        <f t="shared" si="7"/>
        <v>538</v>
      </c>
      <c r="M32" s="28">
        <f t="shared" si="8"/>
        <v>289444</v>
      </c>
      <c r="N32" s="24">
        <f t="shared" si="9"/>
        <v>578</v>
      </c>
      <c r="O32" s="35"/>
      <c r="P32" s="30">
        <f t="shared" si="10"/>
        <v>1861.7421508694874</v>
      </c>
      <c r="Q32" s="31">
        <f t="shared" si="11"/>
        <v>3.7927131693074911</v>
      </c>
      <c r="R32" s="32">
        <f t="shared" si="12"/>
        <v>4</v>
      </c>
    </row>
    <row r="33" spans="1:20" ht="15.75" customHeight="1">
      <c r="A33" s="81"/>
      <c r="B33" s="19" t="s">
        <v>39</v>
      </c>
      <c r="C33" s="20">
        <f t="shared" si="0"/>
        <v>1.2864264941539555E-2</v>
      </c>
      <c r="D33" s="21" t="str">
        <f t="shared" si="1"/>
        <v>YES</v>
      </c>
      <c r="E33" s="22">
        <f t="shared" si="2"/>
        <v>0.21354679802955662</v>
      </c>
      <c r="F33" s="23">
        <f t="shared" si="3"/>
        <v>72.765294537771339</v>
      </c>
      <c r="G33" s="24">
        <v>305.57299999999998</v>
      </c>
      <c r="H33" s="25">
        <f t="shared" si="4"/>
        <v>262.99940548590627</v>
      </c>
      <c r="I33" s="26">
        <v>251</v>
      </c>
      <c r="J33" s="27">
        <f t="shared" si="5"/>
        <v>262.99940548590627</v>
      </c>
      <c r="K33" s="26">
        <f t="shared" si="6"/>
        <v>263</v>
      </c>
      <c r="L33" s="28">
        <f t="shared" si="7"/>
        <v>526</v>
      </c>
      <c r="M33" s="28">
        <f t="shared" si="8"/>
        <v>276676</v>
      </c>
      <c r="N33" s="24">
        <f t="shared" si="9"/>
        <v>566</v>
      </c>
      <c r="O33" s="35"/>
      <c r="P33" s="30">
        <f t="shared" si="10"/>
        <v>1779.616683482699</v>
      </c>
      <c r="Q33" s="31">
        <f t="shared" si="11"/>
        <v>3.6254083996604507</v>
      </c>
      <c r="R33" s="32">
        <f t="shared" si="12"/>
        <v>4</v>
      </c>
    </row>
    <row r="34" spans="1:20" ht="15.75" customHeight="1">
      <c r="A34" s="81"/>
      <c r="B34" s="19" t="s">
        <v>40</v>
      </c>
      <c r="C34" s="20">
        <f t="shared" si="0"/>
        <v>1.2864264941539555E-2</v>
      </c>
      <c r="D34" s="21" t="str">
        <f t="shared" si="1"/>
        <v>YES</v>
      </c>
      <c r="E34" s="22">
        <f t="shared" si="2"/>
        <v>0.21354679802955662</v>
      </c>
      <c r="F34" s="23">
        <f t="shared" si="3"/>
        <v>73.199876986258062</v>
      </c>
      <c r="G34" s="24">
        <v>307.39800000000002</v>
      </c>
      <c r="H34" s="25">
        <f t="shared" si="4"/>
        <v>263.5219446096786</v>
      </c>
      <c r="I34" s="26">
        <v>252</v>
      </c>
      <c r="J34" s="27">
        <f t="shared" si="5"/>
        <v>263.5219446096786</v>
      </c>
      <c r="K34" s="26">
        <f t="shared" si="6"/>
        <v>264</v>
      </c>
      <c r="L34" s="28">
        <f t="shared" si="7"/>
        <v>528</v>
      </c>
      <c r="M34" s="28">
        <f t="shared" si="8"/>
        <v>278784</v>
      </c>
      <c r="N34" s="24">
        <f t="shared" si="9"/>
        <v>568</v>
      </c>
      <c r="O34" s="35"/>
      <c r="P34" s="30">
        <f t="shared" si="10"/>
        <v>1793.1756187310818</v>
      </c>
      <c r="Q34" s="31">
        <f t="shared" si="11"/>
        <v>3.6530304590601972</v>
      </c>
      <c r="R34" s="32">
        <f t="shared" si="12"/>
        <v>4</v>
      </c>
    </row>
    <row r="35" spans="1:20" ht="15.75" customHeight="1">
      <c r="A35" s="81"/>
      <c r="B35" s="19" t="s">
        <v>41</v>
      </c>
      <c r="C35" s="20">
        <f t="shared" si="0"/>
        <v>1.2864264941539555E-2</v>
      </c>
      <c r="D35" s="21" t="str">
        <f t="shared" si="1"/>
        <v>YES</v>
      </c>
      <c r="E35" s="22">
        <f t="shared" si="2"/>
        <v>0.21354679802955662</v>
      </c>
      <c r="F35" s="23">
        <f t="shared" si="3"/>
        <v>73.221784704209185</v>
      </c>
      <c r="G35" s="36">
        <v>307.49</v>
      </c>
      <c r="H35" s="25">
        <f t="shared" si="4"/>
        <v>263.54823148713854</v>
      </c>
      <c r="I35" s="26">
        <v>250</v>
      </c>
      <c r="J35" s="27">
        <f t="shared" si="5"/>
        <v>263.54823148713854</v>
      </c>
      <c r="K35" s="26">
        <f t="shared" si="6"/>
        <v>264</v>
      </c>
      <c r="L35" s="28">
        <f t="shared" si="7"/>
        <v>528</v>
      </c>
      <c r="M35" s="28">
        <f t="shared" si="8"/>
        <v>278784</v>
      </c>
      <c r="N35" s="24">
        <f t="shared" si="9"/>
        <v>568</v>
      </c>
      <c r="O35" s="35"/>
      <c r="P35" s="37">
        <f t="shared" si="10"/>
        <v>1793.1756187310818</v>
      </c>
      <c r="Q35" s="31">
        <f t="shared" si="11"/>
        <v>3.6530304590601972</v>
      </c>
      <c r="R35" s="32">
        <f t="shared" si="12"/>
        <v>4</v>
      </c>
    </row>
    <row r="36" spans="1:20" ht="15.75" customHeight="1">
      <c r="A36" s="81"/>
      <c r="B36" s="19" t="s">
        <v>42</v>
      </c>
      <c r="C36" s="20">
        <f t="shared" si="0"/>
        <v>1.2864264941539555E-2</v>
      </c>
      <c r="D36" s="21" t="str">
        <f t="shared" si="1"/>
        <v>YES</v>
      </c>
      <c r="E36" s="22">
        <f t="shared" si="2"/>
        <v>0.21354679802955662</v>
      </c>
      <c r="F36" s="23">
        <f t="shared" si="3"/>
        <v>73.106769184965856</v>
      </c>
      <c r="G36" s="36">
        <v>307.00700000000001</v>
      </c>
      <c r="H36" s="25">
        <f t="shared" si="4"/>
        <v>263.41016682993205</v>
      </c>
      <c r="I36" s="26">
        <v>250</v>
      </c>
      <c r="J36" s="27">
        <f t="shared" si="5"/>
        <v>263.41016682993205</v>
      </c>
      <c r="K36" s="26">
        <f t="shared" si="6"/>
        <v>264</v>
      </c>
      <c r="L36" s="28">
        <f t="shared" si="7"/>
        <v>528</v>
      </c>
      <c r="M36" s="28">
        <f t="shared" si="8"/>
        <v>278784</v>
      </c>
      <c r="N36" s="24">
        <f t="shared" si="9"/>
        <v>568</v>
      </c>
      <c r="O36" s="35"/>
      <c r="P36" s="30">
        <f t="shared" si="10"/>
        <v>1793.1756187310818</v>
      </c>
      <c r="Q36" s="31">
        <f t="shared" si="11"/>
        <v>3.6530304590601972</v>
      </c>
      <c r="R36" s="27">
        <f t="shared" si="12"/>
        <v>4</v>
      </c>
      <c r="T36" t="s">
        <v>46</v>
      </c>
    </row>
    <row r="37" spans="1:20" ht="15.75" customHeight="1">
      <c r="A37" s="81"/>
      <c r="B37" s="19" t="s">
        <v>39</v>
      </c>
      <c r="C37" s="20">
        <f t="shared" si="0"/>
        <v>1.2864264941539555E-2</v>
      </c>
      <c r="D37" s="21" t="str">
        <f t="shared" si="1"/>
        <v>YES</v>
      </c>
      <c r="E37" s="22">
        <f t="shared" si="2"/>
        <v>0.21354679802955662</v>
      </c>
      <c r="F37" s="23">
        <f t="shared" si="3"/>
        <v>72.765294537771339</v>
      </c>
      <c r="G37" s="24">
        <v>305.57299999999998</v>
      </c>
      <c r="H37" s="25">
        <f t="shared" si="4"/>
        <v>262.99940548590627</v>
      </c>
      <c r="I37" s="26">
        <v>251</v>
      </c>
      <c r="J37" s="27">
        <f t="shared" si="5"/>
        <v>262.99940548590627</v>
      </c>
      <c r="K37" s="26">
        <f t="shared" si="6"/>
        <v>263</v>
      </c>
      <c r="L37" s="28">
        <f t="shared" si="7"/>
        <v>526</v>
      </c>
      <c r="M37" s="28">
        <f t="shared" si="8"/>
        <v>276676</v>
      </c>
      <c r="N37" s="24">
        <f t="shared" si="9"/>
        <v>566</v>
      </c>
      <c r="O37" s="35"/>
      <c r="P37" s="30">
        <f t="shared" si="10"/>
        <v>1779.616683482699</v>
      </c>
      <c r="Q37" s="31">
        <f t="shared" si="11"/>
        <v>3.6254083996604507</v>
      </c>
      <c r="R37" s="32">
        <f t="shared" si="12"/>
        <v>4</v>
      </c>
    </row>
    <row r="38" spans="1:20" ht="15.75" customHeight="1">
      <c r="A38" s="81"/>
      <c r="B38" s="19" t="s">
        <v>40</v>
      </c>
      <c r="C38" s="20">
        <f t="shared" si="0"/>
        <v>1.2864264941539555E-2</v>
      </c>
      <c r="D38" s="21" t="str">
        <f t="shared" si="1"/>
        <v>YES</v>
      </c>
      <c r="E38" s="22">
        <f t="shared" si="2"/>
        <v>0.21354679802955662</v>
      </c>
      <c r="F38" s="23">
        <f t="shared" si="3"/>
        <v>73.199876986258062</v>
      </c>
      <c r="G38" s="24">
        <v>307.39800000000002</v>
      </c>
      <c r="H38" s="25">
        <f t="shared" si="4"/>
        <v>263.5219446096786</v>
      </c>
      <c r="I38" s="26">
        <v>252</v>
      </c>
      <c r="J38" s="27">
        <f t="shared" si="5"/>
        <v>263.5219446096786</v>
      </c>
      <c r="K38" s="26">
        <f t="shared" si="6"/>
        <v>264</v>
      </c>
      <c r="L38" s="28">
        <f t="shared" si="7"/>
        <v>528</v>
      </c>
      <c r="M38" s="28">
        <f t="shared" si="8"/>
        <v>278784</v>
      </c>
      <c r="N38" s="24">
        <f t="shared" si="9"/>
        <v>568</v>
      </c>
      <c r="O38" s="35"/>
      <c r="P38" s="30">
        <f t="shared" si="10"/>
        <v>1793.1756187310818</v>
      </c>
      <c r="Q38" s="31">
        <f t="shared" si="11"/>
        <v>3.6530304590601972</v>
      </c>
      <c r="R38" s="32">
        <f t="shared" si="12"/>
        <v>4</v>
      </c>
    </row>
    <row r="39" spans="1:20" ht="15.75" customHeight="1">
      <c r="A39" s="82"/>
      <c r="B39" s="19" t="s">
        <v>43</v>
      </c>
      <c r="C39" s="20">
        <f t="shared" si="0"/>
        <v>1.2864264941539555E-2</v>
      </c>
      <c r="D39" s="21" t="str">
        <f t="shared" si="1"/>
        <v>YES</v>
      </c>
      <c r="E39" s="22">
        <f t="shared" si="2"/>
        <v>0.21354679802955662</v>
      </c>
      <c r="F39" s="23">
        <f t="shared" si="3"/>
        <v>32.874435804594924</v>
      </c>
      <c r="G39" s="36">
        <v>138.054</v>
      </c>
      <c r="H39" s="25">
        <f t="shared" si="4"/>
        <v>201.80539496634674</v>
      </c>
      <c r="I39" s="26">
        <v>251</v>
      </c>
      <c r="J39" s="27">
        <f t="shared" si="5"/>
        <v>251</v>
      </c>
      <c r="K39" s="26">
        <f t="shared" si="6"/>
        <v>251</v>
      </c>
      <c r="L39" s="28">
        <f t="shared" si="7"/>
        <v>502</v>
      </c>
      <c r="M39" s="28">
        <f t="shared" si="8"/>
        <v>252004</v>
      </c>
      <c r="N39" s="24">
        <f t="shared" si="9"/>
        <v>542</v>
      </c>
      <c r="O39" s="35"/>
      <c r="P39" s="30">
        <f t="shared" si="10"/>
        <v>1620.9231111638671</v>
      </c>
      <c r="Q39" s="31">
        <f t="shared" si="11"/>
        <v>3.3021202357560187</v>
      </c>
      <c r="R39" s="27">
        <f t="shared" si="12"/>
        <v>4</v>
      </c>
    </row>
    <row r="40" spans="1:20" ht="15.75" customHeight="1">
      <c r="A40" s="80" t="s">
        <v>47</v>
      </c>
      <c r="B40" s="19" t="s">
        <v>38</v>
      </c>
      <c r="C40" s="20">
        <f t="shared" si="0"/>
        <v>1.2864264941539555E-2</v>
      </c>
      <c r="D40" s="21" t="str">
        <f t="shared" si="1"/>
        <v>YES</v>
      </c>
      <c r="E40" s="22">
        <f t="shared" si="2"/>
        <v>0.21354679802955662</v>
      </c>
      <c r="F40" s="23">
        <f t="shared" si="3"/>
        <v>10.577617732482265</v>
      </c>
      <c r="G40" s="24">
        <v>44.42</v>
      </c>
      <c r="H40" s="25">
        <f t="shared" si="4"/>
        <v>138.28528173764977</v>
      </c>
      <c r="I40" s="26">
        <v>250</v>
      </c>
      <c r="J40" s="27">
        <f t="shared" si="5"/>
        <v>250</v>
      </c>
      <c r="K40" s="26">
        <f t="shared" si="6"/>
        <v>250</v>
      </c>
      <c r="L40" s="28">
        <f t="shared" si="7"/>
        <v>500</v>
      </c>
      <c r="M40" s="28">
        <f t="shared" si="8"/>
        <v>250000</v>
      </c>
      <c r="N40" s="24">
        <f t="shared" si="9"/>
        <v>540</v>
      </c>
      <c r="O40" s="35"/>
      <c r="P40" s="30">
        <f t="shared" si="10"/>
        <v>1608.0331176924442</v>
      </c>
      <c r="Q40" s="31">
        <f t="shared" si="11"/>
        <v>3.2758609345050256</v>
      </c>
      <c r="R40" s="32">
        <f t="shared" si="12"/>
        <v>4</v>
      </c>
    </row>
    <row r="41" spans="1:20" ht="15.75" customHeight="1">
      <c r="A41" s="81"/>
      <c r="B41" s="19" t="s">
        <v>39</v>
      </c>
      <c r="C41" s="20">
        <f t="shared" si="0"/>
        <v>1.2864264941539555E-2</v>
      </c>
      <c r="D41" s="21" t="str">
        <f t="shared" si="1"/>
        <v>YES</v>
      </c>
      <c r="E41" s="22">
        <f t="shared" si="2"/>
        <v>0.21354679802955662</v>
      </c>
      <c r="F41" s="23">
        <f t="shared" si="3"/>
        <v>74.876055536887122</v>
      </c>
      <c r="G41" s="24">
        <v>314.43700000000001</v>
      </c>
      <c r="H41" s="25">
        <f t="shared" si="4"/>
        <v>265.51821644320137</v>
      </c>
      <c r="I41" s="26">
        <v>251</v>
      </c>
      <c r="J41" s="27">
        <f t="shared" si="5"/>
        <v>265.51821644320137</v>
      </c>
      <c r="K41" s="26">
        <f t="shared" si="6"/>
        <v>266</v>
      </c>
      <c r="L41" s="28">
        <f t="shared" si="7"/>
        <v>532</v>
      </c>
      <c r="M41" s="28">
        <f t="shared" si="8"/>
        <v>283024</v>
      </c>
      <c r="N41" s="24">
        <f t="shared" si="9"/>
        <v>572</v>
      </c>
      <c r="O41" s="35"/>
      <c r="P41" s="30">
        <f t="shared" si="10"/>
        <v>1820.4478604071453</v>
      </c>
      <c r="Q41" s="31">
        <f t="shared" si="11"/>
        <v>3.7085890605094014</v>
      </c>
      <c r="R41" s="32">
        <f t="shared" si="12"/>
        <v>4</v>
      </c>
    </row>
    <row r="42" spans="1:20" ht="15.75" customHeight="1">
      <c r="A42" s="81"/>
      <c r="B42" s="19" t="s">
        <v>40</v>
      </c>
      <c r="C42" s="20">
        <f t="shared" si="0"/>
        <v>1.2864264941539555E-2</v>
      </c>
      <c r="D42" s="21" t="str">
        <f t="shared" si="1"/>
        <v>YES</v>
      </c>
      <c r="E42" s="22">
        <f t="shared" si="2"/>
        <v>0.21354679802955662</v>
      </c>
      <c r="F42" s="23">
        <f t="shared" si="3"/>
        <v>74.793187212463351</v>
      </c>
      <c r="G42" s="24">
        <v>314.089</v>
      </c>
      <c r="H42" s="25">
        <f t="shared" si="4"/>
        <v>265.42022707594793</v>
      </c>
      <c r="I42" s="26">
        <v>252</v>
      </c>
      <c r="J42" s="27">
        <f t="shared" si="5"/>
        <v>265.42022707594793</v>
      </c>
      <c r="K42" s="26">
        <f t="shared" si="6"/>
        <v>266</v>
      </c>
      <c r="L42" s="28">
        <f t="shared" si="7"/>
        <v>532</v>
      </c>
      <c r="M42" s="28">
        <f t="shared" si="8"/>
        <v>283024</v>
      </c>
      <c r="N42" s="24">
        <f t="shared" si="9"/>
        <v>572</v>
      </c>
      <c r="O42" s="35"/>
      <c r="P42" s="30">
        <f t="shared" si="10"/>
        <v>1820.4478604071453</v>
      </c>
      <c r="Q42" s="31">
        <f t="shared" si="11"/>
        <v>3.7085890605094014</v>
      </c>
      <c r="R42" s="32">
        <f t="shared" si="12"/>
        <v>4</v>
      </c>
    </row>
    <row r="43" spans="1:20" ht="15.75" customHeight="1">
      <c r="A43" s="81"/>
      <c r="B43" s="19" t="s">
        <v>41</v>
      </c>
      <c r="C43" s="20">
        <f t="shared" si="0"/>
        <v>1.2864264941539555E-2</v>
      </c>
      <c r="D43" s="21" t="str">
        <f t="shared" si="1"/>
        <v>YES</v>
      </c>
      <c r="E43" s="22">
        <f t="shared" si="2"/>
        <v>0.21354679802955662</v>
      </c>
      <c r="F43" s="23">
        <f t="shared" si="3"/>
        <v>74.754848706048904</v>
      </c>
      <c r="G43" s="36">
        <v>313.928</v>
      </c>
      <c r="H43" s="25">
        <f t="shared" si="4"/>
        <v>265.37486842480735</v>
      </c>
      <c r="I43" s="26">
        <v>250</v>
      </c>
      <c r="J43" s="27">
        <f t="shared" si="5"/>
        <v>265.37486842480735</v>
      </c>
      <c r="K43" s="26">
        <f t="shared" si="6"/>
        <v>266</v>
      </c>
      <c r="L43" s="28">
        <f t="shared" si="7"/>
        <v>532</v>
      </c>
      <c r="M43" s="28">
        <f t="shared" si="8"/>
        <v>283024</v>
      </c>
      <c r="N43" s="24">
        <f t="shared" si="9"/>
        <v>572</v>
      </c>
      <c r="O43" s="35"/>
      <c r="P43" s="37">
        <f t="shared" si="10"/>
        <v>1820.4478604071453</v>
      </c>
      <c r="Q43" s="31">
        <f t="shared" si="11"/>
        <v>3.7085890605094014</v>
      </c>
      <c r="R43" s="32">
        <f t="shared" si="12"/>
        <v>4</v>
      </c>
    </row>
    <row r="44" spans="1:20" ht="15.75" customHeight="1">
      <c r="A44" s="81"/>
      <c r="B44" s="19" t="s">
        <v>42</v>
      </c>
      <c r="C44" s="20">
        <f t="shared" si="0"/>
        <v>1.2864264941539555E-2</v>
      </c>
      <c r="D44" s="21" t="str">
        <f t="shared" si="1"/>
        <v>YES</v>
      </c>
      <c r="E44" s="22">
        <f t="shared" si="2"/>
        <v>0.21354679802955662</v>
      </c>
      <c r="F44" s="23">
        <f t="shared" si="3"/>
        <v>99.890383144413718</v>
      </c>
      <c r="G44" s="36">
        <v>419.483</v>
      </c>
      <c r="H44" s="25">
        <f t="shared" si="4"/>
        <v>292.2948942157002</v>
      </c>
      <c r="I44" s="26">
        <v>251</v>
      </c>
      <c r="J44" s="27">
        <f t="shared" si="5"/>
        <v>292.2948942157002</v>
      </c>
      <c r="K44" s="26">
        <f t="shared" si="6"/>
        <v>293</v>
      </c>
      <c r="L44" s="28">
        <f t="shared" si="7"/>
        <v>586</v>
      </c>
      <c r="M44" s="28">
        <f t="shared" si="8"/>
        <v>343396</v>
      </c>
      <c r="N44" s="24">
        <f t="shared" si="9"/>
        <v>626</v>
      </c>
      <c r="O44" s="35"/>
      <c r="P44" s="37">
        <f t="shared" si="10"/>
        <v>2208.7685619324584</v>
      </c>
      <c r="Q44" s="31">
        <f t="shared" si="11"/>
        <v>4.4996701658611515</v>
      </c>
      <c r="R44" s="32">
        <f t="shared" si="12"/>
        <v>5</v>
      </c>
    </row>
    <row r="45" spans="1:20" ht="15.75" customHeight="1">
      <c r="A45" s="81"/>
      <c r="B45" s="19" t="s">
        <v>39</v>
      </c>
      <c r="C45" s="20">
        <f t="shared" si="0"/>
        <v>1.2864264941539555E-2</v>
      </c>
      <c r="D45" s="21" t="str">
        <f t="shared" si="1"/>
        <v>YES</v>
      </c>
      <c r="E45" s="22">
        <f t="shared" si="2"/>
        <v>0.21354679802955662</v>
      </c>
      <c r="F45" s="23">
        <f t="shared" si="3"/>
        <v>74.876055536887122</v>
      </c>
      <c r="G45" s="24">
        <v>314.43700000000001</v>
      </c>
      <c r="H45" s="25">
        <f t="shared" si="4"/>
        <v>265.51821644320137</v>
      </c>
      <c r="I45" s="26">
        <v>251</v>
      </c>
      <c r="J45" s="27">
        <f t="shared" si="5"/>
        <v>265.51821644320137</v>
      </c>
      <c r="K45" s="26">
        <f t="shared" si="6"/>
        <v>266</v>
      </c>
      <c r="L45" s="28">
        <f t="shared" si="7"/>
        <v>532</v>
      </c>
      <c r="M45" s="28">
        <f t="shared" si="8"/>
        <v>283024</v>
      </c>
      <c r="N45" s="24">
        <f t="shared" si="9"/>
        <v>572</v>
      </c>
      <c r="O45" s="35"/>
      <c r="P45" s="30">
        <f t="shared" si="10"/>
        <v>1820.4478604071453</v>
      </c>
      <c r="Q45" s="31">
        <f t="shared" si="11"/>
        <v>3.7085890605094014</v>
      </c>
      <c r="R45" s="32">
        <f t="shared" si="12"/>
        <v>4</v>
      </c>
    </row>
    <row r="46" spans="1:20" ht="15.75" customHeight="1">
      <c r="A46" s="81"/>
      <c r="B46" s="19" t="s">
        <v>40</v>
      </c>
      <c r="C46" s="20">
        <f t="shared" si="0"/>
        <v>1.2864264941539555E-2</v>
      </c>
      <c r="D46" s="21" t="str">
        <f t="shared" si="1"/>
        <v>YES</v>
      </c>
      <c r="E46" s="22">
        <f t="shared" si="2"/>
        <v>0.21354679802955662</v>
      </c>
      <c r="F46" s="23">
        <f t="shared" si="3"/>
        <v>74.793187212463351</v>
      </c>
      <c r="G46" s="24">
        <v>314.089</v>
      </c>
      <c r="H46" s="25">
        <f t="shared" si="4"/>
        <v>265.42022707594793</v>
      </c>
      <c r="I46" s="26">
        <v>252</v>
      </c>
      <c r="J46" s="27">
        <f t="shared" si="5"/>
        <v>265.42022707594793</v>
      </c>
      <c r="K46" s="26">
        <f t="shared" si="6"/>
        <v>266</v>
      </c>
      <c r="L46" s="28">
        <f t="shared" si="7"/>
        <v>532</v>
      </c>
      <c r="M46" s="28">
        <f t="shared" si="8"/>
        <v>283024</v>
      </c>
      <c r="N46" s="24">
        <f t="shared" si="9"/>
        <v>572</v>
      </c>
      <c r="O46" s="35"/>
      <c r="P46" s="30">
        <f t="shared" si="10"/>
        <v>1820.4478604071453</v>
      </c>
      <c r="Q46" s="31">
        <f t="shared" si="11"/>
        <v>3.7085890605094014</v>
      </c>
      <c r="R46" s="32">
        <f t="shared" si="12"/>
        <v>4</v>
      </c>
    </row>
    <row r="47" spans="1:20" ht="15.75" customHeight="1">
      <c r="A47" s="82"/>
      <c r="B47" s="19" t="s">
        <v>43</v>
      </c>
      <c r="C47" s="20">
        <f t="shared" si="0"/>
        <v>1.2864264941539555E-2</v>
      </c>
      <c r="D47" s="38" t="str">
        <f t="shared" si="1"/>
        <v>YES</v>
      </c>
      <c r="E47" s="22">
        <f t="shared" si="2"/>
        <v>0.21354679802955662</v>
      </c>
      <c r="F47" s="23">
        <f t="shared" si="3"/>
        <v>59.992618717535329</v>
      </c>
      <c r="G47" s="25">
        <v>251.935</v>
      </c>
      <c r="H47" s="25">
        <f t="shared" si="4"/>
        <v>246.61109379167158</v>
      </c>
      <c r="I47" s="26">
        <v>250</v>
      </c>
      <c r="J47" s="27">
        <f t="shared" si="5"/>
        <v>250</v>
      </c>
      <c r="K47" s="26">
        <f t="shared" si="6"/>
        <v>250</v>
      </c>
      <c r="L47" s="24">
        <f t="shared" si="7"/>
        <v>500</v>
      </c>
      <c r="M47" s="24">
        <f t="shared" si="8"/>
        <v>250000</v>
      </c>
      <c r="N47" s="24">
        <f t="shared" si="9"/>
        <v>540</v>
      </c>
      <c r="O47" s="35"/>
      <c r="P47" s="30">
        <f t="shared" si="10"/>
        <v>1608.0331176924442</v>
      </c>
      <c r="Q47" s="22">
        <f t="shared" si="11"/>
        <v>3.2758609345050256</v>
      </c>
      <c r="R47" s="27">
        <f t="shared" si="12"/>
        <v>4</v>
      </c>
    </row>
    <row r="48" spans="1:20" ht="15.75" customHeight="1">
      <c r="A48" s="18"/>
      <c r="B48" s="18"/>
      <c r="C48" s="39"/>
      <c r="D48" s="40"/>
      <c r="E48" s="41"/>
      <c r="F48" s="42"/>
      <c r="G48" s="42"/>
      <c r="H48" s="42"/>
      <c r="I48" s="35"/>
      <c r="J48" s="43"/>
      <c r="K48" s="35"/>
      <c r="L48" s="35"/>
      <c r="M48" s="35"/>
      <c r="N48" s="35"/>
      <c r="O48" s="35"/>
      <c r="P48" s="44"/>
      <c r="Q48" s="41"/>
      <c r="R48" s="43"/>
    </row>
    <row r="49" spans="1:49" ht="15.75" customHeight="1">
      <c r="A49" s="92" t="s">
        <v>17</v>
      </c>
      <c r="B49" s="93"/>
      <c r="C49" s="111" t="s">
        <v>48</v>
      </c>
      <c r="D49" s="112"/>
      <c r="E49" s="112"/>
      <c r="F49" s="112"/>
      <c r="G49" s="112"/>
      <c r="H49" s="112"/>
      <c r="I49" s="112"/>
      <c r="J49" s="113"/>
      <c r="L49" s="114" t="s">
        <v>49</v>
      </c>
      <c r="M49" s="115"/>
      <c r="N49" s="115"/>
      <c r="O49" s="116"/>
      <c r="T49" s="42"/>
      <c r="U49" s="41"/>
      <c r="V49" s="18"/>
      <c r="W49" s="41"/>
      <c r="X49" s="45"/>
      <c r="Y49" s="42"/>
      <c r="Z49" s="35"/>
      <c r="AA49" s="40"/>
      <c r="AC49" s="42"/>
      <c r="AD49" s="42"/>
      <c r="AE49" s="42"/>
      <c r="AF49" s="46"/>
      <c r="AH49" s="42"/>
      <c r="AI49" s="42"/>
      <c r="AJ49" s="42"/>
      <c r="AK49" s="42"/>
      <c r="AL49" s="42"/>
      <c r="AM49" s="18"/>
      <c r="AO49" s="42"/>
      <c r="AP49" s="35"/>
      <c r="AQ49" s="35"/>
      <c r="AR49" s="47"/>
      <c r="AT49" s="35"/>
      <c r="AU49" s="42"/>
      <c r="AV49" s="42"/>
      <c r="AW49" s="18"/>
    </row>
    <row r="50" spans="1:49" ht="15.75" customHeight="1">
      <c r="A50" s="94"/>
      <c r="B50" s="95"/>
      <c r="C50" s="117" t="s">
        <v>50</v>
      </c>
      <c r="D50" s="118" t="s">
        <v>51</v>
      </c>
      <c r="E50" s="120" t="s">
        <v>52</v>
      </c>
      <c r="F50" s="122" t="s">
        <v>21</v>
      </c>
      <c r="G50" s="122" t="s">
        <v>53</v>
      </c>
      <c r="H50" s="122" t="s">
        <v>54</v>
      </c>
      <c r="I50" s="122" t="s">
        <v>55</v>
      </c>
      <c r="J50" s="123" t="s">
        <v>56</v>
      </c>
      <c r="L50" s="48" t="s">
        <v>57</v>
      </c>
      <c r="M50" s="49" t="s">
        <v>58</v>
      </c>
      <c r="N50" s="125" t="s">
        <v>59</v>
      </c>
      <c r="O50" s="127" t="s">
        <v>60</v>
      </c>
    </row>
    <row r="51" spans="1:49" ht="15.75" customHeight="1">
      <c r="A51" s="96"/>
      <c r="B51" s="97"/>
      <c r="C51" s="109"/>
      <c r="D51" s="119"/>
      <c r="E51" s="121"/>
      <c r="F51" s="104"/>
      <c r="G51" s="104"/>
      <c r="H51" s="104"/>
      <c r="I51" s="104"/>
      <c r="J51" s="124"/>
      <c r="L51" s="9" t="s">
        <v>61</v>
      </c>
      <c r="M51" s="50" t="s">
        <v>62</v>
      </c>
      <c r="N51" s="126"/>
      <c r="O51" s="128"/>
    </row>
    <row r="52" spans="1:49" ht="15.75" customHeight="1">
      <c r="A52" s="80" t="str">
        <f>A16</f>
        <v>Frame 1</v>
      </c>
      <c r="B52" s="19" t="str">
        <f>B16</f>
        <v>GF Beam 1 - 2</v>
      </c>
      <c r="C52" s="36">
        <f t="shared" ref="C52:C83" si="13">R16*(3.14159/4)*$D$5^2</f>
        <v>1963.4937499999999</v>
      </c>
      <c r="D52" s="51">
        <f t="shared" ref="D52:D83" si="14">C52/(K16*L16)</f>
        <v>1.5707949999999998E-2</v>
      </c>
      <c r="E52" s="52" t="str">
        <f t="shared" ref="E52:E83" si="15">IF(D52&lt;=$D$9,"OKAY","NOT ADEQUATE")</f>
        <v>OKAY</v>
      </c>
      <c r="F52" s="53">
        <f t="shared" ref="F52:F83" si="16">(D52*$D$3)/$D$4</f>
        <v>0.26075196999999994</v>
      </c>
      <c r="G52" s="36">
        <f t="shared" ref="G52:G83" si="17">(F52*L16)/0.85</f>
        <v>153.38351176470587</v>
      </c>
      <c r="H52" s="25">
        <f t="shared" ref="H52:H83" si="18">G52/0.85</f>
        <v>180.45119031141869</v>
      </c>
      <c r="I52" s="54">
        <f t="shared" ref="I52:I83" si="19">(600*(L16-H52))/H52</f>
        <v>1062.4994242613009</v>
      </c>
      <c r="J52" s="21" t="str">
        <f t="shared" ref="J52:J83" si="20">IF($D$3&lt;=I52,"YES")</f>
        <v>YES</v>
      </c>
      <c r="L52" s="55">
        <f t="shared" ref="L52:L83" si="21">(0.9*0.85*$D$4*K16*G52*(L16-(G52/2)))/(10^6)</f>
        <v>310.4394147307051</v>
      </c>
      <c r="M52" s="36">
        <f t="shared" ref="M52:M83" si="22">($D$2*C52*$D$3*(L16-(G52/2)))/10^6</f>
        <v>310.4394147307051</v>
      </c>
      <c r="N52" s="56">
        <f t="shared" ref="N52:N83" si="23">MIN(L52,M52)</f>
        <v>310.4394147307051</v>
      </c>
      <c r="O52" s="57" t="str">
        <f t="shared" ref="O52:O83" si="24">IF(G16&lt;N52,"YES","NO")</f>
        <v>YES</v>
      </c>
    </row>
    <row r="53" spans="1:49" ht="15.75" customHeight="1">
      <c r="A53" s="81"/>
      <c r="B53" s="19" t="str">
        <f t="shared" ref="B53:B83" si="25">B17</f>
        <v>1F Beam 2 - 2</v>
      </c>
      <c r="C53" s="36">
        <f t="shared" si="13"/>
        <v>1963.4937499999999</v>
      </c>
      <c r="D53" s="51">
        <f t="shared" si="14"/>
        <v>1.5707949999999998E-2</v>
      </c>
      <c r="E53" s="52" t="str">
        <f t="shared" si="15"/>
        <v>OKAY</v>
      </c>
      <c r="F53" s="53">
        <f t="shared" si="16"/>
        <v>0.26075196999999994</v>
      </c>
      <c r="G53" s="36">
        <f t="shared" si="17"/>
        <v>153.38351176470587</v>
      </c>
      <c r="H53" s="58">
        <f t="shared" si="18"/>
        <v>180.45119031141869</v>
      </c>
      <c r="I53" s="54">
        <f t="shared" si="19"/>
        <v>1062.4994242613009</v>
      </c>
      <c r="J53" s="21" t="str">
        <f t="shared" si="20"/>
        <v>YES</v>
      </c>
      <c r="L53" s="55">
        <f t="shared" si="21"/>
        <v>310.4394147307051</v>
      </c>
      <c r="M53" s="36">
        <f t="shared" si="22"/>
        <v>310.4394147307051</v>
      </c>
      <c r="N53" s="56">
        <f t="shared" si="23"/>
        <v>310.4394147307051</v>
      </c>
      <c r="O53" s="57" t="str">
        <f t="shared" si="24"/>
        <v>YES</v>
      </c>
    </row>
    <row r="54" spans="1:49" ht="15.75" customHeight="1">
      <c r="A54" s="81"/>
      <c r="B54" s="19" t="str">
        <f t="shared" si="25"/>
        <v>2F Beam 3-2</v>
      </c>
      <c r="C54" s="36">
        <f t="shared" si="13"/>
        <v>1963.4937499999999</v>
      </c>
      <c r="D54" s="51">
        <f t="shared" si="14"/>
        <v>1.5583036380374914E-2</v>
      </c>
      <c r="E54" s="52" t="str">
        <f t="shared" si="15"/>
        <v>OKAY</v>
      </c>
      <c r="F54" s="53">
        <f t="shared" si="16"/>
        <v>0.25867840391422353</v>
      </c>
      <c r="G54" s="36">
        <f t="shared" si="17"/>
        <v>152.77242207640026</v>
      </c>
      <c r="H54" s="25">
        <f t="shared" si="18"/>
        <v>179.73226126635325</v>
      </c>
      <c r="I54" s="54">
        <f t="shared" si="19"/>
        <v>1075.8260196461797</v>
      </c>
      <c r="J54" s="21" t="str">
        <f t="shared" si="20"/>
        <v>YES</v>
      </c>
      <c r="L54" s="55">
        <f t="shared" si="21"/>
        <v>312.1302204308069</v>
      </c>
      <c r="M54" s="36">
        <f t="shared" si="22"/>
        <v>312.1302204308069</v>
      </c>
      <c r="N54" s="56">
        <f t="shared" si="23"/>
        <v>312.1302204308069</v>
      </c>
      <c r="O54" s="57" t="str">
        <f t="shared" si="24"/>
        <v>YES</v>
      </c>
    </row>
    <row r="55" spans="1:49" ht="15.75" customHeight="1">
      <c r="A55" s="81"/>
      <c r="B55" s="19" t="str">
        <f t="shared" si="25"/>
        <v>3F Beam 4 - 2</v>
      </c>
      <c r="C55" s="36">
        <f t="shared" si="13"/>
        <v>1963.4937499999999</v>
      </c>
      <c r="D55" s="51">
        <f t="shared" si="14"/>
        <v>1.545960687515747E-2</v>
      </c>
      <c r="E55" s="52" t="str">
        <f t="shared" si="15"/>
        <v>OKAY</v>
      </c>
      <c r="F55" s="53">
        <f t="shared" si="16"/>
        <v>0.256629474127614</v>
      </c>
      <c r="G55" s="36">
        <f t="shared" si="17"/>
        <v>152.16618230625585</v>
      </c>
      <c r="H55" s="58">
        <f t="shared" si="18"/>
        <v>179.01903800735982</v>
      </c>
      <c r="I55" s="54">
        <f t="shared" si="19"/>
        <v>1089.2058150126343</v>
      </c>
      <c r="J55" s="21" t="str">
        <f t="shared" si="20"/>
        <v>YES</v>
      </c>
      <c r="L55" s="55">
        <f t="shared" si="21"/>
        <v>313.81924775099714</v>
      </c>
      <c r="M55" s="36">
        <f t="shared" si="22"/>
        <v>313.81924775099708</v>
      </c>
      <c r="N55" s="56">
        <f t="shared" si="23"/>
        <v>313.81924775099708</v>
      </c>
      <c r="O55" s="57" t="str">
        <f t="shared" si="24"/>
        <v>YES</v>
      </c>
    </row>
    <row r="56" spans="1:49" ht="15.75" customHeight="1">
      <c r="A56" s="81"/>
      <c r="B56" s="19" t="str">
        <f t="shared" si="25"/>
        <v>4F Beam 5 - 2</v>
      </c>
      <c r="C56" s="36">
        <f t="shared" si="13"/>
        <v>1963.4937499999999</v>
      </c>
      <c r="D56" s="51">
        <f t="shared" si="14"/>
        <v>1.5707949999999998E-2</v>
      </c>
      <c r="E56" s="52" t="str">
        <f t="shared" si="15"/>
        <v>OKAY</v>
      </c>
      <c r="F56" s="53">
        <f t="shared" si="16"/>
        <v>0.26075196999999994</v>
      </c>
      <c r="G56" s="36">
        <f t="shared" si="17"/>
        <v>153.38351176470587</v>
      </c>
      <c r="H56" s="25">
        <f t="shared" si="18"/>
        <v>180.45119031141869</v>
      </c>
      <c r="I56" s="54">
        <f t="shared" si="19"/>
        <v>1062.4994242613009</v>
      </c>
      <c r="J56" s="21" t="str">
        <f t="shared" si="20"/>
        <v>YES</v>
      </c>
      <c r="L56" s="55">
        <f t="shared" si="21"/>
        <v>310.4394147307051</v>
      </c>
      <c r="M56" s="36">
        <f t="shared" si="22"/>
        <v>310.4394147307051</v>
      </c>
      <c r="N56" s="56">
        <f t="shared" si="23"/>
        <v>310.4394147307051</v>
      </c>
      <c r="O56" s="57" t="str">
        <f t="shared" si="24"/>
        <v>YES</v>
      </c>
    </row>
    <row r="57" spans="1:49" ht="15.75" customHeight="1">
      <c r="A57" s="81"/>
      <c r="B57" s="19" t="str">
        <f t="shared" si="25"/>
        <v>1F Beam 2 - 2</v>
      </c>
      <c r="C57" s="36">
        <f t="shared" si="13"/>
        <v>1963.4937499999999</v>
      </c>
      <c r="D57" s="51">
        <f t="shared" si="14"/>
        <v>1.5707949999999998E-2</v>
      </c>
      <c r="E57" s="52" t="str">
        <f t="shared" si="15"/>
        <v>OKAY</v>
      </c>
      <c r="F57" s="53">
        <f t="shared" si="16"/>
        <v>0.26075196999999994</v>
      </c>
      <c r="G57" s="36">
        <f t="shared" si="17"/>
        <v>153.38351176470587</v>
      </c>
      <c r="H57" s="58">
        <f t="shared" si="18"/>
        <v>180.45119031141869</v>
      </c>
      <c r="I57" s="54">
        <f t="shared" si="19"/>
        <v>1062.4994242613009</v>
      </c>
      <c r="J57" s="21" t="str">
        <f t="shared" si="20"/>
        <v>YES</v>
      </c>
      <c r="L57" s="55">
        <f t="shared" si="21"/>
        <v>310.4394147307051</v>
      </c>
      <c r="M57" s="36">
        <f t="shared" si="22"/>
        <v>310.4394147307051</v>
      </c>
      <c r="N57" s="56">
        <f t="shared" si="23"/>
        <v>310.4394147307051</v>
      </c>
      <c r="O57" s="57" t="str">
        <f t="shared" si="24"/>
        <v>YES</v>
      </c>
    </row>
    <row r="58" spans="1:49" ht="15.75" customHeight="1">
      <c r="A58" s="81"/>
      <c r="B58" s="19" t="str">
        <f t="shared" si="25"/>
        <v>2F Beam 3-2</v>
      </c>
      <c r="C58" s="36">
        <f t="shared" si="13"/>
        <v>1963.4937499999999</v>
      </c>
      <c r="D58" s="51">
        <f t="shared" si="14"/>
        <v>1.5583036380374914E-2</v>
      </c>
      <c r="E58" s="52" t="str">
        <f t="shared" si="15"/>
        <v>OKAY</v>
      </c>
      <c r="F58" s="53">
        <f t="shared" si="16"/>
        <v>0.25867840391422353</v>
      </c>
      <c r="G58" s="36">
        <f t="shared" si="17"/>
        <v>152.77242207640026</v>
      </c>
      <c r="H58" s="25">
        <f t="shared" si="18"/>
        <v>179.73226126635325</v>
      </c>
      <c r="I58" s="54">
        <f t="shared" si="19"/>
        <v>1075.8260196461797</v>
      </c>
      <c r="J58" s="21" t="str">
        <f t="shared" si="20"/>
        <v>YES</v>
      </c>
      <c r="L58" s="55">
        <f t="shared" si="21"/>
        <v>312.1302204308069</v>
      </c>
      <c r="M58" s="36">
        <f t="shared" si="22"/>
        <v>312.1302204308069</v>
      </c>
      <c r="N58" s="56">
        <f t="shared" si="23"/>
        <v>312.1302204308069</v>
      </c>
      <c r="O58" s="57" t="str">
        <f t="shared" si="24"/>
        <v>YES</v>
      </c>
    </row>
    <row r="59" spans="1:49" ht="15.75" customHeight="1" thickBot="1">
      <c r="A59" s="82"/>
      <c r="B59" s="19" t="str">
        <f t="shared" si="25"/>
        <v>RD Beam 6 - 2</v>
      </c>
      <c r="C59" s="36">
        <f t="shared" si="13"/>
        <v>1963.4937499999999</v>
      </c>
      <c r="D59" s="51">
        <f t="shared" si="14"/>
        <v>1.5583036380374914E-2</v>
      </c>
      <c r="E59" s="52" t="str">
        <f t="shared" si="15"/>
        <v>OKAY</v>
      </c>
      <c r="F59" s="53">
        <f t="shared" si="16"/>
        <v>0.25867840391422353</v>
      </c>
      <c r="G59" s="36">
        <f t="shared" si="17"/>
        <v>152.77242207640026</v>
      </c>
      <c r="H59" s="25">
        <f t="shared" si="18"/>
        <v>179.73226126635325</v>
      </c>
      <c r="I59" s="54">
        <f t="shared" si="19"/>
        <v>1075.8260196461797</v>
      </c>
      <c r="J59" s="21" t="str">
        <f t="shared" si="20"/>
        <v>YES</v>
      </c>
      <c r="L59" s="55">
        <f t="shared" si="21"/>
        <v>312.1302204308069</v>
      </c>
      <c r="M59" s="36">
        <f t="shared" si="22"/>
        <v>312.1302204308069</v>
      </c>
      <c r="N59" s="56">
        <f t="shared" si="23"/>
        <v>312.1302204308069</v>
      </c>
      <c r="O59" s="57" t="str">
        <f t="shared" si="24"/>
        <v>YES</v>
      </c>
    </row>
    <row r="60" spans="1:49" ht="15.75" customHeight="1" thickBot="1">
      <c r="A60" s="80" t="str">
        <f>A24</f>
        <v>Frame 2</v>
      </c>
      <c r="B60" s="19" t="str">
        <f t="shared" si="25"/>
        <v>GF Beam 1 - 2</v>
      </c>
      <c r="C60" s="36">
        <f t="shared" si="13"/>
        <v>1963.4937499999999</v>
      </c>
      <c r="D60" s="51">
        <f t="shared" si="14"/>
        <v>1.5707949999999998E-2</v>
      </c>
      <c r="E60" s="52" t="str">
        <f t="shared" si="15"/>
        <v>OKAY</v>
      </c>
      <c r="F60" s="53">
        <f t="shared" si="16"/>
        <v>0.26075196999999994</v>
      </c>
      <c r="G60" s="36">
        <f t="shared" si="17"/>
        <v>153.38351176470587</v>
      </c>
      <c r="H60" s="25">
        <f t="shared" si="18"/>
        <v>180.45119031141869</v>
      </c>
      <c r="I60" s="54">
        <f t="shared" si="19"/>
        <v>1062.4994242613009</v>
      </c>
      <c r="J60" s="21" t="str">
        <f t="shared" si="20"/>
        <v>YES</v>
      </c>
      <c r="L60" s="55">
        <f t="shared" si="21"/>
        <v>310.4394147307051</v>
      </c>
      <c r="M60" s="36">
        <f t="shared" si="22"/>
        <v>310.4394147307051</v>
      </c>
      <c r="N60" s="56">
        <f t="shared" si="23"/>
        <v>310.4394147307051</v>
      </c>
      <c r="O60" s="57" t="str">
        <f t="shared" si="24"/>
        <v>YES</v>
      </c>
    </row>
    <row r="61" spans="1:49" ht="15.75" customHeight="1" thickBot="1">
      <c r="A61" s="81"/>
      <c r="B61" s="19" t="str">
        <f t="shared" si="25"/>
        <v>1F Beam 2 - 2</v>
      </c>
      <c r="C61" s="36">
        <f t="shared" si="13"/>
        <v>1963.4937499999999</v>
      </c>
      <c r="D61" s="51">
        <f t="shared" si="14"/>
        <v>1.5583036380374914E-2</v>
      </c>
      <c r="E61" s="52" t="str">
        <f t="shared" si="15"/>
        <v>OKAY</v>
      </c>
      <c r="F61" s="53">
        <f t="shared" si="16"/>
        <v>0.25867840391422353</v>
      </c>
      <c r="G61" s="36">
        <f t="shared" si="17"/>
        <v>152.77242207640026</v>
      </c>
      <c r="H61" s="25">
        <f t="shared" si="18"/>
        <v>179.73226126635325</v>
      </c>
      <c r="I61" s="54">
        <f t="shared" si="19"/>
        <v>1075.8260196461797</v>
      </c>
      <c r="J61" s="21" t="str">
        <f t="shared" si="20"/>
        <v>YES</v>
      </c>
      <c r="L61" s="55">
        <f t="shared" si="21"/>
        <v>312.1302204308069</v>
      </c>
      <c r="M61" s="36">
        <f t="shared" si="22"/>
        <v>312.1302204308069</v>
      </c>
      <c r="N61" s="56">
        <f t="shared" si="23"/>
        <v>312.1302204308069</v>
      </c>
      <c r="O61" s="57" t="str">
        <f t="shared" si="24"/>
        <v>YES</v>
      </c>
    </row>
    <row r="62" spans="1:49" ht="15.75" customHeight="1" thickBot="1">
      <c r="A62" s="81"/>
      <c r="B62" s="19" t="str">
        <f t="shared" si="25"/>
        <v>2F Beam 3-2</v>
      </c>
      <c r="C62" s="36">
        <f t="shared" si="13"/>
        <v>1963.4937499999999</v>
      </c>
      <c r="D62" s="51">
        <f t="shared" si="14"/>
        <v>1.545960687515747E-2</v>
      </c>
      <c r="E62" s="52" t="str">
        <f t="shared" si="15"/>
        <v>OKAY</v>
      </c>
      <c r="F62" s="53">
        <f t="shared" si="16"/>
        <v>0.256629474127614</v>
      </c>
      <c r="G62" s="36">
        <f t="shared" si="17"/>
        <v>152.16618230625585</v>
      </c>
      <c r="H62" s="25">
        <f t="shared" si="18"/>
        <v>179.01903800735982</v>
      </c>
      <c r="I62" s="54">
        <f t="shared" si="19"/>
        <v>1089.2058150126343</v>
      </c>
      <c r="J62" s="21" t="str">
        <f t="shared" si="20"/>
        <v>YES</v>
      </c>
      <c r="L62" s="55">
        <f t="shared" si="21"/>
        <v>313.81924775099714</v>
      </c>
      <c r="M62" s="36">
        <f t="shared" si="22"/>
        <v>313.81924775099708</v>
      </c>
      <c r="N62" s="56">
        <f t="shared" si="23"/>
        <v>313.81924775099708</v>
      </c>
      <c r="O62" s="57" t="str">
        <f t="shared" si="24"/>
        <v>YES</v>
      </c>
    </row>
    <row r="63" spans="1:49" ht="15.75" customHeight="1" thickBot="1">
      <c r="A63" s="81"/>
      <c r="B63" s="19" t="str">
        <f t="shared" si="25"/>
        <v>3F Beam 4 - 2</v>
      </c>
      <c r="C63" s="36">
        <f t="shared" si="13"/>
        <v>1963.4937499999999</v>
      </c>
      <c r="D63" s="51">
        <f t="shared" si="14"/>
        <v>1.5707949999999998E-2</v>
      </c>
      <c r="E63" s="52" t="str">
        <f t="shared" si="15"/>
        <v>OKAY</v>
      </c>
      <c r="F63" s="53">
        <f t="shared" si="16"/>
        <v>0.26075196999999994</v>
      </c>
      <c r="G63" s="36">
        <f t="shared" si="17"/>
        <v>153.38351176470587</v>
      </c>
      <c r="H63" s="25">
        <f t="shared" si="18"/>
        <v>180.45119031141869</v>
      </c>
      <c r="I63" s="54">
        <f t="shared" si="19"/>
        <v>1062.4994242613009</v>
      </c>
      <c r="J63" s="21" t="str">
        <f t="shared" si="20"/>
        <v>YES</v>
      </c>
      <c r="L63" s="55">
        <f t="shared" si="21"/>
        <v>310.4394147307051</v>
      </c>
      <c r="M63" s="36">
        <f t="shared" si="22"/>
        <v>310.4394147307051</v>
      </c>
      <c r="N63" s="56">
        <f t="shared" si="23"/>
        <v>310.4394147307051</v>
      </c>
      <c r="O63" s="57" t="str">
        <f t="shared" si="24"/>
        <v>YES</v>
      </c>
    </row>
    <row r="64" spans="1:49" ht="15.75" customHeight="1" thickBot="1">
      <c r="A64" s="81"/>
      <c r="B64" s="19" t="str">
        <f t="shared" si="25"/>
        <v>4F Beam 5 - 2</v>
      </c>
      <c r="C64" s="36">
        <f t="shared" si="13"/>
        <v>1963.4937499999999</v>
      </c>
      <c r="D64" s="51">
        <f t="shared" si="14"/>
        <v>1.5337638066521895E-2</v>
      </c>
      <c r="E64" s="52" t="str">
        <f t="shared" si="15"/>
        <v>OKAY</v>
      </c>
      <c r="F64" s="53">
        <f t="shared" si="16"/>
        <v>0.25460479190426344</v>
      </c>
      <c r="G64" s="36">
        <f t="shared" si="17"/>
        <v>151.56473494536155</v>
      </c>
      <c r="H64" s="25">
        <f t="shared" si="18"/>
        <v>178.31145287689594</v>
      </c>
      <c r="I64" s="54">
        <f t="shared" si="19"/>
        <v>1102.6388103606657</v>
      </c>
      <c r="J64" s="21" t="str">
        <f t="shared" si="20"/>
        <v>YES</v>
      </c>
      <c r="L64" s="55">
        <f t="shared" si="21"/>
        <v>315.50651777878471</v>
      </c>
      <c r="M64" s="36">
        <f t="shared" si="22"/>
        <v>315.50651777878471</v>
      </c>
      <c r="N64" s="56">
        <f t="shared" si="23"/>
        <v>315.50651777878471</v>
      </c>
      <c r="O64" s="57" t="str">
        <f t="shared" si="24"/>
        <v>YES</v>
      </c>
    </row>
    <row r="65" spans="1:15" ht="15.75" customHeight="1" thickBot="1">
      <c r="A65" s="81"/>
      <c r="B65" s="19" t="str">
        <f t="shared" si="25"/>
        <v>1F Beam 2 - 2</v>
      </c>
      <c r="C65" s="36">
        <f t="shared" si="13"/>
        <v>1963.4937499999999</v>
      </c>
      <c r="D65" s="51">
        <f t="shared" si="14"/>
        <v>1.5583036380374914E-2</v>
      </c>
      <c r="E65" s="52" t="str">
        <f t="shared" si="15"/>
        <v>OKAY</v>
      </c>
      <c r="F65" s="53">
        <f t="shared" si="16"/>
        <v>0.25867840391422353</v>
      </c>
      <c r="G65" s="36">
        <f t="shared" si="17"/>
        <v>152.77242207640026</v>
      </c>
      <c r="H65" s="25">
        <f t="shared" si="18"/>
        <v>179.73226126635325</v>
      </c>
      <c r="I65" s="54">
        <f t="shared" si="19"/>
        <v>1075.8260196461797</v>
      </c>
      <c r="J65" s="21" t="str">
        <f t="shared" si="20"/>
        <v>YES</v>
      </c>
      <c r="L65" s="55">
        <f t="shared" si="21"/>
        <v>312.1302204308069</v>
      </c>
      <c r="M65" s="36">
        <f t="shared" si="22"/>
        <v>312.1302204308069</v>
      </c>
      <c r="N65" s="56">
        <f t="shared" si="23"/>
        <v>312.1302204308069</v>
      </c>
      <c r="O65" s="57" t="str">
        <f t="shared" si="24"/>
        <v>YES</v>
      </c>
    </row>
    <row r="66" spans="1:15" ht="15.75" customHeight="1" thickBot="1">
      <c r="A66" s="81"/>
      <c r="B66" s="19" t="str">
        <f>B30</f>
        <v>2F Beam 3-2</v>
      </c>
      <c r="C66" s="36">
        <f t="shared" si="13"/>
        <v>1963.4937499999999</v>
      </c>
      <c r="D66" s="51">
        <f t="shared" si="14"/>
        <v>1.545960687515747E-2</v>
      </c>
      <c r="E66" s="52" t="str">
        <f t="shared" si="15"/>
        <v>OKAY</v>
      </c>
      <c r="F66" s="53">
        <f t="shared" si="16"/>
        <v>0.256629474127614</v>
      </c>
      <c r="G66" s="36">
        <f t="shared" si="17"/>
        <v>152.16618230625585</v>
      </c>
      <c r="H66" s="25">
        <f t="shared" si="18"/>
        <v>179.01903800735982</v>
      </c>
      <c r="I66" s="54">
        <f t="shared" si="19"/>
        <v>1089.2058150126343</v>
      </c>
      <c r="J66" s="21" t="str">
        <f t="shared" si="20"/>
        <v>YES</v>
      </c>
      <c r="L66" s="55">
        <f t="shared" si="21"/>
        <v>313.81924775099714</v>
      </c>
      <c r="M66" s="36">
        <f t="shared" si="22"/>
        <v>313.81924775099708</v>
      </c>
      <c r="N66" s="56">
        <f t="shared" si="23"/>
        <v>313.81924775099708</v>
      </c>
      <c r="O66" s="57" t="str">
        <f t="shared" si="24"/>
        <v>YES</v>
      </c>
    </row>
    <row r="67" spans="1:15" ht="15.75" customHeight="1" thickBot="1">
      <c r="A67" s="82"/>
      <c r="B67" s="19" t="str">
        <f t="shared" si="25"/>
        <v>RD Beam 6 - 2</v>
      </c>
      <c r="C67" s="36">
        <f t="shared" si="13"/>
        <v>1963.4937499999999</v>
      </c>
      <c r="D67" s="51">
        <f t="shared" si="14"/>
        <v>1.5583036380374914E-2</v>
      </c>
      <c r="E67" s="52" t="str">
        <f t="shared" si="15"/>
        <v>OKAY</v>
      </c>
      <c r="F67" s="53">
        <f t="shared" si="16"/>
        <v>0.25867840391422353</v>
      </c>
      <c r="G67" s="36">
        <f t="shared" si="17"/>
        <v>152.77242207640026</v>
      </c>
      <c r="H67" s="25">
        <f t="shared" si="18"/>
        <v>179.73226126635325</v>
      </c>
      <c r="I67" s="54">
        <f t="shared" si="19"/>
        <v>1075.8260196461797</v>
      </c>
      <c r="J67" s="21" t="str">
        <f t="shared" si="20"/>
        <v>YES</v>
      </c>
      <c r="L67" s="55">
        <f t="shared" si="21"/>
        <v>312.1302204308069</v>
      </c>
      <c r="M67" s="36">
        <f t="shared" si="22"/>
        <v>312.1302204308069</v>
      </c>
      <c r="N67" s="56">
        <f t="shared" si="23"/>
        <v>312.1302204308069</v>
      </c>
      <c r="O67" s="57" t="str">
        <f t="shared" si="24"/>
        <v>YES</v>
      </c>
    </row>
    <row r="68" spans="1:15" ht="15.75" customHeight="1" thickBot="1">
      <c r="A68" s="80" t="str">
        <f t="shared" ref="A68" si="26">A32</f>
        <v>Frame 3</v>
      </c>
      <c r="B68" s="19" t="str">
        <f t="shared" si="25"/>
        <v>GF Beam 1 - 2</v>
      </c>
      <c r="C68" s="36">
        <f t="shared" si="13"/>
        <v>1963.4937499999999</v>
      </c>
      <c r="D68" s="51">
        <f t="shared" si="14"/>
        <v>1.3567348088058484E-2</v>
      </c>
      <c r="E68" s="52" t="str">
        <f t="shared" si="15"/>
        <v>OKAY</v>
      </c>
      <c r="F68" s="53">
        <f t="shared" si="16"/>
        <v>0.22521797826177084</v>
      </c>
      <c r="G68" s="59">
        <f t="shared" si="17"/>
        <v>142.5497321233326</v>
      </c>
      <c r="H68" s="58">
        <f t="shared" si="18"/>
        <v>167.70556720392071</v>
      </c>
      <c r="I68" s="54">
        <f t="shared" si="19"/>
        <v>1324.8019334235519</v>
      </c>
      <c r="J68" s="21" t="str">
        <f t="shared" si="20"/>
        <v>YES</v>
      </c>
      <c r="L68" s="55">
        <f t="shared" si="21"/>
        <v>342.27983847075291</v>
      </c>
      <c r="M68" s="36">
        <f t="shared" si="22"/>
        <v>342.27983847075285</v>
      </c>
      <c r="N68" s="56">
        <f t="shared" si="23"/>
        <v>342.27983847075285</v>
      </c>
      <c r="O68" s="57" t="str">
        <f t="shared" si="24"/>
        <v>YES</v>
      </c>
    </row>
    <row r="69" spans="1:15" ht="15.75" customHeight="1" thickBot="1">
      <c r="A69" s="81"/>
      <c r="B69" s="19" t="str">
        <f t="shared" si="25"/>
        <v>1F Beam 2 - 2</v>
      </c>
      <c r="C69" s="36">
        <f t="shared" si="13"/>
        <v>1963.4937499999999</v>
      </c>
      <c r="D69" s="51">
        <f t="shared" si="14"/>
        <v>1.4193451907646489E-2</v>
      </c>
      <c r="E69" s="52" t="str">
        <f t="shared" si="15"/>
        <v>OKAY</v>
      </c>
      <c r="F69" s="53">
        <f t="shared" si="16"/>
        <v>0.23561130166693173</v>
      </c>
      <c r="G69" s="59">
        <f t="shared" si="17"/>
        <v>145.80181726683068</v>
      </c>
      <c r="H69" s="25">
        <f t="shared" si="18"/>
        <v>171.53154972568316</v>
      </c>
      <c r="I69" s="54">
        <f t="shared" si="19"/>
        <v>1239.8947628276787</v>
      </c>
      <c r="J69" s="21" t="str">
        <f t="shared" si="20"/>
        <v>YES</v>
      </c>
      <c r="L69" s="55">
        <f t="shared" si="21"/>
        <v>332.28697690981954</v>
      </c>
      <c r="M69" s="36">
        <f t="shared" si="22"/>
        <v>332.28697690981949</v>
      </c>
      <c r="N69" s="56">
        <f t="shared" si="23"/>
        <v>332.28697690981949</v>
      </c>
      <c r="O69" s="57" t="str">
        <f t="shared" si="24"/>
        <v>YES</v>
      </c>
    </row>
    <row r="70" spans="1:15" ht="15.75" customHeight="1" thickBot="1">
      <c r="A70" s="81"/>
      <c r="B70" s="19" t="str">
        <f t="shared" si="25"/>
        <v>2F Beam 3-2</v>
      </c>
      <c r="C70" s="36">
        <f t="shared" si="13"/>
        <v>1963.4937499999999</v>
      </c>
      <c r="D70" s="51">
        <f t="shared" si="14"/>
        <v>1.4086129404843892E-2</v>
      </c>
      <c r="E70" s="52" t="str">
        <f t="shared" si="15"/>
        <v>OKAY</v>
      </c>
      <c r="F70" s="53">
        <f t="shared" si="16"/>
        <v>0.2338297481204086</v>
      </c>
      <c r="G70" s="59">
        <f t="shared" si="17"/>
        <v>145.24953765597147</v>
      </c>
      <c r="H70" s="58">
        <f t="shared" si="18"/>
        <v>170.88180900702525</v>
      </c>
      <c r="I70" s="54">
        <f t="shared" si="19"/>
        <v>1253.9129579730502</v>
      </c>
      <c r="J70" s="21" t="str">
        <f t="shared" si="20"/>
        <v>YES</v>
      </c>
      <c r="L70" s="55">
        <f t="shared" si="21"/>
        <v>333.95621798617907</v>
      </c>
      <c r="M70" s="36">
        <f t="shared" si="22"/>
        <v>333.95621798617907</v>
      </c>
      <c r="N70" s="56">
        <f t="shared" si="23"/>
        <v>333.95621798617907</v>
      </c>
      <c r="O70" s="57" t="str">
        <f t="shared" si="24"/>
        <v>YES</v>
      </c>
    </row>
    <row r="71" spans="1:15" ht="15.75" customHeight="1" thickBot="1">
      <c r="A71" s="81"/>
      <c r="B71" s="19" t="str">
        <f t="shared" si="25"/>
        <v>3F Beam 4 - 2</v>
      </c>
      <c r="C71" s="36">
        <f t="shared" si="13"/>
        <v>1963.4937499999999</v>
      </c>
      <c r="D71" s="51">
        <f t="shared" si="14"/>
        <v>1.4086129404843892E-2</v>
      </c>
      <c r="E71" s="52" t="str">
        <f t="shared" si="15"/>
        <v>OKAY</v>
      </c>
      <c r="F71" s="53">
        <f t="shared" si="16"/>
        <v>0.2338297481204086</v>
      </c>
      <c r="G71" s="59">
        <f t="shared" si="17"/>
        <v>145.24953765597147</v>
      </c>
      <c r="H71" s="25">
        <f t="shared" si="18"/>
        <v>170.88180900702525</v>
      </c>
      <c r="I71" s="54">
        <f t="shared" si="19"/>
        <v>1253.9129579730502</v>
      </c>
      <c r="J71" s="21" t="str">
        <f t="shared" si="20"/>
        <v>YES</v>
      </c>
      <c r="L71" s="55">
        <f t="shared" si="21"/>
        <v>333.95621798617907</v>
      </c>
      <c r="M71" s="36">
        <f t="shared" si="22"/>
        <v>333.95621798617907</v>
      </c>
      <c r="N71" s="56">
        <f t="shared" si="23"/>
        <v>333.95621798617907</v>
      </c>
      <c r="O71" s="57" t="str">
        <f t="shared" si="24"/>
        <v>YES</v>
      </c>
    </row>
    <row r="72" spans="1:15" ht="15.75" customHeight="1" thickBot="1">
      <c r="A72" s="81"/>
      <c r="B72" s="19" t="str">
        <f t="shared" si="25"/>
        <v>4F Beam 5 - 2</v>
      </c>
      <c r="C72" s="36">
        <f t="shared" si="13"/>
        <v>1963.4937499999999</v>
      </c>
      <c r="D72" s="51">
        <f t="shared" si="14"/>
        <v>1.4086129404843892E-2</v>
      </c>
      <c r="E72" s="52" t="str">
        <f t="shared" si="15"/>
        <v>OKAY</v>
      </c>
      <c r="F72" s="53">
        <f t="shared" si="16"/>
        <v>0.2338297481204086</v>
      </c>
      <c r="G72" s="60">
        <f t="shared" si="17"/>
        <v>145.24953765597147</v>
      </c>
      <c r="H72" s="61">
        <f t="shared" si="18"/>
        <v>170.88180900702525</v>
      </c>
      <c r="I72" s="25">
        <f t="shared" si="19"/>
        <v>1253.9129579730502</v>
      </c>
      <c r="J72" s="21" t="str">
        <f t="shared" si="20"/>
        <v>YES</v>
      </c>
      <c r="L72" s="55">
        <f t="shared" si="21"/>
        <v>333.95621798617907</v>
      </c>
      <c r="M72" s="36">
        <f t="shared" si="22"/>
        <v>333.95621798617907</v>
      </c>
      <c r="N72" s="25">
        <f t="shared" si="23"/>
        <v>333.95621798617907</v>
      </c>
      <c r="O72" s="57" t="str">
        <f t="shared" si="24"/>
        <v>YES</v>
      </c>
    </row>
    <row r="73" spans="1:15" ht="15.75" customHeight="1" thickBot="1">
      <c r="A73" s="81"/>
      <c r="B73" s="19" t="str">
        <f t="shared" si="25"/>
        <v>1F Beam 2 - 2</v>
      </c>
      <c r="C73" s="36">
        <f t="shared" si="13"/>
        <v>1963.4937499999999</v>
      </c>
      <c r="D73" s="51">
        <f t="shared" si="14"/>
        <v>1.4193451907646489E-2</v>
      </c>
      <c r="E73" s="52" t="str">
        <f t="shared" si="15"/>
        <v>OKAY</v>
      </c>
      <c r="F73" s="53">
        <f t="shared" si="16"/>
        <v>0.23561130166693173</v>
      </c>
      <c r="G73" s="59">
        <f t="shared" si="17"/>
        <v>145.80181726683068</v>
      </c>
      <c r="H73" s="25">
        <f t="shared" si="18"/>
        <v>171.53154972568316</v>
      </c>
      <c r="I73" s="54">
        <f t="shared" si="19"/>
        <v>1239.8947628276787</v>
      </c>
      <c r="J73" s="21" t="str">
        <f t="shared" si="20"/>
        <v>YES</v>
      </c>
      <c r="L73" s="55">
        <f t="shared" si="21"/>
        <v>332.28697690981954</v>
      </c>
      <c r="M73" s="36">
        <f t="shared" si="22"/>
        <v>332.28697690981949</v>
      </c>
      <c r="N73" s="56">
        <f t="shared" si="23"/>
        <v>332.28697690981949</v>
      </c>
      <c r="O73" s="57" t="str">
        <f t="shared" si="24"/>
        <v>YES</v>
      </c>
    </row>
    <row r="74" spans="1:15" ht="15.75" customHeight="1" thickBot="1">
      <c r="A74" s="81"/>
      <c r="B74" s="19" t="str">
        <f t="shared" si="25"/>
        <v>2F Beam 3-2</v>
      </c>
      <c r="C74" s="36">
        <f t="shared" si="13"/>
        <v>1963.4937499999999</v>
      </c>
      <c r="D74" s="51">
        <f t="shared" si="14"/>
        <v>1.4086129404843892E-2</v>
      </c>
      <c r="E74" s="52" t="str">
        <f t="shared" si="15"/>
        <v>OKAY</v>
      </c>
      <c r="F74" s="53">
        <f t="shared" si="16"/>
        <v>0.2338297481204086</v>
      </c>
      <c r="G74" s="59">
        <f t="shared" si="17"/>
        <v>145.24953765597147</v>
      </c>
      <c r="H74" s="25">
        <f t="shared" si="18"/>
        <v>170.88180900702525</v>
      </c>
      <c r="I74" s="54">
        <f t="shared" si="19"/>
        <v>1253.9129579730502</v>
      </c>
      <c r="J74" s="21" t="str">
        <f t="shared" si="20"/>
        <v>YES</v>
      </c>
      <c r="L74" s="55">
        <f t="shared" si="21"/>
        <v>333.95621798617907</v>
      </c>
      <c r="M74" s="36">
        <f t="shared" si="22"/>
        <v>333.95621798617907</v>
      </c>
      <c r="N74" s="56">
        <f t="shared" si="23"/>
        <v>333.95621798617907</v>
      </c>
      <c r="O74" s="57" t="str">
        <f t="shared" si="24"/>
        <v>YES</v>
      </c>
    </row>
    <row r="75" spans="1:15" ht="15.75" customHeight="1" thickBot="1">
      <c r="A75" s="82"/>
      <c r="B75" s="19" t="str">
        <f t="shared" si="25"/>
        <v>RD Beam 6 - 2</v>
      </c>
      <c r="C75" s="36">
        <f t="shared" si="13"/>
        <v>1963.4937499999999</v>
      </c>
      <c r="D75" s="51">
        <f t="shared" si="14"/>
        <v>1.5583036380374914E-2</v>
      </c>
      <c r="E75" s="52" t="str">
        <f t="shared" si="15"/>
        <v>OKAY</v>
      </c>
      <c r="F75" s="53">
        <f t="shared" si="16"/>
        <v>0.25867840391422353</v>
      </c>
      <c r="G75" s="60">
        <f t="shared" si="17"/>
        <v>152.77242207640026</v>
      </c>
      <c r="H75" s="25">
        <f t="shared" si="18"/>
        <v>179.73226126635325</v>
      </c>
      <c r="I75" s="25">
        <f t="shared" si="19"/>
        <v>1075.8260196461797</v>
      </c>
      <c r="J75" s="21" t="str">
        <f t="shared" si="20"/>
        <v>YES</v>
      </c>
      <c r="L75" s="55">
        <f t="shared" si="21"/>
        <v>312.1302204308069</v>
      </c>
      <c r="M75" s="36">
        <f t="shared" si="22"/>
        <v>312.1302204308069</v>
      </c>
      <c r="N75" s="25">
        <f t="shared" si="23"/>
        <v>312.1302204308069</v>
      </c>
      <c r="O75" s="57" t="str">
        <f t="shared" si="24"/>
        <v>YES</v>
      </c>
    </row>
    <row r="76" spans="1:15" ht="15.75" customHeight="1" thickBot="1">
      <c r="A76" s="80" t="str">
        <f t="shared" ref="A76" si="27">A40</f>
        <v>Frame 4</v>
      </c>
      <c r="B76" s="19" t="str">
        <f t="shared" si="25"/>
        <v>GF Beam 1 - 2</v>
      </c>
      <c r="C76" s="36">
        <f t="shared" si="13"/>
        <v>1963.4937499999999</v>
      </c>
      <c r="D76" s="51">
        <f t="shared" si="14"/>
        <v>1.5707949999999998E-2</v>
      </c>
      <c r="E76" s="52" t="str">
        <f t="shared" si="15"/>
        <v>OKAY</v>
      </c>
      <c r="F76" s="53">
        <f t="shared" si="16"/>
        <v>0.26075196999999994</v>
      </c>
      <c r="G76" s="59">
        <f t="shared" si="17"/>
        <v>153.38351176470587</v>
      </c>
      <c r="H76" s="25">
        <f t="shared" si="18"/>
        <v>180.45119031141869</v>
      </c>
      <c r="I76" s="62">
        <f t="shared" si="19"/>
        <v>1062.4994242613009</v>
      </c>
      <c r="J76" s="21" t="str">
        <f t="shared" si="20"/>
        <v>YES</v>
      </c>
      <c r="L76" s="55">
        <f t="shared" si="21"/>
        <v>310.4394147307051</v>
      </c>
      <c r="M76" s="36">
        <f t="shared" si="22"/>
        <v>310.4394147307051</v>
      </c>
      <c r="N76" s="56">
        <f t="shared" si="23"/>
        <v>310.4394147307051</v>
      </c>
      <c r="O76" s="57" t="str">
        <f t="shared" si="24"/>
        <v>YES</v>
      </c>
    </row>
    <row r="77" spans="1:15" ht="15.75" customHeight="1" thickBot="1">
      <c r="A77" s="81"/>
      <c r="B77" s="19" t="str">
        <f t="shared" si="25"/>
        <v>1F Beam 2 - 2</v>
      </c>
      <c r="C77" s="36">
        <f t="shared" si="13"/>
        <v>1963.4937499999999</v>
      </c>
      <c r="D77" s="51">
        <f t="shared" si="14"/>
        <v>1.3875104231443268E-2</v>
      </c>
      <c r="E77" s="52" t="str">
        <f t="shared" si="15"/>
        <v>OKAY</v>
      </c>
      <c r="F77" s="53">
        <f t="shared" si="16"/>
        <v>0.23032673024195827</v>
      </c>
      <c r="G77" s="59">
        <f t="shared" si="17"/>
        <v>144.15743586908448</v>
      </c>
      <c r="H77" s="25">
        <f t="shared" si="18"/>
        <v>169.59698337539351</v>
      </c>
      <c r="I77" s="62">
        <f t="shared" si="19"/>
        <v>1282.1089482085215</v>
      </c>
      <c r="J77" s="21" t="str">
        <f t="shared" si="20"/>
        <v>YES</v>
      </c>
      <c r="L77" s="55">
        <f t="shared" si="21"/>
        <v>337.29013221607624</v>
      </c>
      <c r="M77" s="36">
        <f t="shared" si="22"/>
        <v>337.29013221607619</v>
      </c>
      <c r="N77" s="56">
        <f t="shared" si="23"/>
        <v>337.29013221607619</v>
      </c>
      <c r="O77" s="57" t="str">
        <f t="shared" si="24"/>
        <v>YES</v>
      </c>
    </row>
    <row r="78" spans="1:15" ht="15.75" customHeight="1" thickBot="1">
      <c r="A78" s="81"/>
      <c r="B78" s="19" t="str">
        <f t="shared" si="25"/>
        <v>2F Beam 3-2</v>
      </c>
      <c r="C78" s="36">
        <f t="shared" si="13"/>
        <v>1963.4937499999999</v>
      </c>
      <c r="D78" s="51">
        <f t="shared" si="14"/>
        <v>1.3875104231443268E-2</v>
      </c>
      <c r="E78" s="52" t="str">
        <f t="shared" si="15"/>
        <v>OKAY</v>
      </c>
      <c r="F78" s="53">
        <f t="shared" si="16"/>
        <v>0.23032673024195827</v>
      </c>
      <c r="G78" s="59">
        <f t="shared" si="17"/>
        <v>144.15743586908448</v>
      </c>
      <c r="H78" s="25">
        <f t="shared" si="18"/>
        <v>169.59698337539351</v>
      </c>
      <c r="I78" s="62">
        <f t="shared" si="19"/>
        <v>1282.1089482085215</v>
      </c>
      <c r="J78" s="21" t="str">
        <f t="shared" si="20"/>
        <v>YES</v>
      </c>
      <c r="L78" s="55">
        <f t="shared" si="21"/>
        <v>337.29013221607624</v>
      </c>
      <c r="M78" s="36">
        <f t="shared" si="22"/>
        <v>337.29013221607619</v>
      </c>
      <c r="N78" s="56">
        <f t="shared" si="23"/>
        <v>337.29013221607619</v>
      </c>
      <c r="O78" s="57" t="str">
        <f t="shared" si="24"/>
        <v>YES</v>
      </c>
    </row>
    <row r="79" spans="1:15" ht="15.75" customHeight="1" thickBot="1">
      <c r="A79" s="81"/>
      <c r="B79" s="19" t="str">
        <f>B43</f>
        <v>3F Beam 4 - 2</v>
      </c>
      <c r="C79" s="36">
        <f t="shared" si="13"/>
        <v>1963.4937499999999</v>
      </c>
      <c r="D79" s="51">
        <f t="shared" si="14"/>
        <v>1.3875104231443268E-2</v>
      </c>
      <c r="E79" s="52" t="str">
        <f t="shared" si="15"/>
        <v>OKAY</v>
      </c>
      <c r="F79" s="53">
        <f t="shared" si="16"/>
        <v>0.23032673024195827</v>
      </c>
      <c r="G79" s="59">
        <f t="shared" si="17"/>
        <v>144.15743586908448</v>
      </c>
      <c r="H79" s="25">
        <f t="shared" si="18"/>
        <v>169.59698337539351</v>
      </c>
      <c r="I79" s="62">
        <f t="shared" si="19"/>
        <v>1282.1089482085215</v>
      </c>
      <c r="J79" s="21" t="str">
        <f t="shared" si="20"/>
        <v>YES</v>
      </c>
      <c r="L79" s="55">
        <f t="shared" si="21"/>
        <v>337.29013221607624</v>
      </c>
      <c r="M79" s="36">
        <f t="shared" si="22"/>
        <v>337.29013221607619</v>
      </c>
      <c r="N79" s="56">
        <f t="shared" si="23"/>
        <v>337.29013221607619</v>
      </c>
      <c r="O79" s="57" t="str">
        <f t="shared" si="24"/>
        <v>YES</v>
      </c>
    </row>
    <row r="80" spans="1:15" ht="15.75" customHeight="1" thickBot="1">
      <c r="A80" s="81"/>
      <c r="B80" s="19" t="str">
        <f t="shared" si="25"/>
        <v>4F Beam 5 - 2</v>
      </c>
      <c r="C80" s="36">
        <f t="shared" si="13"/>
        <v>2454.3671875</v>
      </c>
      <c r="D80" s="51">
        <f t="shared" si="14"/>
        <v>1.4294675462148656E-2</v>
      </c>
      <c r="E80" s="52" t="str">
        <f t="shared" si="15"/>
        <v>OKAY</v>
      </c>
      <c r="F80" s="53">
        <f t="shared" si="16"/>
        <v>0.23729161267166771</v>
      </c>
      <c r="G80" s="59">
        <f t="shared" si="17"/>
        <v>163.59162944187915</v>
      </c>
      <c r="H80" s="25">
        <f t="shared" si="18"/>
        <v>192.46074051985784</v>
      </c>
      <c r="I80" s="62">
        <f t="shared" si="19"/>
        <v>1226.8660873396275</v>
      </c>
      <c r="J80" s="21" t="str">
        <f t="shared" si="20"/>
        <v>YES</v>
      </c>
      <c r="L80" s="55">
        <f t="shared" si="21"/>
        <v>462.20707474368749</v>
      </c>
      <c r="M80" s="36">
        <f t="shared" si="22"/>
        <v>462.20707474368754</v>
      </c>
      <c r="N80" s="56">
        <f t="shared" si="23"/>
        <v>462.20707474368749</v>
      </c>
      <c r="O80" s="57" t="str">
        <f t="shared" si="24"/>
        <v>YES</v>
      </c>
    </row>
    <row r="81" spans="1:18" ht="15.75" customHeight="1" thickBot="1">
      <c r="A81" s="81"/>
      <c r="B81" s="19" t="str">
        <f t="shared" si="25"/>
        <v>1F Beam 2 - 2</v>
      </c>
      <c r="C81" s="36">
        <f t="shared" si="13"/>
        <v>1963.4937499999999</v>
      </c>
      <c r="D81" s="51">
        <f t="shared" si="14"/>
        <v>1.3875104231443268E-2</v>
      </c>
      <c r="E81" s="52" t="str">
        <f t="shared" si="15"/>
        <v>OKAY</v>
      </c>
      <c r="F81" s="53">
        <f t="shared" si="16"/>
        <v>0.23032673024195827</v>
      </c>
      <c r="G81" s="59">
        <f t="shared" si="17"/>
        <v>144.15743586908448</v>
      </c>
      <c r="H81" s="25">
        <f t="shared" si="18"/>
        <v>169.59698337539351</v>
      </c>
      <c r="I81" s="62">
        <f t="shared" si="19"/>
        <v>1282.1089482085215</v>
      </c>
      <c r="J81" s="21" t="str">
        <f t="shared" si="20"/>
        <v>YES</v>
      </c>
      <c r="L81" s="55">
        <f t="shared" si="21"/>
        <v>337.29013221607624</v>
      </c>
      <c r="M81" s="36">
        <f>($D$2*C81*$D$3*(L45-(G81/2)))/10^6</f>
        <v>337.29013221607619</v>
      </c>
      <c r="N81" s="56">
        <f t="shared" si="23"/>
        <v>337.29013221607619</v>
      </c>
      <c r="O81" s="57" t="str">
        <f t="shared" si="24"/>
        <v>YES</v>
      </c>
    </row>
    <row r="82" spans="1:18" ht="15.75" customHeight="1" thickBot="1">
      <c r="A82" s="81"/>
      <c r="B82" s="19" t="str">
        <f t="shared" si="25"/>
        <v>2F Beam 3-2</v>
      </c>
      <c r="C82" s="36">
        <f t="shared" si="13"/>
        <v>1963.4937499999999</v>
      </c>
      <c r="D82" s="51">
        <f t="shared" si="14"/>
        <v>1.3875104231443268E-2</v>
      </c>
      <c r="E82" s="52" t="str">
        <f t="shared" si="15"/>
        <v>OKAY</v>
      </c>
      <c r="F82" s="53">
        <f t="shared" si="16"/>
        <v>0.23032673024195827</v>
      </c>
      <c r="G82" s="59">
        <f t="shared" si="17"/>
        <v>144.15743586908448</v>
      </c>
      <c r="H82" s="25">
        <f t="shared" si="18"/>
        <v>169.59698337539351</v>
      </c>
      <c r="I82" s="62">
        <f t="shared" si="19"/>
        <v>1282.1089482085215</v>
      </c>
      <c r="J82" s="21" t="str">
        <f t="shared" si="20"/>
        <v>YES</v>
      </c>
      <c r="L82" s="55">
        <f t="shared" si="21"/>
        <v>337.29013221607624</v>
      </c>
      <c r="M82" s="36">
        <f t="shared" si="22"/>
        <v>337.29013221607619</v>
      </c>
      <c r="N82" s="56">
        <f t="shared" si="23"/>
        <v>337.29013221607619</v>
      </c>
      <c r="O82" s="57" t="str">
        <f t="shared" si="24"/>
        <v>YES</v>
      </c>
    </row>
    <row r="83" spans="1:18" ht="15.75" customHeight="1" thickBot="1">
      <c r="A83" s="82"/>
      <c r="B83" s="19" t="str">
        <f t="shared" si="25"/>
        <v>RD Beam 6 - 2</v>
      </c>
      <c r="C83" s="25">
        <f t="shared" si="13"/>
        <v>1963.4937499999999</v>
      </c>
      <c r="D83" s="22">
        <f t="shared" si="14"/>
        <v>1.5707949999999998E-2</v>
      </c>
      <c r="E83" s="52" t="str">
        <f t="shared" si="15"/>
        <v>OKAY</v>
      </c>
      <c r="F83" s="53">
        <f t="shared" si="16"/>
        <v>0.26075196999999994</v>
      </c>
      <c r="G83" s="60">
        <f t="shared" si="17"/>
        <v>153.38351176470587</v>
      </c>
      <c r="H83" s="25">
        <f t="shared" si="18"/>
        <v>180.45119031141869</v>
      </c>
      <c r="I83" s="24">
        <f t="shared" si="19"/>
        <v>1062.4994242613009</v>
      </c>
      <c r="J83" s="38" t="str">
        <f t="shared" si="20"/>
        <v>YES</v>
      </c>
      <c r="L83" s="25">
        <f t="shared" si="21"/>
        <v>310.4394147307051</v>
      </c>
      <c r="M83" s="25">
        <f t="shared" si="22"/>
        <v>310.4394147307051</v>
      </c>
      <c r="N83" s="25">
        <f t="shared" si="23"/>
        <v>310.4394147307051</v>
      </c>
      <c r="O83" s="63" t="str">
        <f t="shared" si="24"/>
        <v>YES</v>
      </c>
    </row>
    <row r="84" spans="1:18" ht="15.75" customHeight="1" thickBot="1"/>
    <row r="85" spans="1:18" ht="15.75" customHeight="1">
      <c r="A85" s="92" t="s">
        <v>17</v>
      </c>
      <c r="B85" s="93"/>
      <c r="C85" s="64" t="s">
        <v>63</v>
      </c>
      <c r="D85" s="65"/>
      <c r="E85" s="65"/>
      <c r="F85" s="65"/>
      <c r="G85" s="65"/>
      <c r="H85" s="66"/>
      <c r="J85" s="83" t="s">
        <v>64</v>
      </c>
      <c r="K85" s="84"/>
      <c r="L85" s="84"/>
      <c r="M85" s="85"/>
      <c r="O85" s="64" t="s">
        <v>65</v>
      </c>
      <c r="P85" s="65"/>
      <c r="Q85" s="65"/>
      <c r="R85" s="66"/>
    </row>
    <row r="86" spans="1:18" ht="15.75" customHeight="1">
      <c r="A86" s="94"/>
      <c r="B86" s="95"/>
      <c r="C86" s="103" t="s">
        <v>66</v>
      </c>
      <c r="D86" s="98" t="s">
        <v>67</v>
      </c>
      <c r="E86" s="103" t="s">
        <v>68</v>
      </c>
      <c r="F86" s="103" t="s">
        <v>69</v>
      </c>
      <c r="G86" s="106" t="s">
        <v>70</v>
      </c>
      <c r="H86" s="106" t="s">
        <v>71</v>
      </c>
      <c r="J86" s="99" t="s">
        <v>72</v>
      </c>
      <c r="K86" s="108" t="s">
        <v>73</v>
      </c>
      <c r="L86" s="108" t="s">
        <v>74</v>
      </c>
      <c r="M86" s="110" t="s">
        <v>75</v>
      </c>
      <c r="O86" s="98" t="s">
        <v>76</v>
      </c>
      <c r="P86" s="99" t="s">
        <v>77</v>
      </c>
      <c r="Q86" s="101" t="s">
        <v>78</v>
      </c>
      <c r="R86" s="99" t="s">
        <v>79</v>
      </c>
    </row>
    <row r="87" spans="1:18" ht="15.75" customHeight="1">
      <c r="A87" s="96"/>
      <c r="B87" s="97"/>
      <c r="C87" s="104"/>
      <c r="D87" s="105"/>
      <c r="E87" s="104"/>
      <c r="F87" s="104"/>
      <c r="G87" s="107"/>
      <c r="H87" s="107"/>
      <c r="J87" s="100"/>
      <c r="K87" s="109"/>
      <c r="L87" s="109"/>
      <c r="M87" s="110"/>
      <c r="O87" s="98"/>
      <c r="P87" s="100"/>
      <c r="Q87" s="102"/>
      <c r="R87" s="100"/>
    </row>
    <row r="88" spans="1:18" ht="15.75" customHeight="1" thickBot="1">
      <c r="A88" s="80" t="str">
        <f>A16</f>
        <v>Frame 1</v>
      </c>
      <c r="B88" s="19" t="str">
        <f>B16</f>
        <v>GF Beam 1 - 2</v>
      </c>
      <c r="C88" s="36">
        <f t="shared" ref="C88:C119" si="28">(0.17*1*($D$4^(1/2))*K16*L16)/10^3</f>
        <v>106.25000000000001</v>
      </c>
      <c r="D88" s="36">
        <v>144.392</v>
      </c>
      <c r="E88" s="56">
        <f t="shared" ref="E88:E119" si="29">D88/0.65</f>
        <v>222.14153846153846</v>
      </c>
      <c r="F88" s="56">
        <f t="shared" ref="F88:F119" si="30">ABS(C88-E88)</f>
        <v>115.89153846153845</v>
      </c>
      <c r="G88" s="25">
        <f t="shared" ref="G88:G119" si="31">(0.66*($D$4^(1/2))*K16*L16)/1000</f>
        <v>412.50000000000006</v>
      </c>
      <c r="H88" s="67" t="str">
        <f t="shared" ref="H88:H119" si="32">IF(F88&lt;=G88,"YES","NO")</f>
        <v>YES</v>
      </c>
      <c r="J88" s="36">
        <f t="shared" ref="J88:J119" si="33">(((2*3.14159)/4)*(16^2)*$D$3*K16)/(F88*1000)</f>
        <v>359.99448927710927</v>
      </c>
      <c r="K88" s="28">
        <f t="shared" ref="K88:K119" si="34">500/2</f>
        <v>250</v>
      </c>
      <c r="L88" s="74">
        <f>FLOOR(MIN(J88, K88), 5)</f>
        <v>250</v>
      </c>
      <c r="M88" s="68" t="str">
        <f t="shared" ref="M88:M119" si="35">_xlfn.CONCAT("Stirrups spaced @ ",L88,"mm O.C")</f>
        <v>Stirrups spaced @ 250mm O.C</v>
      </c>
      <c r="O88" s="69">
        <v>7950</v>
      </c>
      <c r="P88" s="25">
        <f t="shared" ref="P88:P119" si="36">O88/240</f>
        <v>33.125</v>
      </c>
      <c r="Q88" s="25">
        <v>5.5529999999999999</v>
      </c>
      <c r="R88" s="67" t="str">
        <f t="shared" ref="R88:R119" si="37">IF(Q88&lt;=P88,"YES","NOT SAFE")</f>
        <v>YES</v>
      </c>
    </row>
    <row r="89" spans="1:18" ht="15.75" customHeight="1" thickBot="1">
      <c r="A89" s="81"/>
      <c r="B89" s="19" t="str">
        <f t="shared" ref="B89:B119" si="38">B17</f>
        <v>1F Beam 2 - 2</v>
      </c>
      <c r="C89" s="36">
        <f t="shared" si="28"/>
        <v>106.25000000000001</v>
      </c>
      <c r="D89" s="36">
        <v>144.21600000000001</v>
      </c>
      <c r="E89" s="56">
        <f t="shared" si="29"/>
        <v>221.87076923076924</v>
      </c>
      <c r="F89" s="56">
        <f t="shared" si="30"/>
        <v>115.62076923076923</v>
      </c>
      <c r="G89" s="25">
        <f t="shared" si="31"/>
        <v>412.50000000000006</v>
      </c>
      <c r="H89" s="70" t="str">
        <f t="shared" si="32"/>
        <v>YES</v>
      </c>
      <c r="J89" s="36">
        <f t="shared" si="33"/>
        <v>360.83755087920053</v>
      </c>
      <c r="K89" s="28">
        <f t="shared" si="34"/>
        <v>250</v>
      </c>
      <c r="L89" s="74">
        <f t="shared" ref="L89:L119" si="39">FLOOR(MIN(J89, K89), 5)</f>
        <v>250</v>
      </c>
      <c r="M89" s="68" t="str">
        <f t="shared" si="35"/>
        <v>Stirrups spaced @ 250mm O.C</v>
      </c>
      <c r="O89" s="69">
        <v>7950</v>
      </c>
      <c r="P89" s="25">
        <f t="shared" si="36"/>
        <v>33.125</v>
      </c>
      <c r="Q89" s="25">
        <v>5.4290000000000003</v>
      </c>
      <c r="R89" s="67" t="str">
        <f t="shared" si="37"/>
        <v>YES</v>
      </c>
    </row>
    <row r="90" spans="1:18" ht="15.75" customHeight="1" thickBot="1">
      <c r="A90" s="81"/>
      <c r="B90" s="19" t="str">
        <f t="shared" si="38"/>
        <v>2F Beam 3-2</v>
      </c>
      <c r="C90" s="36">
        <f t="shared" si="28"/>
        <v>107.10170000000001</v>
      </c>
      <c r="D90" s="36">
        <v>144.09800000000001</v>
      </c>
      <c r="E90" s="56">
        <f t="shared" si="29"/>
        <v>221.68923076923079</v>
      </c>
      <c r="F90" s="56">
        <f t="shared" si="30"/>
        <v>114.58753076923078</v>
      </c>
      <c r="G90" s="71">
        <f t="shared" si="31"/>
        <v>415.80660000000006</v>
      </c>
      <c r="H90" s="52" t="str">
        <f t="shared" si="32"/>
        <v>YES</v>
      </c>
      <c r="J90" s="36">
        <f t="shared" si="33"/>
        <v>365.54759649334909</v>
      </c>
      <c r="K90" s="28">
        <f t="shared" si="34"/>
        <v>250</v>
      </c>
      <c r="L90" s="74">
        <f t="shared" si="39"/>
        <v>250</v>
      </c>
      <c r="M90" s="68" t="str">
        <f t="shared" si="35"/>
        <v>Stirrups spaced @ 250mm O.C</v>
      </c>
      <c r="O90" s="69">
        <v>7950</v>
      </c>
      <c r="P90" s="25">
        <f t="shared" si="36"/>
        <v>33.125</v>
      </c>
      <c r="Q90" s="25">
        <v>5.9290000000000003</v>
      </c>
      <c r="R90" s="67" t="str">
        <f t="shared" si="37"/>
        <v>YES</v>
      </c>
    </row>
    <row r="91" spans="1:18" ht="15.75" customHeight="1" thickBot="1">
      <c r="A91" s="81"/>
      <c r="B91" s="19" t="str">
        <f t="shared" si="38"/>
        <v>3F Beam 4 - 2</v>
      </c>
      <c r="C91" s="36">
        <f t="shared" si="28"/>
        <v>107.9568</v>
      </c>
      <c r="D91" s="36">
        <v>143.96799999999999</v>
      </c>
      <c r="E91" s="56">
        <f t="shared" si="29"/>
        <v>221.48923076923074</v>
      </c>
      <c r="F91" s="56">
        <f t="shared" si="30"/>
        <v>113.53243076923074</v>
      </c>
      <c r="G91" s="25">
        <f t="shared" si="31"/>
        <v>419.12640000000005</v>
      </c>
      <c r="H91" s="70" t="str">
        <f t="shared" si="32"/>
        <v>YES</v>
      </c>
      <c r="J91" s="36">
        <f t="shared" si="33"/>
        <v>370.41466862521696</v>
      </c>
      <c r="K91" s="28">
        <f t="shared" si="34"/>
        <v>250</v>
      </c>
      <c r="L91" s="74">
        <f t="shared" si="39"/>
        <v>250</v>
      </c>
      <c r="M91" s="68" t="str">
        <f t="shared" si="35"/>
        <v>Stirrups spaced @ 250mm O.C</v>
      </c>
      <c r="O91" s="69">
        <v>7950</v>
      </c>
      <c r="P91" s="25">
        <f t="shared" si="36"/>
        <v>33.125</v>
      </c>
      <c r="Q91" s="25">
        <v>6.367</v>
      </c>
      <c r="R91" s="67" t="str">
        <f t="shared" si="37"/>
        <v>YES</v>
      </c>
    </row>
    <row r="92" spans="1:18" ht="15.75" customHeight="1" thickBot="1">
      <c r="A92" s="81"/>
      <c r="B92" s="19" t="str">
        <f t="shared" si="38"/>
        <v>4F Beam 5 - 2</v>
      </c>
      <c r="C92" s="36">
        <f t="shared" si="28"/>
        <v>106.25000000000001</v>
      </c>
      <c r="D92" s="36">
        <v>73.69</v>
      </c>
      <c r="E92" s="56">
        <f t="shared" si="29"/>
        <v>113.36923076923077</v>
      </c>
      <c r="F92" s="56">
        <f t="shared" si="30"/>
        <v>7.1192307692307537</v>
      </c>
      <c r="G92" s="25">
        <f t="shared" si="31"/>
        <v>412.50000000000006</v>
      </c>
      <c r="H92" s="67" t="str">
        <f t="shared" si="32"/>
        <v>YES</v>
      </c>
      <c r="J92" s="36">
        <f t="shared" si="33"/>
        <v>5860.2279589411246</v>
      </c>
      <c r="K92" s="28">
        <f t="shared" si="34"/>
        <v>250</v>
      </c>
      <c r="L92" s="74">
        <f t="shared" si="39"/>
        <v>250</v>
      </c>
      <c r="M92" s="68" t="str">
        <f t="shared" si="35"/>
        <v>Stirrups spaced @ 250mm O.C</v>
      </c>
      <c r="O92" s="69">
        <v>7950</v>
      </c>
      <c r="P92" s="25">
        <f t="shared" si="36"/>
        <v>33.125</v>
      </c>
      <c r="Q92" s="25">
        <v>6.6509999999999998</v>
      </c>
      <c r="R92" s="67" t="str">
        <f t="shared" si="37"/>
        <v>YES</v>
      </c>
    </row>
    <row r="93" spans="1:18" ht="15.75" customHeight="1" thickBot="1">
      <c r="A93" s="81"/>
      <c r="B93" s="19" t="str">
        <f t="shared" si="38"/>
        <v>1F Beam 2 - 2</v>
      </c>
      <c r="C93" s="36">
        <f t="shared" si="28"/>
        <v>106.25000000000001</v>
      </c>
      <c r="D93" s="36">
        <v>144.21600000000001</v>
      </c>
      <c r="E93" s="56">
        <f t="shared" si="29"/>
        <v>221.87076923076924</v>
      </c>
      <c r="F93" s="56">
        <f t="shared" si="30"/>
        <v>115.62076923076923</v>
      </c>
      <c r="G93" s="25">
        <f t="shared" si="31"/>
        <v>412.50000000000006</v>
      </c>
      <c r="H93" s="70" t="str">
        <f t="shared" si="32"/>
        <v>YES</v>
      </c>
      <c r="J93" s="36">
        <f t="shared" si="33"/>
        <v>360.83755087920053</v>
      </c>
      <c r="K93" s="28">
        <f t="shared" si="34"/>
        <v>250</v>
      </c>
      <c r="L93" s="74">
        <f t="shared" si="39"/>
        <v>250</v>
      </c>
      <c r="M93" s="68" t="str">
        <f t="shared" si="35"/>
        <v>Stirrups spaced @ 250mm O.C</v>
      </c>
      <c r="O93" s="69">
        <v>7950</v>
      </c>
      <c r="P93" s="25">
        <f t="shared" si="36"/>
        <v>33.125</v>
      </c>
      <c r="Q93" s="25">
        <v>5.4290000000000003</v>
      </c>
      <c r="R93" s="67" t="str">
        <f t="shared" si="37"/>
        <v>YES</v>
      </c>
    </row>
    <row r="94" spans="1:18" ht="15.75" customHeight="1" thickBot="1">
      <c r="A94" s="81"/>
      <c r="B94" s="19" t="str">
        <f t="shared" si="38"/>
        <v>2F Beam 3-2</v>
      </c>
      <c r="C94" s="36">
        <f t="shared" si="28"/>
        <v>107.10170000000001</v>
      </c>
      <c r="D94" s="36">
        <v>144.09800000000001</v>
      </c>
      <c r="E94" s="56">
        <f t="shared" si="29"/>
        <v>221.68923076923079</v>
      </c>
      <c r="F94" s="56">
        <f t="shared" si="30"/>
        <v>114.58753076923078</v>
      </c>
      <c r="G94" s="71">
        <f t="shared" si="31"/>
        <v>415.80660000000006</v>
      </c>
      <c r="H94" s="52" t="str">
        <f t="shared" si="32"/>
        <v>YES</v>
      </c>
      <c r="J94" s="36">
        <f t="shared" si="33"/>
        <v>365.54759649334909</v>
      </c>
      <c r="K94" s="28">
        <f t="shared" si="34"/>
        <v>250</v>
      </c>
      <c r="L94" s="74">
        <f t="shared" si="39"/>
        <v>250</v>
      </c>
      <c r="M94" s="68" t="str">
        <f t="shared" si="35"/>
        <v>Stirrups spaced @ 250mm O.C</v>
      </c>
      <c r="O94" s="69">
        <v>7950</v>
      </c>
      <c r="P94" s="25">
        <f t="shared" si="36"/>
        <v>33.125</v>
      </c>
      <c r="Q94" s="25">
        <v>5.9290000000000003</v>
      </c>
      <c r="R94" s="67" t="str">
        <f t="shared" si="37"/>
        <v>YES</v>
      </c>
    </row>
    <row r="95" spans="1:18" ht="15.75" customHeight="1" thickBot="1">
      <c r="A95" s="82"/>
      <c r="B95" s="19" t="str">
        <f t="shared" si="38"/>
        <v>RD Beam 6 - 2</v>
      </c>
      <c r="C95" s="36">
        <f t="shared" si="28"/>
        <v>107.10170000000001</v>
      </c>
      <c r="D95" s="36">
        <v>74.69</v>
      </c>
      <c r="E95" s="56">
        <f t="shared" si="29"/>
        <v>114.9076923076923</v>
      </c>
      <c r="F95" s="56">
        <f t="shared" si="30"/>
        <v>7.8059923076922928</v>
      </c>
      <c r="G95" s="25">
        <f t="shared" si="31"/>
        <v>415.80660000000006</v>
      </c>
      <c r="H95" s="67" t="str">
        <f t="shared" si="32"/>
        <v>YES</v>
      </c>
      <c r="J95" s="36">
        <f t="shared" si="33"/>
        <v>5366.0309682246179</v>
      </c>
      <c r="K95" s="28">
        <f t="shared" si="34"/>
        <v>250</v>
      </c>
      <c r="L95" s="74">
        <f t="shared" si="39"/>
        <v>250</v>
      </c>
      <c r="M95" s="68" t="str">
        <f t="shared" si="35"/>
        <v>Stirrups spaced @ 250mm O.C</v>
      </c>
      <c r="O95" s="69">
        <v>7951</v>
      </c>
      <c r="P95" s="58">
        <f t="shared" si="36"/>
        <v>33.12916666666667</v>
      </c>
      <c r="Q95" s="25">
        <v>4.8780000000000001</v>
      </c>
      <c r="R95" s="67" t="str">
        <f t="shared" si="37"/>
        <v>YES</v>
      </c>
    </row>
    <row r="96" spans="1:18" ht="15.75" customHeight="1" thickBot="1">
      <c r="A96" s="80" t="str">
        <f t="shared" ref="A96" si="40">A24</f>
        <v>Frame 2</v>
      </c>
      <c r="B96" s="19" t="str">
        <f t="shared" si="38"/>
        <v>GF Beam 1 - 2</v>
      </c>
      <c r="C96" s="36">
        <f t="shared" si="28"/>
        <v>106.25000000000001</v>
      </c>
      <c r="D96" s="36">
        <v>96.584000000000003</v>
      </c>
      <c r="E96" s="56">
        <f t="shared" si="29"/>
        <v>148.59076923076924</v>
      </c>
      <c r="F96" s="56">
        <f t="shared" si="30"/>
        <v>42.340769230769226</v>
      </c>
      <c r="G96" s="25">
        <f t="shared" si="31"/>
        <v>412.50000000000006</v>
      </c>
      <c r="H96" s="67" t="str">
        <f t="shared" si="32"/>
        <v>YES</v>
      </c>
      <c r="J96" s="36">
        <f t="shared" si="33"/>
        <v>985.34617953236557</v>
      </c>
      <c r="K96" s="28">
        <f t="shared" si="34"/>
        <v>250</v>
      </c>
      <c r="L96" s="74">
        <f t="shared" si="39"/>
        <v>250</v>
      </c>
      <c r="M96" s="68" t="str">
        <f t="shared" si="35"/>
        <v>Stirrups spaced @ 250mm O.C</v>
      </c>
      <c r="O96" s="24">
        <v>9945</v>
      </c>
      <c r="P96" s="36">
        <f t="shared" si="36"/>
        <v>41.4375</v>
      </c>
      <c r="Q96" s="25">
        <v>1E-3</v>
      </c>
      <c r="R96" s="67" t="str">
        <f t="shared" si="37"/>
        <v>YES</v>
      </c>
    </row>
    <row r="97" spans="1:18" ht="15.75" customHeight="1" thickBot="1">
      <c r="A97" s="81"/>
      <c r="B97" s="19" t="str">
        <f t="shared" si="38"/>
        <v>1F Beam 2 - 2</v>
      </c>
      <c r="C97" s="36">
        <f t="shared" si="28"/>
        <v>107.10170000000001</v>
      </c>
      <c r="D97" s="36">
        <v>98.483999999999995</v>
      </c>
      <c r="E97" s="56">
        <f t="shared" si="29"/>
        <v>151.51384615384615</v>
      </c>
      <c r="F97" s="56">
        <f t="shared" si="30"/>
        <v>44.412146153846138</v>
      </c>
      <c r="G97" s="25">
        <f t="shared" si="31"/>
        <v>415.80660000000006</v>
      </c>
      <c r="H97" s="67" t="str">
        <f t="shared" si="32"/>
        <v>YES</v>
      </c>
      <c r="J97" s="36">
        <f t="shared" si="33"/>
        <v>943.14731640530113</v>
      </c>
      <c r="K97" s="28">
        <f t="shared" si="34"/>
        <v>250</v>
      </c>
      <c r="L97" s="74">
        <f t="shared" si="39"/>
        <v>250</v>
      </c>
      <c r="M97" s="68" t="str">
        <f t="shared" si="35"/>
        <v>Stirrups spaced @ 250mm O.C</v>
      </c>
      <c r="O97" s="24">
        <v>9945</v>
      </c>
      <c r="P97" s="36">
        <f t="shared" si="36"/>
        <v>41.4375</v>
      </c>
      <c r="Q97" s="25">
        <v>7.4219999999999997</v>
      </c>
      <c r="R97" s="67" t="str">
        <f t="shared" si="37"/>
        <v>YES</v>
      </c>
    </row>
    <row r="98" spans="1:18" ht="15.75" customHeight="1" thickBot="1">
      <c r="A98" s="81"/>
      <c r="B98" s="19" t="str">
        <f t="shared" si="38"/>
        <v>2F Beam 3-2</v>
      </c>
      <c r="C98" s="36">
        <f t="shared" si="28"/>
        <v>107.9568</v>
      </c>
      <c r="D98" s="36">
        <v>64.025000000000006</v>
      </c>
      <c r="E98" s="56">
        <f t="shared" si="29"/>
        <v>98.5</v>
      </c>
      <c r="F98" s="56">
        <f t="shared" si="30"/>
        <v>9.4568000000000012</v>
      </c>
      <c r="G98" s="25">
        <f t="shared" si="31"/>
        <v>419.12640000000005</v>
      </c>
      <c r="H98" s="67" t="str">
        <f t="shared" si="32"/>
        <v>YES</v>
      </c>
      <c r="J98" s="36">
        <f t="shared" si="33"/>
        <v>4446.9670207258259</v>
      </c>
      <c r="K98" s="28">
        <f t="shared" si="34"/>
        <v>250</v>
      </c>
      <c r="L98" s="74">
        <f t="shared" si="39"/>
        <v>250</v>
      </c>
      <c r="M98" s="68" t="str">
        <f t="shared" si="35"/>
        <v>Stirrups spaced @ 250mm O.C</v>
      </c>
      <c r="O98" s="24">
        <v>9945</v>
      </c>
      <c r="P98" s="36">
        <f t="shared" si="36"/>
        <v>41.4375</v>
      </c>
      <c r="Q98" s="25">
        <v>20.315999999999999</v>
      </c>
      <c r="R98" s="67" t="str">
        <f t="shared" si="37"/>
        <v>YES</v>
      </c>
    </row>
    <row r="99" spans="1:18" ht="15.75" customHeight="1" thickBot="1">
      <c r="A99" s="81"/>
      <c r="B99" s="19" t="str">
        <f t="shared" si="38"/>
        <v>3F Beam 4 - 2</v>
      </c>
      <c r="C99" s="36">
        <f t="shared" si="28"/>
        <v>106.25000000000001</v>
      </c>
      <c r="D99" s="36">
        <v>58.957000000000001</v>
      </c>
      <c r="E99" s="56">
        <f t="shared" si="29"/>
        <v>90.703076923076921</v>
      </c>
      <c r="F99" s="56">
        <f t="shared" si="30"/>
        <v>15.546923076923093</v>
      </c>
      <c r="G99" s="25">
        <f t="shared" si="31"/>
        <v>412.50000000000006</v>
      </c>
      <c r="H99" s="67" t="str">
        <f t="shared" si="32"/>
        <v>YES</v>
      </c>
      <c r="J99" s="36">
        <f t="shared" si="33"/>
        <v>2683.5094631636207</v>
      </c>
      <c r="K99" s="28">
        <f t="shared" si="34"/>
        <v>250</v>
      </c>
      <c r="L99" s="74">
        <f t="shared" si="39"/>
        <v>250</v>
      </c>
      <c r="M99" s="68" t="str">
        <f t="shared" si="35"/>
        <v>Stirrups spaced @ 250mm O.C</v>
      </c>
      <c r="O99" s="24">
        <v>9945</v>
      </c>
      <c r="P99" s="25">
        <f t="shared" si="36"/>
        <v>41.4375</v>
      </c>
      <c r="Q99" s="25">
        <v>32.768000000000001</v>
      </c>
      <c r="R99" s="67" t="str">
        <f t="shared" si="37"/>
        <v>YES</v>
      </c>
    </row>
    <row r="100" spans="1:18" ht="15.75" customHeight="1" thickBot="1">
      <c r="A100" s="81"/>
      <c r="B100" s="19" t="str">
        <f t="shared" si="38"/>
        <v>4F Beam 5 - 2</v>
      </c>
      <c r="C100" s="36">
        <f t="shared" si="28"/>
        <v>108.81530000000001</v>
      </c>
      <c r="D100" s="36">
        <v>41.545000000000002</v>
      </c>
      <c r="E100" s="56">
        <f t="shared" si="29"/>
        <v>63.915384615384617</v>
      </c>
      <c r="F100" s="56">
        <f t="shared" si="30"/>
        <v>44.89991538461539</v>
      </c>
      <c r="G100" s="25">
        <f t="shared" si="31"/>
        <v>422.45940000000002</v>
      </c>
      <c r="H100" s="67" t="str">
        <f t="shared" si="32"/>
        <v>YES</v>
      </c>
      <c r="J100" s="36">
        <f t="shared" si="33"/>
        <v>940.33493428067095</v>
      </c>
      <c r="K100" s="28">
        <f t="shared" si="34"/>
        <v>250</v>
      </c>
      <c r="L100" s="74">
        <f t="shared" si="39"/>
        <v>250</v>
      </c>
      <c r="M100" s="68" t="str">
        <f t="shared" si="35"/>
        <v>Stirrups spaced @ 250mm O.C</v>
      </c>
      <c r="O100" s="24">
        <v>9945</v>
      </c>
      <c r="P100" s="61">
        <f t="shared" si="36"/>
        <v>41.4375</v>
      </c>
      <c r="Q100" s="25">
        <v>39.75</v>
      </c>
      <c r="R100" s="67" t="str">
        <f t="shared" si="37"/>
        <v>YES</v>
      </c>
    </row>
    <row r="101" spans="1:18" ht="15.75" customHeight="1" thickBot="1">
      <c r="A101" s="81"/>
      <c r="B101" s="19" t="str">
        <f t="shared" si="38"/>
        <v>1F Beam 2 - 2</v>
      </c>
      <c r="C101" s="36">
        <f t="shared" si="28"/>
        <v>107.10170000000001</v>
      </c>
      <c r="D101" s="36">
        <v>98.483999999999995</v>
      </c>
      <c r="E101" s="56">
        <f t="shared" si="29"/>
        <v>151.51384615384615</v>
      </c>
      <c r="F101" s="56">
        <f t="shared" si="30"/>
        <v>44.412146153846138</v>
      </c>
      <c r="G101" s="25">
        <f t="shared" si="31"/>
        <v>415.80660000000006</v>
      </c>
      <c r="H101" s="67" t="str">
        <f t="shared" si="32"/>
        <v>YES</v>
      </c>
      <c r="J101" s="36">
        <f t="shared" si="33"/>
        <v>943.14731640530113</v>
      </c>
      <c r="K101" s="28">
        <f t="shared" si="34"/>
        <v>250</v>
      </c>
      <c r="L101" s="74">
        <f t="shared" si="39"/>
        <v>250</v>
      </c>
      <c r="M101" s="68" t="str">
        <f t="shared" si="35"/>
        <v>Stirrups spaced @ 250mm O.C</v>
      </c>
      <c r="O101" s="24">
        <v>9945</v>
      </c>
      <c r="P101" s="36">
        <f t="shared" si="36"/>
        <v>41.4375</v>
      </c>
      <c r="Q101" s="25">
        <v>7.4219999999999997</v>
      </c>
      <c r="R101" s="67" t="str">
        <f t="shared" si="37"/>
        <v>YES</v>
      </c>
    </row>
    <row r="102" spans="1:18" ht="15.75" customHeight="1" thickBot="1">
      <c r="A102" s="81"/>
      <c r="B102" s="19" t="str">
        <f t="shared" si="38"/>
        <v>2F Beam 3-2</v>
      </c>
      <c r="C102" s="36">
        <f t="shared" si="28"/>
        <v>107.9568</v>
      </c>
      <c r="D102" s="36">
        <v>64.025000000000006</v>
      </c>
      <c r="E102" s="56">
        <f t="shared" si="29"/>
        <v>98.5</v>
      </c>
      <c r="F102" s="56">
        <f t="shared" si="30"/>
        <v>9.4568000000000012</v>
      </c>
      <c r="G102" s="25">
        <f t="shared" si="31"/>
        <v>419.12640000000005</v>
      </c>
      <c r="H102" s="67" t="str">
        <f t="shared" si="32"/>
        <v>YES</v>
      </c>
      <c r="J102" s="36">
        <f t="shared" si="33"/>
        <v>4446.9670207258259</v>
      </c>
      <c r="K102" s="28">
        <f t="shared" si="34"/>
        <v>250</v>
      </c>
      <c r="L102" s="74">
        <f t="shared" si="39"/>
        <v>250</v>
      </c>
      <c r="M102" s="68" t="str">
        <f t="shared" si="35"/>
        <v>Stirrups spaced @ 250mm O.C</v>
      </c>
      <c r="O102" s="24">
        <v>9945</v>
      </c>
      <c r="P102" s="36">
        <f t="shared" si="36"/>
        <v>41.4375</v>
      </c>
      <c r="Q102" s="25">
        <v>20.315999999999999</v>
      </c>
      <c r="R102" s="67" t="str">
        <f t="shared" si="37"/>
        <v>YES</v>
      </c>
    </row>
    <row r="103" spans="1:18" ht="15.75" customHeight="1" thickBot="1">
      <c r="A103" s="82"/>
      <c r="B103" s="19" t="str">
        <f t="shared" si="38"/>
        <v>RD Beam 6 - 2</v>
      </c>
      <c r="C103" s="36">
        <f t="shared" si="28"/>
        <v>107.10170000000001</v>
      </c>
      <c r="D103" s="36">
        <v>42.545000000000002</v>
      </c>
      <c r="E103" s="56">
        <f t="shared" si="29"/>
        <v>65.453846153846158</v>
      </c>
      <c r="F103" s="56">
        <f t="shared" si="30"/>
        <v>41.647853846153851</v>
      </c>
      <c r="G103" s="25">
        <f t="shared" si="31"/>
        <v>415.80660000000006</v>
      </c>
      <c r="H103" s="67" t="str">
        <f t="shared" si="32"/>
        <v>YES</v>
      </c>
      <c r="J103" s="36">
        <f t="shared" si="33"/>
        <v>1005.7468174838078</v>
      </c>
      <c r="K103" s="28">
        <f t="shared" si="34"/>
        <v>250</v>
      </c>
      <c r="L103" s="74">
        <f t="shared" si="39"/>
        <v>250</v>
      </c>
      <c r="M103" s="68" t="str">
        <f t="shared" si="35"/>
        <v>Stirrups spaced @ 250mm O.C</v>
      </c>
      <c r="O103" s="24">
        <v>9946</v>
      </c>
      <c r="P103" s="61">
        <f t="shared" si="36"/>
        <v>41.44166666666667</v>
      </c>
      <c r="Q103" s="25">
        <v>5.5529999999999999</v>
      </c>
      <c r="R103" s="67" t="str">
        <f t="shared" si="37"/>
        <v>YES</v>
      </c>
    </row>
    <row r="104" spans="1:18" ht="15.75" customHeight="1" thickBot="1">
      <c r="A104" s="80" t="str">
        <f t="shared" ref="A104" si="41">A32</f>
        <v>Frame 3</v>
      </c>
      <c r="B104" s="19" t="str">
        <f t="shared" si="38"/>
        <v>GF Beam 1 - 2</v>
      </c>
      <c r="C104" s="36">
        <f t="shared" si="28"/>
        <v>123.01370000000001</v>
      </c>
      <c r="D104" s="36">
        <v>201.006</v>
      </c>
      <c r="E104" s="56">
        <f t="shared" si="29"/>
        <v>309.24</v>
      </c>
      <c r="F104" s="56">
        <f t="shared" si="30"/>
        <v>186.22629999999998</v>
      </c>
      <c r="G104" s="25">
        <f t="shared" si="31"/>
        <v>477.58260000000001</v>
      </c>
      <c r="H104" s="70" t="str">
        <f t="shared" si="32"/>
        <v>YES</v>
      </c>
      <c r="J104" s="36">
        <f t="shared" si="33"/>
        <v>241.05649500204859</v>
      </c>
      <c r="K104" s="28">
        <f t="shared" si="34"/>
        <v>250</v>
      </c>
      <c r="L104" s="74">
        <f t="shared" si="39"/>
        <v>240</v>
      </c>
      <c r="M104" s="68" t="str">
        <f t="shared" si="35"/>
        <v>Stirrups spaced @ 240mm O.C</v>
      </c>
      <c r="O104" s="69">
        <v>7950</v>
      </c>
      <c r="P104" s="25">
        <f t="shared" si="36"/>
        <v>33.125</v>
      </c>
      <c r="Q104" s="25">
        <v>5.4290000000000003</v>
      </c>
      <c r="R104" s="67" t="str">
        <f t="shared" si="37"/>
        <v>YES</v>
      </c>
    </row>
    <row r="105" spans="1:18" ht="15.75" customHeight="1" thickBot="1">
      <c r="A105" s="81"/>
      <c r="B105" s="19" t="str">
        <f t="shared" si="38"/>
        <v>1F Beam 2 - 2</v>
      </c>
      <c r="C105" s="36">
        <f t="shared" si="28"/>
        <v>117.5873</v>
      </c>
      <c r="D105" s="36">
        <v>200.80099999999999</v>
      </c>
      <c r="E105" s="56">
        <f t="shared" si="29"/>
        <v>308.92461538461538</v>
      </c>
      <c r="F105" s="56">
        <f t="shared" si="30"/>
        <v>191.33731538461538</v>
      </c>
      <c r="G105" s="25">
        <f t="shared" si="31"/>
        <v>456.5154</v>
      </c>
      <c r="H105" s="52" t="str">
        <f t="shared" si="32"/>
        <v>YES</v>
      </c>
      <c r="J105" s="36">
        <f t="shared" si="33"/>
        <v>229.38427615217279</v>
      </c>
      <c r="K105" s="28">
        <f t="shared" si="34"/>
        <v>250</v>
      </c>
      <c r="L105" s="74">
        <f t="shared" si="39"/>
        <v>225</v>
      </c>
      <c r="M105" s="68" t="str">
        <f t="shared" si="35"/>
        <v>Stirrups spaced @ 225mm O.C</v>
      </c>
      <c r="O105" s="69">
        <v>7950</v>
      </c>
      <c r="P105" s="25">
        <f t="shared" si="36"/>
        <v>33.125</v>
      </c>
      <c r="Q105" s="25">
        <v>5.9290000000000003</v>
      </c>
      <c r="R105" s="67" t="str">
        <f t="shared" si="37"/>
        <v>YES</v>
      </c>
    </row>
    <row r="106" spans="1:18" ht="15.75" customHeight="1" thickBot="1">
      <c r="A106" s="81"/>
      <c r="B106" s="19" t="str">
        <f t="shared" si="38"/>
        <v>2F Beam 3-2</v>
      </c>
      <c r="C106" s="36">
        <f t="shared" si="28"/>
        <v>118.48320000000001</v>
      </c>
      <c r="D106" s="36">
        <v>200.738</v>
      </c>
      <c r="E106" s="56">
        <f t="shared" si="29"/>
        <v>308.8276923076923</v>
      </c>
      <c r="F106" s="56">
        <f t="shared" si="30"/>
        <v>190.34449230769229</v>
      </c>
      <c r="G106" s="25">
        <f t="shared" si="31"/>
        <v>459.99360000000001</v>
      </c>
      <c r="H106" s="70" t="str">
        <f t="shared" si="32"/>
        <v>YES</v>
      </c>
      <c r="J106" s="36">
        <f t="shared" si="33"/>
        <v>231.45746071802446</v>
      </c>
      <c r="K106" s="28">
        <f t="shared" si="34"/>
        <v>250</v>
      </c>
      <c r="L106" s="74">
        <f t="shared" si="39"/>
        <v>230</v>
      </c>
      <c r="M106" s="68" t="str">
        <f t="shared" si="35"/>
        <v>Stirrups spaced @ 230mm O.C</v>
      </c>
      <c r="O106" s="69">
        <v>7950</v>
      </c>
      <c r="P106" s="25">
        <f t="shared" si="36"/>
        <v>33.125</v>
      </c>
      <c r="Q106" s="25">
        <v>6.367</v>
      </c>
      <c r="R106" s="67" t="str">
        <f t="shared" si="37"/>
        <v>YES</v>
      </c>
    </row>
    <row r="107" spans="1:18" ht="15.75" customHeight="1" thickBot="1">
      <c r="A107" s="81"/>
      <c r="B107" s="19" t="str">
        <f t="shared" si="38"/>
        <v>3F Beam 4 - 2</v>
      </c>
      <c r="C107" s="36">
        <f t="shared" si="28"/>
        <v>118.48320000000001</v>
      </c>
      <c r="D107" s="36">
        <v>200.767</v>
      </c>
      <c r="E107" s="56">
        <f t="shared" si="29"/>
        <v>308.87230769230769</v>
      </c>
      <c r="F107" s="56">
        <f t="shared" si="30"/>
        <v>190.38910769230768</v>
      </c>
      <c r="G107" s="25">
        <f t="shared" si="31"/>
        <v>459.99360000000001</v>
      </c>
      <c r="H107" s="67" t="str">
        <f t="shared" si="32"/>
        <v>YES</v>
      </c>
      <c r="J107" s="36">
        <f t="shared" si="33"/>
        <v>231.4032214616027</v>
      </c>
      <c r="K107" s="28">
        <f t="shared" si="34"/>
        <v>250</v>
      </c>
      <c r="L107" s="74">
        <f t="shared" si="39"/>
        <v>230</v>
      </c>
      <c r="M107" s="68" t="str">
        <f t="shared" si="35"/>
        <v>Stirrups spaced @ 230mm O.C</v>
      </c>
      <c r="O107" s="69">
        <v>7950</v>
      </c>
      <c r="P107" s="36">
        <f t="shared" si="36"/>
        <v>33.125</v>
      </c>
      <c r="Q107" s="25">
        <v>6.6509999999999998</v>
      </c>
      <c r="R107" s="67" t="str">
        <f t="shared" si="37"/>
        <v>YES</v>
      </c>
    </row>
    <row r="108" spans="1:18" ht="15.75" customHeight="1" thickBot="1">
      <c r="A108" s="81"/>
      <c r="B108" s="19" t="str">
        <f t="shared" si="38"/>
        <v>4F Beam 5 - 2</v>
      </c>
      <c r="C108" s="36">
        <f t="shared" si="28"/>
        <v>118.48320000000001</v>
      </c>
      <c r="D108" s="25">
        <v>90.135000000000005</v>
      </c>
      <c r="E108" s="56">
        <f t="shared" si="29"/>
        <v>138.66923076923078</v>
      </c>
      <c r="F108" s="72">
        <f t="shared" si="30"/>
        <v>20.186030769230769</v>
      </c>
      <c r="G108" s="25">
        <f t="shared" si="31"/>
        <v>459.99360000000001</v>
      </c>
      <c r="H108" s="73" t="str">
        <f t="shared" si="32"/>
        <v>YES</v>
      </c>
      <c r="J108" s="36">
        <f t="shared" si="33"/>
        <v>2182.5317396402083</v>
      </c>
      <c r="K108" s="24">
        <f t="shared" si="34"/>
        <v>250</v>
      </c>
      <c r="L108" s="74">
        <f t="shared" si="39"/>
        <v>250</v>
      </c>
      <c r="M108" s="68" t="str">
        <f t="shared" si="35"/>
        <v>Stirrups spaced @ 250mm O.C</v>
      </c>
      <c r="O108" s="69">
        <v>7950</v>
      </c>
      <c r="P108" s="25">
        <f t="shared" si="36"/>
        <v>33.125</v>
      </c>
      <c r="Q108" s="25">
        <v>4.8780000000000001</v>
      </c>
      <c r="R108" s="67" t="str">
        <f t="shared" si="37"/>
        <v>YES</v>
      </c>
    </row>
    <row r="109" spans="1:18" ht="15.75" customHeight="1" thickBot="1">
      <c r="A109" s="81"/>
      <c r="B109" s="19" t="str">
        <f t="shared" si="38"/>
        <v>1F Beam 2 - 2</v>
      </c>
      <c r="C109" s="36">
        <f t="shared" si="28"/>
        <v>117.5873</v>
      </c>
      <c r="D109" s="36">
        <v>200.80099999999999</v>
      </c>
      <c r="E109" s="56">
        <f t="shared" si="29"/>
        <v>308.92461538461538</v>
      </c>
      <c r="F109" s="56">
        <f t="shared" si="30"/>
        <v>191.33731538461538</v>
      </c>
      <c r="G109" s="25">
        <f t="shared" si="31"/>
        <v>456.5154</v>
      </c>
      <c r="H109" s="52" t="str">
        <f t="shared" si="32"/>
        <v>YES</v>
      </c>
      <c r="J109" s="36">
        <f t="shared" si="33"/>
        <v>229.38427615217279</v>
      </c>
      <c r="K109" s="28">
        <f t="shared" si="34"/>
        <v>250</v>
      </c>
      <c r="L109" s="74">
        <f t="shared" si="39"/>
        <v>225</v>
      </c>
      <c r="M109" s="68" t="str">
        <f t="shared" si="35"/>
        <v>Stirrups spaced @ 225mm O.C</v>
      </c>
      <c r="O109" s="69">
        <v>7950</v>
      </c>
      <c r="P109" s="25">
        <f t="shared" si="36"/>
        <v>33.125</v>
      </c>
      <c r="Q109" s="25">
        <v>5.9290000000000003</v>
      </c>
      <c r="R109" s="67" t="str">
        <f t="shared" si="37"/>
        <v>YES</v>
      </c>
    </row>
    <row r="110" spans="1:18" ht="15.75" customHeight="1" thickBot="1">
      <c r="A110" s="81"/>
      <c r="B110" s="19" t="str">
        <f t="shared" si="38"/>
        <v>2F Beam 3-2</v>
      </c>
      <c r="C110" s="36">
        <f t="shared" si="28"/>
        <v>118.48320000000001</v>
      </c>
      <c r="D110" s="36">
        <v>200.738</v>
      </c>
      <c r="E110" s="56">
        <f t="shared" si="29"/>
        <v>308.8276923076923</v>
      </c>
      <c r="F110" s="56">
        <f t="shared" si="30"/>
        <v>190.34449230769229</v>
      </c>
      <c r="G110" s="25">
        <f t="shared" si="31"/>
        <v>459.99360000000001</v>
      </c>
      <c r="H110" s="70" t="str">
        <f t="shared" si="32"/>
        <v>YES</v>
      </c>
      <c r="J110" s="36">
        <f t="shared" si="33"/>
        <v>231.45746071802446</v>
      </c>
      <c r="K110" s="28">
        <f t="shared" si="34"/>
        <v>250</v>
      </c>
      <c r="L110" s="74">
        <f t="shared" si="39"/>
        <v>230</v>
      </c>
      <c r="M110" s="68" t="str">
        <f t="shared" si="35"/>
        <v>Stirrups spaced @ 230mm O.C</v>
      </c>
      <c r="O110" s="69">
        <v>7950</v>
      </c>
      <c r="P110" s="25">
        <f t="shared" si="36"/>
        <v>33.125</v>
      </c>
      <c r="Q110" s="25">
        <v>6.367</v>
      </c>
      <c r="R110" s="67" t="str">
        <f t="shared" si="37"/>
        <v>YES</v>
      </c>
    </row>
    <row r="111" spans="1:18" ht="15.75" customHeight="1" thickBot="1">
      <c r="A111" s="82"/>
      <c r="B111" s="19" t="str">
        <f t="shared" si="38"/>
        <v>RD Beam 6 - 2</v>
      </c>
      <c r="C111" s="36">
        <f t="shared" si="28"/>
        <v>107.10170000000001</v>
      </c>
      <c r="D111" s="25">
        <v>91.135000000000005</v>
      </c>
      <c r="E111" s="56">
        <f t="shared" si="29"/>
        <v>140.2076923076923</v>
      </c>
      <c r="F111" s="72">
        <f t="shared" si="30"/>
        <v>33.10599230769229</v>
      </c>
      <c r="G111" s="25">
        <f t="shared" si="31"/>
        <v>415.80660000000006</v>
      </c>
      <c r="H111" s="73" t="str">
        <f t="shared" si="32"/>
        <v>YES</v>
      </c>
      <c r="J111" s="36">
        <f t="shared" si="33"/>
        <v>1265.2451577797099</v>
      </c>
      <c r="K111" s="24">
        <f t="shared" si="34"/>
        <v>250</v>
      </c>
      <c r="L111" s="74">
        <f t="shared" si="39"/>
        <v>250</v>
      </c>
      <c r="M111" s="68" t="str">
        <f t="shared" si="35"/>
        <v>Stirrups spaced @ 250mm O.C</v>
      </c>
      <c r="O111" s="69">
        <v>7951</v>
      </c>
      <c r="P111" s="25">
        <f t="shared" si="36"/>
        <v>33.12916666666667</v>
      </c>
      <c r="Q111" s="25">
        <v>17.643000000000001</v>
      </c>
      <c r="R111" s="67" t="str">
        <f t="shared" si="37"/>
        <v>YES</v>
      </c>
    </row>
    <row r="112" spans="1:18" ht="15.75" customHeight="1" thickBot="1">
      <c r="A112" s="80" t="str">
        <f t="shared" ref="A112" si="42">A40</f>
        <v>Frame 4</v>
      </c>
      <c r="B112" s="19" t="str">
        <f t="shared" si="38"/>
        <v>GF Beam 1 - 2</v>
      </c>
      <c r="C112" s="36">
        <f t="shared" si="28"/>
        <v>106.25000000000001</v>
      </c>
      <c r="D112" s="36">
        <v>191.60900000000001</v>
      </c>
      <c r="E112" s="56">
        <f t="shared" si="29"/>
        <v>294.78307692307692</v>
      </c>
      <c r="F112" s="56">
        <f t="shared" si="30"/>
        <v>188.53307692307692</v>
      </c>
      <c r="G112" s="25">
        <f t="shared" si="31"/>
        <v>412.50000000000006</v>
      </c>
      <c r="H112" s="70" t="str">
        <f t="shared" si="32"/>
        <v>YES</v>
      </c>
      <c r="J112" s="36">
        <f t="shared" si="33"/>
        <v>221.28910152472736</v>
      </c>
      <c r="K112" s="28">
        <f t="shared" si="34"/>
        <v>250</v>
      </c>
      <c r="L112" s="74">
        <f t="shared" si="39"/>
        <v>220</v>
      </c>
      <c r="M112" s="68" t="str">
        <f t="shared" si="35"/>
        <v>Stirrups spaced @ 220mm O.C</v>
      </c>
      <c r="O112" s="24">
        <v>9945</v>
      </c>
      <c r="P112" s="25">
        <f t="shared" si="36"/>
        <v>41.4375</v>
      </c>
      <c r="Q112" s="25">
        <v>14.129</v>
      </c>
      <c r="R112" s="67" t="str">
        <f t="shared" si="37"/>
        <v>YES</v>
      </c>
    </row>
    <row r="113" spans="1:18" ht="15.75" customHeight="1" thickBot="1">
      <c r="A113" s="81"/>
      <c r="B113" s="19" t="str">
        <f t="shared" si="38"/>
        <v>1F Beam 2 - 2</v>
      </c>
      <c r="C113" s="36">
        <f t="shared" si="28"/>
        <v>120.28520000000002</v>
      </c>
      <c r="D113" s="36">
        <v>191.375</v>
      </c>
      <c r="E113" s="56">
        <f t="shared" si="29"/>
        <v>294.42307692307691</v>
      </c>
      <c r="F113" s="56">
        <f t="shared" si="30"/>
        <v>174.13787692307687</v>
      </c>
      <c r="G113" s="25">
        <f t="shared" si="31"/>
        <v>466.98960000000005</v>
      </c>
      <c r="H113" s="52" t="str">
        <f t="shared" si="32"/>
        <v>YES</v>
      </c>
      <c r="J113" s="36">
        <f t="shared" si="33"/>
        <v>254.91533580835423</v>
      </c>
      <c r="K113" s="28">
        <f t="shared" si="34"/>
        <v>250</v>
      </c>
      <c r="L113" s="74">
        <f t="shared" si="39"/>
        <v>250</v>
      </c>
      <c r="M113" s="68" t="str">
        <f t="shared" si="35"/>
        <v>Stirrups spaced @ 250mm O.C</v>
      </c>
      <c r="O113" s="24">
        <v>9945</v>
      </c>
      <c r="P113" s="25">
        <f t="shared" si="36"/>
        <v>41.4375</v>
      </c>
      <c r="Q113" s="25">
        <v>14.93</v>
      </c>
      <c r="R113" s="67" t="str">
        <f t="shared" si="37"/>
        <v>YES</v>
      </c>
    </row>
    <row r="114" spans="1:18" ht="15.75" customHeight="1" thickBot="1">
      <c r="A114" s="81"/>
      <c r="B114" s="19" t="str">
        <f t="shared" si="38"/>
        <v>2F Beam 3-2</v>
      </c>
      <c r="C114" s="36">
        <f t="shared" si="28"/>
        <v>120.28520000000002</v>
      </c>
      <c r="D114" s="36">
        <v>191.31800000000001</v>
      </c>
      <c r="E114" s="56">
        <f t="shared" si="29"/>
        <v>294.33538461538461</v>
      </c>
      <c r="F114" s="56">
        <f t="shared" si="30"/>
        <v>174.05018461538458</v>
      </c>
      <c r="G114" s="25">
        <f t="shared" si="31"/>
        <v>466.98960000000005</v>
      </c>
      <c r="H114" s="70" t="str">
        <f t="shared" si="32"/>
        <v>YES</v>
      </c>
      <c r="J114" s="36">
        <f t="shared" si="33"/>
        <v>255.04377068541334</v>
      </c>
      <c r="K114" s="28">
        <f t="shared" si="34"/>
        <v>250</v>
      </c>
      <c r="L114" s="74">
        <f t="shared" si="39"/>
        <v>250</v>
      </c>
      <c r="M114" s="68" t="str">
        <f t="shared" si="35"/>
        <v>Stirrups spaced @ 250mm O.C</v>
      </c>
      <c r="O114" s="24">
        <v>9945</v>
      </c>
      <c r="P114" s="25">
        <f t="shared" si="36"/>
        <v>41.4375</v>
      </c>
      <c r="Q114" s="25">
        <v>15.608000000000001</v>
      </c>
      <c r="R114" s="67" t="str">
        <f t="shared" si="37"/>
        <v>YES</v>
      </c>
    </row>
    <row r="115" spans="1:18" ht="15.75" customHeight="1" thickBot="1">
      <c r="A115" s="81"/>
      <c r="B115" s="19" t="str">
        <f t="shared" si="38"/>
        <v>3F Beam 4 - 2</v>
      </c>
      <c r="C115" s="36">
        <f t="shared" si="28"/>
        <v>120.28520000000002</v>
      </c>
      <c r="D115" s="36">
        <v>248.84700000000001</v>
      </c>
      <c r="E115" s="56">
        <f t="shared" si="29"/>
        <v>382.84153846153845</v>
      </c>
      <c r="F115" s="56">
        <f t="shared" si="30"/>
        <v>262.55633846153842</v>
      </c>
      <c r="G115" s="25">
        <f t="shared" si="31"/>
        <v>466.98960000000005</v>
      </c>
      <c r="H115" s="67" t="str">
        <f t="shared" si="32"/>
        <v>YES</v>
      </c>
      <c r="J115" s="36">
        <f t="shared" si="33"/>
        <v>169.07005800319956</v>
      </c>
      <c r="K115" s="28">
        <f t="shared" si="34"/>
        <v>250</v>
      </c>
      <c r="L115" s="74">
        <f t="shared" si="39"/>
        <v>165</v>
      </c>
      <c r="M115" s="68" t="str">
        <f t="shared" si="35"/>
        <v>Stirrups spaced @ 165mm O.C</v>
      </c>
      <c r="O115" s="24">
        <v>9945</v>
      </c>
      <c r="P115" s="25">
        <f t="shared" si="36"/>
        <v>41.4375</v>
      </c>
      <c r="Q115" s="25">
        <v>20.716999999999999</v>
      </c>
      <c r="R115" s="67" t="str">
        <f t="shared" si="37"/>
        <v>YES</v>
      </c>
    </row>
    <row r="116" spans="1:18" ht="15.75" customHeight="1" thickBot="1">
      <c r="A116" s="81"/>
      <c r="B116" s="19" t="str">
        <f t="shared" si="38"/>
        <v>4F Beam 5 - 2</v>
      </c>
      <c r="C116" s="36">
        <f t="shared" si="28"/>
        <v>145.94330000000002</v>
      </c>
      <c r="D116" s="36">
        <v>249.84700000000001</v>
      </c>
      <c r="E116" s="56">
        <f t="shared" si="29"/>
        <v>384.38</v>
      </c>
      <c r="F116" s="56">
        <f t="shared" si="30"/>
        <v>238.43669999999997</v>
      </c>
      <c r="G116" s="25">
        <f t="shared" si="31"/>
        <v>566.60340000000008</v>
      </c>
      <c r="H116" s="67" t="str">
        <f t="shared" si="32"/>
        <v>YES</v>
      </c>
      <c r="J116" s="36">
        <f t="shared" si="33"/>
        <v>205.06998047867631</v>
      </c>
      <c r="K116" s="28">
        <f t="shared" si="34"/>
        <v>250</v>
      </c>
      <c r="L116" s="74">
        <f t="shared" si="39"/>
        <v>205</v>
      </c>
      <c r="M116" s="68" t="str">
        <f t="shared" si="35"/>
        <v>Stirrups spaced @ 205mm O.C</v>
      </c>
      <c r="O116" s="24">
        <v>9946</v>
      </c>
      <c r="P116" s="25">
        <f t="shared" si="36"/>
        <v>41.44166666666667</v>
      </c>
      <c r="Q116" s="25">
        <v>21.716999999999999</v>
      </c>
      <c r="R116" s="67" t="str">
        <f t="shared" si="37"/>
        <v>YES</v>
      </c>
    </row>
    <row r="117" spans="1:18" ht="15.75" customHeight="1" thickBot="1">
      <c r="A117" s="81"/>
      <c r="B117" s="19" t="str">
        <f t="shared" si="38"/>
        <v>1F Beam 2 - 2</v>
      </c>
      <c r="C117" s="36">
        <f t="shared" si="28"/>
        <v>120.28520000000002</v>
      </c>
      <c r="D117" s="36">
        <v>191.375</v>
      </c>
      <c r="E117" s="56">
        <f t="shared" si="29"/>
        <v>294.42307692307691</v>
      </c>
      <c r="F117" s="56">
        <f t="shared" si="30"/>
        <v>174.13787692307687</v>
      </c>
      <c r="G117" s="25">
        <f t="shared" si="31"/>
        <v>466.98960000000005</v>
      </c>
      <c r="H117" s="52" t="str">
        <f t="shared" si="32"/>
        <v>YES</v>
      </c>
      <c r="J117" s="36">
        <f t="shared" si="33"/>
        <v>254.91533580835423</v>
      </c>
      <c r="K117" s="28">
        <f t="shared" si="34"/>
        <v>250</v>
      </c>
      <c r="L117" s="74">
        <f t="shared" si="39"/>
        <v>250</v>
      </c>
      <c r="M117" s="68" t="str">
        <f t="shared" si="35"/>
        <v>Stirrups spaced @ 250mm O.C</v>
      </c>
      <c r="O117" s="24">
        <v>9945</v>
      </c>
      <c r="P117" s="25">
        <f t="shared" si="36"/>
        <v>41.4375</v>
      </c>
      <c r="Q117" s="25">
        <v>14.93</v>
      </c>
      <c r="R117" s="67" t="str">
        <f t="shared" si="37"/>
        <v>YES</v>
      </c>
    </row>
    <row r="118" spans="1:18" ht="15.75" customHeight="1" thickBot="1">
      <c r="A118" s="81"/>
      <c r="B118" s="19" t="str">
        <f t="shared" si="38"/>
        <v>2F Beam 3-2</v>
      </c>
      <c r="C118" s="36">
        <f t="shared" si="28"/>
        <v>120.28520000000002</v>
      </c>
      <c r="D118" s="36">
        <v>191.31800000000001</v>
      </c>
      <c r="E118" s="56">
        <f t="shared" si="29"/>
        <v>294.33538461538461</v>
      </c>
      <c r="F118" s="56">
        <f t="shared" si="30"/>
        <v>174.05018461538458</v>
      </c>
      <c r="G118" s="25">
        <f t="shared" si="31"/>
        <v>466.98960000000005</v>
      </c>
      <c r="H118" s="70" t="str">
        <f t="shared" si="32"/>
        <v>YES</v>
      </c>
      <c r="J118" s="36">
        <f t="shared" si="33"/>
        <v>255.04377068541334</v>
      </c>
      <c r="K118" s="28">
        <f t="shared" si="34"/>
        <v>250</v>
      </c>
      <c r="L118" s="74">
        <f t="shared" si="39"/>
        <v>250</v>
      </c>
      <c r="M118" s="68" t="str">
        <f t="shared" si="35"/>
        <v>Stirrups spaced @ 250mm O.C</v>
      </c>
      <c r="O118" s="24">
        <v>9945</v>
      </c>
      <c r="P118" s="25">
        <f t="shared" si="36"/>
        <v>41.4375</v>
      </c>
      <c r="Q118" s="25">
        <v>15.608000000000001</v>
      </c>
      <c r="R118" s="67" t="str">
        <f t="shared" si="37"/>
        <v>YES</v>
      </c>
    </row>
    <row r="119" spans="1:18" ht="15.75" customHeight="1" thickBot="1">
      <c r="A119" s="82"/>
      <c r="B119" s="19" t="str">
        <f t="shared" si="38"/>
        <v>RD Beam 6 - 2</v>
      </c>
      <c r="C119" s="25">
        <f t="shared" si="28"/>
        <v>106.25000000000001</v>
      </c>
      <c r="D119" s="25">
        <v>152.989</v>
      </c>
      <c r="E119" s="25">
        <f t="shared" si="29"/>
        <v>235.36769230769229</v>
      </c>
      <c r="F119" s="72">
        <f t="shared" si="30"/>
        <v>129.11769230769227</v>
      </c>
      <c r="G119" s="25">
        <f t="shared" si="31"/>
        <v>412.50000000000006</v>
      </c>
      <c r="H119" s="73" t="str">
        <f t="shared" si="32"/>
        <v>YES</v>
      </c>
      <c r="J119" s="25">
        <f t="shared" si="33"/>
        <v>323.11850106938817</v>
      </c>
      <c r="K119" s="24">
        <f t="shared" si="34"/>
        <v>250</v>
      </c>
      <c r="L119" s="76">
        <f t="shared" si="39"/>
        <v>250</v>
      </c>
      <c r="M119" s="75" t="str">
        <f t="shared" si="35"/>
        <v>Stirrups spaced @ 250mm O.C</v>
      </c>
      <c r="O119" s="24">
        <v>9945</v>
      </c>
      <c r="P119" s="61">
        <f t="shared" si="36"/>
        <v>41.4375</v>
      </c>
      <c r="Q119" s="25">
        <v>14.66</v>
      </c>
      <c r="R119" s="67" t="str">
        <f t="shared" si="37"/>
        <v>YES</v>
      </c>
    </row>
    <row r="120" spans="1:18" ht="15.75" customHeight="1" thickBot="1"/>
    <row r="121" spans="1:18" ht="15.75" customHeight="1" thickBot="1">
      <c r="A121" s="92" t="s">
        <v>17</v>
      </c>
      <c r="B121" s="93"/>
      <c r="C121" s="83" t="s">
        <v>80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5"/>
    </row>
    <row r="122" spans="1:18" ht="15.75" customHeight="1">
      <c r="A122" s="94"/>
      <c r="B122" s="95"/>
      <c r="C122" s="86" t="s">
        <v>81</v>
      </c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8"/>
    </row>
    <row r="123" spans="1:18" ht="15.75" customHeight="1" thickBot="1">
      <c r="A123" s="96"/>
      <c r="B123" s="97"/>
      <c r="C123" s="89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1"/>
    </row>
    <row r="124" spans="1:18" ht="15.75" customHeight="1" thickBot="1">
      <c r="A124" s="80" t="str">
        <f>A16</f>
        <v>Frame 1</v>
      </c>
      <c r="B124" s="19" t="str">
        <f>B16</f>
        <v>GF Beam 1 - 2</v>
      </c>
      <c r="C124" s="77" t="str">
        <f xml:space="preserve"> _xlfn.CONCAT("For flexure, use ", R16, " - ",  $D$5, " mm ⌀ Bars. For shear and deflection, use ", $D$11, " mm ⌀ ", M88)</f>
        <v>For flexure, use 4 - 25 mm ⌀ Bars. For shear and deflection, use 16 mm ⌀ Stirrups spaced @ 250mm O.C</v>
      </c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9"/>
    </row>
    <row r="125" spans="1:18" ht="15.75" customHeight="1" thickBot="1">
      <c r="A125" s="81"/>
      <c r="B125" s="19" t="str">
        <f t="shared" ref="B125:B155" si="43">B17</f>
        <v>1F Beam 2 - 2</v>
      </c>
      <c r="C125" s="77" t="str">
        <f t="shared" ref="C125:C155" si="44" xml:space="preserve"> _xlfn.CONCAT("For flexure, use ", R17, " - ",  $D$5, " mm ⌀ Bars. For shear and deflection, use ", $D$11, " mm ⌀ ", M89)</f>
        <v>For flexure, use 4 - 25 mm ⌀ Bars. For shear and deflection, use 16 mm ⌀ Stirrups spaced @ 250mm O.C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9"/>
    </row>
    <row r="126" spans="1:18" ht="15.75" customHeight="1" thickBot="1">
      <c r="A126" s="81"/>
      <c r="B126" s="19" t="str">
        <f t="shared" si="43"/>
        <v>2F Beam 3-2</v>
      </c>
      <c r="C126" s="77" t="str">
        <f t="shared" si="44"/>
        <v>For flexure, use 4 - 25 mm ⌀ Bars. For shear and deflection, use 16 mm ⌀ Stirrups spaced @ 250mm O.C</v>
      </c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9"/>
    </row>
    <row r="127" spans="1:18" ht="15.75" customHeight="1" thickBot="1">
      <c r="A127" s="81"/>
      <c r="B127" s="19" t="str">
        <f t="shared" si="43"/>
        <v>3F Beam 4 - 2</v>
      </c>
      <c r="C127" s="77" t="str">
        <f t="shared" si="44"/>
        <v>For flexure, use 4 - 25 mm ⌀ Bars. For shear and deflection, use 16 mm ⌀ Stirrups spaced @ 250mm O.C</v>
      </c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9"/>
    </row>
    <row r="128" spans="1:18" ht="15.75" customHeight="1" thickBot="1">
      <c r="A128" s="81"/>
      <c r="B128" s="19" t="str">
        <f t="shared" si="43"/>
        <v>4F Beam 5 - 2</v>
      </c>
      <c r="C128" s="77" t="str">
        <f t="shared" si="44"/>
        <v>For flexure, use 4 - 25 mm ⌀ Bars. For shear and deflection, use 16 mm ⌀ Stirrups spaced @ 250mm O.C</v>
      </c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9"/>
    </row>
    <row r="129" spans="1:18" ht="15.75" customHeight="1" thickBot="1">
      <c r="A129" s="81"/>
      <c r="B129" s="19" t="str">
        <f t="shared" si="43"/>
        <v>1F Beam 2 - 2</v>
      </c>
      <c r="C129" s="77" t="str">
        <f t="shared" si="44"/>
        <v>For flexure, use 4 - 25 mm ⌀ Bars. For shear and deflection, use 16 mm ⌀ Stirrups spaced @ 250mm O.C</v>
      </c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9"/>
    </row>
    <row r="130" spans="1:18" ht="15.75" customHeight="1" thickBot="1">
      <c r="A130" s="81"/>
      <c r="B130" s="19" t="str">
        <f t="shared" si="43"/>
        <v>2F Beam 3-2</v>
      </c>
      <c r="C130" s="77" t="str">
        <f t="shared" si="44"/>
        <v>For flexure, use 4 - 25 mm ⌀ Bars. For shear and deflection, use 16 mm ⌀ Stirrups spaced @ 250mm O.C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9"/>
    </row>
    <row r="131" spans="1:18" ht="15.75" customHeight="1" thickBot="1">
      <c r="A131" s="82"/>
      <c r="B131" s="19" t="str">
        <f t="shared" si="43"/>
        <v>RD Beam 6 - 2</v>
      </c>
      <c r="C131" s="77" t="str">
        <f t="shared" si="44"/>
        <v>For flexure, use 4 - 25 mm ⌀ Bars. For shear and deflection, use 16 mm ⌀ Stirrups spaced @ 250mm O.C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9"/>
    </row>
    <row r="132" spans="1:18" ht="15.75" customHeight="1" thickBot="1">
      <c r="A132" s="80" t="str">
        <f t="shared" ref="A132" si="45">A24</f>
        <v>Frame 2</v>
      </c>
      <c r="B132" s="19" t="str">
        <f t="shared" si="43"/>
        <v>GF Beam 1 - 2</v>
      </c>
      <c r="C132" s="77" t="str">
        <f t="shared" si="44"/>
        <v>For flexure, use 4 - 25 mm ⌀ Bars. For shear and deflection, use 16 mm ⌀ Stirrups spaced @ 250mm O.C</v>
      </c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9"/>
    </row>
    <row r="133" spans="1:18" ht="15.75" customHeight="1" thickBot="1">
      <c r="A133" s="81"/>
      <c r="B133" s="19" t="str">
        <f t="shared" si="43"/>
        <v>1F Beam 2 - 2</v>
      </c>
      <c r="C133" s="77" t="str">
        <f t="shared" si="44"/>
        <v>For flexure, use 4 - 25 mm ⌀ Bars. For shear and deflection, use 16 mm ⌀ Stirrups spaced @ 250mm O.C</v>
      </c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9"/>
    </row>
    <row r="134" spans="1:18" ht="15.75" customHeight="1" thickBot="1">
      <c r="A134" s="81"/>
      <c r="B134" s="19" t="str">
        <f t="shared" si="43"/>
        <v>2F Beam 3-2</v>
      </c>
      <c r="C134" s="77" t="str">
        <f t="shared" si="44"/>
        <v>For flexure, use 4 - 25 mm ⌀ Bars. For shear and deflection, use 16 mm ⌀ Stirrups spaced @ 250mm O.C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9"/>
    </row>
    <row r="135" spans="1:18" ht="15.75" customHeight="1" thickBot="1">
      <c r="A135" s="81"/>
      <c r="B135" s="19" t="str">
        <f t="shared" si="43"/>
        <v>3F Beam 4 - 2</v>
      </c>
      <c r="C135" s="77" t="str">
        <f t="shared" si="44"/>
        <v>For flexure, use 4 - 25 mm ⌀ Bars. For shear and deflection, use 16 mm ⌀ Stirrups spaced @ 250mm O.C</v>
      </c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9"/>
    </row>
    <row r="136" spans="1:18" ht="15.75" customHeight="1" thickBot="1">
      <c r="A136" s="81"/>
      <c r="B136" s="19" t="str">
        <f t="shared" si="43"/>
        <v>4F Beam 5 - 2</v>
      </c>
      <c r="C136" s="77" t="str">
        <f t="shared" si="44"/>
        <v>For flexure, use 4 - 25 mm ⌀ Bars. For shear and deflection, use 16 mm ⌀ Stirrups spaced @ 250mm O.C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9"/>
    </row>
    <row r="137" spans="1:18" ht="15.75" customHeight="1" thickBot="1">
      <c r="A137" s="81"/>
      <c r="B137" s="19" t="str">
        <f t="shared" si="43"/>
        <v>1F Beam 2 - 2</v>
      </c>
      <c r="C137" s="77" t="str">
        <f t="shared" si="44"/>
        <v>For flexure, use 4 - 25 mm ⌀ Bars. For shear and deflection, use 16 mm ⌀ Stirrups spaced @ 250mm O.C</v>
      </c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9"/>
    </row>
    <row r="138" spans="1:18" ht="15.75" customHeight="1" thickBot="1">
      <c r="A138" s="81"/>
      <c r="B138" s="19" t="str">
        <f t="shared" si="43"/>
        <v>2F Beam 3-2</v>
      </c>
      <c r="C138" s="77" t="str">
        <f t="shared" si="44"/>
        <v>For flexure, use 4 - 25 mm ⌀ Bars. For shear and deflection, use 16 mm ⌀ Stirrups spaced @ 250mm O.C</v>
      </c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9"/>
    </row>
    <row r="139" spans="1:18" ht="15.75" customHeight="1" thickBot="1">
      <c r="A139" s="82"/>
      <c r="B139" s="19" t="str">
        <f t="shared" si="43"/>
        <v>RD Beam 6 - 2</v>
      </c>
      <c r="C139" s="77" t="str">
        <f t="shared" si="44"/>
        <v>For flexure, use 4 - 25 mm ⌀ Bars. For shear and deflection, use 16 mm ⌀ Stirrups spaced @ 250mm O.C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9"/>
    </row>
    <row r="140" spans="1:18" ht="15.75" customHeight="1" thickBot="1">
      <c r="A140" s="80" t="str">
        <f t="shared" ref="A140" si="46">A32</f>
        <v>Frame 3</v>
      </c>
      <c r="B140" s="19" t="str">
        <f t="shared" si="43"/>
        <v>GF Beam 1 - 2</v>
      </c>
      <c r="C140" s="77" t="str">
        <f t="shared" si="44"/>
        <v>For flexure, use 4 - 25 mm ⌀ Bars. For shear and deflection, use 16 mm ⌀ Stirrups spaced @ 240mm O.C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9"/>
    </row>
    <row r="141" spans="1:18" ht="15.75" customHeight="1" thickBot="1">
      <c r="A141" s="81"/>
      <c r="B141" s="19" t="str">
        <f t="shared" si="43"/>
        <v>1F Beam 2 - 2</v>
      </c>
      <c r="C141" s="77" t="str">
        <f t="shared" si="44"/>
        <v>For flexure, use 4 - 25 mm ⌀ Bars. For shear and deflection, use 16 mm ⌀ Stirrups spaced @ 225mm O.C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9"/>
    </row>
    <row r="142" spans="1:18" ht="15.75" customHeight="1" thickBot="1">
      <c r="A142" s="81"/>
      <c r="B142" s="19" t="str">
        <f t="shared" si="43"/>
        <v>2F Beam 3-2</v>
      </c>
      <c r="C142" s="77" t="str">
        <f t="shared" si="44"/>
        <v>For flexure, use 4 - 25 mm ⌀ Bars. For shear and deflection, use 16 mm ⌀ Stirrups spaced @ 230mm O.C</v>
      </c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9"/>
    </row>
    <row r="143" spans="1:18" ht="15.75" customHeight="1" thickBot="1">
      <c r="A143" s="81"/>
      <c r="B143" s="19" t="str">
        <f t="shared" si="43"/>
        <v>3F Beam 4 - 2</v>
      </c>
      <c r="C143" s="77" t="str">
        <f t="shared" si="44"/>
        <v>For flexure, use 4 - 25 mm ⌀ Bars. For shear and deflection, use 16 mm ⌀ Stirrups spaced @ 230mm O.C</v>
      </c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9"/>
    </row>
    <row r="144" spans="1:18" ht="15.75" customHeight="1" thickBot="1">
      <c r="A144" s="81"/>
      <c r="B144" s="19" t="str">
        <f t="shared" si="43"/>
        <v>4F Beam 5 - 2</v>
      </c>
      <c r="C144" s="77" t="str">
        <f t="shared" si="44"/>
        <v>For flexure, use 4 - 25 mm ⌀ Bars. For shear and deflection, use 16 mm ⌀ Stirrups spaced @ 250mm O.C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9"/>
    </row>
    <row r="145" spans="1:18" ht="15.75" customHeight="1" thickBot="1">
      <c r="A145" s="81"/>
      <c r="B145" s="19" t="str">
        <f t="shared" si="43"/>
        <v>1F Beam 2 - 2</v>
      </c>
      <c r="C145" s="77" t="str">
        <f t="shared" si="44"/>
        <v>For flexure, use 4 - 25 mm ⌀ Bars. For shear and deflection, use 16 mm ⌀ Stirrups spaced @ 225mm O.C</v>
      </c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9"/>
    </row>
    <row r="146" spans="1:18" ht="15.75" customHeight="1" thickBot="1">
      <c r="A146" s="81"/>
      <c r="B146" s="19" t="str">
        <f t="shared" si="43"/>
        <v>2F Beam 3-2</v>
      </c>
      <c r="C146" s="77" t="str">
        <f t="shared" si="44"/>
        <v>For flexure, use 4 - 25 mm ⌀ Bars. For shear and deflection, use 16 mm ⌀ Stirrups spaced @ 230mm O.C</v>
      </c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9"/>
    </row>
    <row r="147" spans="1:18" ht="15.75" customHeight="1" thickBot="1">
      <c r="A147" s="82"/>
      <c r="B147" s="19" t="str">
        <f t="shared" si="43"/>
        <v>RD Beam 6 - 2</v>
      </c>
      <c r="C147" s="77" t="str">
        <f t="shared" si="44"/>
        <v>For flexure, use 4 - 25 mm ⌀ Bars. For shear and deflection, use 16 mm ⌀ Stirrups spaced @ 250mm O.C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9"/>
    </row>
    <row r="148" spans="1:18" ht="15.75" customHeight="1" thickBot="1">
      <c r="A148" s="80" t="str">
        <f t="shared" ref="A148" si="47">A40</f>
        <v>Frame 4</v>
      </c>
      <c r="B148" s="19" t="str">
        <f t="shared" si="43"/>
        <v>GF Beam 1 - 2</v>
      </c>
      <c r="C148" s="77" t="str">
        <f t="shared" si="44"/>
        <v>For flexure, use 4 - 25 mm ⌀ Bars. For shear and deflection, use 16 mm ⌀ Stirrups spaced @ 220mm O.C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9"/>
    </row>
    <row r="149" spans="1:18" ht="15.75" customHeight="1" thickBot="1">
      <c r="A149" s="81"/>
      <c r="B149" s="19" t="str">
        <f t="shared" si="43"/>
        <v>1F Beam 2 - 2</v>
      </c>
      <c r="C149" s="77" t="str">
        <f t="shared" si="44"/>
        <v>For flexure, use 4 - 25 mm ⌀ Bars. For shear and deflection, use 16 mm ⌀ Stirrups spaced @ 250mm O.C</v>
      </c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9"/>
    </row>
    <row r="150" spans="1:18" ht="15.75" customHeight="1" thickBot="1">
      <c r="A150" s="81"/>
      <c r="B150" s="19" t="str">
        <f t="shared" si="43"/>
        <v>2F Beam 3-2</v>
      </c>
      <c r="C150" s="77" t="str">
        <f t="shared" si="44"/>
        <v>For flexure, use 4 - 25 mm ⌀ Bars. For shear and deflection, use 16 mm ⌀ Stirrups spaced @ 250mm O.C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9"/>
    </row>
    <row r="151" spans="1:18" ht="15.75" customHeight="1" thickBot="1">
      <c r="A151" s="81"/>
      <c r="B151" s="19" t="str">
        <f t="shared" si="43"/>
        <v>3F Beam 4 - 2</v>
      </c>
      <c r="C151" s="77" t="str">
        <f t="shared" si="44"/>
        <v>For flexure, use 4 - 25 mm ⌀ Bars. For shear and deflection, use 16 mm ⌀ Stirrups spaced @ 165mm O.C</v>
      </c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9"/>
    </row>
    <row r="152" spans="1:18" ht="15.75" customHeight="1" thickBot="1">
      <c r="A152" s="81"/>
      <c r="B152" s="19" t="str">
        <f t="shared" si="43"/>
        <v>4F Beam 5 - 2</v>
      </c>
      <c r="C152" s="77" t="str">
        <f t="shared" si="44"/>
        <v>For flexure, use 5 - 25 mm ⌀ Bars. For shear and deflection, use 16 mm ⌀ Stirrups spaced @ 205mm O.C</v>
      </c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9"/>
    </row>
    <row r="153" spans="1:18" ht="15.75" customHeight="1" thickBot="1">
      <c r="A153" s="81"/>
      <c r="B153" s="19" t="str">
        <f t="shared" si="43"/>
        <v>1F Beam 2 - 2</v>
      </c>
      <c r="C153" s="77" t="str">
        <f t="shared" si="44"/>
        <v>For flexure, use 4 - 25 mm ⌀ Bars. For shear and deflection, use 16 mm ⌀ Stirrups spaced @ 250mm O.C</v>
      </c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9"/>
    </row>
    <row r="154" spans="1:18" ht="15.75" customHeight="1" thickBot="1">
      <c r="A154" s="81"/>
      <c r="B154" s="19" t="str">
        <f t="shared" si="43"/>
        <v>2F Beam 3-2</v>
      </c>
      <c r="C154" s="77" t="str">
        <f t="shared" si="44"/>
        <v>For flexure, use 4 - 25 mm ⌀ Bars. For shear and deflection, use 16 mm ⌀ Stirrups spaced @ 250mm O.C</v>
      </c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9"/>
    </row>
    <row r="155" spans="1:18" ht="15.75" customHeight="1" thickBot="1">
      <c r="A155" s="82"/>
      <c r="B155" s="19" t="str">
        <f t="shared" si="43"/>
        <v>RD Beam 6 - 2</v>
      </c>
      <c r="C155" s="77" t="str">
        <f t="shared" si="44"/>
        <v>For flexure, use 4 - 25 mm ⌀ Bars. For shear and deflection, use 16 mm ⌀ Stirrups spaced @ 250mm O.C</v>
      </c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9"/>
    </row>
  </sheetData>
  <mergeCells count="99">
    <mergeCell ref="A1:B11"/>
    <mergeCell ref="C1:D1"/>
    <mergeCell ref="J1:L1"/>
    <mergeCell ref="J2:L2"/>
    <mergeCell ref="J3:L3"/>
    <mergeCell ref="J4:L4"/>
    <mergeCell ref="J5:L5"/>
    <mergeCell ref="P14:P15"/>
    <mergeCell ref="Q14:R14"/>
    <mergeCell ref="A16:A23"/>
    <mergeCell ref="A24:A31"/>
    <mergeCell ref="A32:A39"/>
    <mergeCell ref="H14:J14"/>
    <mergeCell ref="K14:K15"/>
    <mergeCell ref="L14:L15"/>
    <mergeCell ref="M14:M15"/>
    <mergeCell ref="N14:N15"/>
    <mergeCell ref="A13:B15"/>
    <mergeCell ref="D14:D15"/>
    <mergeCell ref="E14:E15"/>
    <mergeCell ref="F14:F15"/>
    <mergeCell ref="G14:G15"/>
    <mergeCell ref="A40:A47"/>
    <mergeCell ref="A49:B51"/>
    <mergeCell ref="C49:J49"/>
    <mergeCell ref="L49:O49"/>
    <mergeCell ref="C50:C51"/>
    <mergeCell ref="D50:D51"/>
    <mergeCell ref="E50:E51"/>
    <mergeCell ref="F50:F51"/>
    <mergeCell ref="G50:G51"/>
    <mergeCell ref="H50:H51"/>
    <mergeCell ref="I50:I51"/>
    <mergeCell ref="J50:J51"/>
    <mergeCell ref="N50:N51"/>
    <mergeCell ref="O50:O51"/>
    <mergeCell ref="A52:A59"/>
    <mergeCell ref="A60:A67"/>
    <mergeCell ref="A68:A75"/>
    <mergeCell ref="A76:A83"/>
    <mergeCell ref="A85:B87"/>
    <mergeCell ref="J85:M85"/>
    <mergeCell ref="C86:C87"/>
    <mergeCell ref="D86:D87"/>
    <mergeCell ref="E86:E87"/>
    <mergeCell ref="F86:F87"/>
    <mergeCell ref="G86:G87"/>
    <mergeCell ref="H86:H87"/>
    <mergeCell ref="J86:J87"/>
    <mergeCell ref="K86:K87"/>
    <mergeCell ref="L86:L87"/>
    <mergeCell ref="M86:M87"/>
    <mergeCell ref="O86:O87"/>
    <mergeCell ref="P86:P87"/>
    <mergeCell ref="Q86:Q87"/>
    <mergeCell ref="R86:R87"/>
    <mergeCell ref="A88:A95"/>
    <mergeCell ref="A124:A131"/>
    <mergeCell ref="A96:A103"/>
    <mergeCell ref="A104:A111"/>
    <mergeCell ref="A112:A119"/>
    <mergeCell ref="A121:B123"/>
    <mergeCell ref="A132:A139"/>
    <mergeCell ref="A140:A147"/>
    <mergeCell ref="A148:A155"/>
    <mergeCell ref="C121:R121"/>
    <mergeCell ref="C122:R123"/>
    <mergeCell ref="C124:R124"/>
    <mergeCell ref="C125:R125"/>
    <mergeCell ref="C126:R126"/>
    <mergeCell ref="C127:R127"/>
    <mergeCell ref="C128:R128"/>
    <mergeCell ref="C129:R129"/>
    <mergeCell ref="C130:R130"/>
    <mergeCell ref="C131:R131"/>
    <mergeCell ref="C132:R132"/>
    <mergeCell ref="C133:R133"/>
    <mergeCell ref="C134:R134"/>
    <mergeCell ref="C135:R135"/>
    <mergeCell ref="C136:R136"/>
    <mergeCell ref="C137:R137"/>
    <mergeCell ref="C138:R138"/>
    <mergeCell ref="C139:R139"/>
    <mergeCell ref="C140:R140"/>
    <mergeCell ref="C141:R141"/>
    <mergeCell ref="C142:R142"/>
    <mergeCell ref="C143:R143"/>
    <mergeCell ref="C144:R144"/>
    <mergeCell ref="C145:R145"/>
    <mergeCell ref="C146:R146"/>
    <mergeCell ref="C147:R147"/>
    <mergeCell ref="C148:R148"/>
    <mergeCell ref="C149:R149"/>
    <mergeCell ref="C155:R155"/>
    <mergeCell ref="C150:R150"/>
    <mergeCell ref="C151:R151"/>
    <mergeCell ref="C152:R152"/>
    <mergeCell ref="C153:R153"/>
    <mergeCell ref="C154:R1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6c1c6ec9f85d6f9e</cp:lastModifiedBy>
  <cp:revision>1</cp:revision>
  <dcterms:created xsi:type="dcterms:W3CDTF">2023-05-23T08:29:06Z</dcterms:created>
  <dcterms:modified xsi:type="dcterms:W3CDTF">2023-06-01T02:57:30Z</dcterms:modified>
  <cp:category/>
  <cp:contentStatus/>
</cp:coreProperties>
</file>