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20.xml" ContentType="application/vnd.openxmlformats-officedocument.spreadsheetml.tab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dcda\Documents\data analysis\Projects\Excel\"/>
    </mc:Choice>
  </mc:AlternateContent>
  <xr:revisionPtr revIDLastSave="0" documentId="13_ncr:1_{ACDBB4C4-551E-4FD7-A5A0-E777B6CA2A88}" xr6:coauthVersionLast="47" xr6:coauthVersionMax="47" xr10:uidLastSave="{00000000-0000-0000-0000-000000000000}"/>
  <bookViews>
    <workbookView xWindow="38280" yWindow="-120" windowWidth="29040" windowHeight="15720" firstSheet="5" activeTab="13" xr2:uid="{00000000-000D-0000-FFFF-FFFF00000000}"/>
  </bookViews>
  <sheets>
    <sheet name="Enter data" sheetId="3" r:id="rId1"/>
    <sheet name="January" sheetId="5" r:id="rId2"/>
    <sheet name="February" sheetId="13" r:id="rId3"/>
    <sheet name="March" sheetId="14" r:id="rId4"/>
    <sheet name="April" sheetId="15" r:id="rId5"/>
    <sheet name="May" sheetId="16" r:id="rId6"/>
    <sheet name="June" sheetId="17" r:id="rId7"/>
    <sheet name="July" sheetId="18" r:id="rId8"/>
    <sheet name="August" sheetId="19" r:id="rId9"/>
    <sheet name="September" sheetId="20" r:id="rId10"/>
    <sheet name="October" sheetId="21" r:id="rId11"/>
    <sheet name="November" sheetId="22" r:id="rId12"/>
    <sheet name="December" sheetId="23" r:id="rId13"/>
    <sheet name="General Overview" sheetId="6" r:id="rId14"/>
  </sheets>
  <definedNames>
    <definedName name="_xlchart.v1.0" hidden="1">January!$A$13:$A$20</definedName>
    <definedName name="_xlchart.v1.1" hidden="1">January!$A$13:$A$21</definedName>
    <definedName name="_xlchart.v1.10" hidden="1">February!$A$7:$A$9</definedName>
    <definedName name="_xlchart.v1.11" hidden="1">February!$B$7:$B$9</definedName>
    <definedName name="_xlchart.v1.12" hidden="1">February!$A$13:$A$20</definedName>
    <definedName name="_xlchart.v1.13" hidden="1">February!$B$13:$B$20</definedName>
    <definedName name="_xlchart.v1.14" hidden="1">March!$A$13:$A$20</definedName>
    <definedName name="_xlchart.v1.15" hidden="1">March!$B$13:$B$20</definedName>
    <definedName name="_xlchart.v1.16" hidden="1">March!$A$7:$A$9</definedName>
    <definedName name="_xlchart.v1.17" hidden="1">March!$B$7:$B$9</definedName>
    <definedName name="_xlchart.v1.18" hidden="1">April!$A$13:$A$20</definedName>
    <definedName name="_xlchart.v1.19" hidden="1">April!$B$13:$B$20</definedName>
    <definedName name="_xlchart.v1.2" hidden="1">January!$B$13:$B$20</definedName>
    <definedName name="_xlchart.v1.20" hidden="1">April!$A$7:$A$9</definedName>
    <definedName name="_xlchart.v1.21" hidden="1">April!$B$7:$B$9</definedName>
    <definedName name="_xlchart.v1.22" hidden="1">May!$A$7:$A$9</definedName>
    <definedName name="_xlchart.v1.23" hidden="1">May!$B$7:$B$9</definedName>
    <definedName name="_xlchart.v1.24" hidden="1">May!$A$13:$A$20</definedName>
    <definedName name="_xlchart.v1.25" hidden="1">May!$B$13:$B$20</definedName>
    <definedName name="_xlchart.v1.26" hidden="1">June!$A$7:$A$9</definedName>
    <definedName name="_xlchart.v1.27" hidden="1">June!$B$7:$B$9</definedName>
    <definedName name="_xlchart.v1.28" hidden="1">June!$A$13:$A$20</definedName>
    <definedName name="_xlchart.v1.29" hidden="1">June!$B$13:$B$20</definedName>
    <definedName name="_xlchart.v1.3" hidden="1">January!$B$13:$B$21</definedName>
    <definedName name="_xlchart.v1.30" hidden="1">July!$A$13:$A$20</definedName>
    <definedName name="_xlchart.v1.31" hidden="1">July!$B$13:$B$20</definedName>
    <definedName name="_xlchart.v1.32" hidden="1">July!$A$7:$A$9</definedName>
    <definedName name="_xlchart.v1.33" hidden="1">July!$B$7:$B$9</definedName>
    <definedName name="_xlchart.v1.34" hidden="1">August!$A$13:$A$20</definedName>
    <definedName name="_xlchart.v1.35" hidden="1">August!$B$13:$B$20</definedName>
    <definedName name="_xlchart.v1.36" hidden="1">August!$A$7:$A$9</definedName>
    <definedName name="_xlchart.v1.37" hidden="1">August!$B$7:$B$9</definedName>
    <definedName name="_xlchart.v1.38" hidden="1">September!$A$13:$A$20</definedName>
    <definedName name="_xlchart.v1.39" hidden="1">September!$B$13:$B$20</definedName>
    <definedName name="_xlchart.v1.4" hidden="1">January!$A$7:$A$9</definedName>
    <definedName name="_xlchart.v1.40" hidden="1">September!$A$7:$A$9</definedName>
    <definedName name="_xlchart.v1.41" hidden="1">September!$B$7:$B$9</definedName>
    <definedName name="_xlchart.v1.42" hidden="1">October!$A$7:$A$9</definedName>
    <definedName name="_xlchart.v1.43" hidden="1">October!$B$7:$B$9</definedName>
    <definedName name="_xlchart.v1.44" hidden="1">October!$A$13:$A$20</definedName>
    <definedName name="_xlchart.v1.45" hidden="1">October!$B$13:$B$20</definedName>
    <definedName name="_xlchart.v1.46" hidden="1">November!$A$13:$A$20</definedName>
    <definedName name="_xlchart.v1.47" hidden="1">November!$B$13:$B$20</definedName>
    <definedName name="_xlchart.v1.48" hidden="1">November!$A$7:$A$9</definedName>
    <definedName name="_xlchart.v1.49" hidden="1">November!$B$7:$B$9</definedName>
    <definedName name="_xlchart.v1.5" hidden="1">January!$B$7:$B$9</definedName>
    <definedName name="_xlchart.v1.50" hidden="1">December!$A$7:$A$9</definedName>
    <definedName name="_xlchart.v1.51" hidden="1">December!$B$7:$B$9</definedName>
    <definedName name="_xlchart.v1.52" hidden="1">December!$A$13:$A$20</definedName>
    <definedName name="_xlchart.v1.53" hidden="1">December!$B$13:$B$20</definedName>
    <definedName name="_xlchart.v1.6" hidden="1">January!$A$13:$A$20</definedName>
    <definedName name="_xlchart.v1.7" hidden="1">January!$A$13:$A$21</definedName>
    <definedName name="_xlchart.v1.8" hidden="1">January!$B$13:$B$20</definedName>
    <definedName name="_xlchart.v1.9" hidden="1">January!$B$13:$B$21</definedName>
    <definedName name="_xlcn.WorksheetConnection_Monthlybudget_TESTDATA.xlsxTable31" hidden="1">Table31[]</definedName>
    <definedName name="Bills_apr">'Enter data'!$F$31</definedName>
    <definedName name="Bills_Aug">'Enter data'!$J$31</definedName>
    <definedName name="Bills_dec">'Enter data'!$N$31</definedName>
    <definedName name="Bills_Feb">'Enter data'!$D$31</definedName>
    <definedName name="Bills_Jan">'Enter data'!$C$31</definedName>
    <definedName name="Bills_Jul">'Enter data'!$I$31</definedName>
    <definedName name="Bills_jun">'Enter data'!$H$31</definedName>
    <definedName name="Bills_mar">'Enter data'!$E$31</definedName>
    <definedName name="Bills_may">'Enter data'!$G$31</definedName>
    <definedName name="Bills_nov">'Enter data'!$M$31</definedName>
    <definedName name="Bills_oct">'Enter data'!$L$31</definedName>
    <definedName name="Bills_Sept">'Enter data'!$K$31</definedName>
    <definedName name="Bills_total">'Enter data'!$O$31</definedName>
    <definedName name="exp_apr">'Enter data'!$F$63</definedName>
    <definedName name="exp_aug">'Enter data'!$J$63</definedName>
    <definedName name="exp_dec">'Enter data'!$N$63</definedName>
    <definedName name="exp_feb">'Enter data'!$D$63</definedName>
    <definedName name="exp_jan">'Enter data'!$C$63</definedName>
    <definedName name="exp_jul">'Enter data'!$I$63</definedName>
    <definedName name="exp_jun">'Enter data'!$H$63</definedName>
    <definedName name="exp_mar">'Enter data'!$E$63</definedName>
    <definedName name="exp_may">'Enter data'!$G$63</definedName>
    <definedName name="exp_nov">'Enter data'!$M$63</definedName>
    <definedName name="exp_oct">'Enter data'!$L$63</definedName>
    <definedName name="exp_sept">'Enter data'!$K$63</definedName>
    <definedName name="exp_total">'Enter data'!$O$63</definedName>
    <definedName name="Food_Apr">'Enter data'!$F$18</definedName>
    <definedName name="Food_Aug">'Enter data'!$J$18</definedName>
    <definedName name="Food_dec">'Enter data'!$N$18</definedName>
    <definedName name="Food_Feb">'Enter data'!$D$18</definedName>
    <definedName name="Food_Jan">'Enter data'!$C$18</definedName>
    <definedName name="Food_Jul">'Enter data'!$I$18</definedName>
    <definedName name="Food_Jun">'Enter data'!$H$18</definedName>
    <definedName name="Food_Mar">'Enter data'!$E$18</definedName>
    <definedName name="Food_May">'Enter data'!$G$18</definedName>
    <definedName name="Food_nov">'Enter data'!$M$18</definedName>
    <definedName name="Food_Oct">'Enter data'!$L$18</definedName>
    <definedName name="Food_Sept">'Enter data'!$K$18</definedName>
    <definedName name="food_total">'Enter data'!$O$18</definedName>
    <definedName name="inc_apr">'Enter data'!$F$5</definedName>
    <definedName name="inc_aug">'Enter data'!$J$5</definedName>
    <definedName name="inc_dec">'Enter data'!$N$5</definedName>
    <definedName name="inc_feb">'Enter data'!$D$5</definedName>
    <definedName name="inc_jan">'Enter data'!$C$5</definedName>
    <definedName name="inc_jul">'Enter data'!$I$5</definedName>
    <definedName name="inc_jun">'Enter data'!$H$5</definedName>
    <definedName name="inc_mar">'Enter data'!$E$5</definedName>
    <definedName name="inc_may">'Enter data'!$G$5</definedName>
    <definedName name="inc_nov">'Enter data'!$M$5</definedName>
    <definedName name="inc_oct">'Enter data'!$L$5</definedName>
    <definedName name="inc_sept">'Enter data'!$K$5</definedName>
    <definedName name="inc_total">'Enter data'!$O$5</definedName>
    <definedName name="pers_apr">'Enter data'!$F$20</definedName>
    <definedName name="pers_aug">'Enter data'!$J$20</definedName>
    <definedName name="pers_dec">'Enter data'!$N$20</definedName>
    <definedName name="pers_feb">'Enter data'!$D$20</definedName>
    <definedName name="pers_jan">'Enter data'!$C$20</definedName>
    <definedName name="pers_jul">'Enter data'!$I$20</definedName>
    <definedName name="pers_jun">'Enter data'!$H$20</definedName>
    <definedName name="pers_mar">'Enter data'!$E$20</definedName>
    <definedName name="pers_may">'Enter data'!$G$20</definedName>
    <definedName name="pers_nov">'Enter data'!$M$20</definedName>
    <definedName name="pers_oct">'Enter data'!$L$20</definedName>
    <definedName name="pers_sept">'Enter data'!$K$20</definedName>
    <definedName name="pers_total">'Enter data'!$O$20</definedName>
    <definedName name="pet_apr">'Enter data'!$F$19</definedName>
    <definedName name="pet_aug">'Enter data'!$J$19</definedName>
    <definedName name="pet_dec">'Enter data'!$N$19</definedName>
    <definedName name="pet_feb">'Enter data'!$D$19</definedName>
    <definedName name="pet_jan">'Enter data'!$C$19</definedName>
    <definedName name="pet_jul">'Enter data'!$I$19</definedName>
    <definedName name="pet_jun">'Enter data'!$H$19</definedName>
    <definedName name="pet_mar">'Enter data'!$E$19</definedName>
    <definedName name="pet_may">'Enter data'!$G$19</definedName>
    <definedName name="pet_nov">'Enter data'!$M$19</definedName>
    <definedName name="pet_oct">'Enter data'!$L$19</definedName>
    <definedName name="pet_sept">'Enter data'!$K$19</definedName>
    <definedName name="pet_total">'Enter data'!$O$19</definedName>
    <definedName name="Rent_Apr">'Enter data'!$F$17</definedName>
    <definedName name="Rent_Aug">'Enter data'!$J$17</definedName>
    <definedName name="Rent_dec">'Enter data'!$N$17</definedName>
    <definedName name="Rent_Feb">'Enter data'!$D$17</definedName>
    <definedName name="Rent_jan">'Enter data'!$C$17</definedName>
    <definedName name="Rent_Jul">'Enter data'!$I$17</definedName>
    <definedName name="Rent_Jun">'Enter data'!$H$17</definedName>
    <definedName name="Rent_Mar">'Enter data'!$E$17</definedName>
    <definedName name="Rent_May">'Enter data'!$G$17</definedName>
    <definedName name="Rent_nov">'Enter data'!$M$17</definedName>
    <definedName name="Rent_oct">'Enter data'!$L$17</definedName>
    <definedName name="Rent_sept">'Enter data'!$K$17</definedName>
    <definedName name="Rent_total">'Enter data'!$O$17</definedName>
    <definedName name="sav_apr">'Enter data'!$F$13</definedName>
    <definedName name="sav_aug">'Enter data'!$J$13</definedName>
    <definedName name="sav_dec">'Enter data'!$N$13</definedName>
    <definedName name="sav_feb">'Enter data'!$D$13</definedName>
    <definedName name="sav_jan">'Enter data'!$C$13</definedName>
    <definedName name="sav_jul">'Enter data'!$I$13</definedName>
    <definedName name="sav_jun">'Enter data'!$H$13</definedName>
    <definedName name="sav_mar">'Enter data'!$E$13</definedName>
    <definedName name="sav_may">'Enter data'!$G$13</definedName>
    <definedName name="sav_nov">'Enter data'!$M$13</definedName>
    <definedName name="sav_oct">'Enter data'!$L$13</definedName>
    <definedName name="sav_sept">'Enter data'!$K$13</definedName>
    <definedName name="sav_total">'Enter data'!$O$13</definedName>
    <definedName name="subs_apr">'Enter data'!$F$39</definedName>
    <definedName name="subs_aug">'Enter data'!$J$39</definedName>
    <definedName name="subs_dec">'Enter data'!$N$39</definedName>
    <definedName name="subs_feb">'Enter data'!$D$39</definedName>
    <definedName name="subs_jan">'Enter data'!$C$39</definedName>
    <definedName name="subs_jul">'Enter data'!$I$39</definedName>
    <definedName name="subs_jun">'Enter data'!$H$39</definedName>
    <definedName name="subs_mar">'Enter data'!$E$39</definedName>
    <definedName name="subs_may">'Enter data'!$G$39</definedName>
    <definedName name="subs_nov">'Enter data'!$M$39</definedName>
    <definedName name="subs_oct">'Enter data'!$L$39</definedName>
    <definedName name="subs_sept">'Enter data'!$K$39</definedName>
    <definedName name="subs_total">'Enter data'!$O$39</definedName>
    <definedName name="transp_apr">'Enter data'!$F$50</definedName>
    <definedName name="transp_aug">'Enter data'!$J$50</definedName>
    <definedName name="transp_dec">'Enter data'!$N$50</definedName>
    <definedName name="transp_feb">'Enter data'!$D$50</definedName>
    <definedName name="transp_jan">'Enter data'!$C$50</definedName>
    <definedName name="transp_jul">'Enter data'!$I$50</definedName>
    <definedName name="transp_jun">'Enter data'!$H$50</definedName>
    <definedName name="transp_mar">'Enter data'!$E$50</definedName>
    <definedName name="transp_may">'Enter data'!$G$50</definedName>
    <definedName name="transp_nov">'Enter data'!$M$50</definedName>
    <definedName name="transp_oct">'Enter data'!$L$50</definedName>
    <definedName name="transp_sept">'Enter data'!$K$50</definedName>
    <definedName name="transp_total">'Enter data'!$O$50</definedName>
    <definedName name="want_apr">'Enter data'!$F$59</definedName>
    <definedName name="want_aug">'Enter data'!$J$59</definedName>
    <definedName name="want_dec">'Enter data'!$N$59</definedName>
    <definedName name="want_feb">'Enter data'!$D$59</definedName>
    <definedName name="want_jan">'Enter data'!$C$59</definedName>
    <definedName name="want_jul">'Enter data'!$I$59</definedName>
    <definedName name="want_jun">'Enter data'!$H$59</definedName>
    <definedName name="want_mar">'Enter data'!$E$59</definedName>
    <definedName name="want_may">'Enter data'!$G$59</definedName>
    <definedName name="want_nov">'Enter data'!$M$59</definedName>
    <definedName name="want_oct">'Enter data'!$L$59</definedName>
    <definedName name="want_sept">'Enter data'!$K$59</definedName>
    <definedName name="want_total">'Enter data'!$O$59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1" name="Table31" connection="WorksheetConnection_Monthly budget_TEST DATA.xlsx!Table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C14" i="6"/>
  <c r="C13" i="6"/>
  <c r="E12" i="6"/>
  <c r="C12" i="6"/>
  <c r="E9" i="6"/>
  <c r="E8" i="6"/>
  <c r="E7" i="6"/>
  <c r="C7" i="6"/>
  <c r="E5" i="3"/>
  <c r="B6" i="14" s="1"/>
  <c r="B18" i="23"/>
  <c r="B17" i="23"/>
  <c r="B16" i="23"/>
  <c r="B15" i="23"/>
  <c r="B14" i="23"/>
  <c r="B13" i="23"/>
  <c r="B6" i="23"/>
  <c r="B16" i="22"/>
  <c r="B15" i="22"/>
  <c r="B14" i="22"/>
  <c r="B13" i="22"/>
  <c r="B19" i="21"/>
  <c r="B18" i="21"/>
  <c r="B16" i="21"/>
  <c r="B15" i="21"/>
  <c r="B14" i="21"/>
  <c r="B13" i="21"/>
  <c r="B20" i="20"/>
  <c r="B19" i="20"/>
  <c r="B16" i="20"/>
  <c r="B15" i="20"/>
  <c r="B14" i="20"/>
  <c r="B13" i="20"/>
  <c r="B18" i="19"/>
  <c r="B16" i="19"/>
  <c r="B15" i="19"/>
  <c r="B14" i="19"/>
  <c r="B13" i="19"/>
  <c r="B6" i="19"/>
  <c r="B20" i="18"/>
  <c r="B19" i="18"/>
  <c r="B16" i="18"/>
  <c r="B15" i="18"/>
  <c r="B14" i="18"/>
  <c r="B13" i="18"/>
  <c r="B16" i="17"/>
  <c r="B15" i="17"/>
  <c r="B14" i="17"/>
  <c r="B13" i="17"/>
  <c r="B19" i="16"/>
  <c r="B16" i="16"/>
  <c r="B15" i="16"/>
  <c r="B14" i="16"/>
  <c r="B13" i="16"/>
  <c r="B19" i="15"/>
  <c r="B16" i="15"/>
  <c r="B15" i="15"/>
  <c r="B14" i="15"/>
  <c r="B13" i="15"/>
  <c r="B17" i="14"/>
  <c r="B16" i="14"/>
  <c r="B15" i="14"/>
  <c r="B14" i="14"/>
  <c r="B13" i="14"/>
  <c r="B7" i="14"/>
  <c r="K21" i="5"/>
  <c r="B16" i="13"/>
  <c r="B15" i="13"/>
  <c r="B14" i="13"/>
  <c r="B13" i="13"/>
  <c r="N63" i="3"/>
  <c r="D18" i="6" s="1"/>
  <c r="K63" i="3"/>
  <c r="B21" i="20" s="1"/>
  <c r="G63" i="3"/>
  <c r="B21" i="16" s="1"/>
  <c r="B17" i="5"/>
  <c r="B16" i="5"/>
  <c r="B15" i="5"/>
  <c r="B14" i="5"/>
  <c r="B13" i="5"/>
  <c r="B7" i="5"/>
  <c r="B6" i="5"/>
  <c r="O10" i="3"/>
  <c r="O11" i="3"/>
  <c r="O12" i="3"/>
  <c r="O9" i="3"/>
  <c r="D13" i="3"/>
  <c r="B7" i="13" s="1"/>
  <c r="E13" i="3"/>
  <c r="F13" i="3"/>
  <c r="B7" i="15" s="1"/>
  <c r="G13" i="3"/>
  <c r="B7" i="16" s="1"/>
  <c r="H13" i="3"/>
  <c r="B7" i="17" s="1"/>
  <c r="I13" i="3"/>
  <c r="B7" i="18" s="1"/>
  <c r="J13" i="3"/>
  <c r="B7" i="19" s="1"/>
  <c r="K13" i="3"/>
  <c r="E15" i="6" s="1"/>
  <c r="L13" i="3"/>
  <c r="E16" i="6" s="1"/>
  <c r="M13" i="3"/>
  <c r="E17" i="6" s="1"/>
  <c r="N13" i="3"/>
  <c r="E18" i="6" s="1"/>
  <c r="C13" i="3"/>
  <c r="D59" i="3"/>
  <c r="B20" i="13" s="1"/>
  <c r="E59" i="3"/>
  <c r="B20" i="14" s="1"/>
  <c r="F59" i="3"/>
  <c r="B20" i="15" s="1"/>
  <c r="G59" i="3"/>
  <c r="B20" i="16" s="1"/>
  <c r="H59" i="3"/>
  <c r="B20" i="17" s="1"/>
  <c r="I59" i="3"/>
  <c r="J59" i="3"/>
  <c r="B20" i="19" s="1"/>
  <c r="K59" i="3"/>
  <c r="L59" i="3"/>
  <c r="B20" i="21" s="1"/>
  <c r="M59" i="3"/>
  <c r="B20" i="22" s="1"/>
  <c r="N59" i="3"/>
  <c r="B20" i="23" s="1"/>
  <c r="C59" i="3"/>
  <c r="B20" i="5" s="1"/>
  <c r="O54" i="3"/>
  <c r="O57" i="3"/>
  <c r="O28" i="3"/>
  <c r="O29" i="3"/>
  <c r="I5" i="3"/>
  <c r="B6" i="18" s="1"/>
  <c r="O3" i="3"/>
  <c r="O4" i="3"/>
  <c r="D5" i="3"/>
  <c r="C8" i="6" s="1"/>
  <c r="F5" i="3"/>
  <c r="H5" i="3"/>
  <c r="B6" i="17" s="1"/>
  <c r="J5" i="3"/>
  <c r="K5" i="3"/>
  <c r="C15" i="6" s="1"/>
  <c r="L5" i="3"/>
  <c r="B6" i="21" s="1"/>
  <c r="M5" i="3"/>
  <c r="C17" i="6" s="1"/>
  <c r="N5" i="3"/>
  <c r="C18" i="6" s="1"/>
  <c r="C5" i="3"/>
  <c r="O56" i="3"/>
  <c r="O58" i="3"/>
  <c r="O55" i="3"/>
  <c r="O20" i="3"/>
  <c r="O18" i="3"/>
  <c r="O19" i="3"/>
  <c r="O17" i="3"/>
  <c r="O44" i="3"/>
  <c r="O45" i="3"/>
  <c r="O46" i="3"/>
  <c r="O47" i="3"/>
  <c r="O48" i="3"/>
  <c r="O49" i="3"/>
  <c r="O43" i="3"/>
  <c r="D50" i="3"/>
  <c r="B19" i="13" s="1"/>
  <c r="E50" i="3"/>
  <c r="B19" i="14" s="1"/>
  <c r="F50" i="3"/>
  <c r="G50" i="3"/>
  <c r="H50" i="3"/>
  <c r="B19" i="17" s="1"/>
  <c r="I50" i="3"/>
  <c r="J50" i="3"/>
  <c r="K50" i="3"/>
  <c r="L50" i="3"/>
  <c r="M50" i="3"/>
  <c r="B19" i="22" s="1"/>
  <c r="N50" i="3"/>
  <c r="B19" i="23" s="1"/>
  <c r="C50" i="3"/>
  <c r="B19" i="5" s="1"/>
  <c r="O25" i="3"/>
  <c r="O36" i="3"/>
  <c r="O37" i="3"/>
  <c r="O38" i="3"/>
  <c r="O35" i="3"/>
  <c r="D39" i="3"/>
  <c r="B18" i="13" s="1"/>
  <c r="E39" i="3"/>
  <c r="B18" i="14" s="1"/>
  <c r="F39" i="3"/>
  <c r="F63" i="3" s="1"/>
  <c r="G39" i="3"/>
  <c r="B18" i="16" s="1"/>
  <c r="H39" i="3"/>
  <c r="B18" i="17" s="1"/>
  <c r="I39" i="3"/>
  <c r="B18" i="18" s="1"/>
  <c r="J39" i="3"/>
  <c r="K39" i="3"/>
  <c r="B18" i="20" s="1"/>
  <c r="L39" i="3"/>
  <c r="M39" i="3"/>
  <c r="B18" i="22" s="1"/>
  <c r="N39" i="3"/>
  <c r="C39" i="3"/>
  <c r="B18" i="5" s="1"/>
  <c r="O26" i="3"/>
  <c r="O27" i="3"/>
  <c r="O30" i="3"/>
  <c r="O24" i="3"/>
  <c r="D31" i="3"/>
  <c r="D63" i="3" s="1"/>
  <c r="B21" i="13" s="1"/>
  <c r="E31" i="3"/>
  <c r="F31" i="3"/>
  <c r="B17" i="15" s="1"/>
  <c r="G31" i="3"/>
  <c r="B17" i="16" s="1"/>
  <c r="H31" i="3"/>
  <c r="B17" i="17" s="1"/>
  <c r="I31" i="3"/>
  <c r="J31" i="3"/>
  <c r="B17" i="19" s="1"/>
  <c r="K31" i="3"/>
  <c r="B17" i="20" s="1"/>
  <c r="L31" i="3"/>
  <c r="B17" i="21" s="1"/>
  <c r="M31" i="3"/>
  <c r="M63" i="3" s="1"/>
  <c r="D17" i="6" s="1"/>
  <c r="N31" i="3"/>
  <c r="C31" i="3"/>
  <c r="J63" i="3" l="1"/>
  <c r="D14" i="6" s="1"/>
  <c r="I63" i="3"/>
  <c r="B21" i="18" s="1"/>
  <c r="B19" i="19"/>
  <c r="B17" i="18"/>
  <c r="B17" i="22"/>
  <c r="H63" i="3"/>
  <c r="B21" i="17" s="1"/>
  <c r="L63" i="3"/>
  <c r="D16" i="6" s="1"/>
  <c r="D15" i="6"/>
  <c r="B7" i="23"/>
  <c r="B7" i="21"/>
  <c r="E11" i="6"/>
  <c r="E13" i="6"/>
  <c r="B7" i="20"/>
  <c r="B9" i="20" s="1"/>
  <c r="K21" i="20" s="1"/>
  <c r="E14" i="6"/>
  <c r="B7" i="22"/>
  <c r="B6" i="20"/>
  <c r="B6" i="22"/>
  <c r="B9" i="22" s="1"/>
  <c r="C16" i="6"/>
  <c r="B21" i="23"/>
  <c r="B8" i="23"/>
  <c r="D11" i="6"/>
  <c r="G5" i="3"/>
  <c r="E10" i="6"/>
  <c r="H9" i="6" s="1"/>
  <c r="C10" i="6"/>
  <c r="B6" i="15"/>
  <c r="C9" i="6"/>
  <c r="B8" i="15"/>
  <c r="B9" i="15" s="1"/>
  <c r="K21" i="15" s="1"/>
  <c r="D10" i="6"/>
  <c r="E63" i="3"/>
  <c r="B21" i="14" s="1"/>
  <c r="B18" i="15"/>
  <c r="B17" i="13"/>
  <c r="D8" i="6"/>
  <c r="O13" i="3"/>
  <c r="B6" i="13"/>
  <c r="B21" i="22"/>
  <c r="B8" i="22"/>
  <c r="B8" i="20"/>
  <c r="B21" i="15"/>
  <c r="B8" i="16"/>
  <c r="B8" i="13"/>
  <c r="C63" i="3"/>
  <c r="O59" i="3"/>
  <c r="O5" i="3"/>
  <c r="O50" i="3"/>
  <c r="O39" i="3"/>
  <c r="O31" i="3"/>
  <c r="B9" i="23" l="1"/>
  <c r="K21" i="23" s="1"/>
  <c r="K21" i="22"/>
  <c r="B8" i="19"/>
  <c r="B9" i="19" s="1"/>
  <c r="K21" i="19" s="1"/>
  <c r="B21" i="19"/>
  <c r="B8" i="18"/>
  <c r="B9" i="18" s="1"/>
  <c r="K21" i="18" s="1"/>
  <c r="D13" i="6"/>
  <c r="B8" i="17"/>
  <c r="B9" i="17" s="1"/>
  <c r="K21" i="17" s="1"/>
  <c r="B21" i="21"/>
  <c r="B8" i="21"/>
  <c r="B9" i="21" s="1"/>
  <c r="K21" i="21" s="1"/>
  <c r="D12" i="6"/>
  <c r="C11" i="6"/>
  <c r="H7" i="6" s="1"/>
  <c r="B6" i="16"/>
  <c r="B9" i="16" s="1"/>
  <c r="K21" i="16" s="1"/>
  <c r="B8" i="14"/>
  <c r="B9" i="14" s="1"/>
  <c r="K21" i="14" s="1"/>
  <c r="D9" i="6"/>
  <c r="O63" i="3"/>
  <c r="D7" i="6"/>
  <c r="H8" i="6" s="1"/>
  <c r="B8" i="5"/>
  <c r="B9" i="5" s="1"/>
  <c r="B21" i="5"/>
  <c r="B9" i="13"/>
  <c r="K21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A4989-FCB1-4296-808A-65E5BCAA30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D6648C-4B31-4551-8CEA-1D76D6A52FCA}" name="WorksheetConnection_Monthly budget_TEST DATA.xlsx!Table31" type="102" refreshedVersion="8" minRefreshableVersion="5">
    <extLst>
      <ext xmlns:x15="http://schemas.microsoft.com/office/spreadsheetml/2010/11/main" uri="{DE250136-89BD-433C-8126-D09CA5730AF9}">
        <x15:connection id="Table31">
          <x15:rangePr sourceName="_xlcn.WorksheetConnection_Monthlybudget_TESTDATA.xlsxTable31"/>
        </x15:connection>
      </ext>
    </extLst>
  </connection>
</connections>
</file>

<file path=xl/sharedStrings.xml><?xml version="1.0" encoding="utf-8"?>
<sst xmlns="http://schemas.openxmlformats.org/spreadsheetml/2006/main" count="338" uniqueCount="74">
  <si>
    <t>Income</t>
  </si>
  <si>
    <t>Expenses</t>
  </si>
  <si>
    <t>Other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</si>
  <si>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</si>
  <si>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</si>
  <si>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</si>
  <si>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</si>
  <si>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</si>
  <si>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</si>
  <si>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</si>
  <si>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</si>
  <si>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</si>
  <si>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</si>
  <si>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</si>
  <si>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</si>
  <si>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Savings</t>
  </si>
  <si>
    <t>Rent</t>
  </si>
  <si>
    <t>Bills</t>
  </si>
  <si>
    <t>Transport</t>
  </si>
  <si>
    <t>Pet</t>
  </si>
  <si>
    <t>Food</t>
  </si>
  <si>
    <t>Personal</t>
  </si>
  <si>
    <t>Eating Out</t>
  </si>
  <si>
    <t>Gifts</t>
  </si>
  <si>
    <t>Subscriptions</t>
  </si>
  <si>
    <t>Fun</t>
  </si>
  <si>
    <t>Credit Card</t>
  </si>
  <si>
    <t>Unplanned</t>
  </si>
  <si>
    <t>Total</t>
  </si>
  <si>
    <t>Council tax</t>
  </si>
  <si>
    <t>Electricity</t>
  </si>
  <si>
    <t>Water</t>
  </si>
  <si>
    <t>Internet</t>
  </si>
  <si>
    <t>Phone</t>
  </si>
  <si>
    <t>Netflix</t>
  </si>
  <si>
    <t>Amazon</t>
  </si>
  <si>
    <t>Disney</t>
  </si>
  <si>
    <t>Spotify</t>
  </si>
  <si>
    <t>Fuel</t>
  </si>
  <si>
    <t>Road tax</t>
  </si>
  <si>
    <t>Breakdown cover</t>
  </si>
  <si>
    <t>Insurance</t>
  </si>
  <si>
    <t>Train</t>
  </si>
  <si>
    <t>Bus</t>
  </si>
  <si>
    <t>Essentials</t>
  </si>
  <si>
    <t>Paycheck 1</t>
  </si>
  <si>
    <t>Paycheck 2</t>
  </si>
  <si>
    <t>Finance Plan</t>
  </si>
  <si>
    <t>Travel</t>
  </si>
  <si>
    <t>For the soul</t>
  </si>
  <si>
    <t>Emergency fund</t>
  </si>
  <si>
    <t>Sav account</t>
  </si>
  <si>
    <t>Investment</t>
  </si>
  <si>
    <t>Total expenses</t>
  </si>
  <si>
    <t>End Balance</t>
  </si>
  <si>
    <t>MONTH</t>
  </si>
  <si>
    <t>INCOME</t>
  </si>
  <si>
    <t>EXPENSES</t>
  </si>
  <si>
    <t>SAVINGS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</si>
  <si>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</si>
  <si>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</si>
  <si>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</si>
  <si>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</si>
  <si>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</si>
  <si>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</si>
  <si>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</si>
  <si>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</si>
  <si>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</si>
  <si>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</si>
  <si>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</si>
  <si>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</si>
  <si>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You saved the most in</t>
  </si>
  <si>
    <t>You spent the most in</t>
  </si>
  <si>
    <t>You eaned the most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</si>
</sst>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5" formatCode="&quot;£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0" fillId="3" borderId="0" xfId="0" applyFill="1"/>
    <xf numFmtId="0" fontId="6" fillId="2" borderId="0" xfId="0" applyFont="1" applyFill="1"/>
    <xf numFmtId="0" fontId="6" fillId="3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</cellXfs>
  <cellStyles count="2">
    <cellStyle name="Currency" xfId="1" builtinId="4"/>
    <cellStyle name="Normal" xfId="0" builtinId="0"/>
  </cellStyles>
  <dxfs count="211"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</a:t>
            </a:r>
            <a:r>
              <a:rPr lang="en-GB" baseline="0"/>
              <a:t> - Expenses Distribution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2468615560985908"/>
          <c:y val="1.8454440599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'General Overview'!$C$6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Overview'!$C$7:$C$18</c:f>
              <c:numCache>
                <c:formatCode>General</c:formatCode>
                <c:ptCount val="12"/>
                <c:pt idx="0">
                  <c:v>2500</c:v>
                </c:pt>
                <c:pt idx="1">
                  <c:v>2000</c:v>
                </c:pt>
                <c:pt idx="2">
                  <c:v>2800</c:v>
                </c:pt>
                <c:pt idx="3">
                  <c:v>2900</c:v>
                </c:pt>
                <c:pt idx="4">
                  <c:v>2900</c:v>
                </c:pt>
                <c:pt idx="5">
                  <c:v>3600</c:v>
                </c:pt>
                <c:pt idx="6">
                  <c:v>2950</c:v>
                </c:pt>
                <c:pt idx="7">
                  <c:v>2780</c:v>
                </c:pt>
                <c:pt idx="8">
                  <c:v>2990</c:v>
                </c:pt>
                <c:pt idx="9">
                  <c:v>3100</c:v>
                </c:pt>
                <c:pt idx="10">
                  <c:v>3000</c:v>
                </c:pt>
                <c:pt idx="11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9-4DAA-A224-AAA4D63D8BFE}"/>
            </c:ext>
          </c:extLst>
        </c:ser>
        <c:ser>
          <c:idx val="1"/>
          <c:order val="1"/>
          <c:tx>
            <c:strRef>
              <c:f>'General Overview'!$D$6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Overview'!$D$7:$D$18</c:f>
              <c:numCache>
                <c:formatCode>General</c:formatCode>
                <c:ptCount val="12"/>
                <c:pt idx="0">
                  <c:v>1851</c:v>
                </c:pt>
                <c:pt idx="1">
                  <c:v>2260</c:v>
                </c:pt>
                <c:pt idx="2">
                  <c:v>1612</c:v>
                </c:pt>
                <c:pt idx="3">
                  <c:v>1960</c:v>
                </c:pt>
                <c:pt idx="4">
                  <c:v>1540</c:v>
                </c:pt>
                <c:pt idx="5">
                  <c:v>1710</c:v>
                </c:pt>
                <c:pt idx="6">
                  <c:v>2000</c:v>
                </c:pt>
                <c:pt idx="7">
                  <c:v>2122</c:v>
                </c:pt>
                <c:pt idx="8">
                  <c:v>1440</c:v>
                </c:pt>
                <c:pt idx="9">
                  <c:v>1422</c:v>
                </c:pt>
                <c:pt idx="10">
                  <c:v>1743</c:v>
                </c:pt>
                <c:pt idx="11">
                  <c:v>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9-4DAA-A224-AAA4D63D8BF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57744"/>
        <c:axId val="1069438032"/>
      </c:lineChart>
      <c:catAx>
        <c:axId val="3609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8032"/>
        <c:crosses val="autoZero"/>
        <c:auto val="1"/>
        <c:lblAlgn val="ctr"/>
        <c:lblOffset val="100"/>
        <c:noMultiLvlLbl val="0"/>
      </c:catAx>
      <c:valAx>
        <c:axId val="10694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- Savings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02897203757258E-2"/>
          <c:y val="0.13488069414316706"/>
          <c:w val="0.89433401112458311"/>
          <c:h val="0.51870463046782922"/>
        </c:manualLayout>
      </c:layout>
      <c:lineChart>
        <c:grouping val="standard"/>
        <c:varyColors val="0"/>
        <c:ser>
          <c:idx val="0"/>
          <c:order val="0"/>
          <c:tx>
            <c:strRef>
              <c:f>'General Overview'!$C$6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Overview'!$C$7:$C$18</c:f>
              <c:numCache>
                <c:formatCode>General</c:formatCode>
                <c:ptCount val="12"/>
                <c:pt idx="0">
                  <c:v>2500</c:v>
                </c:pt>
                <c:pt idx="1">
                  <c:v>2000</c:v>
                </c:pt>
                <c:pt idx="2">
                  <c:v>2800</c:v>
                </c:pt>
                <c:pt idx="3">
                  <c:v>2900</c:v>
                </c:pt>
                <c:pt idx="4">
                  <c:v>2900</c:v>
                </c:pt>
                <c:pt idx="5">
                  <c:v>3600</c:v>
                </c:pt>
                <c:pt idx="6">
                  <c:v>2950</c:v>
                </c:pt>
                <c:pt idx="7">
                  <c:v>2780</c:v>
                </c:pt>
                <c:pt idx="8">
                  <c:v>2990</c:v>
                </c:pt>
                <c:pt idx="9">
                  <c:v>3100</c:v>
                </c:pt>
                <c:pt idx="10">
                  <c:v>3000</c:v>
                </c:pt>
                <c:pt idx="11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3-4AB0-9739-81C1C6DB99CD}"/>
            </c:ext>
          </c:extLst>
        </c:ser>
        <c:ser>
          <c:idx val="1"/>
          <c:order val="1"/>
          <c:tx>
            <c:strRef>
              <c:f>'General Overview'!$E$6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Overview'!$E$7:$E$18</c:f>
              <c:numCache>
                <c:formatCode>General</c:formatCode>
                <c:ptCount val="12"/>
                <c:pt idx="0">
                  <c:v>350</c:v>
                </c:pt>
                <c:pt idx="1">
                  <c:v>150</c:v>
                </c:pt>
                <c:pt idx="2">
                  <c:v>350</c:v>
                </c:pt>
                <c:pt idx="3">
                  <c:v>450</c:v>
                </c:pt>
                <c:pt idx="4">
                  <c:v>450</c:v>
                </c:pt>
                <c:pt idx="5">
                  <c:v>850</c:v>
                </c:pt>
                <c:pt idx="6">
                  <c:v>450</c:v>
                </c:pt>
                <c:pt idx="7">
                  <c:v>350</c:v>
                </c:pt>
                <c:pt idx="8">
                  <c:v>450</c:v>
                </c:pt>
                <c:pt idx="9">
                  <c:v>550</c:v>
                </c:pt>
                <c:pt idx="10">
                  <c:v>650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3-4AB0-9739-81C1C6DB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49792"/>
        <c:axId val="328512736"/>
      </c:lineChart>
      <c:catAx>
        <c:axId val="9411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2736"/>
        <c:crosses val="autoZero"/>
        <c:auto val="1"/>
        <c:lblAlgn val="ctr"/>
        <c:lblOffset val="100"/>
        <c:noMultiLvlLbl val="0"/>
      </c:catAx>
      <c:valAx>
        <c:axId val="3285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size">
        <cx:f>_xlchart.v1.23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size">
        <cx:f>_xlchart.v1.29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_xlchart.v1.31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size">
        <cx:f>_xlchart.v1.33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size">
        <cx:f>_xlchart.v1.35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size">
        <cx:f>_xlchart.v1.39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size">
        <cx:f>_xlchart.v1.41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size">
        <cx:f>_xlchart.v1.45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size">
        <cx:f>_xlchart.v1.43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size">
        <cx:f>_xlchart.v1.47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size">
        <cx:f>_xlchart.v1.49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size">
        <cx:f>_xlchart.v1.53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size">
        <cx:f>_xlchart.v1.51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22.xml"/><Relationship Id="rId1" Type="http://schemas.microsoft.com/office/2014/relationships/chartEx" Target="../charts/chartEx21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24.xml"/><Relationship Id="rId1" Type="http://schemas.microsoft.com/office/2014/relationships/chartEx" Target="../charts/chartEx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65BE775-9FDB-96B5-CD1F-F02C6199E852}"/>
            </a:ext>
          </a:extLst>
        </xdr:cNvPr>
        <xdr:cNvSpPr/>
      </xdr:nvSpPr>
      <xdr:spPr>
        <a:xfrm>
          <a:off x="0" y="9524"/>
          <a:ext cx="9915525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January</a:t>
          </a:r>
        </a:p>
      </xdr:txBody>
    </xdr:sp>
    <xdr:clientData/>
  </xdr:twoCellAnchor>
  <xdr:twoCellAnchor>
    <xdr:from>
      <xdr:col>2</xdr:col>
      <xdr:colOff>95250</xdr:colOff>
      <xdr:row>5</xdr:row>
      <xdr:rowOff>76200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C37EDCC-4CFD-E8FB-12D6-10BE7841F1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981075"/>
              <a:ext cx="368300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CE4C380-F1C3-BA8F-0556-94C4938515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981075"/>
              <a:ext cx="3771899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9474BBC-0305-4A65-AF5B-4C68238725AE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October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406156-6BE1-4FE7-BECB-8F4E4ACB8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1D4A5F3-7A7D-4E38-B609-825E42BF1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FE8F468-B188-4724-855D-BEACAFC17280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November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4EEBE9-ADE8-45EC-BFD5-A8DF9DD6D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F3CFF5-6296-41C3-8214-37FDC7293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F4CA428-282E-4BD0-A6E4-28A7CE759E8E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December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4F0153-16BE-4D7D-AECB-F623870AE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BB632A-E2B4-43BF-8D9A-890B8AB898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215902</xdr:colOff>
      <xdr:row>12</xdr:row>
      <xdr:rowOff>152401</xdr:rowOff>
    </xdr:from>
    <xdr:to>
      <xdr:col>9</xdr:col>
      <xdr:colOff>28575</xdr:colOff>
      <xdr:row>33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CFF8E-8C61-F052-4D57-392B00337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47627</xdr:colOff>
      <xdr:row>18</xdr:row>
      <xdr:rowOff>84137</xdr:rowOff>
    </xdr:from>
    <xdr:to>
      <xdr:col>5</xdr:col>
      <xdr:colOff>76200</xdr:colOff>
      <xdr:row>33</xdr:row>
      <xdr:rowOff>125412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C5525C-DC55-2A19-6803-D00DEB51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8</xdr:col>
      <xdr:colOff>807014</xdr:colOff>
      <xdr:row>3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E23B929-AB56-4BFB-8458-ABC20B013282}"/>
            </a:ext>
          </a:extLst>
        </xdr:cNvPr>
        <xdr:cNvSpPr/>
      </xdr:nvSpPr>
      <xdr:spPr>
        <a:xfrm>
          <a:off x="1" y="0"/>
          <a:ext cx="8979463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General</a:t>
          </a:r>
          <a:r>
            <a:rPr lang="en-GB" sz="2000" b="1" baseline="0"/>
            <a:t> Overview</a:t>
          </a:r>
          <a:endParaRPr lang="en-GB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207552A-76E1-4E9A-BEA4-392FE56EF4C8}"/>
            </a:ext>
          </a:extLst>
        </xdr:cNvPr>
        <xdr:cNvSpPr/>
      </xdr:nvSpPr>
      <xdr:spPr>
        <a:xfrm>
          <a:off x="0" y="12699"/>
          <a:ext cx="9915525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February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0BE81A-2D4D-4514-9341-59FA5C10E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64EE59-B9F6-43B4-8678-B27415E6A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981075"/>
              <a:ext cx="37750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5C0FFCC-A83C-422C-9266-95D3A430C11D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March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167C0C-09EC-42DB-BEE8-5783E879E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A9CA2E-A532-4D3E-889F-304ECC92B2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5188B76-BBE2-47B0-98D5-6993B8B86540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April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041AB5-1E94-48BE-99C7-C0332C1BC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289FC77-72C0-4CEB-A63F-5A0181CCD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9B6BD4-DED5-4DAB-AB12-683557A4A12B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May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71A183-7755-4A9D-B02E-ED8EA42E7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67E0F8-3B02-4631-8E40-C41BC97EC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969AAA2-CE2D-454E-992A-033A34C8C989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June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4B8360-A9C1-4360-93F9-8237D3E6C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F4B623-DC2C-4541-A791-CE0AE7621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81A4DED-7EAB-4F20-9653-4D0C28E19A94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July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2EBE3A-5C2A-410B-B00A-C5475263C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888B92-C712-4A30-B7F5-B77894D60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0B1B4B1-4D68-45D3-91F5-8084207B0C3D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August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26EB25-C7A7-426A-A727-DB99F69BF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1DDFC2-FE49-43C7-805C-355FB2FA0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907E529-2DF8-48AE-82BC-D2CC1148DCA3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September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CF226B-9F88-4E2C-954B-B80E41A0A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B0232C-9F68-4BAA-AB55-3A92FBC62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89AA7-36CB-4DFB-ADB5-9273543E6069}" name="Table3" displayName="Table3" ref="B1:O5" totalsRowShown="0">
  <autoFilter ref="B1:O5" xr:uid="{74589AA7-36CB-4DFB-ADB5-9273543E6069}"/>
  <tableColumns count="14">
    <tableColumn id="1" xr3:uid="{1A601249-8805-40CC-A3C2-34AC26ABCDA0}" name="Income"/>
    <tableColumn id="2" xr3:uid="{BE4BACDB-15A7-457B-929E-A885F2BB5320}" name="Jan" dataDxfId="210"/>
    <tableColumn id="3" xr3:uid="{6B2A69EC-8861-425C-A0C5-7209BC3E7275}" name="Feb" dataDxfId="209"/>
    <tableColumn id="4" xr3:uid="{ABD9F588-E14D-4658-8A32-7E0C16E88739}" name="Mar" dataDxfId="208"/>
    <tableColumn id="5" xr3:uid="{7A0AAD4E-28FA-466C-A5AD-6CD870624084}" name="Apr" dataDxfId="207"/>
    <tableColumn id="6" xr3:uid="{D92BBB31-8571-43AB-941D-512337F4AC20}" name="May" dataDxfId="206"/>
    <tableColumn id="7" xr3:uid="{C6BEAB0E-0529-4DB2-987B-4AC38E8695B5}" name="Jun" dataDxfId="205"/>
    <tableColumn id="8" xr3:uid="{8D2FCF5A-2DFA-4F3E-928F-D545658CF576}" name="Jul" dataDxfId="204"/>
    <tableColumn id="9" xr3:uid="{57DE5CB4-52A0-4052-8586-9B4428E05BBB}" name="Aug" dataDxfId="203"/>
    <tableColumn id="10" xr3:uid="{59D93833-6FD4-446F-92FD-68BB6329D482}" name="Sept" dataDxfId="202"/>
    <tableColumn id="11" xr3:uid="{B334F67B-C58E-4CC9-9B73-C4D739A7797D}" name="Oct" dataDxfId="201"/>
    <tableColumn id="12" xr3:uid="{EA17CF19-E960-4C34-B30E-E928C6D7BFF3}" name="Nov" dataDxfId="200"/>
    <tableColumn id="13" xr3:uid="{B000A4BF-C0A4-4634-9948-91356CF72181}" name="Dec" dataDxfId="199"/>
    <tableColumn id="14" xr3:uid="{9B901B2E-C2A3-4630-8608-22D31F0E41B3}" name="Total" dataDxfId="198"/>
  </tableColumns>
  <tableStyleInfo name="TableStyleMedium2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72D6D9C-E205-4CDA-9AE8-A3452B16A71C}" name="Table1821" displayName="Table1821" ref="A12:B21" totalsRowShown="0" headerRowDxfId="150" dataDxfId="149">
  <autoFilter ref="A12:B21" xr:uid="{A3429BD7-73DB-4959-B487-275AAC2777FE}"/>
  <tableColumns count="2">
    <tableColumn id="1" xr3:uid="{07DC7ADF-8E71-47F5-AF55-57C45D28845B}" name="Expenses" dataDxfId="140"/>
    <tableColumn id="2" xr3:uid="{CC040A1D-48BB-4CA2-9416-56C1A5A6A9A9}" name="Total" dataDxfId="1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2009007-E6DD-4A7B-AAA2-01F9565F8416}" name="Table182122" displayName="Table182122" ref="A12:B21" totalsRowShown="0" headerRowDxfId="148" dataDxfId="147">
  <autoFilter ref="A12:B21" xr:uid="{A3429BD7-73DB-4959-B487-275AAC2777FE}"/>
  <tableColumns count="2">
    <tableColumn id="1" xr3:uid="{14E56314-52AD-47DC-B095-5E0D7C4DBE74}" name="Expenses" dataDxfId="142"/>
    <tableColumn id="2" xr3:uid="{532D9678-1CF6-47E7-8047-6D0E4286A016}" name="Total" dataDxfId="1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907F802-4D74-4D48-BAC7-F06B022E1B6E}" name="Table18212223" displayName="Table18212223" ref="A12:B21" totalsRowShown="0" headerRowDxfId="146" dataDxfId="145">
  <autoFilter ref="A12:B21" xr:uid="{A3429BD7-73DB-4959-B487-275AAC2777FE}"/>
  <tableColumns count="2">
    <tableColumn id="1" xr3:uid="{D25F0F80-10E6-4A12-80B7-6AC2F0CFDED4}" name="Expenses" dataDxfId="144"/>
    <tableColumn id="2" xr3:uid="{F369F038-8F77-47CE-B0F2-86BA19A971A8}" name="Total" dataDxfId="14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2A5E1D6-2D8C-4F48-A398-7DB198DE3CBB}" name="Table1821222324" displayName="Table1821222324" ref="A12:B21" totalsRowShown="0" headerRowDxfId="136" dataDxfId="135">
  <autoFilter ref="A12:B21" xr:uid="{A3429BD7-73DB-4959-B487-275AAC2777FE}"/>
  <tableColumns count="2">
    <tableColumn id="1" xr3:uid="{2CBEB20F-9831-491C-9019-67CDA50A3E93}" name="Expenses" dataDxfId="134"/>
    <tableColumn id="2" xr3:uid="{61D95C82-AA33-4163-86ED-1AD6F2F16245}" name="Total" dataDxfId="13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E8BBC2A-456B-41F5-B5D0-E5BAB476CA43}" name="Table182122232425" displayName="Table182122232425" ref="A12:B21" totalsRowShown="0" headerRowDxfId="132" dataDxfId="131">
  <autoFilter ref="A12:B21" xr:uid="{A3429BD7-73DB-4959-B487-275AAC2777FE}"/>
  <tableColumns count="2">
    <tableColumn id="1" xr3:uid="{94E4FFB6-6D13-4D27-ABB0-E5B8F5C42B76}" name="Expenses" dataDxfId="130"/>
    <tableColumn id="2" xr3:uid="{8696776E-89F5-44CE-A2B9-E88D80850EC8}" name="Total" dataDxfId="1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E33D24F-A6F9-4C0E-B9C6-399D0974B675}" name="Table18212223242526" displayName="Table18212223242526" ref="A12:B21" totalsRowShown="0" headerRowDxfId="128" dataDxfId="127">
  <autoFilter ref="A12:B21" xr:uid="{A3429BD7-73DB-4959-B487-275AAC2777FE}"/>
  <tableColumns count="2">
    <tableColumn id="1" xr3:uid="{85B74469-3D26-43EB-B4AC-982A80757DB6}" name="Expenses" dataDxfId="126"/>
    <tableColumn id="2" xr3:uid="{120781FF-15A7-4D1A-A274-E8668C7F0141}" name="Total" dataDxfId="12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DCA2BE8-23D6-4EA3-A211-128A8145EDB6}" name="Table1821222324252627" displayName="Table1821222324252627" ref="A12:B21" totalsRowShown="0" headerRowDxfId="124" dataDxfId="123">
  <autoFilter ref="A12:B21" xr:uid="{A3429BD7-73DB-4959-B487-275AAC2777FE}"/>
  <tableColumns count="2">
    <tableColumn id="1" xr3:uid="{3777C743-442B-4B76-BF06-981FDC225D4D}" name="Expenses" dataDxfId="122"/>
    <tableColumn id="2" xr3:uid="{6734BEEF-CB80-45AA-895C-B74A27DCFCBB}" name="Total" dataDxfId="12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02B72B2-452F-4CB9-A53E-612A02D12621}" name="Table182122232425262728" displayName="Table182122232425262728" ref="A12:B21" totalsRowShown="0" headerRowDxfId="120" dataDxfId="119">
  <autoFilter ref="A12:B21" xr:uid="{A3429BD7-73DB-4959-B487-275AAC2777FE}"/>
  <tableColumns count="2">
    <tableColumn id="1" xr3:uid="{F3E45ED1-1015-4B54-B327-D6A38657C4B5}" name="Expenses" dataDxfId="118"/>
    <tableColumn id="2" xr3:uid="{8BE466C8-C2A3-4679-80C4-D1CFA9871196}" name="Total" dataDxfId="11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8EA1258-AC6C-45C7-81CB-97F38D2461A2}" name="Table18212223242526272829" displayName="Table18212223242526272829" ref="A12:B21" totalsRowShown="0" headerRowDxfId="116" dataDxfId="115">
  <autoFilter ref="A12:B21" xr:uid="{A3429BD7-73DB-4959-B487-275AAC2777FE}"/>
  <tableColumns count="2">
    <tableColumn id="1" xr3:uid="{D66E0C79-A08D-48A4-B3AA-03D57FC71F47}" name="Expenses" dataDxfId="114"/>
    <tableColumn id="2" xr3:uid="{6B0C264F-0D94-4E84-A9F9-8D1BF1573C6D}" name="Total" dataDxfId="1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AE6CB31-5211-4606-ACF7-49016B5F9DDA}" name="Table1821222324252627282930" displayName="Table1821222324252627282930" ref="A12:B21" totalsRowShown="0" headerRowDxfId="112" dataDxfId="111">
  <autoFilter ref="A12:B21" xr:uid="{A3429BD7-73DB-4959-B487-275AAC2777FE}"/>
  <tableColumns count="2">
    <tableColumn id="1" xr3:uid="{D9A7D120-25CC-4E01-A3DC-3EBF5795D1FA}" name="Expenses" dataDxfId="110"/>
    <tableColumn id="2" xr3:uid="{EFBAE0EA-9D96-4A7F-83C4-7D5F7B185818}" name="Total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2EDFBA-1976-4767-8365-F1D19101AB09}" name="Table4" displayName="Table4" ref="B8:O13" totalsRowShown="0">
  <autoFilter ref="B8:O13" xr:uid="{C62EDFBA-1976-4767-8365-F1D19101AB09}"/>
  <tableColumns count="14">
    <tableColumn id="1" xr3:uid="{128CA994-3A12-4D14-8B28-39C7191A9D31}" name="Savings"/>
    <tableColumn id="2" xr3:uid="{5B5958E9-EE75-434A-96BA-803004FFB75D}" name="Jan"/>
    <tableColumn id="3" xr3:uid="{4CBC66CF-08B0-4651-9FBE-B69D8754D9E0}" name="Feb"/>
    <tableColumn id="4" xr3:uid="{AA105A11-1FDF-470D-9C0C-7221F222246C}" name="Mar"/>
    <tableColumn id="5" xr3:uid="{4638BD6A-0F2D-4F15-9F1A-D0B0024B2661}" name="Apr"/>
    <tableColumn id="6" xr3:uid="{39CDAD92-59FD-4C14-8F91-721D7E76AA54}" name="May"/>
    <tableColumn id="7" xr3:uid="{2260D7F1-590A-4225-B674-D5E9B6AF4BB8}" name="Jun"/>
    <tableColumn id="8" xr3:uid="{6A6FEF03-0113-4CC0-B25C-3B224635CD55}" name="Jul"/>
    <tableColumn id="9" xr3:uid="{3F86E178-E0FC-4EC8-9932-5C43813205DF}" name="Aug"/>
    <tableColumn id="10" xr3:uid="{E84058CB-61BE-4531-934F-33C6D63DBFA8}" name="Sept"/>
    <tableColumn id="11" xr3:uid="{A876E031-F565-44E5-9E87-96926B716545}" name="Oct"/>
    <tableColumn id="12" xr3:uid="{2FDB2C57-EB4D-410F-A1E1-5B1BB36D48B3}" name="Nov"/>
    <tableColumn id="13" xr3:uid="{4E74764D-5CEC-4715-82C4-89B7E46AB298}" name="Dec"/>
    <tableColumn id="14" xr3:uid="{D0392DA0-C489-4C6E-BAD0-7C07D9CFBD86}" name="Total" dataDxfId="197">
      <calculatedColumnFormula>SUM(C9:N9)</calculatedColumnFormula>
    </tableColumn>
  </tableColumns>
  <tableStyleInfo name="TableStyleMedium2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6749A7F-066E-42A1-9246-934FD9DADEBD}" name="Table182122232425262728293031" displayName="Table182122232425262728293031" ref="A12:B21" totalsRowShown="0" headerRowDxfId="108" dataDxfId="107">
  <autoFilter ref="A12:B21" xr:uid="{A3429BD7-73DB-4959-B487-275AAC2777FE}"/>
  <tableColumns count="2">
    <tableColumn id="1" xr3:uid="{347A6C3A-6A64-411B-B30C-1CF73F91F265}" name="Expenses" dataDxfId="106"/>
    <tableColumn id="2" xr3:uid="{C1C40790-ED11-4C3E-B633-E949E5B3F40C}" name="Total" dataDxfId="10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F72805F-AAA9-4AE1-957B-4A1724CC5A45}" name="Table31" displayName="Table31" ref="B6:E18" totalsRowShown="0" headerRowDxfId="99" dataDxfId="102">
  <autoFilter ref="B6:E18" xr:uid="{FF72805F-AAA9-4AE1-957B-4A1724CC5A45}">
    <filterColumn colId="0" hiddenButton="1"/>
    <filterColumn colId="1" hiddenButton="1"/>
    <filterColumn colId="2" hiddenButton="1"/>
    <filterColumn colId="3" hiddenButton="1"/>
  </autoFilter>
  <tableColumns count="4">
    <tableColumn id="1" xr3:uid="{E90FC5A8-774F-4B2D-9E7F-2AE77581A52F}" name="MONTH" dataDxfId="100"/>
    <tableColumn id="2" xr3:uid="{7D7DE090-A5D8-4370-B061-41240CC3493A}" name="INCOME" dataDxfId="101"/>
    <tableColumn id="3" xr3:uid="{AAF615F5-E416-49B8-9C39-29E5D0AFF75A}" name="EXPENSES" dataDxfId="104"/>
    <tableColumn id="4" xr3:uid="{2381DC01-D876-4C9F-8651-9A2E205C10FF}" name="SAVINGS" dataDxfId="103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F159F5-7490-4AFC-BBA0-2571E048BA90}" name="Table32" displayName="Table32" ref="G8:I12" headerRowCount="0" totalsRowShown="0">
  <tableColumns count="3">
    <tableColumn id="1" xr3:uid="{42DA0DFA-5AAA-4A09-90A0-24924D5C878D}" name="Column1"/>
    <tableColumn id="2" xr3:uid="{521CEDD6-55DF-4CB7-948B-16878AB7A83E}" name="Column2"/>
    <tableColumn id="3" xr3:uid="{83AE64A6-751D-48C1-A7D3-61E81F2BA258}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470259-A91D-49CE-ADD4-5A9DFDEBCF42}" name="Table5" displayName="Table5" ref="B16:O20" totalsRowShown="0">
  <autoFilter ref="B16:O20" xr:uid="{03470259-A91D-49CE-ADD4-5A9DFDEBCF42}"/>
  <tableColumns count="14">
    <tableColumn id="1" xr3:uid="{F258F34B-F703-4CC7-8A17-6A5E809E2BA3}" name="Essentials"/>
    <tableColumn id="2" xr3:uid="{C58CA0E5-0474-466F-BBA1-99A044E0C5E8}" name="Jan"/>
    <tableColumn id="3" xr3:uid="{371A684E-8530-4F8B-961F-35A01D3CBC90}" name="Feb"/>
    <tableColumn id="4" xr3:uid="{A3B8FEEC-AD52-4DFE-9319-C04D8571C28D}" name="Mar"/>
    <tableColumn id="5" xr3:uid="{DD218352-F3FF-4206-913E-FF59178A3B4E}" name="Apr"/>
    <tableColumn id="6" xr3:uid="{893B2766-ACBD-4690-B803-6E0A20CD0783}" name="May"/>
    <tableColumn id="7" xr3:uid="{21B62BBC-72F0-4BC8-8104-3477400E2089}" name="Jun"/>
    <tableColumn id="8" xr3:uid="{D00C8EFB-5A00-46ED-9249-CD481E62F530}" name="Jul"/>
    <tableColumn id="9" xr3:uid="{779FDF57-895B-4292-9579-23D68BE6CF6A}" name="Aug"/>
    <tableColumn id="10" xr3:uid="{22646F85-1658-4D23-8709-03DEDA28BF21}" name="Sept"/>
    <tableColumn id="11" xr3:uid="{9D9DD3B7-D5C6-4CC4-91A4-0DCCF9C13885}" name="Oct"/>
    <tableColumn id="12" xr3:uid="{41AED2CA-50BB-4503-81F1-09625B05383F}" name="Nov"/>
    <tableColumn id="13" xr3:uid="{111DAF87-42B8-4ADD-A095-040E54B5260B}" name="Dec"/>
    <tableColumn id="14" xr3:uid="{F02AC62E-920D-432F-94D1-67F71F64A7B9}" name="Total" dataDxfId="196">
      <calculatedColumnFormula>SUM(C17:N17)</calculatedColumnFormula>
    </tableColumn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88DF0-7274-4075-B827-FBEDCB42849B}" name="Table6" displayName="Table6" ref="B23:O31" totalsRowShown="0">
  <autoFilter ref="B23:O31" xr:uid="{A1B88DF0-7274-4075-B827-FBEDCB42849B}"/>
  <tableColumns count="14">
    <tableColumn id="1" xr3:uid="{62777DA0-6CB0-43D5-A7ED-744D5E775B84}" name="Bills"/>
    <tableColumn id="2" xr3:uid="{CDCBBC27-7BF5-473E-A643-9571E73BFD53}" name="Jan" dataDxfId="195"/>
    <tableColumn id="3" xr3:uid="{4D795778-EF29-48B6-8A49-990FE753C7DE}" name="Feb"/>
    <tableColumn id="4" xr3:uid="{8E8F4258-A55C-4A6C-9EDD-2CE149CD7946}" name="Mar"/>
    <tableColumn id="5" xr3:uid="{24B63105-6278-495E-9B47-CB8E94ABB6F1}" name="Apr"/>
    <tableColumn id="6" xr3:uid="{043B4DF8-FBBD-49B4-A05A-177D12E914DD}" name="May"/>
    <tableColumn id="7" xr3:uid="{6B357509-3216-47A8-9ECC-192ABFB39D76}" name="Jun"/>
    <tableColumn id="8" xr3:uid="{31E64BFD-2F9C-4B39-A653-2A97858525D5}" name="Jul"/>
    <tableColumn id="9" xr3:uid="{8694863B-44E5-42C9-94F3-966906F2A61C}" name="Aug"/>
    <tableColumn id="10" xr3:uid="{1ECE97DA-EC2E-43D1-902C-2BA2E2E93018}" name="Sept"/>
    <tableColumn id="11" xr3:uid="{E598C264-A7E1-474B-ADB0-222B71857FD7}" name="Oct"/>
    <tableColumn id="12" xr3:uid="{BDF1C0FF-AD40-4CB3-811E-A19D92A00A0D}" name="Nov"/>
    <tableColumn id="13" xr3:uid="{3D794D2A-7127-44ED-BAEA-C8B9339E046E}" name="Dec"/>
    <tableColumn id="14" xr3:uid="{16164A26-73BA-4F13-8550-44131A1C889E}" name="Total" dataDxfId="194">
      <calculatedColumnFormula>SUM(C24:N24)</calculatedColumnFormula>
    </tableColumn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43754-7F06-4DCA-9600-866C1DADAE56}" name="Table7" displayName="Table7" ref="B34:O39" totalsRowShown="0" dataDxfId="180" dataCellStyle="Currency">
  <autoFilter ref="B34:O39" xr:uid="{86443754-7F06-4DCA-9600-866C1DADAE56}"/>
  <tableColumns count="14">
    <tableColumn id="1" xr3:uid="{B4D20EAA-E373-49CA-9825-729A51DDC842}" name="Subscriptions"/>
    <tableColumn id="2" xr3:uid="{49F775DE-705A-45F8-9822-C5B367DACA92}" name="Jan" dataDxfId="193" dataCellStyle="Currency"/>
    <tableColumn id="3" xr3:uid="{0639E236-E19B-4D27-BC8B-A19B63C1B958}" name="Feb" dataDxfId="192" dataCellStyle="Currency"/>
    <tableColumn id="4" xr3:uid="{3F5EF02B-CB38-4E57-96E1-C9A5F0A3FDD0}" name="Mar" dataDxfId="191" dataCellStyle="Currency"/>
    <tableColumn id="5" xr3:uid="{037839ED-0CD8-42A0-AD20-E6CA8BDFF91A}" name="Apr" dataDxfId="190" dataCellStyle="Currency"/>
    <tableColumn id="6" xr3:uid="{4D531070-29C1-4A2A-B833-3F8ED5566739}" name="May" dataDxfId="189" dataCellStyle="Currency"/>
    <tableColumn id="7" xr3:uid="{39F0F666-B6C0-47E0-BE9A-F85469B719F8}" name="Jun" dataDxfId="188" dataCellStyle="Currency"/>
    <tableColumn id="8" xr3:uid="{D3819917-7954-4912-BCF0-DEF84B3BFD79}" name="Jul" dataDxfId="187" dataCellStyle="Currency"/>
    <tableColumn id="9" xr3:uid="{607C906E-64CE-4075-BEC8-CB2D61E52514}" name="Aug" dataDxfId="186" dataCellStyle="Currency"/>
    <tableColumn id="10" xr3:uid="{CBB11A86-3326-4732-9367-278D7C305379}" name="Sept" dataDxfId="185" dataCellStyle="Currency"/>
    <tableColumn id="11" xr3:uid="{3D57D539-D9D4-43AF-958C-F78C95D9E55B}" name="Oct" dataDxfId="184" dataCellStyle="Currency"/>
    <tableColumn id="12" xr3:uid="{B82336D5-F194-405F-85D6-5AFD78F3E536}" name="Nov" dataDxfId="183" dataCellStyle="Currency"/>
    <tableColumn id="13" xr3:uid="{7357707C-42F6-4EDD-B267-AD87815133F5}" name="Dec" dataDxfId="182" dataCellStyle="Currency"/>
    <tableColumn id="14" xr3:uid="{E80895F7-2421-414E-9E12-65CB1C56A478}" name="Total" dataDxfId="181" dataCellStyle="Currency">
      <calculatedColumnFormula>SUM(C35:N35)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CDB242-701A-46E4-8625-C642669F3911}" name="Table8" displayName="Table8" ref="B42:O50" totalsRowShown="0" dataDxfId="166" dataCellStyle="Currency">
  <autoFilter ref="B42:O50" xr:uid="{E0CDB242-701A-46E4-8625-C642669F3911}"/>
  <tableColumns count="14">
    <tableColumn id="1" xr3:uid="{F6DDA760-3EBA-4D7B-B236-83A86F3F590B}" name="Transport"/>
    <tableColumn id="2" xr3:uid="{FE4E43EE-CA5D-44B2-B86B-33C175EBB4DA}" name="Jan" dataDxfId="179" dataCellStyle="Currency"/>
    <tableColumn id="3" xr3:uid="{638FD9E3-38B9-417E-B57A-3ECD07447120}" name="Feb" dataDxfId="178" dataCellStyle="Currency"/>
    <tableColumn id="4" xr3:uid="{16846E26-44F3-4909-B01E-BC6351EA8E87}" name="Mar" dataDxfId="177" dataCellStyle="Currency"/>
    <tableColumn id="5" xr3:uid="{67D36615-E5E7-4267-B61A-3B11D9BF24AB}" name="Apr" dataDxfId="176" dataCellStyle="Currency"/>
    <tableColumn id="6" xr3:uid="{957B360A-49B5-4E2C-ABAD-3F75F69D2D4C}" name="May" dataDxfId="175" dataCellStyle="Currency"/>
    <tableColumn id="7" xr3:uid="{24658869-5A1D-49BE-B03B-EAB3A3320B5C}" name="Jun" dataDxfId="174" dataCellStyle="Currency"/>
    <tableColumn id="8" xr3:uid="{81B154F1-F75B-469D-AC3F-20797BC1CCBC}" name="Jul" dataDxfId="173" dataCellStyle="Currency"/>
    <tableColumn id="9" xr3:uid="{81698A55-5AE3-48A9-B0D3-9268B717F016}" name="Aug" dataDxfId="172" dataCellStyle="Currency"/>
    <tableColumn id="10" xr3:uid="{6C3AF9D1-EE36-4CF7-9459-843B3525D406}" name="Sept" dataDxfId="171" dataCellStyle="Currency"/>
    <tableColumn id="11" xr3:uid="{4DD11D9C-880E-456B-B5FE-CB52C79F12DF}" name="Oct" dataDxfId="170" dataCellStyle="Currency"/>
    <tableColumn id="12" xr3:uid="{842A9451-C7CD-4D4C-BFFC-50AB69749BF4}" name="Nov" dataDxfId="169" dataCellStyle="Currency"/>
    <tableColumn id="13" xr3:uid="{14BBE9C2-C1ED-4764-A0A1-8C159BDDD370}" name="Dec" dataDxfId="168" dataCellStyle="Currency"/>
    <tableColumn id="14" xr3:uid="{417E8FEC-739D-42F3-B104-987264EB00D4}" name="Total" dataDxfId="167" dataCellStyle="Currency">
      <calculatedColumnFormula>SUM(C43:N43)</calculatedColumnFormula>
    </tableColumn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86ABEC-7BB6-4AE2-8B83-A9905D21DC93}" name="Table9" displayName="Table9" ref="B53:O59" totalsRowShown="0">
  <autoFilter ref="B53:O59" xr:uid="{4186ABEC-7BB6-4AE2-8B83-A9905D21DC93}"/>
  <tableColumns count="14">
    <tableColumn id="1" xr3:uid="{1A9D703B-3906-4B77-A456-D23EE643F271}" name="For the soul"/>
    <tableColumn id="2" xr3:uid="{36A05604-0DE0-40D3-A569-955B401F8F01}" name="Jan" dataDxfId="165"/>
    <tableColumn id="3" xr3:uid="{93CF7607-C567-42E1-9EF1-A606215854DD}" name="Feb" dataDxfId="164"/>
    <tableColumn id="4" xr3:uid="{C578D7B1-258A-463C-AD80-3FB4ED2DB99D}" name="Mar" dataDxfId="163"/>
    <tableColumn id="5" xr3:uid="{2911339B-2582-4EFD-9B1D-1361E7BCF072}" name="Apr" dataDxfId="162"/>
    <tableColumn id="6" xr3:uid="{48377ED4-BD1C-488F-996D-23D0B0E1D908}" name="May" dataDxfId="161"/>
    <tableColumn id="7" xr3:uid="{31139126-3F4A-4E5C-87CB-FD434DDAFDFF}" name="Jun" dataDxfId="160"/>
    <tableColumn id="8" xr3:uid="{07BFD70A-20B2-4424-86CE-8DA27B57E81C}" name="Jul" dataDxfId="159"/>
    <tableColumn id="9" xr3:uid="{3B974D7A-F6B0-4526-A77A-A3E01F76FE5C}" name="Aug" dataDxfId="158"/>
    <tableColumn id="10" xr3:uid="{A5E147DA-94F7-45BD-B28F-29D310324EE7}" name="Sept" dataDxfId="157"/>
    <tableColumn id="11" xr3:uid="{E0D87C42-7CAA-4FA2-A957-7DF3F2309A71}" name="Oct" dataDxfId="156"/>
    <tableColumn id="12" xr3:uid="{5C1CFDB6-436F-4613-A95A-8574AC347BB4}" name="Nov" dataDxfId="155"/>
    <tableColumn id="13" xr3:uid="{DF74D18B-AA66-442B-8D10-82E142F40F13}" name="Dec" dataDxfId="154"/>
    <tableColumn id="14" xr3:uid="{9FF5F7FF-8D1A-4332-A9C7-3140EE711E2A}" name="Total" dataDxfId="153"/>
  </tableColumns>
  <tableStyleInfo name="TableStyleMedium2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7509740-0E8D-453B-B1F1-BF56241A0DE3}" name="Table34" displayName="Table34" ref="B63:O63" headerRowCount="0" totalsRowShown="0" headerRowDxfId="13">
  <tableColumns count="14">
    <tableColumn id="1" xr3:uid="{8694BA4D-6167-40D1-A626-86213B762B97}" name="Column1"/>
    <tableColumn id="2" xr3:uid="{EC984092-B1B2-4194-868F-FCD670AFBB16}" name="Column2" headerRowDxfId="0" dataDxfId="26">
      <calculatedColumnFormula>SUM(Rent_jan,Food_Jan,pet_jan,pers_jan,Bills_Jan,subs_jan,transp_jan,want_jan)</calculatedColumnFormula>
    </tableColumn>
    <tableColumn id="3" xr3:uid="{AC4F5808-A441-427F-BA22-C23E8F54EC4D}" name="Column3" headerRowDxfId="1" dataDxfId="25">
      <calculatedColumnFormula>SUM(Table5[Feb],Bills_Feb,subs_feb,transp_feb,want_feb)</calculatedColumnFormula>
    </tableColumn>
    <tableColumn id="4" xr3:uid="{7B1E9128-A93E-4BEB-9B0B-AA1981A168C1}" name="Column4" headerRowDxfId="2" dataDxfId="24">
      <calculatedColumnFormula>SUM(Rent_Mar,Food_Mar,pet_mar,pers_mar,Bills_mar,subs_mar,transp_mar,want_mar)</calculatedColumnFormula>
    </tableColumn>
    <tableColumn id="5" xr3:uid="{4EAF7615-212F-4915-99B3-ED1899BC9971}" name="Column5" headerRowDxfId="3" dataDxfId="23">
      <calculatedColumnFormula>SUM(Rent_Apr,Food_Apr,pet_apr,pers_apr,Bills_apr,subs_apr,transp_apr,want_apr)</calculatedColumnFormula>
    </tableColumn>
    <tableColumn id="6" xr3:uid="{B7EA2A75-060C-458A-8E23-2D11941C2CB9}" name="Column6" headerRowDxfId="4" dataDxfId="22">
      <calculatedColumnFormula>SUM(Rent_May,Food_May,pet_may,pers_may,Bills_may,subs_may,transp_may,want_may)</calculatedColumnFormula>
    </tableColumn>
    <tableColumn id="7" xr3:uid="{90A2ED68-D3AC-469A-91EA-39C854763D4F}" name="Column7" headerRowDxfId="5" dataDxfId="21">
      <calculatedColumnFormula>SUM(Rent_Jun,Food_Jun,pet_jun,pers_jun,Bills_jun,subs_jun,transp_jun,want_jun)</calculatedColumnFormula>
    </tableColumn>
    <tableColumn id="8" xr3:uid="{57409AA5-91FF-46A9-B11E-189E9B7011E6}" name="Column8" headerRowDxfId="6" dataDxfId="20">
      <calculatedColumnFormula>SUM(Rent_Jul,Food_Jul,pet_jul,pers_jul,Bills_Jul,subs_jul,transp_jul,want_jul)</calculatedColumnFormula>
    </tableColumn>
    <tableColumn id="9" xr3:uid="{91132D93-19D9-4338-9CD0-DC9B4CC930E3}" name="Column9" headerRowDxfId="7" dataDxfId="19">
      <calculatedColumnFormula>SUM(Rent_Aug,Food_Aug,pet_aug,pers_aug,Bills_Aug,subs_aug,transp_aug,want_aug)</calculatedColumnFormula>
    </tableColumn>
    <tableColumn id="10" xr3:uid="{3678BEB5-7B3B-464C-B3BD-75636FD9D802}" name="Column10" headerRowDxfId="8" dataDxfId="18">
      <calculatedColumnFormula>SUM(Rent_sept,Food_Sept,pet_sept,pers_sept,Bills_Sept,subs_sept,transp_sept,want_sept)</calculatedColumnFormula>
    </tableColumn>
    <tableColumn id="11" xr3:uid="{CE9A7E39-13C9-4718-9B19-5BA75CA48DAF}" name="Column11" headerRowDxfId="9" dataDxfId="17">
      <calculatedColumnFormula>SUM(Rent_oct,Food_Oct,pet_oct,pers_oct,Bills_oct,subs_oct,transp_oct,want_oct)</calculatedColumnFormula>
    </tableColumn>
    <tableColumn id="12" xr3:uid="{C97D6CCE-1B12-402F-BB90-9065186950E3}" name="Column12" headerRowDxfId="10" dataDxfId="16">
      <calculatedColumnFormula>SUM(Rent_nov,Food_nov,pet_nov,pers_nov,Bills_nov,subs_nov,transp_nov,want_nov)</calculatedColumnFormula>
    </tableColumn>
    <tableColumn id="13" xr3:uid="{18275B4C-34AE-4EA1-8EFD-9472131EE03D}" name="Column13" headerRowDxfId="11" dataDxfId="15">
      <calculatedColumnFormula>SUM(Rent_dec,Food_dec,pet_dec,pers_dec,Bills_dec,subs_dec,transp_dec,want_dec,)</calculatedColumnFormula>
    </tableColumn>
    <tableColumn id="14" xr3:uid="{FAE6EE5F-BF85-446F-9CC3-9C7E41A0B7C9}" name="Column14" headerRowDxfId="12" dataDxfId="14">
      <calculatedColumnFormula>SUM(Rent_total,food_total,pet_total,pers_total,Bills_total,subs_total,transp_total,want_total)</calculatedColumnFormula>
    </tableColumn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429BD7-73DB-4959-B487-275AAC2777FE}" name="Table18" displayName="Table18" ref="A12:B21" totalsRowShown="0" headerRowDxfId="151" dataDxfId="152">
  <autoFilter ref="A12:B21" xr:uid="{A3429BD7-73DB-4959-B487-275AAC2777FE}"/>
  <tableColumns count="2">
    <tableColumn id="1" xr3:uid="{00608FC2-0408-4649-88A0-36B59DE0B18B}" name="Expenses" dataDxfId="138"/>
    <tableColumn id="2" xr3:uid="{B0FAA5C0-E1F9-4D3B-8767-A0E85FDFA2E6}" name="Total" dataDxfId="1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1D49-32DC-43BE-9894-4659D9DA103B}">
  <dimension ref="B1:O63"/>
  <sheetViews>
    <sheetView topLeftCell="A37" workbookViewId="0">
      <selection activeCell="E69" sqref="E69"/>
    </sheetView>
  </sheetViews>
  <sheetFormatPr defaultRowHeight="14.5" x14ac:dyDescent="0.35"/>
  <cols>
    <col min="1" max="1" width="9.1796875" customWidth="1"/>
    <col min="2" max="2" width="15.6328125" bestFit="1" customWidth="1"/>
    <col min="3" max="10" width="10.36328125" customWidth="1"/>
    <col min="11" max="15" width="11.36328125" customWidth="1"/>
  </cols>
  <sheetData>
    <row r="1" spans="2:15" x14ac:dyDescent="0.3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28</v>
      </c>
    </row>
    <row r="2" spans="2:15" x14ac:dyDescent="0.35">
      <c r="B2" t="s">
        <v>45</v>
      </c>
      <c r="C2" s="1">
        <v>2000</v>
      </c>
      <c r="D2" s="1">
        <v>2000</v>
      </c>
      <c r="E2" s="1">
        <v>2800</v>
      </c>
      <c r="F2" s="1">
        <v>2500</v>
      </c>
      <c r="G2" s="1">
        <v>2700</v>
      </c>
      <c r="H2" s="1">
        <v>2600</v>
      </c>
      <c r="I2" s="1">
        <v>2600</v>
      </c>
      <c r="J2" s="1">
        <v>2500</v>
      </c>
      <c r="K2" s="1">
        <v>2800</v>
      </c>
      <c r="L2" s="1">
        <v>3000</v>
      </c>
      <c r="M2" s="1">
        <v>2700</v>
      </c>
      <c r="N2" s="1">
        <v>2900</v>
      </c>
      <c r="O2" s="1">
        <f>SUM(C2:N2)</f>
        <v>31100</v>
      </c>
    </row>
    <row r="3" spans="2:15" x14ac:dyDescent="0.35">
      <c r="B3" t="s">
        <v>46</v>
      </c>
      <c r="C3" s="1">
        <v>500</v>
      </c>
      <c r="D3" s="1"/>
      <c r="E3" s="1"/>
      <c r="F3" s="1">
        <v>400</v>
      </c>
      <c r="G3" s="1">
        <v>200</v>
      </c>
      <c r="H3" s="1"/>
      <c r="I3" s="1">
        <v>350</v>
      </c>
      <c r="J3" s="1">
        <v>280</v>
      </c>
      <c r="K3" s="1">
        <v>190</v>
      </c>
      <c r="L3" s="1">
        <v>100</v>
      </c>
      <c r="M3" s="1">
        <v>300</v>
      </c>
      <c r="N3" s="1">
        <v>300</v>
      </c>
      <c r="O3" s="1">
        <f t="shared" ref="O3:O4" si="0">SUM(C3:N3)</f>
        <v>2620</v>
      </c>
    </row>
    <row r="4" spans="2:15" x14ac:dyDescent="0.35">
      <c r="B4" t="s">
        <v>2</v>
      </c>
      <c r="C4" s="1"/>
      <c r="D4" s="1"/>
      <c r="E4" s="1"/>
      <c r="F4" s="1"/>
      <c r="G4" s="1"/>
      <c r="H4" s="1">
        <v>1000</v>
      </c>
      <c r="I4" s="1"/>
      <c r="J4" s="1"/>
      <c r="K4" s="1"/>
      <c r="L4" s="1"/>
      <c r="M4" s="1"/>
      <c r="N4" s="1"/>
      <c r="O4" s="1">
        <f t="shared" si="0"/>
        <v>1000</v>
      </c>
    </row>
    <row r="5" spans="2:15" x14ac:dyDescent="0.35">
      <c r="B5" t="s">
        <v>28</v>
      </c>
      <c r="C5" s="1">
        <f>SUM(C2:C4)</f>
        <v>2500</v>
      </c>
      <c r="D5" s="1">
        <f t="shared" ref="D5:O5" si="1">SUM(D2:D4)</f>
        <v>2000</v>
      </c>
      <c r="E5" s="1">
        <f>SUM(E2:E4)</f>
        <v>2800</v>
      </c>
      <c r="F5" s="1">
        <f t="shared" si="1"/>
        <v>2900</v>
      </c>
      <c r="G5" s="1">
        <f t="shared" si="1"/>
        <v>2900</v>
      </c>
      <c r="H5" s="1">
        <f t="shared" si="1"/>
        <v>3600</v>
      </c>
      <c r="I5" s="1">
        <f t="shared" si="1"/>
        <v>2950</v>
      </c>
      <c r="J5" s="1">
        <f t="shared" si="1"/>
        <v>2780</v>
      </c>
      <c r="K5" s="1">
        <f t="shared" si="1"/>
        <v>2990</v>
      </c>
      <c r="L5" s="1">
        <f t="shared" si="1"/>
        <v>3100</v>
      </c>
      <c r="M5" s="1">
        <f t="shared" si="1"/>
        <v>3000</v>
      </c>
      <c r="N5" s="1">
        <f t="shared" si="1"/>
        <v>3200</v>
      </c>
      <c r="O5" s="1">
        <f t="shared" si="1"/>
        <v>34720</v>
      </c>
    </row>
    <row r="6" spans="2:15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35">
      <c r="B8" t="s">
        <v>15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28</v>
      </c>
    </row>
    <row r="9" spans="2:15" x14ac:dyDescent="0.35">
      <c r="B9" t="s">
        <v>50</v>
      </c>
      <c r="C9" s="1">
        <v>150</v>
      </c>
      <c r="D9" s="1">
        <v>150</v>
      </c>
      <c r="E9" s="1">
        <v>150</v>
      </c>
      <c r="F9" s="1">
        <v>150</v>
      </c>
      <c r="G9" s="1">
        <v>150</v>
      </c>
      <c r="H9" s="1">
        <v>150</v>
      </c>
      <c r="I9" s="1">
        <v>150</v>
      </c>
      <c r="J9" s="1">
        <v>150</v>
      </c>
      <c r="K9" s="1">
        <v>150</v>
      </c>
      <c r="L9" s="1">
        <v>150</v>
      </c>
      <c r="M9" s="1">
        <v>150</v>
      </c>
      <c r="N9" s="1">
        <v>150</v>
      </c>
      <c r="O9" s="1">
        <f>SUM(C9:N9)</f>
        <v>1800</v>
      </c>
    </row>
    <row r="10" spans="2:15" x14ac:dyDescent="0.35">
      <c r="B10" t="s">
        <v>51</v>
      </c>
      <c r="C10">
        <v>200</v>
      </c>
      <c r="E10">
        <v>200</v>
      </c>
      <c r="F10">
        <v>300</v>
      </c>
      <c r="G10">
        <v>300</v>
      </c>
      <c r="H10">
        <v>700</v>
      </c>
      <c r="I10">
        <v>300</v>
      </c>
      <c r="J10">
        <v>200</v>
      </c>
      <c r="K10">
        <v>300</v>
      </c>
      <c r="L10">
        <v>400</v>
      </c>
      <c r="M10">
        <v>500</v>
      </c>
      <c r="N10">
        <v>400</v>
      </c>
      <c r="O10" s="1">
        <f t="shared" ref="O10:O13" si="2">SUM(C10:N10)</f>
        <v>3800</v>
      </c>
    </row>
    <row r="11" spans="2:15" x14ac:dyDescent="0.35">
      <c r="B11" t="s">
        <v>52</v>
      </c>
      <c r="O11" s="1">
        <f t="shared" si="2"/>
        <v>0</v>
      </c>
    </row>
    <row r="12" spans="2:15" x14ac:dyDescent="0.35">
      <c r="B12" t="s">
        <v>2</v>
      </c>
      <c r="O12" s="1">
        <f t="shared" si="2"/>
        <v>0</v>
      </c>
    </row>
    <row r="13" spans="2:15" x14ac:dyDescent="0.35">
      <c r="B13" t="s">
        <v>28</v>
      </c>
      <c r="C13" s="1">
        <f>SUM(C9:C12)</f>
        <v>350</v>
      </c>
      <c r="D13" s="1">
        <f t="shared" ref="D13:N13" si="3">SUM(D9:D12)</f>
        <v>150</v>
      </c>
      <c r="E13" s="1">
        <f t="shared" si="3"/>
        <v>350</v>
      </c>
      <c r="F13" s="1">
        <f t="shared" si="3"/>
        <v>450</v>
      </c>
      <c r="G13" s="1">
        <f t="shared" si="3"/>
        <v>450</v>
      </c>
      <c r="H13" s="1">
        <f t="shared" si="3"/>
        <v>850</v>
      </c>
      <c r="I13" s="1">
        <f t="shared" si="3"/>
        <v>450</v>
      </c>
      <c r="J13" s="1">
        <f t="shared" si="3"/>
        <v>350</v>
      </c>
      <c r="K13" s="1">
        <f t="shared" si="3"/>
        <v>450</v>
      </c>
      <c r="L13" s="1">
        <f t="shared" si="3"/>
        <v>550</v>
      </c>
      <c r="M13" s="1">
        <f t="shared" si="3"/>
        <v>650</v>
      </c>
      <c r="N13" s="1">
        <f t="shared" si="3"/>
        <v>550</v>
      </c>
      <c r="O13" s="1">
        <f t="shared" si="2"/>
        <v>5600</v>
      </c>
    </row>
    <row r="14" spans="2:15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6" spans="2:15" x14ac:dyDescent="0.35">
      <c r="B16" t="s">
        <v>44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28</v>
      </c>
    </row>
    <row r="17" spans="2:15" x14ac:dyDescent="0.35">
      <c r="B17" t="s">
        <v>16</v>
      </c>
      <c r="C17" s="1">
        <v>695</v>
      </c>
      <c r="D17" s="1">
        <v>695</v>
      </c>
      <c r="E17" s="1">
        <v>695</v>
      </c>
      <c r="F17" s="1">
        <v>700</v>
      </c>
      <c r="G17" s="1">
        <v>700</v>
      </c>
      <c r="H17" s="1">
        <v>700</v>
      </c>
      <c r="I17" s="1">
        <v>700</v>
      </c>
      <c r="J17" s="1">
        <v>700</v>
      </c>
      <c r="K17" s="1">
        <v>700</v>
      </c>
      <c r="L17" s="1">
        <v>700</v>
      </c>
      <c r="M17" s="1">
        <v>700</v>
      </c>
      <c r="N17" s="1">
        <v>700</v>
      </c>
      <c r="O17" s="1">
        <f>SUM(C17:N17)</f>
        <v>8385</v>
      </c>
    </row>
    <row r="18" spans="2:15" x14ac:dyDescent="0.35">
      <c r="B18" t="s">
        <v>20</v>
      </c>
      <c r="C18">
        <v>100</v>
      </c>
      <c r="D18">
        <v>120</v>
      </c>
      <c r="E18">
        <v>150</v>
      </c>
      <c r="F18">
        <v>140</v>
      </c>
      <c r="O18" s="1">
        <f t="shared" ref="O18:O20" si="4">SUM(C18:N18)</f>
        <v>510</v>
      </c>
    </row>
    <row r="19" spans="2:15" x14ac:dyDescent="0.35">
      <c r="B19" t="s">
        <v>19</v>
      </c>
      <c r="C19">
        <v>15</v>
      </c>
      <c r="E19">
        <v>45</v>
      </c>
      <c r="F19">
        <v>10</v>
      </c>
      <c r="O19" s="1">
        <f t="shared" si="4"/>
        <v>70</v>
      </c>
    </row>
    <row r="20" spans="2:15" x14ac:dyDescent="0.35">
      <c r="B20" t="s">
        <v>21</v>
      </c>
      <c r="C20">
        <v>150</v>
      </c>
      <c r="D20">
        <v>95</v>
      </c>
      <c r="E20">
        <v>120</v>
      </c>
      <c r="F20">
        <v>150</v>
      </c>
      <c r="O20" s="1">
        <f t="shared" si="4"/>
        <v>515</v>
      </c>
    </row>
    <row r="21" spans="2:15" x14ac:dyDescent="0.35">
      <c r="O21" s="1"/>
    </row>
    <row r="23" spans="2:15" x14ac:dyDescent="0.35">
      <c r="B23" t="s">
        <v>17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28</v>
      </c>
    </row>
    <row r="24" spans="2:15" x14ac:dyDescent="0.35">
      <c r="B24" t="s">
        <v>29</v>
      </c>
      <c r="C24" s="1">
        <v>89</v>
      </c>
      <c r="D24" s="1">
        <v>89</v>
      </c>
      <c r="E24" s="1">
        <v>89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 s="1">
        <f>SUM(C24:N24)</f>
        <v>1167</v>
      </c>
    </row>
    <row r="25" spans="2:15" x14ac:dyDescent="0.35">
      <c r="B25" t="s">
        <v>30</v>
      </c>
      <c r="C25" s="1">
        <v>29</v>
      </c>
      <c r="D25" s="1">
        <v>29</v>
      </c>
      <c r="E25" s="1">
        <v>29</v>
      </c>
      <c r="F25">
        <v>31</v>
      </c>
      <c r="G25">
        <v>31</v>
      </c>
      <c r="H25">
        <v>31</v>
      </c>
      <c r="I25">
        <v>31</v>
      </c>
      <c r="J25">
        <v>31</v>
      </c>
      <c r="K25">
        <v>31</v>
      </c>
      <c r="L25">
        <v>31</v>
      </c>
      <c r="M25">
        <v>31</v>
      </c>
      <c r="N25">
        <v>31</v>
      </c>
      <c r="O25" s="1">
        <f t="shared" ref="O25:O31" si="5">SUM(C25:N25)</f>
        <v>366</v>
      </c>
    </row>
    <row r="26" spans="2:15" x14ac:dyDescent="0.35">
      <c r="B26" t="s">
        <v>31</v>
      </c>
      <c r="C26" s="1">
        <v>21</v>
      </c>
      <c r="D26" s="1">
        <v>21</v>
      </c>
      <c r="E26" s="1">
        <v>21</v>
      </c>
      <c r="F26">
        <v>22</v>
      </c>
      <c r="G26">
        <v>22</v>
      </c>
      <c r="H26">
        <v>22</v>
      </c>
      <c r="I26">
        <v>22</v>
      </c>
      <c r="J26">
        <v>22</v>
      </c>
      <c r="K26">
        <v>22</v>
      </c>
      <c r="L26">
        <v>22</v>
      </c>
      <c r="M26">
        <v>22</v>
      </c>
      <c r="N26">
        <v>22</v>
      </c>
      <c r="O26" s="1">
        <f t="shared" si="5"/>
        <v>261</v>
      </c>
    </row>
    <row r="27" spans="2:15" x14ac:dyDescent="0.35">
      <c r="B27" t="s">
        <v>32</v>
      </c>
      <c r="C27" s="1">
        <v>25</v>
      </c>
      <c r="D27" s="1">
        <v>25</v>
      </c>
      <c r="E27" s="1">
        <v>25</v>
      </c>
      <c r="F27">
        <v>25</v>
      </c>
      <c r="G27">
        <v>25</v>
      </c>
      <c r="H27">
        <v>25</v>
      </c>
      <c r="I27">
        <v>25</v>
      </c>
      <c r="J27">
        <v>25</v>
      </c>
      <c r="K27">
        <v>25</v>
      </c>
      <c r="L27">
        <v>25</v>
      </c>
      <c r="M27">
        <v>25</v>
      </c>
      <c r="N27">
        <v>25</v>
      </c>
      <c r="O27" s="1">
        <f t="shared" si="5"/>
        <v>300</v>
      </c>
    </row>
    <row r="28" spans="2:15" x14ac:dyDescent="0.35">
      <c r="B28" t="s">
        <v>47</v>
      </c>
      <c r="C28" s="1"/>
      <c r="O28" s="1">
        <f t="shared" si="5"/>
        <v>0</v>
      </c>
    </row>
    <row r="29" spans="2:15" x14ac:dyDescent="0.35">
      <c r="B29" t="s">
        <v>26</v>
      </c>
      <c r="C29" s="1">
        <v>45</v>
      </c>
      <c r="F29">
        <v>150</v>
      </c>
      <c r="O29" s="1">
        <f t="shared" si="5"/>
        <v>195</v>
      </c>
    </row>
    <row r="30" spans="2:15" x14ac:dyDescent="0.35">
      <c r="B30" t="s">
        <v>33</v>
      </c>
      <c r="C30" s="1">
        <v>49</v>
      </c>
      <c r="D30">
        <v>49</v>
      </c>
      <c r="E30">
        <v>49</v>
      </c>
      <c r="F30">
        <v>55</v>
      </c>
      <c r="G30">
        <v>55</v>
      </c>
      <c r="H30">
        <v>55</v>
      </c>
      <c r="I30">
        <v>55</v>
      </c>
      <c r="J30">
        <v>55</v>
      </c>
      <c r="K30">
        <v>55</v>
      </c>
      <c r="L30">
        <v>55</v>
      </c>
      <c r="M30">
        <v>55</v>
      </c>
      <c r="N30">
        <v>55</v>
      </c>
      <c r="O30" s="1">
        <f t="shared" si="5"/>
        <v>642</v>
      </c>
    </row>
    <row r="31" spans="2:15" x14ac:dyDescent="0.35">
      <c r="B31" t="s">
        <v>28</v>
      </c>
      <c r="C31" s="1">
        <f>SUM(C24:C30)</f>
        <v>258</v>
      </c>
      <c r="D31" s="1">
        <f>SUM(D24:D30)</f>
        <v>213</v>
      </c>
      <c r="E31" s="1">
        <f>SUM(E24:E30)</f>
        <v>213</v>
      </c>
      <c r="F31" s="1">
        <f>SUM(F24:F30)</f>
        <v>383</v>
      </c>
      <c r="G31" s="1">
        <f>SUM(G24:G30)</f>
        <v>233</v>
      </c>
      <c r="H31" s="1">
        <f>SUM(H24:H30)</f>
        <v>233</v>
      </c>
      <c r="I31" s="1">
        <f>SUM(I24:I30)</f>
        <v>233</v>
      </c>
      <c r="J31" s="1">
        <f>SUM(J24:J30)</f>
        <v>233</v>
      </c>
      <c r="K31" s="1">
        <f>SUM(K24:K30)</f>
        <v>233</v>
      </c>
      <c r="L31" s="1">
        <f>SUM(L24:L30)</f>
        <v>233</v>
      </c>
      <c r="M31" s="1">
        <f>SUM(M24:M30)</f>
        <v>233</v>
      </c>
      <c r="N31" s="1">
        <f>SUM(N24:N30)</f>
        <v>233</v>
      </c>
      <c r="O31" s="1">
        <f t="shared" si="5"/>
        <v>2931</v>
      </c>
    </row>
    <row r="34" spans="2:15" x14ac:dyDescent="0.35">
      <c r="B34" t="s">
        <v>24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28</v>
      </c>
    </row>
    <row r="35" spans="2:15" x14ac:dyDescent="0.35">
      <c r="B35" t="s">
        <v>34</v>
      </c>
      <c r="C35" s="2">
        <v>15</v>
      </c>
      <c r="D35" s="2">
        <v>15</v>
      </c>
      <c r="E35" s="2">
        <v>15</v>
      </c>
      <c r="F35" s="2">
        <v>15</v>
      </c>
      <c r="G35" s="2">
        <v>15</v>
      </c>
      <c r="H35" s="2">
        <v>15</v>
      </c>
      <c r="I35" s="2">
        <v>15</v>
      </c>
      <c r="J35" s="2">
        <v>15</v>
      </c>
      <c r="K35" s="2">
        <v>15</v>
      </c>
      <c r="L35" s="2">
        <v>15</v>
      </c>
      <c r="M35" s="2">
        <v>15</v>
      </c>
      <c r="N35" s="2">
        <v>15</v>
      </c>
      <c r="O35" s="2">
        <f>SUM(C35:N35)</f>
        <v>180</v>
      </c>
    </row>
    <row r="36" spans="2:15" x14ac:dyDescent="0.35">
      <c r="B36" t="s">
        <v>35</v>
      </c>
      <c r="C36" s="2">
        <v>16</v>
      </c>
      <c r="D36" s="2">
        <v>16</v>
      </c>
      <c r="E36" s="2">
        <v>16</v>
      </c>
      <c r="F36" s="2">
        <v>16</v>
      </c>
      <c r="G36" s="2">
        <v>16</v>
      </c>
      <c r="H36" s="2">
        <v>16</v>
      </c>
      <c r="I36" s="2">
        <v>16</v>
      </c>
      <c r="J36" s="2">
        <v>16</v>
      </c>
      <c r="K36" s="2">
        <v>16</v>
      </c>
      <c r="L36" s="2">
        <v>16</v>
      </c>
      <c r="M36" s="2">
        <v>16</v>
      </c>
      <c r="N36" s="2">
        <v>16</v>
      </c>
      <c r="O36" s="2">
        <f t="shared" ref="O36:O39" si="6">SUM(C36:N36)</f>
        <v>192</v>
      </c>
    </row>
    <row r="37" spans="2:15" x14ac:dyDescent="0.35">
      <c r="B37" t="s">
        <v>36</v>
      </c>
      <c r="C37" s="2">
        <v>16</v>
      </c>
      <c r="D37" s="2">
        <v>16</v>
      </c>
      <c r="E37" s="2">
        <v>16</v>
      </c>
      <c r="F37" s="2">
        <v>16</v>
      </c>
      <c r="G37" s="2">
        <v>16</v>
      </c>
      <c r="H37" s="2">
        <v>16</v>
      </c>
      <c r="I37" s="2">
        <v>16</v>
      </c>
      <c r="J37" s="2">
        <v>16</v>
      </c>
      <c r="K37" s="2">
        <v>16</v>
      </c>
      <c r="L37" s="2">
        <v>16</v>
      </c>
      <c r="M37" s="2">
        <v>16</v>
      </c>
      <c r="N37" s="2">
        <v>16</v>
      </c>
      <c r="O37" s="2">
        <f t="shared" si="6"/>
        <v>192</v>
      </c>
    </row>
    <row r="38" spans="2:15" x14ac:dyDescent="0.35">
      <c r="B38" t="s">
        <v>37</v>
      </c>
      <c r="C38" s="2">
        <v>12</v>
      </c>
      <c r="D38" s="2">
        <v>12</v>
      </c>
      <c r="E38" s="2">
        <v>12</v>
      </c>
      <c r="F38" s="2">
        <v>12</v>
      </c>
      <c r="G38" s="2">
        <v>12</v>
      </c>
      <c r="H38" s="2">
        <v>12</v>
      </c>
      <c r="I38" s="2">
        <v>12</v>
      </c>
      <c r="J38" s="2">
        <v>12</v>
      </c>
      <c r="K38" s="2">
        <v>12</v>
      </c>
      <c r="L38" s="2">
        <v>12</v>
      </c>
      <c r="M38" s="2">
        <v>12</v>
      </c>
      <c r="N38" s="2">
        <v>12</v>
      </c>
      <c r="O38" s="2">
        <f t="shared" si="6"/>
        <v>144</v>
      </c>
    </row>
    <row r="39" spans="2:15" x14ac:dyDescent="0.35">
      <c r="B39" t="s">
        <v>28</v>
      </c>
      <c r="C39" s="2">
        <f>SUM(C35:C38)</f>
        <v>59</v>
      </c>
      <c r="D39" s="2">
        <f>SUM(D35:D38)</f>
        <v>59</v>
      </c>
      <c r="E39" s="2">
        <f>SUM(E35:E38)</f>
        <v>59</v>
      </c>
      <c r="F39" s="2">
        <f>SUM(F35:F38)</f>
        <v>59</v>
      </c>
      <c r="G39" s="2">
        <f>SUM(G35:G38)</f>
        <v>59</v>
      </c>
      <c r="H39" s="2">
        <f>SUM(H35:H38)</f>
        <v>59</v>
      </c>
      <c r="I39" s="2">
        <f>SUM(I35:I38)</f>
        <v>59</v>
      </c>
      <c r="J39" s="2">
        <f>SUM(J35:J38)</f>
        <v>59</v>
      </c>
      <c r="K39" s="2">
        <f>SUM(K35:K38)</f>
        <v>59</v>
      </c>
      <c r="L39" s="2">
        <f>SUM(L35:L38)</f>
        <v>59</v>
      </c>
      <c r="M39" s="2">
        <f>SUM(M35:M38)</f>
        <v>59</v>
      </c>
      <c r="N39" s="2">
        <f>SUM(N35:N38)</f>
        <v>59</v>
      </c>
      <c r="O39" s="2">
        <f t="shared" si="6"/>
        <v>708</v>
      </c>
    </row>
    <row r="42" spans="2:15" x14ac:dyDescent="0.35">
      <c r="B42" t="s">
        <v>18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 t="s">
        <v>13</v>
      </c>
      <c r="N42" t="s">
        <v>14</v>
      </c>
      <c r="O42" t="s">
        <v>28</v>
      </c>
    </row>
    <row r="43" spans="2:15" x14ac:dyDescent="0.35">
      <c r="B43" t="s">
        <v>38</v>
      </c>
      <c r="C43" s="2">
        <v>200</v>
      </c>
      <c r="D43" s="2">
        <v>250</v>
      </c>
      <c r="E43" s="2">
        <v>80</v>
      </c>
      <c r="F43" s="2">
        <v>90</v>
      </c>
      <c r="G43" s="2">
        <v>50</v>
      </c>
      <c r="H43" s="2">
        <v>100</v>
      </c>
      <c r="I43" s="2">
        <v>60</v>
      </c>
      <c r="J43" s="2">
        <v>120</v>
      </c>
      <c r="K43" s="2">
        <v>100</v>
      </c>
      <c r="L43" s="2">
        <v>150</v>
      </c>
      <c r="M43" s="2">
        <v>90</v>
      </c>
      <c r="N43" s="2">
        <v>250</v>
      </c>
      <c r="O43" s="2">
        <f>SUM(C43:N43)</f>
        <v>1540</v>
      </c>
    </row>
    <row r="44" spans="2:15" x14ac:dyDescent="0.35">
      <c r="B44" t="s">
        <v>39</v>
      </c>
      <c r="C44" s="2">
        <v>18</v>
      </c>
      <c r="D44" s="2">
        <v>18</v>
      </c>
      <c r="E44" s="2">
        <v>18</v>
      </c>
      <c r="F44" s="2">
        <v>18</v>
      </c>
      <c r="G44" s="2">
        <v>18</v>
      </c>
      <c r="H44" s="2">
        <v>18</v>
      </c>
      <c r="I44" s="2">
        <v>18</v>
      </c>
      <c r="J44" s="2">
        <v>18</v>
      </c>
      <c r="K44" s="2">
        <v>18</v>
      </c>
      <c r="L44" s="2">
        <v>18</v>
      </c>
      <c r="M44" s="2">
        <v>18</v>
      </c>
      <c r="N44" s="2">
        <v>18</v>
      </c>
      <c r="O44" s="2">
        <f t="shared" ref="O44:O50" si="7">SUM(C44:N44)</f>
        <v>216</v>
      </c>
    </row>
    <row r="45" spans="2:15" x14ac:dyDescent="0.35">
      <c r="B45" t="s">
        <v>40</v>
      </c>
      <c r="C45" s="2">
        <v>18</v>
      </c>
      <c r="D45" s="2">
        <v>18</v>
      </c>
      <c r="E45" s="2">
        <v>20</v>
      </c>
      <c r="F45" s="2">
        <v>20</v>
      </c>
      <c r="G45" s="2">
        <v>20</v>
      </c>
      <c r="H45" s="2">
        <v>20</v>
      </c>
      <c r="I45" s="2">
        <v>20</v>
      </c>
      <c r="J45" s="2">
        <v>20</v>
      </c>
      <c r="K45" s="2">
        <v>20</v>
      </c>
      <c r="L45" s="2">
        <v>20</v>
      </c>
      <c r="M45" s="2">
        <v>20</v>
      </c>
      <c r="N45" s="2">
        <v>20</v>
      </c>
      <c r="O45" s="2">
        <f t="shared" si="7"/>
        <v>236</v>
      </c>
    </row>
    <row r="46" spans="2:15" x14ac:dyDescent="0.35">
      <c r="B46" t="s">
        <v>41</v>
      </c>
      <c r="C46" s="2"/>
      <c r="D46" s="2"/>
      <c r="E46" s="2"/>
      <c r="F46" s="2">
        <v>110</v>
      </c>
      <c r="G46" s="2">
        <v>110</v>
      </c>
      <c r="H46" s="2">
        <v>110</v>
      </c>
      <c r="I46" s="2">
        <v>110</v>
      </c>
      <c r="J46" s="2">
        <v>110</v>
      </c>
      <c r="K46" s="2">
        <v>110</v>
      </c>
      <c r="L46" s="2">
        <v>110</v>
      </c>
      <c r="M46" s="2">
        <v>110</v>
      </c>
      <c r="N46" s="2">
        <v>110</v>
      </c>
      <c r="O46" s="2">
        <f t="shared" si="7"/>
        <v>990</v>
      </c>
    </row>
    <row r="47" spans="2:15" x14ac:dyDescent="0.35">
      <c r="B47" t="s">
        <v>43</v>
      </c>
      <c r="C47" s="2">
        <v>3</v>
      </c>
      <c r="D47" s="2"/>
      <c r="E47" s="2"/>
      <c r="F47" s="2"/>
      <c r="G47" s="2"/>
      <c r="H47" s="2"/>
      <c r="I47" s="2">
        <v>50</v>
      </c>
      <c r="J47" s="2"/>
      <c r="K47" s="2"/>
      <c r="L47" s="2"/>
      <c r="M47" s="2"/>
      <c r="N47" s="2"/>
      <c r="O47" s="2">
        <f t="shared" si="7"/>
        <v>53</v>
      </c>
    </row>
    <row r="48" spans="2:15" x14ac:dyDescent="0.35">
      <c r="B48" t="s">
        <v>42</v>
      </c>
      <c r="C48" s="2"/>
      <c r="D48" s="2"/>
      <c r="E48" s="2"/>
      <c r="F48" s="2"/>
      <c r="G48" s="2"/>
      <c r="H48" s="2"/>
      <c r="I48" s="2">
        <v>150</v>
      </c>
      <c r="J48" s="2"/>
      <c r="K48" s="2"/>
      <c r="L48" s="2"/>
      <c r="M48" s="2"/>
      <c r="N48" s="2"/>
      <c r="O48" s="2">
        <f t="shared" si="7"/>
        <v>150</v>
      </c>
    </row>
    <row r="49" spans="2:15" x14ac:dyDescent="0.35">
      <c r="B49" t="s">
        <v>27</v>
      </c>
      <c r="C49" s="2">
        <v>216</v>
      </c>
      <c r="D49" s="2">
        <v>500</v>
      </c>
      <c r="E49" s="2"/>
      <c r="F49" s="2"/>
      <c r="G49" s="2"/>
      <c r="H49" s="2"/>
      <c r="I49" s="2"/>
      <c r="J49" s="2"/>
      <c r="K49" s="2"/>
      <c r="L49" s="2"/>
      <c r="M49" s="2">
        <v>400</v>
      </c>
      <c r="N49" s="2"/>
      <c r="O49" s="2">
        <f t="shared" si="7"/>
        <v>1116</v>
      </c>
    </row>
    <row r="50" spans="2:15" x14ac:dyDescent="0.35">
      <c r="B50" t="s">
        <v>28</v>
      </c>
      <c r="C50" s="2">
        <f>SUM(C43:C49)</f>
        <v>455</v>
      </c>
      <c r="D50" s="2">
        <f t="shared" ref="D50:N50" si="8">SUM(D43:D49)</f>
        <v>786</v>
      </c>
      <c r="E50" s="2">
        <f t="shared" si="8"/>
        <v>118</v>
      </c>
      <c r="F50" s="2">
        <f t="shared" si="8"/>
        <v>238</v>
      </c>
      <c r="G50" s="2">
        <f t="shared" si="8"/>
        <v>198</v>
      </c>
      <c r="H50" s="2">
        <f t="shared" si="8"/>
        <v>248</v>
      </c>
      <c r="I50" s="2">
        <f t="shared" si="8"/>
        <v>408</v>
      </c>
      <c r="J50" s="2">
        <f t="shared" si="8"/>
        <v>268</v>
      </c>
      <c r="K50" s="2">
        <f t="shared" si="8"/>
        <v>248</v>
      </c>
      <c r="L50" s="2">
        <f t="shared" si="8"/>
        <v>298</v>
      </c>
      <c r="M50" s="2">
        <f t="shared" si="8"/>
        <v>638</v>
      </c>
      <c r="N50" s="2">
        <f t="shared" si="8"/>
        <v>398</v>
      </c>
      <c r="O50" s="2">
        <f t="shared" si="7"/>
        <v>4301</v>
      </c>
    </row>
    <row r="51" spans="2:15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3" spans="2:15" x14ac:dyDescent="0.35">
      <c r="B53" t="s">
        <v>49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28</v>
      </c>
    </row>
    <row r="54" spans="2:15" x14ac:dyDescent="0.35">
      <c r="B54" t="s">
        <v>22</v>
      </c>
      <c r="C54">
        <v>74</v>
      </c>
      <c r="D54">
        <v>50</v>
      </c>
      <c r="E54">
        <v>150</v>
      </c>
      <c r="F54">
        <v>75</v>
      </c>
      <c r="G54">
        <v>50</v>
      </c>
      <c r="H54">
        <v>150</v>
      </c>
      <c r="I54">
        <v>250</v>
      </c>
      <c r="J54">
        <v>200</v>
      </c>
      <c r="K54">
        <v>80</v>
      </c>
      <c r="L54">
        <v>77</v>
      </c>
      <c r="M54">
        <v>68</v>
      </c>
      <c r="N54">
        <v>250</v>
      </c>
      <c r="O54" s="1">
        <f>SUM(C54:N54)</f>
        <v>1474</v>
      </c>
    </row>
    <row r="55" spans="2:15" x14ac:dyDescent="0.35">
      <c r="B55" t="s">
        <v>23</v>
      </c>
      <c r="C55" s="1"/>
      <c r="D55" s="1">
        <v>120</v>
      </c>
      <c r="E55" s="1"/>
      <c r="F55" s="1"/>
      <c r="G55" s="1">
        <v>100</v>
      </c>
      <c r="H55" s="1">
        <v>150</v>
      </c>
      <c r="I55" s="1"/>
      <c r="J55" s="1">
        <v>129</v>
      </c>
      <c r="K55" s="1">
        <v>30</v>
      </c>
      <c r="L55" s="1"/>
      <c r="M55" s="1"/>
      <c r="N55" s="1">
        <v>500</v>
      </c>
      <c r="O55" s="1">
        <f>SUM(C55:N55)</f>
        <v>1029</v>
      </c>
    </row>
    <row r="56" spans="2:15" x14ac:dyDescent="0.35">
      <c r="B56" t="s">
        <v>25</v>
      </c>
      <c r="C56" s="1">
        <v>45</v>
      </c>
      <c r="D56" s="1">
        <v>22</v>
      </c>
      <c r="E56" s="1">
        <v>62</v>
      </c>
      <c r="F56" s="1">
        <v>55</v>
      </c>
      <c r="G56" s="1">
        <v>120</v>
      </c>
      <c r="H56" s="1">
        <v>120</v>
      </c>
      <c r="I56" s="1">
        <v>100</v>
      </c>
      <c r="J56" s="1">
        <v>155</v>
      </c>
      <c r="K56" s="1">
        <v>40</v>
      </c>
      <c r="L56" s="1">
        <v>55</v>
      </c>
      <c r="M56" s="1">
        <v>45</v>
      </c>
      <c r="N56" s="1">
        <v>100</v>
      </c>
      <c r="O56" s="1">
        <f t="shared" ref="O56:O58" si="9">SUM(C56:N56)</f>
        <v>919</v>
      </c>
    </row>
    <row r="57" spans="2:15" x14ac:dyDescent="0.35">
      <c r="B57" t="s">
        <v>48</v>
      </c>
      <c r="C57" s="1"/>
      <c r="D57" s="1"/>
      <c r="E57" s="1"/>
      <c r="F57" s="1">
        <v>150</v>
      </c>
      <c r="G57" s="1">
        <v>80</v>
      </c>
      <c r="H57" s="1">
        <v>50</v>
      </c>
      <c r="I57" s="1">
        <v>250</v>
      </c>
      <c r="J57" s="1">
        <v>89</v>
      </c>
      <c r="K57" s="1">
        <v>50</v>
      </c>
      <c r="L57" s="1"/>
      <c r="M57" s="1"/>
      <c r="N57" s="1">
        <v>500</v>
      </c>
      <c r="O57" s="1">
        <f t="shared" si="9"/>
        <v>1169</v>
      </c>
    </row>
    <row r="58" spans="2:15" x14ac:dyDescent="0.35">
      <c r="B58" t="s">
        <v>27</v>
      </c>
      <c r="C58" s="1"/>
      <c r="D58" s="1">
        <v>100</v>
      </c>
      <c r="E58" s="1"/>
      <c r="F58" s="1"/>
      <c r="G58" s="1"/>
      <c r="H58" s="1"/>
      <c r="I58" s="1"/>
      <c r="J58" s="1">
        <v>289</v>
      </c>
      <c r="K58" s="1"/>
      <c r="L58" s="1"/>
      <c r="M58" s="1"/>
      <c r="N58" s="1"/>
      <c r="O58" s="1">
        <f t="shared" si="9"/>
        <v>389</v>
      </c>
    </row>
    <row r="59" spans="2:15" x14ac:dyDescent="0.35">
      <c r="B59" t="s">
        <v>28</v>
      </c>
      <c r="C59" s="1">
        <f>SUM(C54:C58)</f>
        <v>119</v>
      </c>
      <c r="D59" s="1">
        <f t="shared" ref="D59:O59" si="10">SUM(D54:D58)</f>
        <v>292</v>
      </c>
      <c r="E59" s="1">
        <f t="shared" si="10"/>
        <v>212</v>
      </c>
      <c r="F59" s="1">
        <f t="shared" si="10"/>
        <v>280</v>
      </c>
      <c r="G59" s="1">
        <f t="shared" si="10"/>
        <v>350</v>
      </c>
      <c r="H59" s="1">
        <f t="shared" si="10"/>
        <v>470</v>
      </c>
      <c r="I59" s="1">
        <f t="shared" si="10"/>
        <v>600</v>
      </c>
      <c r="J59" s="1">
        <f t="shared" si="10"/>
        <v>862</v>
      </c>
      <c r="K59" s="1">
        <f t="shared" si="10"/>
        <v>200</v>
      </c>
      <c r="L59" s="1">
        <f t="shared" si="10"/>
        <v>132</v>
      </c>
      <c r="M59" s="1">
        <f t="shared" si="10"/>
        <v>113</v>
      </c>
      <c r="N59" s="1">
        <f t="shared" si="10"/>
        <v>1350</v>
      </c>
      <c r="O59" s="1">
        <f t="shared" si="10"/>
        <v>4980</v>
      </c>
    </row>
    <row r="63" spans="2:15" x14ac:dyDescent="0.35">
      <c r="B63" t="s">
        <v>53</v>
      </c>
      <c r="C63" s="1">
        <f>SUM(Rent_jan,Food_Jan,pet_jan,pers_jan,Bills_Jan,subs_jan,transp_jan,want_jan)</f>
        <v>1851</v>
      </c>
      <c r="D63" s="1">
        <f>SUM(Table5[Feb],Bills_Feb,subs_feb,transp_feb,want_feb)</f>
        <v>2260</v>
      </c>
      <c r="E63" s="1">
        <f>SUM(Rent_Mar,Food_Mar,pet_mar,pers_mar,Bills_mar,subs_mar,transp_mar,want_mar)</f>
        <v>1612</v>
      </c>
      <c r="F63" s="1">
        <f>SUM(Rent_Apr,Food_Apr,pet_apr,pers_apr,Bills_apr,subs_apr,transp_apr,want_apr)</f>
        <v>1960</v>
      </c>
      <c r="G63" s="1">
        <f>SUM(Rent_May,Food_May,pet_may,pers_may,Bills_may,subs_may,transp_may,want_may)</f>
        <v>1540</v>
      </c>
      <c r="H63" s="1">
        <f>SUM(Rent_Jun,Food_Jun,pet_jun,pers_jun,Bills_jun,subs_jun,transp_jun,want_jun)</f>
        <v>1710</v>
      </c>
      <c r="I63" s="1">
        <f>SUM(Rent_Jul,Food_Jul,pet_jul,pers_jul,Bills_Jul,subs_jul,transp_jul,want_jul)</f>
        <v>2000</v>
      </c>
      <c r="J63" s="1">
        <f>SUM(Rent_Aug,Food_Aug,pet_aug,pers_aug,Bills_Aug,subs_aug,transp_aug,want_aug)</f>
        <v>2122</v>
      </c>
      <c r="K63" s="1">
        <f>SUM(Rent_sept,Food_Sept,pet_sept,pers_sept,Bills_Sept,subs_sept,transp_sept,want_sept)</f>
        <v>1440</v>
      </c>
      <c r="L63" s="1">
        <f>SUM(Rent_oct,Food_Oct,pet_oct,pers_oct,Bills_oct,subs_oct,transp_oct,want_oct)</f>
        <v>1422</v>
      </c>
      <c r="M63" s="1">
        <f>SUM(Rent_nov,Food_nov,pet_nov,pers_nov,Bills_nov,subs_nov,transp_nov,want_nov)</f>
        <v>1743</v>
      </c>
      <c r="N63" s="1">
        <f>SUM(Rent_dec,Food_dec,pet_dec,pers_dec,Bills_dec,subs_dec,transp_dec,want_dec,)</f>
        <v>2740</v>
      </c>
      <c r="O63" s="1">
        <f>SUM(Rent_total,food_total,pet_total,pers_total,Bills_total,subs_total,transp_total,want_total)</f>
        <v>22400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ADC1-9975-44D6-9AF4-AB9D91A26A4C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inc_sept</f>
        <v>2990</v>
      </c>
      <c r="E6" s="11"/>
      <c r="F6" s="9"/>
    </row>
    <row r="7" spans="1:6" ht="23.5" x14ac:dyDescent="0.55000000000000004">
      <c r="A7" s="5" t="s">
        <v>15</v>
      </c>
      <c r="B7" s="6">
        <f>sav_sept</f>
        <v>450</v>
      </c>
      <c r="E7" s="9"/>
    </row>
    <row r="8" spans="1:6" ht="23.5" x14ac:dyDescent="0.55000000000000004">
      <c r="A8" s="5" t="s">
        <v>1</v>
      </c>
      <c r="B8" s="6">
        <f>exp_sept</f>
        <v>1440</v>
      </c>
    </row>
    <row r="9" spans="1:6" ht="23.5" x14ac:dyDescent="0.55000000000000004">
      <c r="A9" s="5" t="s">
        <v>54</v>
      </c>
      <c r="B9" s="6">
        <f>B6-SUM(B7:B8)</f>
        <v>1100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Rent_sept</f>
        <v>700</v>
      </c>
    </row>
    <row r="14" spans="1:6" ht="18.5" x14ac:dyDescent="0.45">
      <c r="A14" s="7" t="s">
        <v>19</v>
      </c>
      <c r="B14" s="8">
        <f>pet_sept</f>
        <v>0</v>
      </c>
    </row>
    <row r="15" spans="1:6" ht="18.5" x14ac:dyDescent="0.45">
      <c r="A15" s="7" t="s">
        <v>20</v>
      </c>
      <c r="B15" s="8">
        <f>Food_Sept</f>
        <v>0</v>
      </c>
    </row>
    <row r="16" spans="1:6" ht="18.5" x14ac:dyDescent="0.45">
      <c r="A16" s="7" t="s">
        <v>21</v>
      </c>
      <c r="B16" s="8">
        <f>pers_sept</f>
        <v>0</v>
      </c>
    </row>
    <row r="17" spans="1:11" ht="18.5" x14ac:dyDescent="0.45">
      <c r="A17" s="7" t="s">
        <v>17</v>
      </c>
      <c r="B17" s="8">
        <f>Bills_Sept</f>
        <v>233</v>
      </c>
    </row>
    <row r="18" spans="1:11" ht="18.5" x14ac:dyDescent="0.45">
      <c r="A18" s="7" t="s">
        <v>24</v>
      </c>
      <c r="B18" s="8">
        <f>subs_sept</f>
        <v>59</v>
      </c>
    </row>
    <row r="19" spans="1:11" ht="19.5" customHeight="1" x14ac:dyDescent="0.45">
      <c r="A19" s="7" t="s">
        <v>18</v>
      </c>
      <c r="B19" s="8">
        <f>transp_sept</f>
        <v>248</v>
      </c>
    </row>
    <row r="20" spans="1:11" ht="18" customHeight="1" x14ac:dyDescent="0.8">
      <c r="A20" s="7" t="s">
        <v>49</v>
      </c>
      <c r="B20" s="8">
        <f>want_sept</f>
        <v>200</v>
      </c>
      <c r="K20" s="11"/>
    </row>
    <row r="21" spans="1:11" ht="36" x14ac:dyDescent="0.8">
      <c r="A21" s="7" t="s">
        <v>28</v>
      </c>
      <c r="B21" s="8">
        <f>exp_sept</f>
        <v>1440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50" priority="5" operator="containsText" text="This needs some attention">
      <formula>NOT(ISERROR(SEARCH("This needs some attention",E6)))</formula>
    </cfRule>
    <cfRule type="containsText" dxfId="49" priority="6" operator="containsText" text="Well done!">
      <formula>NOT(ISERROR(SEARCH("Well done!",E6)))</formula>
    </cfRule>
  </conditionalFormatting>
  <conditionalFormatting sqref="K20">
    <cfRule type="containsText" dxfId="48" priority="3" operator="containsText" text="This needs some attention">
      <formula>NOT(ISERROR(SEARCH("This needs some attention",K20)))</formula>
    </cfRule>
    <cfRule type="containsText" dxfId="47" priority="4" operator="containsText" text="Well done!">
      <formula>NOT(ISERROR(SEARCH("Well done!",K20)))</formula>
    </cfRule>
  </conditionalFormatting>
  <conditionalFormatting sqref="K21">
    <cfRule type="containsText" dxfId="46" priority="1" operator="containsText" text="This needs some attention.">
      <formula>NOT(ISERROR(SEARCH("This needs some attention.",K21)))</formula>
    </cfRule>
    <cfRule type="containsText" dxfId="45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C67E-383F-4F72-9DE0-8959E1334ED2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inc_oct</f>
        <v>3100</v>
      </c>
      <c r="E6" s="11"/>
      <c r="F6" s="9"/>
    </row>
    <row r="7" spans="1:6" ht="23.5" x14ac:dyDescent="0.55000000000000004">
      <c r="A7" s="5" t="s">
        <v>15</v>
      </c>
      <c r="B7" s="6">
        <f>sav_oct</f>
        <v>550</v>
      </c>
      <c r="E7" s="9"/>
    </row>
    <row r="8" spans="1:6" ht="23.5" x14ac:dyDescent="0.55000000000000004">
      <c r="A8" s="5" t="s">
        <v>1</v>
      </c>
      <c r="B8" s="6">
        <f>exp_oct</f>
        <v>1422</v>
      </c>
    </row>
    <row r="9" spans="1:6" ht="23.5" x14ac:dyDescent="0.55000000000000004">
      <c r="A9" s="5" t="s">
        <v>54</v>
      </c>
      <c r="B9" s="6">
        <f>B6-SUM(B7:B8)</f>
        <v>1128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Rent_oct</f>
        <v>700</v>
      </c>
    </row>
    <row r="14" spans="1:6" ht="18.5" x14ac:dyDescent="0.45">
      <c r="A14" s="7" t="s">
        <v>19</v>
      </c>
      <c r="B14" s="8">
        <f>pet_oct</f>
        <v>0</v>
      </c>
    </row>
    <row r="15" spans="1:6" ht="18.5" x14ac:dyDescent="0.45">
      <c r="A15" s="7" t="s">
        <v>20</v>
      </c>
      <c r="B15" s="8">
        <f>Food_Oct</f>
        <v>0</v>
      </c>
    </row>
    <row r="16" spans="1:6" ht="18.5" x14ac:dyDescent="0.45">
      <c r="A16" s="7" t="s">
        <v>21</v>
      </c>
      <c r="B16" s="8">
        <f>pers_oct</f>
        <v>0</v>
      </c>
    </row>
    <row r="17" spans="1:11" ht="18.5" x14ac:dyDescent="0.45">
      <c r="A17" s="7" t="s">
        <v>17</v>
      </c>
      <c r="B17" s="8">
        <f>Bills_oct</f>
        <v>233</v>
      </c>
    </row>
    <row r="18" spans="1:11" ht="18.5" x14ac:dyDescent="0.45">
      <c r="A18" s="7" t="s">
        <v>24</v>
      </c>
      <c r="B18" s="8">
        <f>subs_oct</f>
        <v>59</v>
      </c>
    </row>
    <row r="19" spans="1:11" ht="19.5" customHeight="1" x14ac:dyDescent="0.45">
      <c r="A19" s="7" t="s">
        <v>18</v>
      </c>
      <c r="B19" s="8">
        <f>transp_oct</f>
        <v>298</v>
      </c>
    </row>
    <row r="20" spans="1:11" ht="18" customHeight="1" x14ac:dyDescent="0.8">
      <c r="A20" s="7" t="s">
        <v>49</v>
      </c>
      <c r="B20" s="8">
        <f>want_oct</f>
        <v>132</v>
      </c>
      <c r="K20" s="11"/>
    </row>
    <row r="21" spans="1:11" ht="36" x14ac:dyDescent="0.8">
      <c r="A21" s="7" t="s">
        <v>28</v>
      </c>
      <c r="B21" s="8">
        <f>exp_oct</f>
        <v>1422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44" priority="5" operator="containsText" text="This needs some attention">
      <formula>NOT(ISERROR(SEARCH("This needs some attention",E6)))</formula>
    </cfRule>
    <cfRule type="containsText" dxfId="43" priority="6" operator="containsText" text="Well done!">
      <formula>NOT(ISERROR(SEARCH("Well done!",E6)))</formula>
    </cfRule>
  </conditionalFormatting>
  <conditionalFormatting sqref="K20">
    <cfRule type="containsText" dxfId="42" priority="3" operator="containsText" text="This needs some attention">
      <formula>NOT(ISERROR(SEARCH("This needs some attention",K20)))</formula>
    </cfRule>
    <cfRule type="containsText" dxfId="41" priority="4" operator="containsText" text="Well done!">
      <formula>NOT(ISERROR(SEARCH("Well done!",K20)))</formula>
    </cfRule>
  </conditionalFormatting>
  <conditionalFormatting sqref="K21">
    <cfRule type="containsText" dxfId="40" priority="1" operator="containsText" text="This needs some attention.">
      <formula>NOT(ISERROR(SEARCH("This needs some attention.",K21)))</formula>
    </cfRule>
    <cfRule type="containsText" dxfId="39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5DF2-54C2-457C-8CB2-42C8EBAB6AF9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inc_nov</f>
        <v>3000</v>
      </c>
      <c r="E6" s="11"/>
      <c r="F6" s="9"/>
    </row>
    <row r="7" spans="1:6" ht="23.5" x14ac:dyDescent="0.55000000000000004">
      <c r="A7" s="5" t="s">
        <v>15</v>
      </c>
      <c r="B7" s="6">
        <f>sav_nov</f>
        <v>650</v>
      </c>
      <c r="E7" s="9"/>
    </row>
    <row r="8" spans="1:6" ht="23.5" x14ac:dyDescent="0.55000000000000004">
      <c r="A8" s="5" t="s">
        <v>1</v>
      </c>
      <c r="B8" s="6">
        <f>exp_nov</f>
        <v>1743</v>
      </c>
    </row>
    <row r="9" spans="1:6" ht="23.5" x14ac:dyDescent="0.55000000000000004">
      <c r="A9" s="5" t="s">
        <v>54</v>
      </c>
      <c r="B9" s="6">
        <f>B6-SUM(B7:B8)</f>
        <v>607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Rent_nov</f>
        <v>700</v>
      </c>
    </row>
    <row r="14" spans="1:6" ht="18.5" x14ac:dyDescent="0.45">
      <c r="A14" s="7" t="s">
        <v>19</v>
      </c>
      <c r="B14" s="8">
        <f>pet_nov</f>
        <v>0</v>
      </c>
    </row>
    <row r="15" spans="1:6" ht="18.5" x14ac:dyDescent="0.45">
      <c r="A15" s="7" t="s">
        <v>20</v>
      </c>
      <c r="B15" s="8">
        <f>Food_nov</f>
        <v>0</v>
      </c>
    </row>
    <row r="16" spans="1:6" ht="18.5" x14ac:dyDescent="0.45">
      <c r="A16" s="7" t="s">
        <v>21</v>
      </c>
      <c r="B16" s="8">
        <f>pers_nov</f>
        <v>0</v>
      </c>
    </row>
    <row r="17" spans="1:11" ht="18.5" x14ac:dyDescent="0.45">
      <c r="A17" s="7" t="s">
        <v>17</v>
      </c>
      <c r="B17" s="8">
        <f>Bills_nov</f>
        <v>233</v>
      </c>
    </row>
    <row r="18" spans="1:11" ht="18.5" x14ac:dyDescent="0.45">
      <c r="A18" s="7" t="s">
        <v>24</v>
      </c>
      <c r="B18" s="8">
        <f>subs_nov</f>
        <v>59</v>
      </c>
    </row>
    <row r="19" spans="1:11" ht="19.5" customHeight="1" x14ac:dyDescent="0.45">
      <c r="A19" s="7" t="s">
        <v>18</v>
      </c>
      <c r="B19" s="8">
        <f>transp_nov</f>
        <v>638</v>
      </c>
    </row>
    <row r="20" spans="1:11" ht="18" customHeight="1" x14ac:dyDescent="0.8">
      <c r="A20" s="7" t="s">
        <v>49</v>
      </c>
      <c r="B20" s="8">
        <f>want_nov</f>
        <v>113</v>
      </c>
      <c r="K20" s="11"/>
    </row>
    <row r="21" spans="1:11" ht="36" x14ac:dyDescent="0.8">
      <c r="A21" s="7" t="s">
        <v>28</v>
      </c>
      <c r="B21" s="8">
        <f>exp_nov</f>
        <v>1743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38" priority="5" operator="containsText" text="This needs some attention">
      <formula>NOT(ISERROR(SEARCH("This needs some attention",E6)))</formula>
    </cfRule>
    <cfRule type="containsText" dxfId="37" priority="6" operator="containsText" text="Well done!">
      <formula>NOT(ISERROR(SEARCH("Well done!",E6)))</formula>
    </cfRule>
  </conditionalFormatting>
  <conditionalFormatting sqref="K20">
    <cfRule type="containsText" dxfId="36" priority="3" operator="containsText" text="This needs some attention">
      <formula>NOT(ISERROR(SEARCH("This needs some attention",K20)))</formula>
    </cfRule>
    <cfRule type="containsText" dxfId="35" priority="4" operator="containsText" text="Well done!">
      <formula>NOT(ISERROR(SEARCH("Well done!",K20)))</formula>
    </cfRule>
  </conditionalFormatting>
  <conditionalFormatting sqref="K21">
    <cfRule type="containsText" dxfId="34" priority="1" operator="containsText" text="This needs some attention.">
      <formula>NOT(ISERROR(SEARCH("This needs some attention.",K21)))</formula>
    </cfRule>
    <cfRule type="containsText" dxfId="33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96D-771F-4D4A-ADA6-20FF5961F067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inc_dec</f>
        <v>3200</v>
      </c>
      <c r="E6" s="11"/>
      <c r="F6" s="9"/>
    </row>
    <row r="7" spans="1:6" ht="23.5" x14ac:dyDescent="0.55000000000000004">
      <c r="A7" s="5" t="s">
        <v>15</v>
      </c>
      <c r="B7" s="6">
        <f>sav_dec</f>
        <v>550</v>
      </c>
      <c r="E7" s="9"/>
    </row>
    <row r="8" spans="1:6" ht="23.5" x14ac:dyDescent="0.55000000000000004">
      <c r="A8" s="5" t="s">
        <v>1</v>
      </c>
      <c r="B8" s="6">
        <f>exp_dec</f>
        <v>2740</v>
      </c>
    </row>
    <row r="9" spans="1:6" ht="23.5" x14ac:dyDescent="0.55000000000000004">
      <c r="A9" s="5" t="s">
        <v>54</v>
      </c>
      <c r="B9" s="6">
        <f>B6-SUM(B7:B8)</f>
        <v>-90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Rent_dec</f>
        <v>700</v>
      </c>
    </row>
    <row r="14" spans="1:6" ht="18.5" x14ac:dyDescent="0.45">
      <c r="A14" s="7" t="s">
        <v>19</v>
      </c>
      <c r="B14" s="8">
        <f>pet_dec</f>
        <v>0</v>
      </c>
    </row>
    <row r="15" spans="1:6" ht="18.5" x14ac:dyDescent="0.45">
      <c r="A15" s="7" t="s">
        <v>20</v>
      </c>
      <c r="B15" s="8">
        <f>Food_dec</f>
        <v>0</v>
      </c>
    </row>
    <row r="16" spans="1:6" ht="18.5" x14ac:dyDescent="0.45">
      <c r="A16" s="7" t="s">
        <v>21</v>
      </c>
      <c r="B16" s="8">
        <f>pers_dec</f>
        <v>0</v>
      </c>
    </row>
    <row r="17" spans="1:11" ht="18.5" x14ac:dyDescent="0.45">
      <c r="A17" s="7" t="s">
        <v>17</v>
      </c>
      <c r="B17" s="8">
        <f>Bills_dec</f>
        <v>233</v>
      </c>
    </row>
    <row r="18" spans="1:11" ht="18.5" x14ac:dyDescent="0.45">
      <c r="A18" s="7" t="s">
        <v>24</v>
      </c>
      <c r="B18" s="8">
        <f>subs_dec</f>
        <v>59</v>
      </c>
    </row>
    <row r="19" spans="1:11" ht="19.5" customHeight="1" x14ac:dyDescent="0.45">
      <c r="A19" s="7" t="s">
        <v>18</v>
      </c>
      <c r="B19" s="8">
        <f>transp_dec</f>
        <v>398</v>
      </c>
    </row>
    <row r="20" spans="1:11" ht="18" customHeight="1" x14ac:dyDescent="0.8">
      <c r="A20" s="7" t="s">
        <v>49</v>
      </c>
      <c r="B20" s="8">
        <f>want_dec</f>
        <v>1350</v>
      </c>
      <c r="K20" s="11"/>
    </row>
    <row r="21" spans="1:11" ht="36" x14ac:dyDescent="0.8">
      <c r="A21" s="7" t="s">
        <v>28</v>
      </c>
      <c r="B21" s="8">
        <f>exp_dec</f>
        <v>2740</v>
      </c>
      <c r="K21" s="10" t="str">
        <f>IF(B9&gt;=0,"Well done!","This needs some attention.")</f>
        <v>This needs some attention.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32" priority="5" operator="containsText" text="This needs some attention">
      <formula>NOT(ISERROR(SEARCH("This needs some attention",E6)))</formula>
    </cfRule>
    <cfRule type="containsText" dxfId="31" priority="6" operator="containsText" text="Well done!">
      <formula>NOT(ISERROR(SEARCH("Well done!",E6)))</formula>
    </cfRule>
  </conditionalFormatting>
  <conditionalFormatting sqref="K20">
    <cfRule type="containsText" dxfId="30" priority="3" operator="containsText" text="This needs some attention">
      <formula>NOT(ISERROR(SEARCH("This needs some attention",K20)))</formula>
    </cfRule>
    <cfRule type="containsText" dxfId="29" priority="4" operator="containsText" text="Well done!">
      <formula>NOT(ISERROR(SEARCH("Well done!",K20)))</formula>
    </cfRule>
  </conditionalFormatting>
  <conditionalFormatting sqref="K21">
    <cfRule type="containsText" dxfId="28" priority="1" operator="containsText" text="This needs some attention.">
      <formula>NOT(ISERROR(SEARCH("This needs some attention.",K21)))</formula>
    </cfRule>
    <cfRule type="containsText" dxfId="27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97BA-4D8C-4320-9789-909A65EDFA5A}">
  <dimension ref="B6:H18"/>
  <sheetViews>
    <sheetView showGridLines="0" tabSelected="1" workbookViewId="0">
      <selection activeCell="L25" sqref="L25"/>
    </sheetView>
  </sheetViews>
  <sheetFormatPr defaultRowHeight="14.5" x14ac:dyDescent="0.35"/>
  <cols>
    <col min="1" max="1" width="4.6328125" customWidth="1"/>
    <col min="2" max="2" width="25.90625" bestFit="1" customWidth="1"/>
    <col min="3" max="3" width="13.36328125" bestFit="1" customWidth="1"/>
    <col min="4" max="4" width="13.26953125" bestFit="1" customWidth="1"/>
    <col min="5" max="5" width="11.81640625" bestFit="1" customWidth="1"/>
    <col min="7" max="7" width="25.90625" bestFit="1" customWidth="1"/>
    <col min="8" max="8" width="13.36328125" bestFit="1" customWidth="1"/>
    <col min="9" max="9" width="10.81640625" customWidth="1"/>
    <col min="10" max="10" width="9.36328125" customWidth="1"/>
  </cols>
  <sheetData>
    <row r="6" spans="2:8" ht="21.5" thickBot="1" x14ac:dyDescent="0.55000000000000004">
      <c r="B6" s="14" t="s">
        <v>55</v>
      </c>
      <c r="C6" s="14" t="s">
        <v>56</v>
      </c>
      <c r="D6" s="14" t="s">
        <v>57</v>
      </c>
      <c r="E6" s="14" t="s">
        <v>58</v>
      </c>
    </row>
    <row r="7" spans="2:8" ht="18.5" x14ac:dyDescent="0.45">
      <c r="B7" s="13" t="s">
        <v>59</v>
      </c>
      <c r="C7" s="3">
        <f>inc_jan</f>
        <v>2500</v>
      </c>
      <c r="D7" s="3">
        <f>exp_jan</f>
        <v>1851</v>
      </c>
      <c r="E7" s="3">
        <f>sav_jan</f>
        <v>350</v>
      </c>
      <c r="G7" s="15" t="s">
        <v>73</v>
      </c>
      <c r="H7" s="16" t="str">
        <f>INDEX(Table31[MONTH],MATCH(MAX(Table31[INCOME]),Table31[INCOME]))</f>
        <v>JUNE</v>
      </c>
    </row>
    <row r="8" spans="2:8" ht="18.5" x14ac:dyDescent="0.45">
      <c r="B8" s="13" t="s">
        <v>60</v>
      </c>
      <c r="C8" s="3">
        <f>inc_feb</f>
        <v>2000</v>
      </c>
      <c r="D8" s="3">
        <f>exp_feb</f>
        <v>2260</v>
      </c>
      <c r="E8" s="3">
        <f>sav_feb</f>
        <v>150</v>
      </c>
      <c r="G8" s="17" t="s">
        <v>72</v>
      </c>
      <c r="H8" s="18" t="str">
        <f>INDEX(Table31[MONTH],MATCH(MAX(Table31[EXPENSES]),Table31[EXPENSES]))</f>
        <v>DECEMBER</v>
      </c>
    </row>
    <row r="9" spans="2:8" ht="19" thickBot="1" x14ac:dyDescent="0.5">
      <c r="B9" s="13" t="s">
        <v>61</v>
      </c>
      <c r="C9" s="3">
        <f>inc_mar</f>
        <v>2800</v>
      </c>
      <c r="D9" s="3">
        <f>exp_mar</f>
        <v>1612</v>
      </c>
      <c r="E9" s="3">
        <f>sav_mar</f>
        <v>350</v>
      </c>
      <c r="G9" s="19" t="s">
        <v>71</v>
      </c>
      <c r="H9" s="20" t="str">
        <f>INDEX(Table31[MONTH],MATCH(MAX(Table31[SAVINGS]),Table31[SAVINGS]))</f>
        <v>JUNE</v>
      </c>
    </row>
    <row r="10" spans="2:8" ht="18.5" x14ac:dyDescent="0.45">
      <c r="B10" s="13" t="s">
        <v>62</v>
      </c>
      <c r="C10" s="3">
        <f>inc_apr</f>
        <v>2900</v>
      </c>
      <c r="D10" s="3">
        <f>exp_apr</f>
        <v>1960</v>
      </c>
      <c r="E10" s="3">
        <f>sav_apr</f>
        <v>450</v>
      </c>
    </row>
    <row r="11" spans="2:8" ht="18.5" x14ac:dyDescent="0.45">
      <c r="B11" s="13" t="s">
        <v>63</v>
      </c>
      <c r="C11" s="3">
        <f>inc_may</f>
        <v>2900</v>
      </c>
      <c r="D11" s="3">
        <f>exp_may</f>
        <v>1540</v>
      </c>
      <c r="E11" s="3">
        <f>sav_may</f>
        <v>450</v>
      </c>
    </row>
    <row r="12" spans="2:8" ht="18.5" x14ac:dyDescent="0.45">
      <c r="B12" s="13" t="s">
        <v>64</v>
      </c>
      <c r="C12" s="3">
        <f>inc_jun</f>
        <v>3600</v>
      </c>
      <c r="D12" s="3">
        <f>exp_jun</f>
        <v>1710</v>
      </c>
      <c r="E12" s="3">
        <f>sav_jun</f>
        <v>850</v>
      </c>
    </row>
    <row r="13" spans="2:8" ht="18.5" x14ac:dyDescent="0.45">
      <c r="B13" s="13" t="s">
        <v>65</v>
      </c>
      <c r="C13" s="3">
        <f>inc_jul</f>
        <v>2950</v>
      </c>
      <c r="D13" s="3">
        <f>exp_jul</f>
        <v>2000</v>
      </c>
      <c r="E13" s="3">
        <f>sav_jul</f>
        <v>450</v>
      </c>
    </row>
    <row r="14" spans="2:8" ht="18.5" x14ac:dyDescent="0.45">
      <c r="B14" s="13" t="s">
        <v>66</v>
      </c>
      <c r="C14" s="3">
        <f>inc_aug</f>
        <v>2780</v>
      </c>
      <c r="D14" s="3">
        <f>exp_aug</f>
        <v>2122</v>
      </c>
      <c r="E14" s="3">
        <f>sav_aug</f>
        <v>350</v>
      </c>
    </row>
    <row r="15" spans="2:8" ht="18.5" x14ac:dyDescent="0.45">
      <c r="B15" s="13" t="s">
        <v>67</v>
      </c>
      <c r="C15" s="3">
        <f>inc_sept</f>
        <v>2990</v>
      </c>
      <c r="D15" s="3">
        <f>exp_sept</f>
        <v>1440</v>
      </c>
      <c r="E15" s="3">
        <f>sav_sept</f>
        <v>450</v>
      </c>
    </row>
    <row r="16" spans="2:8" ht="18.5" x14ac:dyDescent="0.45">
      <c r="B16" s="13" t="s">
        <v>68</v>
      </c>
      <c r="C16" s="3">
        <f>inc_oct</f>
        <v>3100</v>
      </c>
      <c r="D16" s="3">
        <f>exp_oct</f>
        <v>1422</v>
      </c>
      <c r="E16" s="3">
        <f>sav_oct</f>
        <v>550</v>
      </c>
    </row>
    <row r="17" spans="2:5" ht="18.5" x14ac:dyDescent="0.45">
      <c r="B17" s="13" t="s">
        <v>69</v>
      </c>
      <c r="C17" s="3">
        <f>inc_nov</f>
        <v>3000</v>
      </c>
      <c r="D17" s="3">
        <f>exp_nov</f>
        <v>1743</v>
      </c>
      <c r="E17" s="3">
        <f>sav_nov</f>
        <v>650</v>
      </c>
    </row>
    <row r="18" spans="2:5" ht="18.5" x14ac:dyDescent="0.45">
      <c r="B18" s="13" t="s">
        <v>70</v>
      </c>
      <c r="C18" s="3">
        <f>inc_dec</f>
        <v>3200</v>
      </c>
      <c r="D18" s="3">
        <f>exp_dec</f>
        <v>2740</v>
      </c>
      <c r="E18" s="3">
        <f>sav_dec</f>
        <v>550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1C5F-751D-41B6-AD85-932EDE02FCE5}">
  <dimension ref="A6:K21"/>
  <sheetViews>
    <sheetView showGridLines="0" workbookViewId="0">
      <selection activeCell="C28" sqref="C28"/>
    </sheetView>
  </sheetViews>
  <sheetFormatPr defaultRowHeight="14.5" x14ac:dyDescent="0.35"/>
  <cols>
    <col min="1" max="1" width="18" bestFit="1" customWidth="1"/>
    <col min="2" max="2" width="14.453125" bestFit="1" customWidth="1"/>
    <col min="5" max="5" width="11.08984375" customWidth="1"/>
    <col min="6" max="6" width="11.90625" bestFit="1" customWidth="1"/>
    <col min="11" max="11" width="59.08984375" customWidth="1"/>
  </cols>
  <sheetData>
    <row r="6" spans="1:6" ht="36" x14ac:dyDescent="0.8">
      <c r="A6" s="5" t="s">
        <v>0</v>
      </c>
      <c r="B6" s="6">
        <f>inc_jan</f>
        <v>2500</v>
      </c>
      <c r="E6" s="11"/>
      <c r="F6" s="9"/>
    </row>
    <row r="7" spans="1:6" ht="23.5" x14ac:dyDescent="0.55000000000000004">
      <c r="A7" s="5" t="s">
        <v>15</v>
      </c>
      <c r="B7" s="6">
        <f>sav_jan</f>
        <v>350</v>
      </c>
      <c r="E7" s="9"/>
    </row>
    <row r="8" spans="1:6" ht="23.5" x14ac:dyDescent="0.55000000000000004">
      <c r="A8" s="5" t="s">
        <v>1</v>
      </c>
      <c r="B8" s="6">
        <f>exp_jan</f>
        <v>1851</v>
      </c>
    </row>
    <row r="9" spans="1:6" ht="23.5" x14ac:dyDescent="0.55000000000000004">
      <c r="A9" s="5" t="s">
        <v>54</v>
      </c>
      <c r="B9" s="6">
        <f>B6-SUM(B7:B8)</f>
        <v>299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Rent_jan</f>
        <v>695</v>
      </c>
    </row>
    <row r="14" spans="1:6" ht="18.5" x14ac:dyDescent="0.45">
      <c r="A14" s="7" t="s">
        <v>19</v>
      </c>
      <c r="B14" s="8">
        <f>pet_jan</f>
        <v>15</v>
      </c>
    </row>
    <row r="15" spans="1:6" ht="18.5" x14ac:dyDescent="0.45">
      <c r="A15" s="7" t="s">
        <v>20</v>
      </c>
      <c r="B15" s="8">
        <f>Food_Jan</f>
        <v>100</v>
      </c>
    </row>
    <row r="16" spans="1:6" ht="18.5" x14ac:dyDescent="0.45">
      <c r="A16" s="7" t="s">
        <v>21</v>
      </c>
      <c r="B16" s="8">
        <f>pers_jan</f>
        <v>150</v>
      </c>
    </row>
    <row r="17" spans="1:11" ht="18.5" x14ac:dyDescent="0.45">
      <c r="A17" s="7" t="s">
        <v>17</v>
      </c>
      <c r="B17" s="8">
        <f>Bills_Jan</f>
        <v>258</v>
      </c>
    </row>
    <row r="18" spans="1:11" ht="20.5" customHeight="1" x14ac:dyDescent="0.45">
      <c r="A18" s="7" t="s">
        <v>24</v>
      </c>
      <c r="B18" s="8">
        <f>subs_jan</f>
        <v>59</v>
      </c>
    </row>
    <row r="19" spans="1:11" ht="18.5" x14ac:dyDescent="0.45">
      <c r="A19" s="7" t="s">
        <v>18</v>
      </c>
      <c r="B19" s="8">
        <f>transp_jan</f>
        <v>455</v>
      </c>
    </row>
    <row r="20" spans="1:11" ht="19.5" customHeight="1" x14ac:dyDescent="0.8">
      <c r="A20" s="7" t="s">
        <v>49</v>
      </c>
      <c r="B20" s="8">
        <f>want_jan</f>
        <v>119</v>
      </c>
      <c r="K20" s="11"/>
    </row>
    <row r="21" spans="1:11" ht="36" x14ac:dyDescent="0.8">
      <c r="A21" s="7" t="s">
        <v>28</v>
      </c>
      <c r="B21" s="8">
        <f>exp_jan</f>
        <v>1851</v>
      </c>
      <c r="K21" s="12" t="str">
        <f>IF(B10&gt;=0,"Well done!","This needs some attention.")</f>
        <v>Well done!</v>
      </c>
    </row>
  </sheetData>
  <conditionalFormatting sqref="B13: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98" priority="3" operator="containsText" text="This needs some attention">
      <formula>NOT(ISERROR(SEARCH("This needs some attention",E6)))</formula>
    </cfRule>
    <cfRule type="containsText" dxfId="97" priority="4" operator="containsText" text="Well done!">
      <formula>NOT(ISERROR(SEARCH("Well done!",E6)))</formula>
    </cfRule>
  </conditionalFormatting>
  <conditionalFormatting sqref="K20:K21">
    <cfRule type="containsText" dxfId="96" priority="1" operator="containsText" text="This needs some attention.">
      <formula>NOT(ISERROR(SEARCH("This needs some attention.",K20)))</formula>
    </cfRule>
    <cfRule type="containsText" dxfId="95" priority="2" operator="containsText" text="Well done!">
      <formula>NOT(ISERROR(SEARCH("Well done!",K20)))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AB18-E0A9-4E5E-9BC1-2B465B94FBFF}">
  <dimension ref="A6:K21"/>
  <sheetViews>
    <sheetView showGridLines="0" workbookViewId="0">
      <selection activeCell="B9" sqref="B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inc_feb</f>
        <v>2000</v>
      </c>
      <c r="E6" s="11"/>
      <c r="F6" s="9"/>
    </row>
    <row r="7" spans="1:6" ht="23.5" x14ac:dyDescent="0.55000000000000004">
      <c r="A7" s="5" t="s">
        <v>15</v>
      </c>
      <c r="B7" s="6">
        <f>sav_feb</f>
        <v>150</v>
      </c>
      <c r="E7" s="9"/>
    </row>
    <row r="8" spans="1:6" ht="23.5" x14ac:dyDescent="0.55000000000000004">
      <c r="A8" s="5" t="s">
        <v>1</v>
      </c>
      <c r="B8" s="6">
        <f>exp_feb</f>
        <v>2260</v>
      </c>
    </row>
    <row r="9" spans="1:6" ht="23.5" x14ac:dyDescent="0.55000000000000004">
      <c r="A9" s="5" t="s">
        <v>54</v>
      </c>
      <c r="B9" s="6">
        <f>B6-SUM(B7:B8)</f>
        <v>-410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Rent_Feb</f>
        <v>695</v>
      </c>
    </row>
    <row r="14" spans="1:6" ht="18.5" x14ac:dyDescent="0.45">
      <c r="A14" s="7" t="s">
        <v>19</v>
      </c>
      <c r="B14" s="8">
        <f>pet_feb</f>
        <v>0</v>
      </c>
    </row>
    <row r="15" spans="1:6" ht="18.5" x14ac:dyDescent="0.45">
      <c r="A15" s="7" t="s">
        <v>20</v>
      </c>
      <c r="B15" s="8">
        <f>Food_Feb</f>
        <v>120</v>
      </c>
    </row>
    <row r="16" spans="1:6" ht="18.5" x14ac:dyDescent="0.45">
      <c r="A16" s="7" t="s">
        <v>21</v>
      </c>
      <c r="B16" s="8">
        <f>pers_feb</f>
        <v>95</v>
      </c>
    </row>
    <row r="17" spans="1:11" ht="18.5" x14ac:dyDescent="0.45">
      <c r="A17" s="7" t="s">
        <v>17</v>
      </c>
      <c r="B17" s="8">
        <f>Bills_Feb</f>
        <v>213</v>
      </c>
    </row>
    <row r="18" spans="1:11" ht="18.5" x14ac:dyDescent="0.45">
      <c r="A18" s="7" t="s">
        <v>24</v>
      </c>
      <c r="B18" s="8">
        <f>subs_feb</f>
        <v>59</v>
      </c>
    </row>
    <row r="19" spans="1:11" ht="19.5" customHeight="1" x14ac:dyDescent="0.45">
      <c r="A19" s="7" t="s">
        <v>18</v>
      </c>
      <c r="B19" s="8">
        <f>transp_feb</f>
        <v>786</v>
      </c>
    </row>
    <row r="20" spans="1:11" ht="18" customHeight="1" x14ac:dyDescent="0.8">
      <c r="A20" s="7" t="s">
        <v>49</v>
      </c>
      <c r="B20" s="8">
        <f>want_feb</f>
        <v>292</v>
      </c>
      <c r="K20" s="11"/>
    </row>
    <row r="21" spans="1:11" ht="36" x14ac:dyDescent="0.8">
      <c r="A21" s="7" t="s">
        <v>28</v>
      </c>
      <c r="B21" s="8">
        <f>exp_feb</f>
        <v>2260</v>
      </c>
      <c r="K21" s="10" t="str">
        <f>IF(B9&gt;=0,"Well done!","This needs some attention.")</f>
        <v>This needs some attention.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94" priority="5" operator="containsText" text="This needs some attention">
      <formula>NOT(ISERROR(SEARCH("This needs some attention",E6)))</formula>
    </cfRule>
    <cfRule type="containsText" dxfId="93" priority="6" operator="containsText" text="Well done!">
      <formula>NOT(ISERROR(SEARCH("Well done!",E6)))</formula>
    </cfRule>
  </conditionalFormatting>
  <conditionalFormatting sqref="K20">
    <cfRule type="containsText" dxfId="92" priority="3" operator="containsText" text="This needs some attention">
      <formula>NOT(ISERROR(SEARCH("This needs some attention",K20)))</formula>
    </cfRule>
    <cfRule type="containsText" dxfId="91" priority="4" operator="containsText" text="Well done!">
      <formula>NOT(ISERROR(SEARCH("Well done!",K20)))</formula>
    </cfRule>
  </conditionalFormatting>
  <conditionalFormatting sqref="K21">
    <cfRule type="containsText" dxfId="88" priority="1" operator="containsText" text="This needs some attention.">
      <formula>NOT(ISERROR(SEARCH("This needs some attention.",K21)))</formula>
    </cfRule>
    <cfRule type="containsText" dxfId="87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2EE7-FF2E-4323-AD74-61DB7321F95B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inc_mar</f>
        <v>2800</v>
      </c>
      <c r="E6" s="11"/>
      <c r="F6" s="9"/>
    </row>
    <row r="7" spans="1:6" ht="23.5" x14ac:dyDescent="0.55000000000000004">
      <c r="A7" s="5" t="s">
        <v>15</v>
      </c>
      <c r="B7" s="6">
        <f>sav_mar</f>
        <v>350</v>
      </c>
      <c r="E7" s="9"/>
    </row>
    <row r="8" spans="1:6" ht="23.5" x14ac:dyDescent="0.55000000000000004">
      <c r="A8" s="5" t="s">
        <v>1</v>
      </c>
      <c r="B8" s="6">
        <f>exp_mar</f>
        <v>1612</v>
      </c>
    </row>
    <row r="9" spans="1:6" ht="23.5" x14ac:dyDescent="0.55000000000000004">
      <c r="A9" s="5" t="s">
        <v>54</v>
      </c>
      <c r="B9" s="6">
        <f>B6-SUM(B7:B8)</f>
        <v>838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Rent_Mar</f>
        <v>695</v>
      </c>
    </row>
    <row r="14" spans="1:6" ht="18.5" x14ac:dyDescent="0.45">
      <c r="A14" s="7" t="s">
        <v>19</v>
      </c>
      <c r="B14" s="8">
        <f>pet_mar</f>
        <v>45</v>
      </c>
    </row>
    <row r="15" spans="1:6" ht="18.5" x14ac:dyDescent="0.45">
      <c r="A15" s="7" t="s">
        <v>20</v>
      </c>
      <c r="B15" s="8">
        <f>Food_Mar</f>
        <v>150</v>
      </c>
    </row>
    <row r="16" spans="1:6" ht="18.5" x14ac:dyDescent="0.45">
      <c r="A16" s="7" t="s">
        <v>21</v>
      </c>
      <c r="B16" s="8">
        <f>pers_mar</f>
        <v>120</v>
      </c>
    </row>
    <row r="17" spans="1:11" ht="18.5" x14ac:dyDescent="0.45">
      <c r="A17" s="7" t="s">
        <v>17</v>
      </c>
      <c r="B17" s="8">
        <f>Bills_mar</f>
        <v>213</v>
      </c>
    </row>
    <row r="18" spans="1:11" ht="18.5" x14ac:dyDescent="0.45">
      <c r="A18" s="7" t="s">
        <v>24</v>
      </c>
      <c r="B18" s="8">
        <f>subs_mar</f>
        <v>59</v>
      </c>
    </row>
    <row r="19" spans="1:11" ht="19.5" customHeight="1" x14ac:dyDescent="0.45">
      <c r="A19" s="7" t="s">
        <v>18</v>
      </c>
      <c r="B19" s="8">
        <f>transp_mar</f>
        <v>118</v>
      </c>
    </row>
    <row r="20" spans="1:11" ht="18" customHeight="1" x14ac:dyDescent="0.8">
      <c r="A20" s="7" t="s">
        <v>49</v>
      </c>
      <c r="B20" s="8">
        <f>want_mar</f>
        <v>212</v>
      </c>
      <c r="K20" s="11"/>
    </row>
    <row r="21" spans="1:11" ht="36" x14ac:dyDescent="0.8">
      <c r="A21" s="7" t="s">
        <v>28</v>
      </c>
      <c r="B21" s="8">
        <f>exp_mar</f>
        <v>1612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86" priority="5" operator="containsText" text="This needs some attention">
      <formula>NOT(ISERROR(SEARCH("This needs some attention",E6)))</formula>
    </cfRule>
    <cfRule type="containsText" dxfId="85" priority="6" operator="containsText" text="Well done!">
      <formula>NOT(ISERROR(SEARCH("Well done!",E6)))</formula>
    </cfRule>
  </conditionalFormatting>
  <conditionalFormatting sqref="K20">
    <cfRule type="containsText" dxfId="84" priority="3" operator="containsText" text="This needs some attention">
      <formula>NOT(ISERROR(SEARCH("This needs some attention",K20)))</formula>
    </cfRule>
    <cfRule type="containsText" dxfId="83" priority="4" operator="containsText" text="Well done!">
      <formula>NOT(ISERROR(SEARCH("Well done!",K20)))</formula>
    </cfRule>
  </conditionalFormatting>
  <conditionalFormatting sqref="K21">
    <cfRule type="containsText" dxfId="82" priority="1" operator="containsText" text="This needs some attention.">
      <formula>NOT(ISERROR(SEARCH("This needs some attention.",K21)))</formula>
    </cfRule>
    <cfRule type="containsText" dxfId="81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1452-5BFF-4BAD-B551-1B7B19538FD4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inc_apr</f>
        <v>2900</v>
      </c>
      <c r="E6" s="11"/>
      <c r="F6" s="9"/>
    </row>
    <row r="7" spans="1:6" ht="23.5" x14ac:dyDescent="0.55000000000000004">
      <c r="A7" s="5" t="s">
        <v>15</v>
      </c>
      <c r="B7" s="6">
        <f>sav_apr</f>
        <v>450</v>
      </c>
      <c r="E7" s="9"/>
    </row>
    <row r="8" spans="1:6" ht="23.5" x14ac:dyDescent="0.55000000000000004">
      <c r="A8" s="5" t="s">
        <v>1</v>
      </c>
      <c r="B8" s="6">
        <f>exp_apr</f>
        <v>1960</v>
      </c>
    </row>
    <row r="9" spans="1:6" ht="23.5" x14ac:dyDescent="0.55000000000000004">
      <c r="A9" s="5" t="s">
        <v>54</v>
      </c>
      <c r="B9" s="6">
        <f>B6-SUM(B7:B8)</f>
        <v>490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Rent_Apr</f>
        <v>700</v>
      </c>
    </row>
    <row r="14" spans="1:6" ht="18.5" x14ac:dyDescent="0.45">
      <c r="A14" s="7" t="s">
        <v>19</v>
      </c>
      <c r="B14" s="8">
        <f>pet_apr</f>
        <v>10</v>
      </c>
    </row>
    <row r="15" spans="1:6" ht="18.5" x14ac:dyDescent="0.45">
      <c r="A15" s="7" t="s">
        <v>20</v>
      </c>
      <c r="B15" s="8">
        <f>Food_Apr</f>
        <v>140</v>
      </c>
    </row>
    <row r="16" spans="1:6" ht="18.5" x14ac:dyDescent="0.45">
      <c r="A16" s="7" t="s">
        <v>21</v>
      </c>
      <c r="B16" s="8">
        <f>pers_apr</f>
        <v>150</v>
      </c>
    </row>
    <row r="17" spans="1:11" ht="18.5" x14ac:dyDescent="0.45">
      <c r="A17" s="7" t="s">
        <v>17</v>
      </c>
      <c r="B17" s="8">
        <f>Bills_apr</f>
        <v>383</v>
      </c>
    </row>
    <row r="18" spans="1:11" ht="18.5" x14ac:dyDescent="0.45">
      <c r="A18" s="7" t="s">
        <v>24</v>
      </c>
      <c r="B18" s="8">
        <f>subs_apr</f>
        <v>59</v>
      </c>
    </row>
    <row r="19" spans="1:11" ht="19.5" customHeight="1" x14ac:dyDescent="0.45">
      <c r="A19" s="7" t="s">
        <v>18</v>
      </c>
      <c r="B19" s="8">
        <f>transp_apr</f>
        <v>238</v>
      </c>
    </row>
    <row r="20" spans="1:11" ht="18" customHeight="1" x14ac:dyDescent="0.8">
      <c r="A20" s="7" t="s">
        <v>49</v>
      </c>
      <c r="B20" s="8">
        <f>want_apr</f>
        <v>280</v>
      </c>
      <c r="K20" s="11"/>
    </row>
    <row r="21" spans="1:11" ht="36" x14ac:dyDescent="0.8">
      <c r="A21" s="7" t="s">
        <v>28</v>
      </c>
      <c r="B21" s="8">
        <f>exp_apr</f>
        <v>1960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80" priority="5" operator="containsText" text="This needs some attention">
      <formula>NOT(ISERROR(SEARCH("This needs some attention",E6)))</formula>
    </cfRule>
    <cfRule type="containsText" dxfId="79" priority="6" operator="containsText" text="Well done!">
      <formula>NOT(ISERROR(SEARCH("Well done!",E6)))</formula>
    </cfRule>
  </conditionalFormatting>
  <conditionalFormatting sqref="K20">
    <cfRule type="containsText" dxfId="78" priority="3" operator="containsText" text="This needs some attention">
      <formula>NOT(ISERROR(SEARCH("This needs some attention",K20)))</formula>
    </cfRule>
    <cfRule type="containsText" dxfId="77" priority="4" operator="containsText" text="Well done!">
      <formula>NOT(ISERROR(SEARCH("Well done!",K20)))</formula>
    </cfRule>
  </conditionalFormatting>
  <conditionalFormatting sqref="K21">
    <cfRule type="containsText" dxfId="76" priority="1" operator="containsText" text="This needs some attention.">
      <formula>NOT(ISERROR(SEARCH("This needs some attention.",K21)))</formula>
    </cfRule>
    <cfRule type="containsText" dxfId="75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CA6E-A712-4DCC-B44F-D0134F1B2918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inc_may</f>
        <v>2900</v>
      </c>
      <c r="E6" s="11"/>
      <c r="F6" s="9"/>
    </row>
    <row r="7" spans="1:6" ht="23.5" x14ac:dyDescent="0.55000000000000004">
      <c r="A7" s="5" t="s">
        <v>15</v>
      </c>
      <c r="B7" s="6">
        <f>sav_may</f>
        <v>450</v>
      </c>
      <c r="E7" s="9"/>
    </row>
    <row r="8" spans="1:6" ht="23.5" x14ac:dyDescent="0.55000000000000004">
      <c r="A8" s="5" t="s">
        <v>1</v>
      </c>
      <c r="B8" s="6">
        <f>exp_may</f>
        <v>1540</v>
      </c>
    </row>
    <row r="9" spans="1:6" ht="23.5" x14ac:dyDescent="0.55000000000000004">
      <c r="A9" s="5" t="s">
        <v>54</v>
      </c>
      <c r="B9" s="6">
        <f>B6-SUM(B7:B8)</f>
        <v>910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Rent_May</f>
        <v>700</v>
      </c>
    </row>
    <row r="14" spans="1:6" ht="18.5" x14ac:dyDescent="0.45">
      <c r="A14" s="7" t="s">
        <v>19</v>
      </c>
      <c r="B14" s="8">
        <f>pet_may</f>
        <v>0</v>
      </c>
    </row>
    <row r="15" spans="1:6" ht="18.5" x14ac:dyDescent="0.45">
      <c r="A15" s="7" t="s">
        <v>20</v>
      </c>
      <c r="B15" s="8">
        <f>Food_May</f>
        <v>0</v>
      </c>
    </row>
    <row r="16" spans="1:6" ht="18.5" x14ac:dyDescent="0.45">
      <c r="A16" s="7" t="s">
        <v>21</v>
      </c>
      <c r="B16" s="8">
        <f>pers_may</f>
        <v>0</v>
      </c>
    </row>
    <row r="17" spans="1:11" ht="18.5" x14ac:dyDescent="0.45">
      <c r="A17" s="7" t="s">
        <v>17</v>
      </c>
      <c r="B17" s="8">
        <f>Bills_may</f>
        <v>233</v>
      </c>
    </row>
    <row r="18" spans="1:11" ht="18.5" x14ac:dyDescent="0.45">
      <c r="A18" s="7" t="s">
        <v>24</v>
      </c>
      <c r="B18" s="8">
        <f>subs_may</f>
        <v>59</v>
      </c>
    </row>
    <row r="19" spans="1:11" ht="19.5" customHeight="1" x14ac:dyDescent="0.45">
      <c r="A19" s="7" t="s">
        <v>18</v>
      </c>
      <c r="B19" s="8">
        <f>transp_may</f>
        <v>198</v>
      </c>
    </row>
    <row r="20" spans="1:11" ht="18" customHeight="1" x14ac:dyDescent="0.8">
      <c r="A20" s="7" t="s">
        <v>49</v>
      </c>
      <c r="B20" s="8">
        <f>want_may</f>
        <v>350</v>
      </c>
      <c r="K20" s="11"/>
    </row>
    <row r="21" spans="1:11" ht="36" x14ac:dyDescent="0.8">
      <c r="A21" s="7" t="s">
        <v>28</v>
      </c>
      <c r="B21" s="8">
        <f>exp_may</f>
        <v>1540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74" priority="5" operator="containsText" text="This needs some attention">
      <formula>NOT(ISERROR(SEARCH("This needs some attention",E6)))</formula>
    </cfRule>
    <cfRule type="containsText" dxfId="73" priority="6" operator="containsText" text="Well done!">
      <formula>NOT(ISERROR(SEARCH("Well done!",E6)))</formula>
    </cfRule>
  </conditionalFormatting>
  <conditionalFormatting sqref="K20">
    <cfRule type="containsText" dxfId="72" priority="3" operator="containsText" text="This needs some attention">
      <formula>NOT(ISERROR(SEARCH("This needs some attention",K20)))</formula>
    </cfRule>
    <cfRule type="containsText" dxfId="71" priority="4" operator="containsText" text="Well done!">
      <formula>NOT(ISERROR(SEARCH("Well done!",K20)))</formula>
    </cfRule>
  </conditionalFormatting>
  <conditionalFormatting sqref="K21">
    <cfRule type="containsText" dxfId="70" priority="1" operator="containsText" text="This needs some attention.">
      <formula>NOT(ISERROR(SEARCH("This needs some attention.",K21)))</formula>
    </cfRule>
    <cfRule type="containsText" dxfId="69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D255-BB2B-4916-83AC-C2F14A3BC891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inc_jun</f>
        <v>3600</v>
      </c>
      <c r="E6" s="11"/>
      <c r="F6" s="9"/>
    </row>
    <row r="7" spans="1:6" ht="23.5" x14ac:dyDescent="0.55000000000000004">
      <c r="A7" s="5" t="s">
        <v>15</v>
      </c>
      <c r="B7" s="6">
        <f>sav_jun</f>
        <v>850</v>
      </c>
      <c r="E7" s="9"/>
    </row>
    <row r="8" spans="1:6" ht="23.5" x14ac:dyDescent="0.55000000000000004">
      <c r="A8" s="5" t="s">
        <v>1</v>
      </c>
      <c r="B8" s="6">
        <f>exp_jun</f>
        <v>1710</v>
      </c>
    </row>
    <row r="9" spans="1:6" ht="23.5" x14ac:dyDescent="0.55000000000000004">
      <c r="A9" s="5" t="s">
        <v>54</v>
      </c>
      <c r="B9" s="6">
        <f>B6-SUM(B7:B8)</f>
        <v>1040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Rent_Jun</f>
        <v>700</v>
      </c>
    </row>
    <row r="14" spans="1:6" ht="18.5" x14ac:dyDescent="0.45">
      <c r="A14" s="7" t="s">
        <v>19</v>
      </c>
      <c r="B14" s="8">
        <f>pet_jun</f>
        <v>0</v>
      </c>
    </row>
    <row r="15" spans="1:6" ht="18.5" x14ac:dyDescent="0.45">
      <c r="A15" s="7" t="s">
        <v>20</v>
      </c>
      <c r="B15" s="8">
        <f>Food_Jun</f>
        <v>0</v>
      </c>
    </row>
    <row r="16" spans="1:6" ht="18.5" x14ac:dyDescent="0.45">
      <c r="A16" s="7" t="s">
        <v>21</v>
      </c>
      <c r="B16" s="8">
        <f>pers_jun</f>
        <v>0</v>
      </c>
    </row>
    <row r="17" spans="1:11" ht="18.5" x14ac:dyDescent="0.45">
      <c r="A17" s="7" t="s">
        <v>17</v>
      </c>
      <c r="B17" s="8">
        <f>Bills_jun</f>
        <v>233</v>
      </c>
    </row>
    <row r="18" spans="1:11" ht="18.5" x14ac:dyDescent="0.45">
      <c r="A18" s="7" t="s">
        <v>24</v>
      </c>
      <c r="B18" s="8">
        <f>subs_jun</f>
        <v>59</v>
      </c>
    </row>
    <row r="19" spans="1:11" ht="19.5" customHeight="1" x14ac:dyDescent="0.45">
      <c r="A19" s="7" t="s">
        <v>18</v>
      </c>
      <c r="B19" s="8">
        <f>transp_jun</f>
        <v>248</v>
      </c>
    </row>
    <row r="20" spans="1:11" ht="18" customHeight="1" x14ac:dyDescent="0.8">
      <c r="A20" s="7" t="s">
        <v>49</v>
      </c>
      <c r="B20" s="8">
        <f>want_jun</f>
        <v>470</v>
      </c>
      <c r="K20" s="11"/>
    </row>
    <row r="21" spans="1:11" ht="36" x14ac:dyDescent="0.8">
      <c r="A21" s="7" t="s">
        <v>28</v>
      </c>
      <c r="B21" s="8">
        <f>exp_jun</f>
        <v>1710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68" priority="5" operator="containsText" text="This needs some attention">
      <formula>NOT(ISERROR(SEARCH("This needs some attention",E6)))</formula>
    </cfRule>
    <cfRule type="containsText" dxfId="67" priority="6" operator="containsText" text="Well done!">
      <formula>NOT(ISERROR(SEARCH("Well done!",E6)))</formula>
    </cfRule>
  </conditionalFormatting>
  <conditionalFormatting sqref="K20">
    <cfRule type="containsText" dxfId="66" priority="3" operator="containsText" text="This needs some attention">
      <formula>NOT(ISERROR(SEARCH("This needs some attention",K20)))</formula>
    </cfRule>
    <cfRule type="containsText" dxfId="65" priority="4" operator="containsText" text="Well done!">
      <formula>NOT(ISERROR(SEARCH("Well done!",K20)))</formula>
    </cfRule>
  </conditionalFormatting>
  <conditionalFormatting sqref="K21">
    <cfRule type="containsText" dxfId="64" priority="1" operator="containsText" text="This needs some attention.">
      <formula>NOT(ISERROR(SEARCH("This needs some attention.",K21)))</formula>
    </cfRule>
    <cfRule type="containsText" dxfId="63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955D-E6CB-493C-B89B-FEFA69D94444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inc_jul</f>
        <v>2950</v>
      </c>
      <c r="E6" s="11"/>
      <c r="F6" s="9"/>
    </row>
    <row r="7" spans="1:6" ht="23.5" x14ac:dyDescent="0.55000000000000004">
      <c r="A7" s="5" t="s">
        <v>15</v>
      </c>
      <c r="B7" s="6">
        <f>sav_jul</f>
        <v>450</v>
      </c>
      <c r="E7" s="9"/>
    </row>
    <row r="8" spans="1:6" ht="23.5" x14ac:dyDescent="0.55000000000000004">
      <c r="A8" s="5" t="s">
        <v>1</v>
      </c>
      <c r="B8" s="6">
        <f>exp_jul</f>
        <v>2000</v>
      </c>
    </row>
    <row r="9" spans="1:6" ht="23.5" x14ac:dyDescent="0.55000000000000004">
      <c r="A9" s="5" t="s">
        <v>54</v>
      </c>
      <c r="B9" s="6">
        <f>B6-SUM(B7:B8)</f>
        <v>500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Rent_Jul</f>
        <v>700</v>
      </c>
    </row>
    <row r="14" spans="1:6" ht="18.5" x14ac:dyDescent="0.45">
      <c r="A14" s="7" t="s">
        <v>19</v>
      </c>
      <c r="B14" s="8">
        <f>pet_jul</f>
        <v>0</v>
      </c>
    </row>
    <row r="15" spans="1:6" ht="18.5" x14ac:dyDescent="0.45">
      <c r="A15" s="7" t="s">
        <v>20</v>
      </c>
      <c r="B15" s="8">
        <f>Food_Jul</f>
        <v>0</v>
      </c>
    </row>
    <row r="16" spans="1:6" ht="18.5" x14ac:dyDescent="0.45">
      <c r="A16" s="7" t="s">
        <v>21</v>
      </c>
      <c r="B16" s="8">
        <f>pers_jul</f>
        <v>0</v>
      </c>
    </row>
    <row r="17" spans="1:11" ht="18.5" x14ac:dyDescent="0.45">
      <c r="A17" s="7" t="s">
        <v>17</v>
      </c>
      <c r="B17" s="8">
        <f>Bills_jun</f>
        <v>233</v>
      </c>
    </row>
    <row r="18" spans="1:11" ht="18.5" x14ac:dyDescent="0.45">
      <c r="A18" s="7" t="s">
        <v>24</v>
      </c>
      <c r="B18" s="8">
        <f>subs_jul</f>
        <v>59</v>
      </c>
    </row>
    <row r="19" spans="1:11" ht="19.5" customHeight="1" x14ac:dyDescent="0.45">
      <c r="A19" s="7" t="s">
        <v>18</v>
      </c>
      <c r="B19" s="8">
        <f>transp_jul</f>
        <v>408</v>
      </c>
    </row>
    <row r="20" spans="1:11" ht="18" customHeight="1" x14ac:dyDescent="0.8">
      <c r="A20" s="7" t="s">
        <v>49</v>
      </c>
      <c r="B20" s="8">
        <f>want_jul</f>
        <v>600</v>
      </c>
      <c r="K20" s="11"/>
    </row>
    <row r="21" spans="1:11" ht="36" x14ac:dyDescent="0.8">
      <c r="A21" s="7" t="s">
        <v>28</v>
      </c>
      <c r="B21" s="8">
        <f>exp_jul</f>
        <v>2000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62" priority="5" operator="containsText" text="This needs some attention">
      <formula>NOT(ISERROR(SEARCH("This needs some attention",E6)))</formula>
    </cfRule>
    <cfRule type="containsText" dxfId="61" priority="6" operator="containsText" text="Well done!">
      <formula>NOT(ISERROR(SEARCH("Well done!",E6)))</formula>
    </cfRule>
  </conditionalFormatting>
  <conditionalFormatting sqref="K20">
    <cfRule type="containsText" dxfId="60" priority="3" operator="containsText" text="This needs some attention">
      <formula>NOT(ISERROR(SEARCH("This needs some attention",K20)))</formula>
    </cfRule>
    <cfRule type="containsText" dxfId="59" priority="4" operator="containsText" text="Well done!">
      <formula>NOT(ISERROR(SEARCH("Well done!",K20)))</formula>
    </cfRule>
  </conditionalFormatting>
  <conditionalFormatting sqref="K21">
    <cfRule type="containsText" dxfId="58" priority="1" operator="containsText" text="This needs some attention.">
      <formula>NOT(ISERROR(SEARCH("This needs some attention.",K21)))</formula>
    </cfRule>
    <cfRule type="containsText" dxfId="57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4A9F-48C2-46D6-B983-2C8B60CE0811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inc_aug</f>
        <v>2780</v>
      </c>
      <c r="E6" s="11"/>
      <c r="F6" s="9"/>
    </row>
    <row r="7" spans="1:6" ht="23.5" x14ac:dyDescent="0.55000000000000004">
      <c r="A7" s="5" t="s">
        <v>15</v>
      </c>
      <c r="B7" s="6">
        <f>sav_aug</f>
        <v>350</v>
      </c>
      <c r="E7" s="9"/>
    </row>
    <row r="8" spans="1:6" ht="23.5" x14ac:dyDescent="0.55000000000000004">
      <c r="A8" s="5" t="s">
        <v>1</v>
      </c>
      <c r="B8" s="6">
        <f>exp_aug</f>
        <v>2122</v>
      </c>
    </row>
    <row r="9" spans="1:6" ht="23.5" x14ac:dyDescent="0.55000000000000004">
      <c r="A9" s="5" t="s">
        <v>54</v>
      </c>
      <c r="B9" s="6">
        <f>B6-SUM(B7:B8)</f>
        <v>308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Rent_Aug</f>
        <v>700</v>
      </c>
    </row>
    <row r="14" spans="1:6" ht="18.5" x14ac:dyDescent="0.45">
      <c r="A14" s="7" t="s">
        <v>19</v>
      </c>
      <c r="B14" s="8">
        <f>pet_aug</f>
        <v>0</v>
      </c>
    </row>
    <row r="15" spans="1:6" ht="18.5" x14ac:dyDescent="0.45">
      <c r="A15" s="7" t="s">
        <v>20</v>
      </c>
      <c r="B15" s="8">
        <f>Food_Aug</f>
        <v>0</v>
      </c>
    </row>
    <row r="16" spans="1:6" ht="18.5" x14ac:dyDescent="0.45">
      <c r="A16" s="7" t="s">
        <v>21</v>
      </c>
      <c r="B16" s="8">
        <f>pers_aug</f>
        <v>0</v>
      </c>
    </row>
    <row r="17" spans="1:11" ht="18.5" x14ac:dyDescent="0.45">
      <c r="A17" s="7" t="s">
        <v>17</v>
      </c>
      <c r="B17" s="8">
        <f>Bills_Aug</f>
        <v>233</v>
      </c>
    </row>
    <row r="18" spans="1:11" ht="18.5" x14ac:dyDescent="0.45">
      <c r="A18" s="7" t="s">
        <v>24</v>
      </c>
      <c r="B18" s="8">
        <f>subs_aug</f>
        <v>59</v>
      </c>
    </row>
    <row r="19" spans="1:11" ht="19.5" customHeight="1" x14ac:dyDescent="0.45">
      <c r="A19" s="7" t="s">
        <v>18</v>
      </c>
      <c r="B19" s="8">
        <f>transp_aug</f>
        <v>268</v>
      </c>
    </row>
    <row r="20" spans="1:11" ht="18" customHeight="1" x14ac:dyDescent="0.8">
      <c r="A20" s="7" t="s">
        <v>49</v>
      </c>
      <c r="B20" s="8">
        <f>want_aug</f>
        <v>862</v>
      </c>
      <c r="K20" s="11"/>
    </row>
    <row r="21" spans="1:11" ht="36" x14ac:dyDescent="0.8">
      <c r="A21" s="7" t="s">
        <v>28</v>
      </c>
      <c r="B21" s="8">
        <f>exp_aug</f>
        <v>2122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56" priority="5" operator="containsText" text="This needs some attention">
      <formula>NOT(ISERROR(SEARCH("This needs some attention",E6)))</formula>
    </cfRule>
    <cfRule type="containsText" dxfId="55" priority="6" operator="containsText" text="Well done!">
      <formula>NOT(ISERROR(SEARCH("Well done!",E6)))</formula>
    </cfRule>
  </conditionalFormatting>
  <conditionalFormatting sqref="K20">
    <cfRule type="containsText" dxfId="54" priority="3" operator="containsText" text="This needs some attention">
      <formula>NOT(ISERROR(SEARCH("This needs some attention",K20)))</formula>
    </cfRule>
    <cfRule type="containsText" dxfId="53" priority="4" operator="containsText" text="Well done!">
      <formula>NOT(ISERROR(SEARCH("Well done!",K20)))</formula>
    </cfRule>
  </conditionalFormatting>
  <conditionalFormatting sqref="K21">
    <cfRule type="containsText" dxfId="52" priority="1" operator="containsText" text="This needs some attention.">
      <formula>NOT(ISERROR(SEARCH("This needs some attention.",K21)))</formula>
    </cfRule>
    <cfRule type="containsText" dxfId="51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 1 2 2 < / i n t > < / v a l u e > < / i t e m > < i t e m > < k e y > < s t r i n g > I N C O M E < / s t r i n g > < / k e y > < v a l u e > < i n t > 1 2 6 < / i n t > < / v a l u e > < / i t e m > < i t e m > < k e y > < s t r i n g > E X P E N S E S < / s t r i n g > < / k e y > < v a l u e > < i n t > 1 3 8 < / i n t > < / v a l u e > < / i t e m > < i t e m > < k e y > < s t r i n g > S A V I N G S < / s t r i n g > < / k e y > < v a l u e > < i n t > 1 2 7 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 I N C O M E < / s t r i n g > < / k e y > < v a l u e > < i n t > 1 < / i n t > < / v a l u e > < / i t e m > < i t e m > < k e y > < s t r i n g > E X P E N S E S < / s t r i n g > < / k e y > < v a l u e > < i n t > 2 < / i n t > < / v a l u e > < / i t e m > < i t e m > < k e y > < s t r i n g > S A V I N G S 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 2 0 2 3 - 0 3 - 0 9 T 1 9 : 2 8 : 1 1 . 8 5 8 6 5 0 4 + 0 0 : 0 0 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3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3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 C o l u m n s \ I N C O M E < / K e y > < / D i a g r a m O b j e c t K e y > < D i a g r a m O b j e c t K e y > < K e y > C o l u m n s \ E X P E N S E S < / K e y > < / D i a g r a m O b j e c t K e y > < D i a g r a m O b j e c t K e y > < K e y > C o l u m n s \ S A V I N G S 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 C o l u m n s \ S A V I N G S 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 C o l u m n s \ S A V I N G S 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95DC255-50FC-4C72-9926-D1B19DB47837}">
  <ds:schemaRefs/>
</ds:datastoreItem>
</file>

<file path=customXml/itemProps10.xml><?xml version="1.0" encoding="utf-8"?>
<ds:datastoreItem xmlns:ds="http://schemas.openxmlformats.org/officeDocument/2006/customXml" ds:itemID="{FFDBBF65-E05F-42DB-BEC1-A2DA9A54D0DD}">
  <ds:schemaRefs/>
</ds:datastoreItem>
</file>

<file path=customXml/itemProps11.xml><?xml version="1.0" encoding="utf-8"?>
<ds:datastoreItem xmlns:ds="http://schemas.openxmlformats.org/officeDocument/2006/customXml" ds:itemID="{B77A2855-6EB4-476F-B9E5-8908A3CC56BF}">
  <ds:schemaRefs/>
</ds:datastoreItem>
</file>

<file path=customXml/itemProps12.xml><?xml version="1.0" encoding="utf-8"?>
<ds:datastoreItem xmlns:ds="http://schemas.openxmlformats.org/officeDocument/2006/customXml" ds:itemID="{DD0FA6FB-00E7-4904-8BFE-C36DCF0C8C0B}">
  <ds:schemaRefs/>
</ds:datastoreItem>
</file>

<file path=customXml/itemProps13.xml><?xml version="1.0" encoding="utf-8"?>
<ds:datastoreItem xmlns:ds="http://schemas.openxmlformats.org/officeDocument/2006/customXml" ds:itemID="{CF835D73-2779-4E64-98A8-A239AD6D76D8}">
  <ds:schemaRefs/>
</ds:datastoreItem>
</file>

<file path=customXml/itemProps14.xml><?xml version="1.0" encoding="utf-8"?>
<ds:datastoreItem xmlns:ds="http://schemas.openxmlformats.org/officeDocument/2006/customXml" ds:itemID="{6F6742B7-B218-4006-8182-32E9F1AFB487}">
  <ds:schemaRefs/>
</ds:datastoreItem>
</file>

<file path=customXml/itemProps15.xml><?xml version="1.0" encoding="utf-8"?>
<ds:datastoreItem xmlns:ds="http://schemas.openxmlformats.org/officeDocument/2006/customXml" ds:itemID="{F77A97EE-2F3B-4556-8C86-865A6CF86BE3}">
  <ds:schemaRefs/>
</ds:datastoreItem>
</file>

<file path=customXml/itemProps16.xml><?xml version="1.0" encoding="utf-8"?>
<ds:datastoreItem xmlns:ds="http://schemas.openxmlformats.org/officeDocument/2006/customXml" ds:itemID="{AD3FA282-9E26-4F79-A6FA-6ACEC633B746}">
  <ds:schemaRefs/>
</ds:datastoreItem>
</file>

<file path=customXml/itemProps2.xml><?xml version="1.0" encoding="utf-8"?>
<ds:datastoreItem xmlns:ds="http://schemas.openxmlformats.org/officeDocument/2006/customXml" ds:itemID="{52C714CC-3EA9-4B5B-A0DC-176D6CAB1C65}">
  <ds:schemaRefs/>
</ds:datastoreItem>
</file>

<file path=customXml/itemProps3.xml><?xml version="1.0" encoding="utf-8"?>
<ds:datastoreItem xmlns:ds="http://schemas.openxmlformats.org/officeDocument/2006/customXml" ds:itemID="{1104ED19-FAE5-4967-A469-BC1A47D2A012}">
  <ds:schemaRefs/>
</ds:datastoreItem>
</file>

<file path=customXml/itemProps4.xml><?xml version="1.0" encoding="utf-8"?>
<ds:datastoreItem xmlns:ds="http://schemas.openxmlformats.org/officeDocument/2006/customXml" ds:itemID="{EF670594-DAD5-437E-9E3E-1C45CCE34ED3}">
  <ds:schemaRefs/>
</ds:datastoreItem>
</file>

<file path=customXml/itemProps5.xml><?xml version="1.0" encoding="utf-8"?>
<ds:datastoreItem xmlns:ds="http://schemas.openxmlformats.org/officeDocument/2006/customXml" ds:itemID="{26553077-BEAF-4F97-B0DE-F76CD6BE12AE}">
  <ds:schemaRefs/>
</ds:datastoreItem>
</file>

<file path=customXml/itemProps6.xml><?xml version="1.0" encoding="utf-8"?>
<ds:datastoreItem xmlns:ds="http://schemas.openxmlformats.org/officeDocument/2006/customXml" ds:itemID="{5A995AA9-A482-4CC5-BDEC-05A9E994C247}">
  <ds:schemaRefs/>
</ds:datastoreItem>
</file>

<file path=customXml/itemProps7.xml><?xml version="1.0" encoding="utf-8"?>
<ds:datastoreItem xmlns:ds="http://schemas.openxmlformats.org/officeDocument/2006/customXml" ds:itemID="{E7A75A3F-2272-4A60-9229-D8A5881C585F}">
  <ds:schemaRefs/>
</ds:datastoreItem>
</file>

<file path=customXml/itemProps8.xml><?xml version="1.0" encoding="utf-8"?>
<ds:datastoreItem xmlns:ds="http://schemas.openxmlformats.org/officeDocument/2006/customXml" ds:itemID="{3DCD0292-6DE7-4689-B6AB-C79D7574A7B9}">
  <ds:schemaRefs/>
</ds:datastoreItem>
</file>

<file path=customXml/itemProps9.xml><?xml version="1.0" encoding="utf-8"?>
<ds:datastoreItem xmlns:ds="http://schemas.openxmlformats.org/officeDocument/2006/customXml" ds:itemID="{7BC1DB7F-E61C-4219-88E5-09663D79D7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143</vt:i4>
      </vt:variant>
    </vt:vector>
  </HeadingPairs>
  <TitlesOfParts>
    <vt:vector size="157" baseType="lpstr">
      <vt:lpstr>Enter data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General Overview</vt:lpstr>
      <vt:lpstr>Bills_apr</vt:lpstr>
      <vt:lpstr>Bills_Aug</vt:lpstr>
      <vt:lpstr>Bills_dec</vt:lpstr>
      <vt:lpstr>Bills_Feb</vt:lpstr>
      <vt:lpstr>Bills_Jan</vt:lpstr>
      <vt:lpstr>Bills_Jul</vt:lpstr>
      <vt:lpstr>Bills_jun</vt:lpstr>
      <vt:lpstr>Bills_mar</vt:lpstr>
      <vt:lpstr>Bills_may</vt:lpstr>
      <vt:lpstr>Bills_nov</vt:lpstr>
      <vt:lpstr>Bills_oct</vt:lpstr>
      <vt:lpstr>Bills_Sept</vt:lpstr>
      <vt:lpstr>Bills_total</vt:lpstr>
      <vt:lpstr>exp_apr</vt:lpstr>
      <vt:lpstr>exp_aug</vt:lpstr>
      <vt:lpstr>exp_dec</vt:lpstr>
      <vt:lpstr>exp_feb</vt:lpstr>
      <vt:lpstr>exp_jan</vt:lpstr>
      <vt:lpstr>exp_jul</vt:lpstr>
      <vt:lpstr>exp_jun</vt:lpstr>
      <vt:lpstr>exp_mar</vt:lpstr>
      <vt:lpstr>exp_may</vt:lpstr>
      <vt:lpstr>exp_nov</vt:lpstr>
      <vt:lpstr>exp_oct</vt:lpstr>
      <vt:lpstr>exp_sept</vt:lpstr>
      <vt:lpstr>exp_total</vt:lpstr>
      <vt:lpstr>Food_Apr</vt:lpstr>
      <vt:lpstr>Food_Aug</vt:lpstr>
      <vt:lpstr>Food_dec</vt:lpstr>
      <vt:lpstr>Food_Feb</vt:lpstr>
      <vt:lpstr>Food_Jan</vt:lpstr>
      <vt:lpstr>Food_Jul</vt:lpstr>
      <vt:lpstr>Food_Jun</vt:lpstr>
      <vt:lpstr>Food_Mar</vt:lpstr>
      <vt:lpstr>Food_May</vt:lpstr>
      <vt:lpstr>Food_nov</vt:lpstr>
      <vt:lpstr>Food_Oct</vt:lpstr>
      <vt:lpstr>Food_Sept</vt:lpstr>
      <vt:lpstr>food_total</vt:lpstr>
      <vt:lpstr>inc_apr</vt:lpstr>
      <vt:lpstr>inc_aug</vt:lpstr>
      <vt:lpstr>inc_dec</vt:lpstr>
      <vt:lpstr>inc_feb</vt:lpstr>
      <vt:lpstr>inc_jan</vt:lpstr>
      <vt:lpstr>inc_jul</vt:lpstr>
      <vt:lpstr>inc_jun</vt:lpstr>
      <vt:lpstr>inc_mar</vt:lpstr>
      <vt:lpstr>inc_may</vt:lpstr>
      <vt:lpstr>inc_nov</vt:lpstr>
      <vt:lpstr>inc_oct</vt:lpstr>
      <vt:lpstr>inc_sept</vt:lpstr>
      <vt:lpstr>inc_total</vt:lpstr>
      <vt:lpstr>pers_apr</vt:lpstr>
      <vt:lpstr>pers_aug</vt:lpstr>
      <vt:lpstr>pers_dec</vt:lpstr>
      <vt:lpstr>pers_feb</vt:lpstr>
      <vt:lpstr>pers_jan</vt:lpstr>
      <vt:lpstr>pers_jul</vt:lpstr>
      <vt:lpstr>pers_jun</vt:lpstr>
      <vt:lpstr>pers_mar</vt:lpstr>
      <vt:lpstr>pers_may</vt:lpstr>
      <vt:lpstr>pers_nov</vt:lpstr>
      <vt:lpstr>pers_oct</vt:lpstr>
      <vt:lpstr>pers_sept</vt:lpstr>
      <vt:lpstr>pers_total</vt:lpstr>
      <vt:lpstr>pet_apr</vt:lpstr>
      <vt:lpstr>pet_aug</vt:lpstr>
      <vt:lpstr>pet_dec</vt:lpstr>
      <vt:lpstr>pet_feb</vt:lpstr>
      <vt:lpstr>pet_jan</vt:lpstr>
      <vt:lpstr>pet_jul</vt:lpstr>
      <vt:lpstr>pet_jun</vt:lpstr>
      <vt:lpstr>pet_mar</vt:lpstr>
      <vt:lpstr>pet_may</vt:lpstr>
      <vt:lpstr>pet_nov</vt:lpstr>
      <vt:lpstr>pet_oct</vt:lpstr>
      <vt:lpstr>pet_sept</vt:lpstr>
      <vt:lpstr>pet_total</vt:lpstr>
      <vt:lpstr>Rent_Apr</vt:lpstr>
      <vt:lpstr>Rent_Aug</vt:lpstr>
      <vt:lpstr>Rent_dec</vt:lpstr>
      <vt:lpstr>Rent_Feb</vt:lpstr>
      <vt:lpstr>Rent_jan</vt:lpstr>
      <vt:lpstr>Rent_Jul</vt:lpstr>
      <vt:lpstr>Rent_Jun</vt:lpstr>
      <vt:lpstr>Rent_Mar</vt:lpstr>
      <vt:lpstr>Rent_May</vt:lpstr>
      <vt:lpstr>Rent_nov</vt:lpstr>
      <vt:lpstr>Rent_oct</vt:lpstr>
      <vt:lpstr>Rent_sept</vt:lpstr>
      <vt:lpstr>Rent_total</vt:lpstr>
      <vt:lpstr>sav_apr</vt:lpstr>
      <vt:lpstr>sav_aug</vt:lpstr>
      <vt:lpstr>sav_dec</vt:lpstr>
      <vt:lpstr>sav_feb</vt:lpstr>
      <vt:lpstr>sav_jan</vt:lpstr>
      <vt:lpstr>sav_jul</vt:lpstr>
      <vt:lpstr>sav_jun</vt:lpstr>
      <vt:lpstr>sav_mar</vt:lpstr>
      <vt:lpstr>sav_may</vt:lpstr>
      <vt:lpstr>sav_nov</vt:lpstr>
      <vt:lpstr>sav_oct</vt:lpstr>
      <vt:lpstr>sav_sept</vt:lpstr>
      <vt:lpstr>sav_total</vt:lpstr>
      <vt:lpstr>subs_apr</vt:lpstr>
      <vt:lpstr>subs_aug</vt:lpstr>
      <vt:lpstr>subs_dec</vt:lpstr>
      <vt:lpstr>subs_feb</vt:lpstr>
      <vt:lpstr>subs_jan</vt:lpstr>
      <vt:lpstr>subs_jul</vt:lpstr>
      <vt:lpstr>subs_jun</vt:lpstr>
      <vt:lpstr>subs_mar</vt:lpstr>
      <vt:lpstr>subs_may</vt:lpstr>
      <vt:lpstr>subs_nov</vt:lpstr>
      <vt:lpstr>subs_oct</vt:lpstr>
      <vt:lpstr>subs_sept</vt:lpstr>
      <vt:lpstr>subs_total</vt:lpstr>
      <vt:lpstr>transp_apr</vt:lpstr>
      <vt:lpstr>transp_aug</vt:lpstr>
      <vt:lpstr>transp_dec</vt:lpstr>
      <vt:lpstr>transp_feb</vt:lpstr>
      <vt:lpstr>transp_jan</vt:lpstr>
      <vt:lpstr>transp_jul</vt:lpstr>
      <vt:lpstr>transp_jun</vt:lpstr>
      <vt:lpstr>transp_mar</vt:lpstr>
      <vt:lpstr>transp_may</vt:lpstr>
      <vt:lpstr>transp_nov</vt:lpstr>
      <vt:lpstr>transp_oct</vt:lpstr>
      <vt:lpstr>transp_sept</vt:lpstr>
      <vt:lpstr>transp_total</vt:lpstr>
      <vt:lpstr>want_apr</vt:lpstr>
      <vt:lpstr>want_aug</vt:lpstr>
      <vt:lpstr>want_dec</vt:lpstr>
      <vt:lpstr>want_feb</vt:lpstr>
      <vt:lpstr>want_jan</vt:lpstr>
      <vt:lpstr>want_jul</vt:lpstr>
      <vt:lpstr>want_jun</vt:lpstr>
      <vt:lpstr>want_mar</vt:lpstr>
      <vt:lpstr>want_may</vt:lpstr>
      <vt:lpstr>want_nov</vt:lpstr>
      <vt:lpstr>want_oct</vt:lpstr>
      <vt:lpstr>want_sept</vt:lpstr>
      <vt:lpstr>want_total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Cristina Haiura</dc:creator>
  <cp:lastModifiedBy>Daniela Cristina Haiura</cp:lastModifiedBy>
  <dcterms:created xsi:type="dcterms:W3CDTF">2015-06-05T18:17:20Z</dcterms:created>
  <dcterms:modified xsi:type="dcterms:W3CDTF">2023-03-09T19:28:12Z</dcterms:modified>
</cp:coreProperties>
</file>