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DER\WTaipe\Downloads\CC-AECODE\"/>
    </mc:Choice>
  </mc:AlternateContent>
  <xr:revisionPtr revIDLastSave="1" documentId="13_ncr:1_{231B984E-7D1F-4953-8E5B-DFC044899F4C}" xr6:coauthVersionLast="47" xr6:coauthVersionMax="47" xr10:uidLastSave="{45BA9DE4-69F3-4B45-957B-E9616D41E831}"/>
  <bookViews>
    <workbookView xWindow="-108" yWindow="-108" windowWidth="23256" windowHeight="12456" firstSheet="1" activeTab="3" xr2:uid="{00000000-000D-0000-FFFF-FFFF00000000}"/>
  </bookViews>
  <sheets>
    <sheet name="CC_TABIQUERIA SIN SOLAQUEO" sheetId="12" state="hidden" r:id="rId1"/>
    <sheet name="CC_TABIQUERIA" sheetId="2" r:id="rId2"/>
    <sheet name="APU 5.2 SOLAQUEO" sheetId="13" r:id="rId3"/>
    <sheet name="CC_TABIQUERIA (MO)" sheetId="9" r:id="rId4"/>
    <sheet name="MAQUIJAL" sheetId="5" r:id="rId5"/>
    <sheet name="DEYVID CONST EIRL" sheetId="3" r:id="rId6"/>
    <sheet name="VDCING" sheetId="7" r:id="rId7"/>
    <sheet name="ROLEX" sheetId="10" r:id="rId8"/>
  </sheets>
  <definedNames>
    <definedName name="_xlnm._FilterDatabase" localSheetId="1" hidden="1">CC_TABIQUERIA!$B$7:$B$8</definedName>
    <definedName name="_xlnm._FilterDatabase" localSheetId="3" hidden="1">'CC_TABIQUERIA (MO)'!$B$7:$B$8</definedName>
    <definedName name="_xlnm._FilterDatabase" localSheetId="0" hidden="1">'CC_TABIQUERIA SIN SOLAQUEO'!$B$7:$B$8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9" l="1"/>
  <c r="H23" i="12"/>
  <c r="J23" i="12" s="1"/>
  <c r="J22" i="12" s="1"/>
  <c r="H4" i="13"/>
  <c r="H20" i="12"/>
  <c r="J20" i="12" s="1"/>
  <c r="H19" i="12"/>
  <c r="J19" i="12" s="1"/>
  <c r="H18" i="12"/>
  <c r="J18" i="12" s="1"/>
  <c r="H17" i="12"/>
  <c r="J17" i="12" s="1"/>
  <c r="H16" i="12"/>
  <c r="J16" i="12" s="1"/>
  <c r="H13" i="12"/>
  <c r="J13" i="12" s="1"/>
  <c r="H12" i="12"/>
  <c r="J12" i="12" s="1"/>
  <c r="E20" i="2"/>
  <c r="E19" i="2"/>
  <c r="E18" i="2"/>
  <c r="E17" i="2"/>
  <c r="E16" i="2"/>
  <c r="E20" i="9"/>
  <c r="E19" i="9"/>
  <c r="E18" i="9"/>
  <c r="E17" i="9"/>
  <c r="E16" i="9"/>
  <c r="E20" i="12" l="1"/>
  <c r="E19" i="12"/>
  <c r="E18" i="12"/>
  <c r="E17" i="12"/>
  <c r="E16" i="12"/>
  <c r="E13" i="12"/>
  <c r="E12" i="12"/>
  <c r="J11" i="12"/>
  <c r="J15" i="12"/>
  <c r="P27" i="9"/>
  <c r="M27" i="9"/>
  <c r="J27" i="9"/>
  <c r="O23" i="9"/>
  <c r="O22" i="9"/>
  <c r="L23" i="9"/>
  <c r="L22" i="9"/>
  <c r="I23" i="9"/>
  <c r="I22" i="9"/>
  <c r="L20" i="12" l="1"/>
  <c r="F20" i="12"/>
  <c r="L19" i="12"/>
  <c r="F19" i="12"/>
  <c r="L18" i="12"/>
  <c r="F18" i="12"/>
  <c r="L17" i="12"/>
  <c r="F17" i="12"/>
  <c r="L16" i="12"/>
  <c r="F16" i="12"/>
  <c r="F15" i="12" s="1"/>
  <c r="L13" i="12"/>
  <c r="F13" i="12"/>
  <c r="L12" i="12"/>
  <c r="F12" i="12"/>
  <c r="F11" i="12" s="1"/>
  <c r="K19" i="12"/>
  <c r="K16" i="12"/>
  <c r="J9" i="12"/>
  <c r="F9" i="12"/>
  <c r="F26" i="12" s="1"/>
  <c r="J26" i="12"/>
  <c r="N25" i="9"/>
  <c r="P25" i="9" s="1"/>
  <c r="N26" i="9"/>
  <c r="P26" i="9" s="1"/>
  <c r="F28" i="12" l="1"/>
  <c r="F29" i="12" s="1"/>
  <c r="F30" i="12" s="1"/>
  <c r="J27" i="12"/>
  <c r="J28" i="12" s="1"/>
  <c r="J29" i="12" s="1"/>
  <c r="J30" i="12" s="1"/>
  <c r="H25" i="9"/>
  <c r="J25" i="9" s="1"/>
  <c r="K25" i="9"/>
  <c r="M25" i="9" s="1"/>
  <c r="H26" i="9"/>
  <c r="J26" i="9" s="1"/>
  <c r="K26" i="9"/>
  <c r="M26" i="9" s="1"/>
  <c r="N24" i="9"/>
  <c r="P24" i="9" s="1"/>
  <c r="K24" i="9"/>
  <c r="M24" i="9" s="1"/>
  <c r="H24" i="9"/>
  <c r="J24" i="9" s="1"/>
  <c r="N13" i="9"/>
  <c r="P13" i="9" s="1"/>
  <c r="N12" i="9"/>
  <c r="P12" i="9" s="1"/>
  <c r="N17" i="9"/>
  <c r="P17" i="9" s="1"/>
  <c r="N18" i="9"/>
  <c r="P18" i="9" s="1"/>
  <c r="N19" i="9"/>
  <c r="P19" i="9" s="1"/>
  <c r="N20" i="9"/>
  <c r="P20" i="9" s="1"/>
  <c r="N16" i="9"/>
  <c r="P16" i="9" s="1"/>
  <c r="Q17" i="2"/>
  <c r="S17" i="2" s="1"/>
  <c r="Q18" i="2"/>
  <c r="Q19" i="2"/>
  <c r="S19" i="2" s="1"/>
  <c r="Q20" i="2"/>
  <c r="S20" i="2" s="1"/>
  <c r="Q16" i="2"/>
  <c r="Q13" i="2"/>
  <c r="S13" i="2" s="1"/>
  <c r="Q12" i="2"/>
  <c r="S12" i="2" s="1"/>
  <c r="S18" i="2"/>
  <c r="S16" i="2"/>
  <c r="K20" i="9"/>
  <c r="K19" i="9"/>
  <c r="K18" i="9"/>
  <c r="K17" i="9"/>
  <c r="K16" i="9"/>
  <c r="K13" i="9"/>
  <c r="K12" i="9"/>
  <c r="H20" i="9"/>
  <c r="H19" i="9"/>
  <c r="H18" i="9"/>
  <c r="H17" i="9"/>
  <c r="H16" i="9"/>
  <c r="H13" i="9"/>
  <c r="H12" i="9"/>
  <c r="N13" i="2"/>
  <c r="N12" i="2"/>
  <c r="K13" i="2"/>
  <c r="K12" i="2"/>
  <c r="H13" i="2"/>
  <c r="H12" i="2"/>
  <c r="N17" i="2"/>
  <c r="N18" i="2"/>
  <c r="N19" i="2"/>
  <c r="N20" i="2"/>
  <c r="N16" i="2"/>
  <c r="K17" i="2"/>
  <c r="K18" i="2"/>
  <c r="K19" i="2"/>
  <c r="K20" i="2"/>
  <c r="K16" i="2"/>
  <c r="H17" i="2"/>
  <c r="H18" i="2"/>
  <c r="H19" i="2"/>
  <c r="H20" i="2"/>
  <c r="H16" i="2"/>
  <c r="H32" i="12" l="1"/>
  <c r="H22" i="9"/>
  <c r="J22" i="9" s="1"/>
  <c r="K23" i="9"/>
  <c r="M23" i="9" s="1"/>
  <c r="P15" i="9"/>
  <c r="P11" i="9"/>
  <c r="S15" i="2"/>
  <c r="S11" i="2"/>
  <c r="M17" i="9"/>
  <c r="J17" i="9"/>
  <c r="F17" i="9"/>
  <c r="P17" i="2"/>
  <c r="M17" i="2"/>
  <c r="J17" i="2"/>
  <c r="F17" i="2"/>
  <c r="M20" i="9"/>
  <c r="J20" i="9"/>
  <c r="F20" i="9"/>
  <c r="M19" i="9"/>
  <c r="J19" i="9"/>
  <c r="F19" i="9"/>
  <c r="M18" i="9"/>
  <c r="J18" i="9"/>
  <c r="F18" i="9"/>
  <c r="M16" i="9"/>
  <c r="J16" i="9"/>
  <c r="F16" i="9"/>
  <c r="M13" i="9"/>
  <c r="J13" i="9"/>
  <c r="F13" i="9"/>
  <c r="M12" i="9"/>
  <c r="J12" i="9"/>
  <c r="F12" i="9"/>
  <c r="N23" i="9" l="1"/>
  <c r="P23" i="9" s="1"/>
  <c r="N22" i="9"/>
  <c r="P22" i="9" s="1"/>
  <c r="K22" i="9"/>
  <c r="M22" i="9" s="1"/>
  <c r="M21" i="9" s="1"/>
  <c r="H23" i="9"/>
  <c r="J21" i="9" s="1"/>
  <c r="F11" i="9"/>
  <c r="S9" i="2"/>
  <c r="S23" i="2" s="1"/>
  <c r="R24" i="2" s="1"/>
  <c r="J11" i="9"/>
  <c r="M11" i="9"/>
  <c r="F15" i="9"/>
  <c r="J15" i="9"/>
  <c r="M15" i="9"/>
  <c r="P21" i="9" l="1"/>
  <c r="P9" i="9" s="1"/>
  <c r="P30" i="9" s="1"/>
  <c r="P32" i="9" s="1"/>
  <c r="P33" i="9" s="1"/>
  <c r="P34" i="9" s="1"/>
  <c r="M9" i="9"/>
  <c r="M30" i="9" s="1"/>
  <c r="M31" i="9" s="1"/>
  <c r="M32" i="9" s="1"/>
  <c r="M33" i="9" s="1"/>
  <c r="M34" i="9" s="1"/>
  <c r="J9" i="9"/>
  <c r="J30" i="9" s="1"/>
  <c r="J31" i="9" s="1"/>
  <c r="J32" i="9" s="1"/>
  <c r="J33" i="9" s="1"/>
  <c r="J34" i="9" s="1"/>
  <c r="F9" i="9"/>
  <c r="F30" i="9" s="1"/>
  <c r="F32" i="9" s="1"/>
  <c r="F33" i="9" s="1"/>
  <c r="F34" i="9" s="1"/>
  <c r="S25" i="2"/>
  <c r="S26" i="2" s="1"/>
  <c r="S27" i="2" s="1"/>
  <c r="H36" i="9" l="1"/>
  <c r="N36" i="9"/>
  <c r="K36" i="9"/>
  <c r="P20" i="2"/>
  <c r="P19" i="2"/>
  <c r="P18" i="2"/>
  <c r="P16" i="2"/>
  <c r="P13" i="2"/>
  <c r="P12" i="2"/>
  <c r="M20" i="2"/>
  <c r="M19" i="2"/>
  <c r="M18" i="2"/>
  <c r="M16" i="2"/>
  <c r="M13" i="2"/>
  <c r="M12" i="2"/>
  <c r="P15" i="2" l="1"/>
  <c r="M11" i="2"/>
  <c r="P11" i="2"/>
  <c r="M15" i="2"/>
  <c r="P9" i="2" l="1"/>
  <c r="P23" i="2" s="1"/>
  <c r="M9" i="2"/>
  <c r="M23" i="2" s="1"/>
  <c r="M24" i="2" s="1"/>
  <c r="M25" i="2" s="1"/>
  <c r="P25" i="2" l="1"/>
  <c r="P26" i="2" s="1"/>
  <c r="P27" i="2" s="1"/>
  <c r="O24" i="2"/>
  <c r="M26" i="2"/>
  <c r="M27" i="2" s="1"/>
  <c r="J18" i="2"/>
  <c r="J19" i="2"/>
  <c r="J20" i="2"/>
  <c r="J13" i="2"/>
  <c r="F18" i="2"/>
  <c r="F19" i="2"/>
  <c r="F13" i="2"/>
  <c r="J12" i="2" l="1"/>
  <c r="J11" i="2" s="1"/>
  <c r="F12" i="2"/>
  <c r="F11" i="2" s="1"/>
  <c r="J16" i="2"/>
  <c r="F20" i="2"/>
  <c r="F16" i="2"/>
  <c r="F15" i="2" l="1"/>
  <c r="F9" i="2" l="1"/>
  <c r="F23" i="2" s="1"/>
  <c r="F25" i="2" s="1"/>
  <c r="F26" i="2" s="1"/>
  <c r="F27" i="2" s="1"/>
  <c r="Q29" i="2" s="1"/>
  <c r="J15" i="2" l="1"/>
  <c r="J9" i="2" s="1"/>
  <c r="J23" i="2" s="1"/>
  <c r="K29" i="2" l="1"/>
  <c r="J24" i="2" l="1"/>
  <c r="J25" i="2" s="1"/>
  <c r="J26" i="2" l="1"/>
  <c r="J27" i="2" s="1"/>
  <c r="N29" i="2" l="1"/>
  <c r="H29" i="2" l="1"/>
</calcChain>
</file>

<file path=xl/sharedStrings.xml><?xml version="1.0" encoding="utf-8"?>
<sst xmlns="http://schemas.openxmlformats.org/spreadsheetml/2006/main" count="230" uniqueCount="94">
  <si>
    <t>COMPARATIVO - TABIQUERÍA A TODO COSTO SIN SOLAQUEO</t>
  </si>
  <si>
    <t>FECHA: 04 DE NOVIEMBRE DEL 2025</t>
  </si>
  <si>
    <t>PRESUPUESTO META</t>
  </si>
  <si>
    <t>MAQUIJAL INGENIEROS SAC</t>
  </si>
  <si>
    <t>Descripción</t>
  </si>
  <si>
    <t>Unid</t>
  </si>
  <si>
    <t xml:space="preserve">Metrado </t>
  </si>
  <si>
    <t>P.Unitario
 (S/)</t>
  </si>
  <si>
    <t>P.Parcial
 (S/)</t>
  </si>
  <si>
    <t>Cant.</t>
  </si>
  <si>
    <t>P.Unitario (S/)</t>
  </si>
  <si>
    <t>P.Parcial (S/)</t>
  </si>
  <si>
    <t>TABIQUERÍA</t>
  </si>
  <si>
    <t>SOTANOS</t>
  </si>
  <si>
    <t>Muro de ladrillo silico calcareo - Solaqueado P10</t>
  </si>
  <si>
    <t>m2</t>
  </si>
  <si>
    <t>Muro de ladrillo silico calcareo - Solaqueado P14 RF</t>
  </si>
  <si>
    <t>SUPERESTRUCTURA (NO INCLUYE COSTO DE ACERO)</t>
  </si>
  <si>
    <t>Muro de ladrillo silico calcareo - Solaqueado P10 RF</t>
  </si>
  <si>
    <t>Muro de ladrillo silico calcareo - Solaqueado P14</t>
  </si>
  <si>
    <t>Muro de ladrillo silico calcareo - Soalqueado P14 RF</t>
  </si>
  <si>
    <t>Muro de ladrillo silico calcareo - Solaqueado P20</t>
  </si>
  <si>
    <t xml:space="preserve">SELLADO DE MUROS CORTAFUEGO </t>
  </si>
  <si>
    <t>PARCIAL (SIN IGV)</t>
  </si>
  <si>
    <t>GASTOS GENERALES + UTILIDAD</t>
  </si>
  <si>
    <t>SUBTOTAL</t>
  </si>
  <si>
    <t>IGV  (18%)</t>
  </si>
  <si>
    <t>TOTAL INC. IGV</t>
  </si>
  <si>
    <t>DELTA</t>
  </si>
  <si>
    <t>ADELANTO / TIPO DE GARANTIA</t>
  </si>
  <si>
    <t>Val  adelantada por s./ 25,000.00</t>
  </si>
  <si>
    <t>FRECUENCIA DE VALORIZACIONES</t>
  </si>
  <si>
    <t>Valorizacion semanal, Pago a 7 dias</t>
  </si>
  <si>
    <t>FONDO DE GARANTIA</t>
  </si>
  <si>
    <t>Retención del 5%</t>
  </si>
  <si>
    <t>CONTACTO</t>
  </si>
  <si>
    <t>CONSIDERACIONES:</t>
  </si>
  <si>
    <t>- No incluye personal de descarga ni acarreo vertical.
- No incluye el acabado de pases de extractores, pases de manguera, pases ACI, tableros
- Incluye acarreo horizontal con dos estocas.
- Incluye eliminación de desmonte a zona de acopio o a través del chute.
- No incluye el suministro ni armado de andamios.
- Incluye el asentado de muros máximo hasta 3m de altura.
- Los trabajos se realizaran según manual de instalacion por LA CASA.
- Incluye acabados como solaqueo, derrames, bruñas y copado.
- No incluye vigia para descarga de camiones.
- Incluye el anclaje, asentado y acabados.</t>
  </si>
  <si>
    <t>N° DE OBRAS ACTUALES EN EJECUCION</t>
  </si>
  <si>
    <t>COMPARATIVO - TABIQUERÍA A TODO COSTO</t>
  </si>
  <si>
    <t>FECHA: 24 DE OCTUBRE DEL 2025</t>
  </si>
  <si>
    <t>DEIVID CONSTRUCCIONES EIRL</t>
  </si>
  <si>
    <t>VDCING</t>
  </si>
  <si>
    <t>ROLEX CONSTRUCTORES SAC</t>
  </si>
  <si>
    <t>30% de adelanto (126,439.54 soles)</t>
  </si>
  <si>
    <t>40% de adelanto (160,740.84 soles)</t>
  </si>
  <si>
    <t>5000 soles</t>
  </si>
  <si>
    <t>20% de adelanto</t>
  </si>
  <si>
    <t>- La cotización está incluido a todo costo. Incluido transporte y herramientas.
- Está considerado ladrillo, mortero, concreto, epóxico, tecnopor, ojos chinos, discos, brocas
- El PTO considera EMOS, SCTR, EPP
- El PTO no considera acarreo vertical. Considera solo acarreo horizontal</t>
  </si>
  <si>
    <t>- Fondo de garantía: Se descontará el 5% por cada valorización y será devuelto en el plazo máximo de 6 meses después de obtener el acta de entrega de obra suscrito por el responsable del proyecto.
- El cliente deberá proporcionar lo siguiente:
- Los Planos firmados en señal de su aprobación del responsable.
- Suministro de áreas para oficina y vestuario del personal (contratista).
- Suministro eléctrico y punto de agua en cada piso de trabajo.
- Acero en todos los casos.
- Las instalaciones eléctricas y sanitarias deberán estar colocadas previamente a la construcción del muro y fijadas previas al solaqueo del muro. Si estas no estuvieran colocadas y fijadas al terminar la instalación de los tabiques del piso correspondiente, los resanes serán por cuenta del cliente.
- Si el muro estuviera mal construido por un error de trazo el costo de la reparación será por cuenta del cliente. Respetamos los trazos liberados.
- Suministro de condiciones seguras para el trabajo (barandas, ductos, señalización y accesos).
- Iluminación de áreas comunes y rutas de evacuación.
- Suministro de implementos de protección colectiva. (Proporciona almacén).
- Disponer de capacidad y área para la recepción de materiales según el cronograma de obra.</t>
  </si>
  <si>
    <r>
      <t xml:space="preserve">CONSIDERACIONES OPERATIVAS
- El presupuesto es A TODO, bajo la modalidad de PRECIOS UNITARIOS
- Incluye únicamente los trabajos relacionados a tabiquería, los muros serán llenados parcial y totalmente según indica en el detalle de la partida, y con acabado solaqueado. No incluye acabado exterior.
- El cliente debe proporcionar punto de agua en cada piso, punto de energia, SSHH, comedor, y chute para evacuación de desmonte.
- La intervención se dará posterior a la liberación de instalaciones sanitarias, instalaciones eléctricas y de gas si las hubieran. Idealmente, deben estar tarrajeadas y liberadas las vigas y columnas.
</t>
    </r>
    <r>
      <rPr>
        <b/>
        <sz val="11"/>
        <color theme="1"/>
        <rFont val="Calibri"/>
        <family val="2"/>
        <scheme val="minor"/>
      </rPr>
      <t>NO INCLUYE</t>
    </r>
    <r>
      <rPr>
        <sz val="11"/>
        <color theme="1"/>
        <rFont val="Calibri"/>
        <family val="2"/>
        <scheme val="minor"/>
      </rPr>
      <t xml:space="preserve">
* Acero, recepción y descarga de materiales, izaje vertical, andamios.
* Trabajos de instalaciones sanitarias, eléctricas y topográficas.
</t>
    </r>
    <r>
      <rPr>
        <b/>
        <sz val="11"/>
        <color theme="1"/>
        <rFont val="Calibri"/>
        <family val="2"/>
        <scheme val="minor"/>
      </rPr>
      <t>INCLUYE</t>
    </r>
    <r>
      <rPr>
        <sz val="11"/>
        <color theme="1"/>
        <rFont val="Calibri"/>
        <family val="2"/>
        <scheme val="minor"/>
      </rPr>
      <t xml:space="preserve">
* BLOQUETAS, CONCRETO LIQUIDO, MORTERO, OJO CHINO, ADHESIVO EPÓXICO, TECNOPOR O SELLO CORTAFUEGO.
* Recepción de material y acarreo y distribución horizontal.
* Incluye caseta de almacén temporal armado de madera machimbrada o equivalente.
* Personal técnico calificado para estos trabajos, responsable de obra, maestro y PDR si se requiere.
* Manipuleo de los materiales dentro de nuestras instalaciones.
* Las herramientas y equipos son normados por el reglamento de seguridad nacional.
* Se entregaran Las areas limpias de nuestros trabajos
* Calidad en nuestros servicios.
* Se contara con todos los implementos de seguridad según norma técnica de seguridad para este tipo de trabajo.</t>
    </r>
  </si>
  <si>
    <t>APU SOLAQUEO MUROS DE CONCRETO EN INTERIORES</t>
  </si>
  <si>
    <t>2.3.1.2.2</t>
  </si>
  <si>
    <t>SOLAQUEO DE MUROS INTERIORES</t>
  </si>
  <si>
    <t xml:space="preserve"> m2</t>
  </si>
  <si>
    <t>Mano de obra</t>
  </si>
  <si>
    <t>MOMOCP01</t>
  </si>
  <si>
    <t>CAPATAZ</t>
  </si>
  <si>
    <t>hh</t>
  </si>
  <si>
    <t>PEN</t>
  </si>
  <si>
    <t>MOMOOP01</t>
  </si>
  <si>
    <t>OPERARIO</t>
  </si>
  <si>
    <t>MOMOAY01</t>
  </si>
  <si>
    <t>AYUDANTE</t>
  </si>
  <si>
    <t>Materiales y herramientas</t>
  </si>
  <si>
    <t>%EQHMHER03</t>
  </si>
  <si>
    <t>HERRAMIENTAS MANUALES 3%</t>
  </si>
  <si>
    <t>%</t>
  </si>
  <si>
    <t>MAAGAR02</t>
  </si>
  <si>
    <t>ARENA FINA</t>
  </si>
  <si>
    <t>m3</t>
  </si>
  <si>
    <t>MACECE01</t>
  </si>
  <si>
    <t>CEMENTO PORTLAND TI</t>
  </si>
  <si>
    <t>bls</t>
  </si>
  <si>
    <t>EQECAND01</t>
  </si>
  <si>
    <t>ANDAMIO METALICO</t>
  </si>
  <si>
    <t>mes</t>
  </si>
  <si>
    <t>EQECAMO01</t>
  </si>
  <si>
    <t>AMOLADORA DE 4.5''</t>
  </si>
  <si>
    <t>u</t>
  </si>
  <si>
    <t>COMPARATIVO - SC MANO DE OBRA - TABIQUERIA</t>
  </si>
  <si>
    <t>MATERIAL Y CONSUMIBLES SEGÚN COT. "LA CASA"</t>
  </si>
  <si>
    <t>Ladrillo Silico Calcareo P-10 (La CASA) incluye flete</t>
  </si>
  <si>
    <t>mll</t>
  </si>
  <si>
    <t>Ladrillo Silico Calcareo P-14 (La CASA) incluye flete</t>
  </si>
  <si>
    <t>Mortero grueso para muros divisorios (incluye flete)</t>
  </si>
  <si>
    <t>Concreto para muros divisorios (incluye flete)</t>
  </si>
  <si>
    <t>Mortero fino para solaqueo de muros (incluye flete)</t>
  </si>
  <si>
    <t>Ojos chinos (para acero de 3/8")</t>
  </si>
  <si>
    <t>und</t>
  </si>
  <si>
    <t>No</t>
  </si>
  <si>
    <t>- Anclado, asentado, copado, solaqueado con derrames de puertas, ventanas, gruñas</t>
  </si>
  <si>
    <t>CONSIDERACIONES OPERATIVAS
- El presupuesto es A TODO, bajo la modalidad de PRECIOS UNITARIOS
- Incluye únicamente los trabajos relacionados a tabiquería, los muros serán llenados parcial y totalmente según indica en el detalle de la partida, y con acabado solaqueado. No incluye acabado exterior.
- El cliente debe proporcionar punto de agua en cada piso, punto de energia, SSHH, comedor, y chute para evacuación de desmonte.
- La intervención se dará posterior a la liberación de instalaciones sanitarias, instalaciones eléctricas y de gas si las hubieran. Idealmente, deben estar tarrajeadas y liberadas las vigas y columnas.
NO INCLUYE
* Acero, recepción y descarga de materiales, izaje vertical, andamios.
* Trabajos de instalaciones sanitarias, eléctricas y topográficas.
INCLUYE
* BLOQUETAS, CONCRETO LIQUIDO, MORTERO, OJO CHINO, ADHESIVO EPÓXICO, TECNOPOR O SELLO CORTAFUEGO.
* Recepción de material y acarreo y distribución horizontal.
* Incluye caseta de almacén temporal armado de madera machimbrada o equivalente.
* Personal técnico calificado para estos trabajos, responsable de obra, maestro y PDR si se requiere.
* Manipuleo de los materiales dentro de nuestras instalaciones.
* Las herramientas y equipos son normados por el reglamento de seguridad nacional.
* Se entregaran Las areas limpias de nuestros trabajos
* Calidad en nuestros servicios.
* Se contara con todos los implementos de seguridad según norma técnica de seguridad para este tipo de trabajo.</t>
  </si>
  <si>
    <t>COTI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</si>
</sst>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_-&quot;S/&quot;* #,##0.00_-;\-&quot;S/&quot;* #,##0.00_-;_-&quot;S/&quot;* &quot;-&quot;??_-;_-@_-"/>
    <numFmt numFmtId="166" formatCode="###,###,###,##0.00"/>
    <numFmt numFmtId="167" formatCode="_(&quot; &quot;\ * #,##0.00_);_(&quot; &quot;\ * \(#,##0.00\);_(&quot; &quot;\ * &quot;-&quot;??_);_(@_)"/>
    <numFmt numFmtId="168" formatCode="[$S/.-280A]\ #,##0.00"/>
    <numFmt numFmtId="169" formatCode="_-[$$-45C]* #,##0.00_-;\-[$$-45C]* #,##0.00_-;_-[$$-45C]* &quot;-&quot;??_-;_-@_-"/>
    <numFmt numFmtId="170" formatCode="0.0%"/>
    <numFmt numFmtId="171" formatCode="#,##0.0000"/>
    <numFmt numFmtId="172" formatCode="_-* #,##0.0000_-;\-* #,##0.0000_-;_-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sz val="14"/>
      <color indexed="57"/>
      <name val="Arial"/>
      <family val="2"/>
    </font>
    <font>
      <sz val="14"/>
      <color indexed="12"/>
      <name val="Arial"/>
      <family val="2"/>
    </font>
    <font>
      <sz val="14"/>
      <color rgb="FF0070C0"/>
      <name val="Arial"/>
      <family val="2"/>
    </font>
    <font>
      <sz val="14"/>
      <color indexed="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0"/>
      <name val="Arial"/>
      <family val="2"/>
    </font>
    <font>
      <b/>
      <u/>
      <sz val="24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7" tint="0.7999816888943144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7" tint="0.7999816888943144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8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166" fontId="7" fillId="0" borderId="0" xfId="3" applyNumberFormat="1" applyFont="1" applyAlignment="1">
      <alignment horizontal="center" vertical="center" wrapText="1"/>
    </xf>
    <xf numFmtId="166" fontId="11" fillId="0" borderId="0" xfId="3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43" fontId="2" fillId="2" borderId="8" xfId="1" applyFont="1" applyFill="1" applyBorder="1" applyAlignment="1">
      <alignment vertical="center"/>
    </xf>
    <xf numFmtId="43" fontId="9" fillId="0" borderId="11" xfId="1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 applyProtection="1">
      <alignment vertical="center"/>
      <protection locked="0"/>
    </xf>
    <xf numFmtId="166" fontId="13" fillId="0" borderId="0" xfId="3" applyNumberFormat="1" applyFont="1" applyAlignment="1">
      <alignment horizontal="right" vertical="center"/>
    </xf>
    <xf numFmtId="43" fontId="9" fillId="0" borderId="14" xfId="1" applyFont="1" applyFill="1" applyBorder="1" applyAlignment="1">
      <alignment vertical="center"/>
    </xf>
    <xf numFmtId="0" fontId="14" fillId="0" borderId="17" xfId="3" quotePrefix="1" applyFont="1" applyBorder="1" applyAlignment="1">
      <alignment horizontal="left"/>
    </xf>
    <xf numFmtId="0" fontId="13" fillId="0" borderId="0" xfId="3" quotePrefix="1" applyFont="1" applyAlignment="1">
      <alignment horizontal="center" vertical="center"/>
    </xf>
    <xf numFmtId="166" fontId="13" fillId="0" borderId="0" xfId="3" applyNumberFormat="1" applyFont="1" applyAlignment="1">
      <alignment horizontal="center" vertical="center"/>
    </xf>
    <xf numFmtId="166" fontId="13" fillId="0" borderId="0" xfId="3" applyNumberFormat="1" applyFont="1" applyAlignment="1">
      <alignment horizontal="right"/>
    </xf>
    <xf numFmtId="43" fontId="2" fillId="0" borderId="0" xfId="1" applyFont="1" applyBorder="1"/>
    <xf numFmtId="2" fontId="7" fillId="2" borderId="1" xfId="4" applyNumberFormat="1" applyFont="1" applyFill="1" applyBorder="1" applyAlignment="1">
      <alignment horizontal="left" vertical="center"/>
    </xf>
    <xf numFmtId="2" fontId="7" fillId="2" borderId="2" xfId="4" applyNumberFormat="1" applyFont="1" applyFill="1" applyBorder="1" applyAlignment="1">
      <alignment horizontal="right" vertical="center"/>
    </xf>
    <xf numFmtId="2" fontId="7" fillId="2" borderId="7" xfId="4" applyNumberFormat="1" applyFont="1" applyFill="1" applyBorder="1" applyAlignment="1">
      <alignment horizontal="left" vertical="center"/>
    </xf>
    <xf numFmtId="2" fontId="7" fillId="2" borderId="0" xfId="4" applyNumberFormat="1" applyFont="1" applyFill="1" applyAlignment="1">
      <alignment horizontal="right" vertical="center"/>
    </xf>
    <xf numFmtId="2" fontId="7" fillId="2" borderId="16" xfId="4" applyNumberFormat="1" applyFont="1" applyFill="1" applyBorder="1" applyAlignment="1">
      <alignment horizontal="left" vertical="center"/>
    </xf>
    <xf numFmtId="2" fontId="7" fillId="2" borderId="17" xfId="4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7" fillId="2" borderId="10" xfId="0" applyFont="1" applyFill="1" applyBorder="1" applyAlignment="1" applyProtection="1">
      <alignment horizontal="left" vertical="center" wrapText="1" indent="3"/>
      <protection locked="0"/>
    </xf>
    <xf numFmtId="0" fontId="15" fillId="4" borderId="23" xfId="0" applyFont="1" applyFill="1" applyBorder="1" applyAlignment="1">
      <alignment vertical="center" wrapText="1"/>
    </xf>
    <xf numFmtId="0" fontId="9" fillId="2" borderId="10" xfId="0" applyFont="1" applyFill="1" applyBorder="1" applyAlignment="1" applyProtection="1">
      <alignment horizontal="left" vertical="center" wrapText="1" indent="5"/>
      <protection locked="0"/>
    </xf>
    <xf numFmtId="166" fontId="9" fillId="2" borderId="8" xfId="3" applyNumberFormat="1" applyFont="1" applyFill="1" applyBorder="1" applyAlignment="1">
      <alignment horizontal="right" vertical="center"/>
    </xf>
    <xf numFmtId="43" fontId="9" fillId="0" borderId="8" xfId="1" applyFont="1" applyFill="1" applyBorder="1" applyAlignment="1">
      <alignment horizontal="right" vertical="center"/>
    </xf>
    <xf numFmtId="43" fontId="7" fillId="2" borderId="9" xfId="1" quotePrefix="1" applyFont="1" applyFill="1" applyBorder="1" applyAlignment="1">
      <alignment horizontal="right" vertical="center"/>
    </xf>
    <xf numFmtId="0" fontId="9" fillId="2" borderId="25" xfId="3" quotePrefix="1" applyFont="1" applyFill="1" applyBorder="1" applyAlignment="1">
      <alignment horizontal="right" vertical="center"/>
    </xf>
    <xf numFmtId="0" fontId="9" fillId="2" borderId="13" xfId="0" applyFont="1" applyFill="1" applyBorder="1" applyAlignment="1" applyProtection="1">
      <alignment horizontal="right" vertical="center"/>
      <protection locked="0"/>
    </xf>
    <xf numFmtId="166" fontId="9" fillId="2" borderId="14" xfId="0" applyNumberFormat="1" applyFont="1" applyFill="1" applyBorder="1" applyAlignment="1" applyProtection="1">
      <alignment horizontal="right" vertical="center"/>
      <protection locked="0"/>
    </xf>
    <xf numFmtId="43" fontId="9" fillId="0" borderId="14" xfId="1" applyFont="1" applyFill="1" applyBorder="1" applyAlignment="1">
      <alignment horizontal="right" vertical="center"/>
    </xf>
    <xf numFmtId="43" fontId="10" fillId="0" borderId="15" xfId="1" applyFont="1" applyFill="1" applyBorder="1" applyAlignment="1" applyProtection="1">
      <alignment horizontal="right" vertical="center"/>
      <protection locked="0"/>
    </xf>
    <xf numFmtId="164" fontId="7" fillId="2" borderId="3" xfId="6" applyFont="1" applyFill="1" applyBorder="1" applyAlignment="1">
      <alignment horizontal="center" vertical="center"/>
    </xf>
    <xf numFmtId="164" fontId="7" fillId="2" borderId="11" xfId="6" applyFont="1" applyFill="1" applyBorder="1" applyAlignment="1">
      <alignment horizontal="center" vertical="center"/>
    </xf>
    <xf numFmtId="2" fontId="7" fillId="2" borderId="2" xfId="4" applyNumberFormat="1" applyFont="1" applyFill="1" applyBorder="1" applyAlignment="1">
      <alignment horizontal="left" vertical="center"/>
    </xf>
    <xf numFmtId="2" fontId="7" fillId="2" borderId="0" xfId="4" applyNumberFormat="1" applyFont="1" applyFill="1" applyAlignment="1">
      <alignment horizontal="left" vertical="center"/>
    </xf>
    <xf numFmtId="2" fontId="7" fillId="2" borderId="17" xfId="4" applyNumberFormat="1" applyFont="1" applyFill="1" applyBorder="1" applyAlignment="1">
      <alignment horizontal="left" vertical="center"/>
    </xf>
    <xf numFmtId="166" fontId="2" fillId="2" borderId="7" xfId="0" applyNumberFormat="1" applyFont="1" applyFill="1" applyBorder="1" applyAlignment="1">
      <alignment horizontal="left" vertical="center"/>
    </xf>
    <xf numFmtId="0" fontId="9" fillId="0" borderId="10" xfId="0" applyFont="1" applyBorder="1" applyAlignment="1" applyProtection="1">
      <alignment horizontal="left" vertical="center" wrapText="1" indent="5"/>
      <protection locked="0"/>
    </xf>
    <xf numFmtId="166" fontId="2" fillId="0" borderId="7" xfId="0" applyNumberFormat="1" applyFont="1" applyBorder="1" applyAlignment="1">
      <alignment vertical="center"/>
    </xf>
    <xf numFmtId="0" fontId="7" fillId="6" borderId="10" xfId="0" applyFont="1" applyFill="1" applyBorder="1" applyAlignment="1" applyProtection="1">
      <alignment horizontal="left" vertical="center" wrapText="1" indent="4"/>
      <protection locked="0"/>
    </xf>
    <xf numFmtId="166" fontId="2" fillId="6" borderId="7" xfId="0" applyNumberFormat="1" applyFont="1" applyFill="1" applyBorder="1" applyAlignment="1">
      <alignment vertical="center"/>
    </xf>
    <xf numFmtId="166" fontId="2" fillId="7" borderId="7" xfId="0" applyNumberFormat="1" applyFont="1" applyFill="1" applyBorder="1" applyAlignment="1">
      <alignment vertical="center"/>
    </xf>
    <xf numFmtId="0" fontId="7" fillId="7" borderId="10" xfId="0" applyFont="1" applyFill="1" applyBorder="1" applyAlignment="1" applyProtection="1">
      <alignment horizontal="left" vertical="center" wrapText="1" indent="3"/>
      <protection locked="0"/>
    </xf>
    <xf numFmtId="43" fontId="10" fillId="0" borderId="18" xfId="1" applyFont="1" applyFill="1" applyBorder="1" applyAlignment="1" applyProtection="1">
      <alignment vertical="center"/>
      <protection locked="0"/>
    </xf>
    <xf numFmtId="0" fontId="20" fillId="8" borderId="1" xfId="4" applyFont="1" applyFill="1" applyBorder="1" applyAlignment="1">
      <alignment horizontal="center" vertical="center"/>
    </xf>
    <xf numFmtId="0" fontId="20" fillId="8" borderId="2" xfId="4" applyFont="1" applyFill="1" applyBorder="1" applyAlignment="1">
      <alignment horizontal="center" vertical="center"/>
    </xf>
    <xf numFmtId="4" fontId="20" fillId="8" borderId="2" xfId="4" applyNumberFormat="1" applyFont="1" applyFill="1" applyBorder="1" applyAlignment="1">
      <alignment horizontal="center" vertical="center"/>
    </xf>
    <xf numFmtId="164" fontId="20" fillId="8" borderId="3" xfId="6" applyFont="1" applyFill="1" applyBorder="1" applyAlignment="1">
      <alignment horizontal="right" vertical="center"/>
    </xf>
    <xf numFmtId="0" fontId="20" fillId="8" borderId="7" xfId="4" applyFont="1" applyFill="1" applyBorder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4" fontId="20" fillId="8" borderId="0" xfId="4" applyNumberFormat="1" applyFont="1" applyFill="1" applyAlignment="1">
      <alignment horizontal="center" vertical="center"/>
    </xf>
    <xf numFmtId="164" fontId="20" fillId="8" borderId="11" xfId="6" applyFont="1" applyFill="1" applyBorder="1" applyAlignment="1">
      <alignment horizontal="right" vertical="center"/>
    </xf>
    <xf numFmtId="0" fontId="20" fillId="8" borderId="16" xfId="4" applyFont="1" applyFill="1" applyBorder="1" applyAlignment="1">
      <alignment horizontal="center" vertical="center"/>
    </xf>
    <xf numFmtId="0" fontId="20" fillId="8" borderId="17" xfId="4" applyFont="1" applyFill="1" applyBorder="1" applyAlignment="1">
      <alignment horizontal="center" vertical="center"/>
    </xf>
    <xf numFmtId="4" fontId="20" fillId="8" borderId="17" xfId="4" applyNumberFormat="1" applyFont="1" applyFill="1" applyBorder="1" applyAlignment="1">
      <alignment horizontal="center" vertical="center"/>
    </xf>
    <xf numFmtId="164" fontId="20" fillId="8" borderId="18" xfId="6" applyFont="1" applyFill="1" applyBorder="1" applyAlignment="1">
      <alignment horizontal="right" vertical="center"/>
    </xf>
    <xf numFmtId="167" fontId="20" fillId="8" borderId="2" xfId="4" applyNumberFormat="1" applyFont="1" applyFill="1" applyBorder="1" applyAlignment="1">
      <alignment horizontal="right" vertical="center"/>
    </xf>
    <xf numFmtId="167" fontId="20" fillId="8" borderId="0" xfId="4" applyNumberFormat="1" applyFont="1" applyFill="1" applyAlignment="1">
      <alignment horizontal="right" vertical="center"/>
    </xf>
    <xf numFmtId="167" fontId="20" fillId="8" borderId="17" xfId="4" applyNumberFormat="1" applyFont="1" applyFill="1" applyBorder="1" applyAlignment="1">
      <alignment horizontal="right" vertical="center"/>
    </xf>
    <xf numFmtId="0" fontId="20" fillId="8" borderId="4" xfId="2" applyFont="1" applyFill="1" applyBorder="1" applyAlignment="1">
      <alignment horizontal="center" vertical="center"/>
    </xf>
    <xf numFmtId="0" fontId="20" fillId="8" borderId="26" xfId="2" applyFont="1" applyFill="1" applyBorder="1" applyAlignment="1">
      <alignment horizontal="center" vertical="center"/>
    </xf>
    <xf numFmtId="4" fontId="20" fillId="8" borderId="26" xfId="2" applyNumberFormat="1" applyFont="1" applyFill="1" applyBorder="1" applyAlignment="1">
      <alignment horizontal="center" vertical="center" wrapText="1"/>
    </xf>
    <xf numFmtId="4" fontId="20" fillId="8" borderId="27" xfId="2" applyNumberFormat="1" applyFont="1" applyFill="1" applyBorder="1" applyAlignment="1">
      <alignment horizontal="center" vertical="center" wrapText="1"/>
    </xf>
    <xf numFmtId="164" fontId="9" fillId="0" borderId="11" xfId="1" applyNumberFormat="1" applyFont="1" applyFill="1" applyBorder="1" applyAlignment="1" applyProtection="1">
      <alignment horizontal="left" vertical="center"/>
      <protection locked="0"/>
    </xf>
    <xf numFmtId="164" fontId="7" fillId="7" borderId="11" xfId="1" applyNumberFormat="1" applyFont="1" applyFill="1" applyBorder="1" applyAlignment="1" applyProtection="1">
      <alignment horizontal="left" vertical="center"/>
      <protection locked="0"/>
    </xf>
    <xf numFmtId="164" fontId="19" fillId="0" borderId="11" xfId="1" applyNumberFormat="1" applyFont="1" applyFill="1" applyBorder="1" applyAlignment="1" applyProtection="1">
      <alignment horizontal="left" vertical="center"/>
      <protection locked="0"/>
    </xf>
    <xf numFmtId="164" fontId="7" fillId="6" borderId="11" xfId="1" applyNumberFormat="1" applyFont="1" applyFill="1" applyBorder="1" applyAlignment="1" applyProtection="1">
      <alignment horizontal="left" vertical="center"/>
      <protection locked="0"/>
    </xf>
    <xf numFmtId="4" fontId="7" fillId="5" borderId="1" xfId="2" applyNumberFormat="1" applyFont="1" applyFill="1" applyBorder="1" applyAlignment="1">
      <alignment horizontal="center" vertical="center" wrapText="1"/>
    </xf>
    <xf numFmtId="4" fontId="7" fillId="5" borderId="24" xfId="2" applyNumberFormat="1" applyFont="1" applyFill="1" applyBorder="1" applyAlignment="1">
      <alignment horizontal="center" vertical="center" wrapText="1"/>
    </xf>
    <xf numFmtId="4" fontId="7" fillId="5" borderId="3" xfId="2" applyNumberFormat="1" applyFont="1" applyFill="1" applyBorder="1" applyAlignment="1">
      <alignment horizontal="center" vertical="center" wrapText="1"/>
    </xf>
    <xf numFmtId="0" fontId="0" fillId="2" borderId="0" xfId="0" applyFill="1"/>
    <xf numFmtId="164" fontId="7" fillId="5" borderId="18" xfId="6" applyFont="1" applyFill="1" applyBorder="1" applyAlignment="1">
      <alignment horizontal="center" vertical="center"/>
    </xf>
    <xf numFmtId="0" fontId="9" fillId="7" borderId="25" xfId="3" quotePrefix="1" applyFont="1" applyFill="1" applyBorder="1" applyAlignment="1">
      <alignment horizontal="center" vertical="center"/>
    </xf>
    <xf numFmtId="0" fontId="9" fillId="2" borderId="25" xfId="3" quotePrefix="1" applyFont="1" applyFill="1" applyBorder="1" applyAlignment="1">
      <alignment horizontal="center" vertical="center"/>
    </xf>
    <xf numFmtId="0" fontId="9" fillId="6" borderId="25" xfId="3" quotePrefix="1" applyFont="1" applyFill="1" applyBorder="1" applyAlignment="1">
      <alignment horizontal="center" vertical="center"/>
    </xf>
    <xf numFmtId="0" fontId="9" fillId="0" borderId="25" xfId="3" quotePrefix="1" applyFont="1" applyBorder="1" applyAlignment="1">
      <alignment horizontal="center" vertical="center"/>
    </xf>
    <xf numFmtId="164" fontId="4" fillId="7" borderId="8" xfId="0" applyNumberFormat="1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vertical="center"/>
    </xf>
    <xf numFmtId="164" fontId="2" fillId="6" borderId="8" xfId="1" applyNumberFormat="1" applyFont="1" applyFill="1" applyBorder="1" applyAlignment="1">
      <alignment vertical="center"/>
    </xf>
    <xf numFmtId="164" fontId="2" fillId="0" borderId="8" xfId="1" applyNumberFormat="1" applyFont="1" applyFill="1" applyBorder="1" applyAlignment="1">
      <alignment vertical="center"/>
    </xf>
    <xf numFmtId="10" fontId="7" fillId="2" borderId="0" xfId="4" applyNumberFormat="1" applyFont="1" applyFill="1" applyAlignment="1">
      <alignment horizontal="right" vertical="center"/>
    </xf>
    <xf numFmtId="0" fontId="0" fillId="9" borderId="0" xfId="0" applyFill="1"/>
    <xf numFmtId="0" fontId="0" fillId="2" borderId="0" xfId="0" applyFill="1" applyAlignment="1">
      <alignment vertical="center"/>
    </xf>
    <xf numFmtId="0" fontId="0" fillId="9" borderId="0" xfId="0" applyFill="1" applyAlignment="1">
      <alignment vertical="center"/>
    </xf>
    <xf numFmtId="164" fontId="9" fillId="7" borderId="8" xfId="1" applyNumberFormat="1" applyFont="1" applyFill="1" applyBorder="1" applyAlignment="1">
      <alignment horizontal="right" vertical="center"/>
    </xf>
    <xf numFmtId="164" fontId="7" fillId="7" borderId="9" xfId="1" quotePrefix="1" applyNumberFormat="1" applyFont="1" applyFill="1" applyBorder="1" applyAlignment="1">
      <alignment horizontal="right" vertical="center"/>
    </xf>
    <xf numFmtId="164" fontId="9" fillId="0" borderId="8" xfId="1" applyNumberFormat="1" applyFont="1" applyFill="1" applyBorder="1" applyAlignment="1">
      <alignment horizontal="right" vertical="center"/>
    </xf>
    <xf numFmtId="164" fontId="7" fillId="2" borderId="9" xfId="1" quotePrefix="1" applyNumberFormat="1" applyFont="1" applyFill="1" applyBorder="1" applyAlignment="1">
      <alignment horizontal="right" vertical="center"/>
    </xf>
    <xf numFmtId="164" fontId="9" fillId="6" borderId="8" xfId="1" applyNumberFormat="1" applyFont="1" applyFill="1" applyBorder="1" applyAlignment="1">
      <alignment horizontal="right" vertical="center"/>
    </xf>
    <xf numFmtId="164" fontId="7" fillId="6" borderId="9" xfId="1" quotePrefix="1" applyNumberFormat="1" applyFont="1" applyFill="1" applyBorder="1" applyAlignment="1">
      <alignment horizontal="right" vertical="center"/>
    </xf>
    <xf numFmtId="164" fontId="9" fillId="2" borderId="9" xfId="1" quotePrefix="1" applyNumberFormat="1" applyFont="1" applyFill="1" applyBorder="1" applyAlignment="1">
      <alignment horizontal="right" vertical="center"/>
    </xf>
    <xf numFmtId="43" fontId="9" fillId="7" borderId="8" xfId="3" applyNumberFormat="1" applyFont="1" applyFill="1" applyBorder="1" applyAlignment="1">
      <alignment horizontal="right" vertical="center"/>
    </xf>
    <xf numFmtId="43" fontId="9" fillId="2" borderId="8" xfId="3" applyNumberFormat="1" applyFont="1" applyFill="1" applyBorder="1" applyAlignment="1">
      <alignment horizontal="right" vertical="center"/>
    </xf>
    <xf numFmtId="43" fontId="9" fillId="6" borderId="8" xfId="3" applyNumberFormat="1" applyFont="1" applyFill="1" applyBorder="1" applyAlignment="1">
      <alignment horizontal="right" vertical="center"/>
    </xf>
    <xf numFmtId="43" fontId="9" fillId="0" borderId="8" xfId="3" applyNumberFormat="1" applyFont="1" applyBorder="1" applyAlignment="1">
      <alignment horizontal="right" vertical="center"/>
    </xf>
    <xf numFmtId="166" fontId="9" fillId="0" borderId="7" xfId="0" applyNumberFormat="1" applyFont="1" applyBorder="1" applyAlignment="1">
      <alignment vertical="center"/>
    </xf>
    <xf numFmtId="0" fontId="2" fillId="0" borderId="10" xfId="0" applyFont="1" applyBorder="1" applyAlignment="1" applyProtection="1">
      <alignment horizontal="left" vertical="center" wrapText="1" indent="5"/>
      <protection locked="0"/>
    </xf>
    <xf numFmtId="0" fontId="2" fillId="0" borderId="25" xfId="3" quotePrefix="1" applyFont="1" applyBorder="1" applyAlignment="1">
      <alignment horizontal="center" vertical="center"/>
    </xf>
    <xf numFmtId="43" fontId="2" fillId="0" borderId="8" xfId="3" applyNumberFormat="1" applyFont="1" applyBorder="1" applyAlignment="1">
      <alignment horizontal="right" vertical="center"/>
    </xf>
    <xf numFmtId="164" fontId="2" fillId="0" borderId="8" xfId="1" applyNumberFormat="1" applyFont="1" applyFill="1" applyBorder="1" applyAlignment="1">
      <alignment horizontal="right" vertical="center"/>
    </xf>
    <xf numFmtId="164" fontId="2" fillId="2" borderId="9" xfId="1" quotePrefix="1" applyNumberFormat="1" applyFont="1" applyFill="1" applyBorder="1" applyAlignment="1">
      <alignment horizontal="right" vertical="center"/>
    </xf>
    <xf numFmtId="170" fontId="7" fillId="2" borderId="0" xfId="7" applyNumberFormat="1" applyFont="1" applyFill="1" applyAlignment="1">
      <alignment horizontal="right" vertical="center"/>
    </xf>
    <xf numFmtId="0" fontId="4" fillId="4" borderId="23" xfId="0" applyFont="1" applyFill="1" applyBorder="1" applyAlignment="1">
      <alignment vertical="center" wrapText="1"/>
    </xf>
    <xf numFmtId="166" fontId="9" fillId="10" borderId="7" xfId="0" applyNumberFormat="1" applyFont="1" applyFill="1" applyBorder="1" applyAlignment="1">
      <alignment vertical="center"/>
    </xf>
    <xf numFmtId="164" fontId="2" fillId="10" borderId="8" xfId="1" applyNumberFormat="1" applyFont="1" applyFill="1" applyBorder="1" applyAlignment="1">
      <alignment vertical="center"/>
    </xf>
    <xf numFmtId="164" fontId="9" fillId="10" borderId="11" xfId="1" applyNumberFormat="1" applyFont="1" applyFill="1" applyBorder="1" applyAlignment="1" applyProtection="1">
      <alignment horizontal="left" vertical="center"/>
      <protection locked="0"/>
    </xf>
    <xf numFmtId="166" fontId="2" fillId="10" borderId="7" xfId="0" applyNumberFormat="1" applyFont="1" applyFill="1" applyBorder="1" applyAlignment="1">
      <alignment vertical="center"/>
    </xf>
    <xf numFmtId="4" fontId="7" fillId="11" borderId="1" xfId="2" applyNumberFormat="1" applyFont="1" applyFill="1" applyBorder="1" applyAlignment="1">
      <alignment horizontal="center" vertical="center" wrapText="1"/>
    </xf>
    <xf numFmtId="4" fontId="7" fillId="11" borderId="24" xfId="2" applyNumberFormat="1" applyFont="1" applyFill="1" applyBorder="1" applyAlignment="1">
      <alignment horizontal="center" vertical="center" wrapText="1"/>
    </xf>
    <xf numFmtId="4" fontId="7" fillId="11" borderId="3" xfId="2" applyNumberFormat="1" applyFont="1" applyFill="1" applyBorder="1" applyAlignment="1">
      <alignment horizontal="center" vertical="center" wrapText="1"/>
    </xf>
    <xf numFmtId="164" fontId="7" fillId="11" borderId="18" xfId="6" applyFont="1" applyFill="1" applyBorder="1" applyAlignment="1">
      <alignment horizontal="center" vertical="center"/>
    </xf>
    <xf numFmtId="4" fontId="7" fillId="12" borderId="1" xfId="2" applyNumberFormat="1" applyFont="1" applyFill="1" applyBorder="1" applyAlignment="1">
      <alignment horizontal="center" vertical="center" wrapText="1"/>
    </xf>
    <xf numFmtId="4" fontId="7" fillId="12" borderId="24" xfId="2" applyNumberFormat="1" applyFont="1" applyFill="1" applyBorder="1" applyAlignment="1">
      <alignment horizontal="center" vertical="center" wrapText="1"/>
    </xf>
    <xf numFmtId="4" fontId="7" fillId="12" borderId="3" xfId="2" applyNumberFormat="1" applyFont="1" applyFill="1" applyBorder="1" applyAlignment="1">
      <alignment horizontal="center" vertical="center" wrapText="1"/>
    </xf>
    <xf numFmtId="164" fontId="7" fillId="12" borderId="18" xfId="6" applyFont="1" applyFill="1" applyBorder="1" applyAlignment="1">
      <alignment horizontal="center" vertical="center"/>
    </xf>
    <xf numFmtId="4" fontId="7" fillId="13" borderId="1" xfId="2" applyNumberFormat="1" applyFont="1" applyFill="1" applyBorder="1" applyAlignment="1">
      <alignment horizontal="center" vertical="center" wrapText="1"/>
    </xf>
    <xf numFmtId="4" fontId="7" fillId="13" borderId="24" xfId="2" applyNumberFormat="1" applyFont="1" applyFill="1" applyBorder="1" applyAlignment="1">
      <alignment horizontal="center" vertical="center" wrapText="1"/>
    </xf>
    <xf numFmtId="4" fontId="7" fillId="13" borderId="3" xfId="2" applyNumberFormat="1" applyFont="1" applyFill="1" applyBorder="1" applyAlignment="1">
      <alignment horizontal="center" vertical="center" wrapText="1"/>
    </xf>
    <xf numFmtId="164" fontId="7" fillId="13" borderId="18" xfId="6" applyFont="1" applyFill="1" applyBorder="1" applyAlignment="1">
      <alignment horizontal="center" vertical="center"/>
    </xf>
    <xf numFmtId="164" fontId="22" fillId="14" borderId="18" xfId="6" applyFont="1" applyFill="1" applyBorder="1" applyAlignment="1">
      <alignment horizontal="center" vertical="center"/>
    </xf>
    <xf numFmtId="4" fontId="22" fillId="14" borderId="1" xfId="2" applyNumberFormat="1" applyFont="1" applyFill="1" applyBorder="1" applyAlignment="1">
      <alignment horizontal="center" vertical="center" wrapText="1"/>
    </xf>
    <xf numFmtId="4" fontId="22" fillId="14" borderId="24" xfId="2" applyNumberFormat="1" applyFont="1" applyFill="1" applyBorder="1" applyAlignment="1">
      <alignment horizontal="center" vertical="center" wrapText="1"/>
    </xf>
    <xf numFmtId="4" fontId="22" fillId="14" borderId="3" xfId="2" applyNumberFormat="1" applyFont="1" applyFill="1" applyBorder="1" applyAlignment="1">
      <alignment horizontal="center" vertical="center" wrapText="1"/>
    </xf>
    <xf numFmtId="4" fontId="7" fillId="15" borderId="1" xfId="2" applyNumberFormat="1" applyFont="1" applyFill="1" applyBorder="1" applyAlignment="1">
      <alignment horizontal="center" vertical="center" wrapText="1"/>
    </xf>
    <xf numFmtId="4" fontId="7" fillId="15" borderId="24" xfId="2" applyNumberFormat="1" applyFont="1" applyFill="1" applyBorder="1" applyAlignment="1">
      <alignment horizontal="center" vertical="center" wrapText="1"/>
    </xf>
    <xf numFmtId="4" fontId="7" fillId="15" borderId="3" xfId="2" applyNumberFormat="1" applyFont="1" applyFill="1" applyBorder="1" applyAlignment="1">
      <alignment horizontal="center" vertical="center" wrapText="1"/>
    </xf>
    <xf numFmtId="164" fontId="7" fillId="15" borderId="18" xfId="6" applyFont="1" applyFill="1" applyBorder="1" applyAlignment="1">
      <alignment horizontal="center" vertical="center"/>
    </xf>
    <xf numFmtId="165" fontId="2" fillId="0" borderId="8" xfId="1" applyNumberFormat="1" applyFont="1" applyFill="1" applyBorder="1" applyAlignment="1">
      <alignment vertical="center"/>
    </xf>
    <xf numFmtId="4" fontId="20" fillId="14" borderId="1" xfId="2" applyNumberFormat="1" applyFont="1" applyFill="1" applyBorder="1" applyAlignment="1">
      <alignment horizontal="center" vertical="center" wrapText="1"/>
    </xf>
    <xf numFmtId="4" fontId="20" fillId="14" borderId="24" xfId="2" applyNumberFormat="1" applyFont="1" applyFill="1" applyBorder="1" applyAlignment="1">
      <alignment horizontal="center" vertical="center" wrapText="1"/>
    </xf>
    <xf numFmtId="4" fontId="20" fillId="14" borderId="3" xfId="2" applyNumberFormat="1" applyFont="1" applyFill="1" applyBorder="1" applyAlignment="1">
      <alignment horizontal="center" vertical="center" wrapText="1"/>
    </xf>
    <xf numFmtId="164" fontId="20" fillId="14" borderId="18" xfId="6" applyFont="1" applyFill="1" applyBorder="1" applyAlignment="1">
      <alignment horizontal="center" vertical="center"/>
    </xf>
    <xf numFmtId="49" fontId="23" fillId="2" borderId="0" xfId="0" applyNumberFormat="1" applyFont="1" applyFill="1" applyAlignment="1">
      <alignment horizontal="left"/>
    </xf>
    <xf numFmtId="4" fontId="23" fillId="2" borderId="0" xfId="0" applyNumberFormat="1" applyFont="1" applyFill="1" applyAlignment="1">
      <alignment horizontal="right"/>
    </xf>
    <xf numFmtId="49" fontId="24" fillId="2" borderId="0" xfId="0" applyNumberFormat="1" applyFont="1" applyFill="1" applyAlignment="1">
      <alignment horizontal="left"/>
    </xf>
    <xf numFmtId="49" fontId="23" fillId="2" borderId="36" xfId="0" applyNumberFormat="1" applyFont="1" applyFill="1" applyBorder="1" applyAlignment="1">
      <alignment horizontal="left"/>
    </xf>
    <xf numFmtId="171" fontId="23" fillId="2" borderId="36" xfId="0" applyNumberFormat="1" applyFont="1" applyFill="1" applyBorder="1" applyAlignment="1">
      <alignment horizontal="right"/>
    </xf>
    <xf numFmtId="4" fontId="23" fillId="2" borderId="36" xfId="0" applyNumberFormat="1" applyFont="1" applyFill="1" applyBorder="1" applyAlignment="1">
      <alignment horizontal="right"/>
    </xf>
    <xf numFmtId="0" fontId="21" fillId="2" borderId="0" xfId="0" applyFont="1" applyFill="1"/>
    <xf numFmtId="4" fontId="23" fillId="5" borderId="36" xfId="0" applyNumberFormat="1" applyFont="1" applyFill="1" applyBorder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1" fillId="2" borderId="7" xfId="0" applyFont="1" applyFill="1" applyBorder="1"/>
    <xf numFmtId="0" fontId="21" fillId="2" borderId="11" xfId="0" applyFont="1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49" fontId="24" fillId="2" borderId="4" xfId="0" applyNumberFormat="1" applyFont="1" applyFill="1" applyBorder="1" applyAlignment="1">
      <alignment horizontal="left"/>
    </xf>
    <xf numFmtId="49" fontId="24" fillId="2" borderId="5" xfId="0" applyNumberFormat="1" applyFont="1" applyFill="1" applyBorder="1" applyAlignment="1">
      <alignment horizontal="left"/>
    </xf>
    <xf numFmtId="4" fontId="24" fillId="2" borderId="5" xfId="0" applyNumberFormat="1" applyFont="1" applyFill="1" applyBorder="1" applyAlignment="1">
      <alignment horizontal="right"/>
    </xf>
    <xf numFmtId="0" fontId="21" fillId="2" borderId="5" xfId="0" applyFont="1" applyFill="1" applyBorder="1"/>
    <xf numFmtId="4" fontId="24" fillId="5" borderId="5" xfId="0" applyNumberFormat="1" applyFont="1" applyFill="1" applyBorder="1" applyAlignment="1">
      <alignment horizontal="right"/>
    </xf>
    <xf numFmtId="49" fontId="24" fillId="2" borderId="6" xfId="0" applyNumberFormat="1" applyFont="1" applyFill="1" applyBorder="1" applyAlignment="1">
      <alignment horizontal="left"/>
    </xf>
    <xf numFmtId="164" fontId="2" fillId="2" borderId="8" xfId="1" applyNumberFormat="1" applyFont="1" applyFill="1" applyBorder="1" applyAlignment="1">
      <alignment vertical="center"/>
    </xf>
    <xf numFmtId="164" fontId="9" fillId="2" borderId="11" xfId="1" applyNumberFormat="1" applyFont="1" applyFill="1" applyBorder="1" applyAlignment="1" applyProtection="1">
      <alignment horizontal="left" vertical="center"/>
      <protection locked="0"/>
    </xf>
    <xf numFmtId="164" fontId="5" fillId="0" borderId="0" xfId="0" applyNumberFormat="1" applyFont="1"/>
    <xf numFmtId="164" fontId="5" fillId="0" borderId="0" xfId="0" applyNumberFormat="1" applyFont="1" applyAlignment="1">
      <alignment vertical="center"/>
    </xf>
    <xf numFmtId="43" fontId="5" fillId="0" borderId="0" xfId="0" applyNumberFormat="1" applyFont="1" applyAlignment="1">
      <alignment vertical="center"/>
    </xf>
    <xf numFmtId="172" fontId="5" fillId="0" borderId="0" xfId="0" applyNumberFormat="1" applyFont="1" applyAlignment="1">
      <alignment vertical="center"/>
    </xf>
    <xf numFmtId="166" fontId="9" fillId="2" borderId="7" xfId="0" applyNumberFormat="1" applyFont="1" applyFill="1" applyBorder="1" applyAlignment="1">
      <alignment vertical="center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9" fontId="9" fillId="2" borderId="23" xfId="0" applyNumberFormat="1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 indent="1"/>
    </xf>
    <xf numFmtId="0" fontId="2" fillId="0" borderId="21" xfId="0" applyFont="1" applyBorder="1" applyAlignment="1">
      <alignment horizontal="left" vertical="center" wrapText="1" indent="1"/>
    </xf>
    <xf numFmtId="0" fontId="2" fillId="0" borderId="22" xfId="0" applyFont="1" applyBorder="1" applyAlignment="1">
      <alignment horizontal="left" vertical="center" wrapText="1" indent="1"/>
    </xf>
    <xf numFmtId="0" fontId="0" fillId="0" borderId="28" xfId="0" quotePrefix="1" applyBorder="1" applyAlignment="1">
      <alignment horizontal="left" vertical="top" wrapText="1"/>
    </xf>
    <xf numFmtId="0" fontId="0" fillId="0" borderId="29" xfId="0" quotePrefix="1" applyBorder="1" applyAlignment="1">
      <alignment horizontal="left" vertical="top" wrapText="1"/>
    </xf>
    <xf numFmtId="9" fontId="9" fillId="2" borderId="20" xfId="0" applyNumberFormat="1" applyFont="1" applyFill="1" applyBorder="1" applyAlignment="1">
      <alignment horizontal="center" vertical="center" wrapText="1"/>
    </xf>
    <xf numFmtId="9" fontId="9" fillId="2" borderId="21" xfId="0" applyNumberFormat="1" applyFont="1" applyFill="1" applyBorder="1" applyAlignment="1">
      <alignment horizontal="center" vertical="center" wrapText="1"/>
    </xf>
    <xf numFmtId="9" fontId="9" fillId="2" borderId="22" xfId="0" applyNumberFormat="1" applyFont="1" applyFill="1" applyBorder="1" applyAlignment="1">
      <alignment horizontal="center" vertical="center" wrapText="1"/>
    </xf>
    <xf numFmtId="9" fontId="9" fillId="2" borderId="22" xfId="0" applyNumberFormat="1" applyFont="1" applyFill="1" applyBorder="1" applyAlignment="1">
      <alignment horizontal="center" vertical="center"/>
    </xf>
    <xf numFmtId="49" fontId="20" fillId="8" borderId="1" xfId="2" applyNumberFormat="1" applyFont="1" applyFill="1" applyBorder="1" applyAlignment="1">
      <alignment horizontal="center" vertical="center"/>
    </xf>
    <xf numFmtId="49" fontId="20" fillId="8" borderId="2" xfId="2" applyNumberFormat="1" applyFont="1" applyFill="1" applyBorder="1" applyAlignment="1">
      <alignment horizontal="center" vertical="center"/>
    </xf>
    <xf numFmtId="49" fontId="20" fillId="8" borderId="3" xfId="2" applyNumberFormat="1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 applyProtection="1">
      <alignment horizontal="right" vertical="center" wrapText="1"/>
      <protection locked="0"/>
    </xf>
    <xf numFmtId="0" fontId="7" fillId="3" borderId="5" xfId="0" applyFont="1" applyFill="1" applyBorder="1" applyAlignment="1" applyProtection="1">
      <alignment horizontal="right" vertical="center" wrapText="1"/>
      <protection locked="0"/>
    </xf>
    <xf numFmtId="0" fontId="7" fillId="3" borderId="19" xfId="0" applyFont="1" applyFill="1" applyBorder="1" applyAlignment="1" applyProtection="1">
      <alignment horizontal="right" vertical="center" wrapText="1"/>
      <protection locked="0"/>
    </xf>
    <xf numFmtId="169" fontId="22" fillId="14" borderId="20" xfId="4" applyNumberFormat="1" applyFont="1" applyFill="1" applyBorder="1" applyAlignment="1">
      <alignment horizontal="center" vertical="center"/>
    </xf>
    <xf numFmtId="169" fontId="22" fillId="14" borderId="21" xfId="4" applyNumberFormat="1" applyFont="1" applyFill="1" applyBorder="1" applyAlignment="1">
      <alignment horizontal="center" vertical="center"/>
    </xf>
    <xf numFmtId="169" fontId="22" fillId="14" borderId="22" xfId="4" applyNumberFormat="1" applyFont="1" applyFill="1" applyBorder="1" applyAlignment="1">
      <alignment horizontal="center" vertical="center"/>
    </xf>
    <xf numFmtId="169" fontId="7" fillId="11" borderId="20" xfId="4" applyNumberFormat="1" applyFont="1" applyFill="1" applyBorder="1" applyAlignment="1">
      <alignment horizontal="center" vertical="center"/>
    </xf>
    <xf numFmtId="169" fontId="7" fillId="11" borderId="21" xfId="4" applyNumberFormat="1" applyFont="1" applyFill="1" applyBorder="1" applyAlignment="1">
      <alignment horizontal="center" vertical="center"/>
    </xf>
    <xf numFmtId="169" fontId="7" fillId="11" borderId="22" xfId="4" applyNumberFormat="1" applyFont="1" applyFill="1" applyBorder="1" applyAlignment="1">
      <alignment horizontal="center" vertical="center"/>
    </xf>
    <xf numFmtId="169" fontId="7" fillId="13" borderId="20" xfId="4" applyNumberFormat="1" applyFont="1" applyFill="1" applyBorder="1" applyAlignment="1">
      <alignment horizontal="center" vertical="center"/>
    </xf>
    <xf numFmtId="169" fontId="7" fillId="13" borderId="21" xfId="4" applyNumberFormat="1" applyFont="1" applyFill="1" applyBorder="1" applyAlignment="1">
      <alignment horizontal="center" vertical="center"/>
    </xf>
    <xf numFmtId="169" fontId="7" fillId="13" borderId="22" xfId="4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169" fontId="7" fillId="12" borderId="20" xfId="4" applyNumberFormat="1" applyFont="1" applyFill="1" applyBorder="1" applyAlignment="1">
      <alignment horizontal="center" vertical="center"/>
    </xf>
    <xf numFmtId="169" fontId="7" fillId="12" borderId="21" xfId="4" applyNumberFormat="1" applyFont="1" applyFill="1" applyBorder="1" applyAlignment="1">
      <alignment horizontal="center" vertical="center"/>
    </xf>
    <xf numFmtId="169" fontId="7" fillId="12" borderId="22" xfId="4" applyNumberFormat="1" applyFont="1" applyFill="1" applyBorder="1" applyAlignment="1">
      <alignment horizontal="center" vertical="center"/>
    </xf>
    <xf numFmtId="0" fontId="0" fillId="0" borderId="30" xfId="0" quotePrefix="1" applyBorder="1" applyAlignment="1">
      <alignment horizontal="left" vertical="top" wrapText="1"/>
    </xf>
    <xf numFmtId="0" fontId="0" fillId="0" borderId="32" xfId="0" quotePrefix="1" applyBorder="1" applyAlignment="1">
      <alignment horizontal="left" vertical="top" wrapText="1"/>
    </xf>
    <xf numFmtId="0" fontId="0" fillId="0" borderId="31" xfId="0" quotePrefix="1" applyBorder="1" applyAlignment="1">
      <alignment horizontal="left" vertical="top" wrapText="1"/>
    </xf>
    <xf numFmtId="0" fontId="0" fillId="0" borderId="33" xfId="0" quotePrefix="1" applyBorder="1" applyAlignment="1">
      <alignment horizontal="left" vertical="top" wrapText="1"/>
    </xf>
    <xf numFmtId="0" fontId="25" fillId="8" borderId="17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169" fontId="7" fillId="5" borderId="20" xfId="4" applyNumberFormat="1" applyFont="1" applyFill="1" applyBorder="1" applyAlignment="1">
      <alignment horizontal="center" vertical="center"/>
    </xf>
    <xf numFmtId="169" fontId="7" fillId="5" borderId="21" xfId="4" applyNumberFormat="1" applyFont="1" applyFill="1" applyBorder="1" applyAlignment="1">
      <alignment horizontal="center" vertical="center"/>
    </xf>
    <xf numFmtId="169" fontId="7" fillId="5" borderId="22" xfId="4" applyNumberFormat="1" applyFont="1" applyFill="1" applyBorder="1" applyAlignment="1">
      <alignment horizontal="center" vertical="center"/>
    </xf>
    <xf numFmtId="169" fontId="7" fillId="15" borderId="20" xfId="4" applyNumberFormat="1" applyFont="1" applyFill="1" applyBorder="1" applyAlignment="1">
      <alignment horizontal="center" vertical="center"/>
    </xf>
    <xf numFmtId="169" fontId="7" fillId="15" borderId="21" xfId="4" applyNumberFormat="1" applyFont="1" applyFill="1" applyBorder="1" applyAlignment="1">
      <alignment horizontal="center" vertical="center"/>
    </xf>
    <xf numFmtId="169" fontId="7" fillId="15" borderId="22" xfId="4" applyNumberFormat="1" applyFont="1" applyFill="1" applyBorder="1" applyAlignment="1">
      <alignment horizontal="center" vertical="center"/>
    </xf>
    <xf numFmtId="0" fontId="0" fillId="0" borderId="23" xfId="0" quotePrefix="1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20" fillId="14" borderId="4" xfId="0" applyFont="1" applyFill="1" applyBorder="1" applyAlignment="1">
      <alignment horizontal="center" vertical="center" wrapText="1"/>
    </xf>
    <xf numFmtId="0" fontId="20" fillId="14" borderId="5" xfId="0" applyFont="1" applyFill="1" applyBorder="1" applyAlignment="1">
      <alignment horizontal="center" vertical="center" wrapText="1"/>
    </xf>
    <xf numFmtId="0" fontId="20" fillId="14" borderId="6" xfId="0" applyFont="1" applyFill="1" applyBorder="1" applyAlignment="1">
      <alignment horizontal="center" vertical="center" wrapText="1"/>
    </xf>
    <xf numFmtId="169" fontId="20" fillId="14" borderId="20" xfId="4" applyNumberFormat="1" applyFont="1" applyFill="1" applyBorder="1" applyAlignment="1">
      <alignment horizontal="center" vertical="center"/>
    </xf>
    <xf numFmtId="169" fontId="20" fillId="14" borderId="21" xfId="4" applyNumberFormat="1" applyFont="1" applyFill="1" applyBorder="1" applyAlignment="1">
      <alignment horizontal="center" vertical="center"/>
    </xf>
    <xf numFmtId="169" fontId="20" fillId="14" borderId="22" xfId="4" applyNumberFormat="1" applyFont="1" applyFill="1" applyBorder="1" applyAlignment="1">
      <alignment horizontal="center" vertical="center"/>
    </xf>
  </cellXfs>
  <cellStyles count="8">
    <cellStyle name="Millares" xfId="1" builtinId="3"/>
    <cellStyle name="Moneda" xfId="6" builtinId="4"/>
    <cellStyle name="Normal" xfId="0" builtinId="0"/>
    <cellStyle name="Normal 2" xfId="4" xr:uid="{00000000-0005-0000-0000-000003000000}"/>
    <cellStyle name="Normal 4 2" xfId="3" xr:uid="{00000000-0005-0000-0000-000004000000}"/>
    <cellStyle name="Normal 9 2" xfId="5" xr:uid="{00000000-0005-0000-0000-000005000000}"/>
    <cellStyle name="Normal_PPTO RIMAC 19.11.09" xfId="2" xr:uid="{00000000-0005-0000-0000-000006000000}"/>
    <cellStyle name="Porcentaje" xfId="7" builtinId="5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0</xdr:rowOff>
        </xdr:from>
        <xdr:to>
          <xdr:col>10</xdr:col>
          <xdr:colOff>0</xdr:colOff>
          <xdr:row>79</xdr:row>
          <xdr:rowOff>76200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F986CD20-FBD4-3035-50A3-601201414DC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J$32" spid="_x0000_s81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5314" y="17253857"/>
              <a:ext cx="15370629" cy="81316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225136</xdr:colOff>
      <xdr:row>34</xdr:row>
      <xdr:rowOff>0</xdr:rowOff>
    </xdr:from>
    <xdr:to>
      <xdr:col>10</xdr:col>
      <xdr:colOff>60704</xdr:colOff>
      <xdr:row>57</xdr:row>
      <xdr:rowOff>162559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3A3C6D-298A-B271-EF40-B58C51BDD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6477000"/>
          <a:ext cx="6849431" cy="4544059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212912</xdr:colOff>
      <xdr:row>60</xdr:row>
      <xdr:rowOff>56030</xdr:rowOff>
    </xdr:from>
    <xdr:to>
      <xdr:col>16</xdr:col>
      <xdr:colOff>17839</xdr:colOff>
      <xdr:row>70</xdr:row>
      <xdr:rowOff>8664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91D1D6-19F2-B3AF-3F95-643DE8C62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94" y="11486030"/>
          <a:ext cx="11403016" cy="1857634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419101</xdr:colOff>
      <xdr:row>106</xdr:row>
      <xdr:rowOff>0</xdr:rowOff>
    </xdr:from>
    <xdr:to>
      <xdr:col>16</xdr:col>
      <xdr:colOff>195449</xdr:colOff>
      <xdr:row>130</xdr:row>
      <xdr:rowOff>134007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543AF03-B052-C7B9-8D8A-2406F8ABB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430" y="19005176"/>
          <a:ext cx="11609760" cy="4437066"/>
        </a:xfrm>
        <a:prstGeom prst="rect">
          <a:avLst/>
        </a:prstGeom>
      </xdr:spPr>
    </xdr:pic>
    <xdr:clientData/>
  </xdr:twoCellAnchor>
  <xdr:twoCellAnchor editAs="oneCell">
    <xdr:from>
      <xdr:col>1</xdr:col>
      <xdr:colOff>425823</xdr:colOff>
      <xdr:row>133</xdr:row>
      <xdr:rowOff>121662</xdr:rowOff>
    </xdr:from>
    <xdr:to>
      <xdr:col>16</xdr:col>
      <xdr:colOff>357374</xdr:colOff>
      <xdr:row>143</xdr:row>
      <xdr:rowOff>117364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C077C4B-16E0-5DBD-085E-C53B235A2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2705" y="25458162"/>
          <a:ext cx="11529640" cy="1900702"/>
        </a:xfrm>
        <a:prstGeom prst="rect">
          <a:avLst/>
        </a:prstGeom>
      </xdr:spPr>
    </xdr:pic>
    <xdr:clientData/>
  </xdr:twoCellAnchor>
  <xdr:twoCellAnchor editAs="oneCell">
    <xdr:from>
      <xdr:col>1</xdr:col>
      <xdr:colOff>233082</xdr:colOff>
      <xdr:row>12</xdr:row>
      <xdr:rowOff>80682</xdr:rowOff>
    </xdr:from>
    <xdr:to>
      <xdr:col>16</xdr:col>
      <xdr:colOff>670327</xdr:colOff>
      <xdr:row>31</xdr:row>
      <xdr:rowOff>116540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308D0E-EC50-CF1C-6913-5D6125204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3411" y="2232211"/>
          <a:ext cx="12270657" cy="3442447"/>
        </a:xfrm>
        <a:prstGeom prst="rect">
          <a:avLst/>
        </a:prstGeom>
      </xdr:spPr>
    </xdr:pic>
    <xdr:clientData/>
  </xdr:twoCellAnchor>
  <xdr:twoCellAnchor editAs="oneCell">
    <xdr:from>
      <xdr:col>1</xdr:col>
      <xdr:colOff>331696</xdr:colOff>
      <xdr:row>1</xdr:row>
      <xdr:rowOff>152400</xdr:rowOff>
    </xdr:from>
    <xdr:to>
      <xdr:col>12</xdr:col>
      <xdr:colOff>349624</xdr:colOff>
      <xdr:row>9</xdr:row>
      <xdr:rowOff>122434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C8675D-F5AD-72B8-4FDC-AD6BDB02B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025" y="331694"/>
          <a:ext cx="8695764" cy="1404387"/>
        </a:xfrm>
        <a:prstGeom prst="rect">
          <a:avLst/>
        </a:prstGeom>
      </xdr:spPr>
    </xdr:pic>
    <xdr:clientData/>
  </xdr:twoCellAnchor>
  <xdr:twoCellAnchor editAs="oneCell">
    <xdr:from>
      <xdr:col>1</xdr:col>
      <xdr:colOff>537882</xdr:colOff>
      <xdr:row>84</xdr:row>
      <xdr:rowOff>26893</xdr:rowOff>
    </xdr:from>
    <xdr:to>
      <xdr:col>16</xdr:col>
      <xdr:colOff>306790</xdr:colOff>
      <xdr:row>102</xdr:row>
      <xdr:rowOff>62752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D6A1025-1384-08B8-FFE4-533FDDC24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8211" y="15087599"/>
          <a:ext cx="11602320" cy="32631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133350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73554476-F6AC-3DFA-2CFF-7B2E3F9196AE}"/>
            </a:ext>
          </a:extLst>
        </xdr:cNvPr>
        <xdr:cNvSpPr>
          <a:spLocks noChangeAspect="1" noChangeArrowheads="1"/>
        </xdr:cNvSpPr>
      </xdr:nvSpPr>
      <xdr:spPr bwMode="auto">
        <a:xfrm>
          <a:off x="2286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326571</xdr:colOff>
      <xdr:row>1</xdr:row>
      <xdr:rowOff>87086</xdr:rowOff>
    </xdr:from>
    <xdr:to>
      <xdr:col>14</xdr:col>
      <xdr:colOff>511628</xdr:colOff>
      <xdr:row>19</xdr:row>
      <xdr:rowOff>47440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E722D9-EAE4-017C-9E8F-AC7C51B47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171" y="272143"/>
          <a:ext cx="10515600" cy="32913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156882</xdr:colOff>
      <xdr:row>17</xdr:row>
      <xdr:rowOff>123264</xdr:rowOff>
    </xdr:from>
    <xdr:to>
      <xdr:col>6</xdr:col>
      <xdr:colOff>32896</xdr:colOff>
      <xdr:row>56</xdr:row>
      <xdr:rowOff>48090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28FF64F-BAC1-2126-D8CA-08350C1F9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4647" y="3305735"/>
          <a:ext cx="6868484" cy="735432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6</xdr:col>
      <xdr:colOff>323751</xdr:colOff>
      <xdr:row>98</xdr:row>
      <xdr:rowOff>115406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D262CD8-03AD-27F0-6363-4EF2F9C9F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5" y="10802471"/>
          <a:ext cx="7316221" cy="7925906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179294</xdr:colOff>
      <xdr:row>99</xdr:row>
      <xdr:rowOff>11206</xdr:rowOff>
    </xdr:from>
    <xdr:to>
      <xdr:col>5</xdr:col>
      <xdr:colOff>1641477</xdr:colOff>
      <xdr:row>108</xdr:row>
      <xdr:rowOff>59077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92FFBE0-E7F8-7CA1-11DA-FC1D52480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7059" y="18814677"/>
          <a:ext cx="6706536" cy="1762371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1344706</xdr:colOff>
      <xdr:row>108</xdr:row>
      <xdr:rowOff>123265</xdr:rowOff>
    </xdr:from>
    <xdr:to>
      <xdr:col>5</xdr:col>
      <xdr:colOff>1744667</xdr:colOff>
      <xdr:row>150</xdr:row>
      <xdr:rowOff>76750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5A356AE-8083-99CC-CD80-9FCDB472F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4353" y="20641236"/>
          <a:ext cx="7392432" cy="7954485"/>
        </a:xfrm>
        <a:prstGeom prst="rect">
          <a:avLst/>
        </a:prstGeom>
      </xdr:spPr>
    </xdr:pic>
    <xdr:clientData/>
  </xdr:twoCellAnchor>
  <xdr:twoCellAnchor editAs="oneCell">
    <xdr:from>
      <xdr:col>1</xdr:col>
      <xdr:colOff>1658471</xdr:colOff>
      <xdr:row>151</xdr:row>
      <xdr:rowOff>11206</xdr:rowOff>
    </xdr:from>
    <xdr:to>
      <xdr:col>5</xdr:col>
      <xdr:colOff>1620220</xdr:colOff>
      <xdr:row>160</xdr:row>
      <xdr:rowOff>173393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7EEEECA-2203-69BF-1420-8F7F4B769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8118" y="28720677"/>
          <a:ext cx="6954220" cy="1876687"/>
        </a:xfrm>
        <a:prstGeom prst="rect">
          <a:avLst/>
        </a:prstGeom>
      </xdr:spPr>
    </xdr:pic>
    <xdr:clientData/>
  </xdr:twoCellAnchor>
  <xdr:twoCellAnchor editAs="oneCell">
    <xdr:from>
      <xdr:col>1</xdr:col>
      <xdr:colOff>1019735</xdr:colOff>
      <xdr:row>160</xdr:row>
      <xdr:rowOff>100853</xdr:rowOff>
    </xdr:from>
    <xdr:to>
      <xdr:col>6</xdr:col>
      <xdr:colOff>233632</xdr:colOff>
      <xdr:row>204</xdr:row>
      <xdr:rowOff>111549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6BB4F5-44BD-5EBE-B8A5-F664B737A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382" y="30524824"/>
          <a:ext cx="7954485" cy="8392696"/>
        </a:xfrm>
        <a:prstGeom prst="rect">
          <a:avLst/>
        </a:prstGeom>
      </xdr:spPr>
    </xdr:pic>
    <xdr:clientData/>
  </xdr:twoCellAnchor>
  <xdr:twoCellAnchor editAs="oneCell">
    <xdr:from>
      <xdr:col>1</xdr:col>
      <xdr:colOff>1512794</xdr:colOff>
      <xdr:row>205</xdr:row>
      <xdr:rowOff>145676</xdr:rowOff>
    </xdr:from>
    <xdr:to>
      <xdr:col>6</xdr:col>
      <xdr:colOff>12216</xdr:colOff>
      <xdr:row>213</xdr:row>
      <xdr:rowOff>107783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005607E-B077-F7DE-D69E-D93C0299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2441" y="39142147"/>
          <a:ext cx="7240010" cy="1486107"/>
        </a:xfrm>
        <a:prstGeom prst="rect">
          <a:avLst/>
        </a:prstGeom>
      </xdr:spPr>
    </xdr:pic>
    <xdr:clientData/>
  </xdr:twoCellAnchor>
  <xdr:twoCellAnchor editAs="oneCell">
    <xdr:from>
      <xdr:col>1</xdr:col>
      <xdr:colOff>1299882</xdr:colOff>
      <xdr:row>213</xdr:row>
      <xdr:rowOff>179294</xdr:rowOff>
    </xdr:from>
    <xdr:to>
      <xdr:col>6</xdr:col>
      <xdr:colOff>199410</xdr:colOff>
      <xdr:row>252</xdr:row>
      <xdr:rowOff>8857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AFA4454-13A9-270C-ADF5-D75D6A1A4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9529" y="40699765"/>
          <a:ext cx="7640116" cy="7259063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123265</xdr:colOff>
      <xdr:row>1</xdr:row>
      <xdr:rowOff>179294</xdr:rowOff>
    </xdr:from>
    <xdr:to>
      <xdr:col>18</xdr:col>
      <xdr:colOff>156738</xdr:colOff>
      <xdr:row>13</xdr:row>
      <xdr:rowOff>137598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EA1C198-B8D0-906A-C9F0-B89DF105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92971" y="369794"/>
          <a:ext cx="6992326" cy="2333951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14</xdr:row>
      <xdr:rowOff>11207</xdr:rowOff>
    </xdr:from>
    <xdr:to>
      <xdr:col>17</xdr:col>
      <xdr:colOff>331909</xdr:colOff>
      <xdr:row>37</xdr:row>
      <xdr:rowOff>176547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2444267-488B-1DAF-035F-8BA60687F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33412" y="2767854"/>
          <a:ext cx="5553850" cy="4401164"/>
        </a:xfrm>
        <a:prstGeom prst="rect">
          <a:avLst/>
        </a:prstGeom>
      </xdr:spPr>
    </xdr:pic>
    <xdr:clientData/>
  </xdr:twoCellAnchor>
  <xdr:twoCellAnchor editAs="oneCell">
    <xdr:from>
      <xdr:col>9</xdr:col>
      <xdr:colOff>347382</xdr:colOff>
      <xdr:row>38</xdr:row>
      <xdr:rowOff>123265</xdr:rowOff>
    </xdr:from>
    <xdr:to>
      <xdr:col>18</xdr:col>
      <xdr:colOff>95065</xdr:colOff>
      <xdr:row>49</xdr:row>
      <xdr:rowOff>133084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BD1BADE-09F2-05E7-ACDD-4A83291D5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217088" y="7306236"/>
          <a:ext cx="6706536" cy="2105319"/>
        </a:xfrm>
        <a:prstGeom prst="rect">
          <a:avLst/>
        </a:prstGeom>
      </xdr:spPr>
    </xdr:pic>
    <xdr:clientData/>
  </xdr:twoCellAnchor>
  <xdr:twoCellAnchor editAs="oneCell">
    <xdr:from>
      <xdr:col>9</xdr:col>
      <xdr:colOff>369794</xdr:colOff>
      <xdr:row>49</xdr:row>
      <xdr:rowOff>112059</xdr:rowOff>
    </xdr:from>
    <xdr:to>
      <xdr:col>17</xdr:col>
      <xdr:colOff>766841</xdr:colOff>
      <xdr:row>60</xdr:row>
      <xdr:rowOff>93299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08A2E28-E3A3-B4DB-3FD3-1FC1DD2DA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239500" y="9390530"/>
          <a:ext cx="6582694" cy="2076740"/>
        </a:xfrm>
        <a:prstGeom prst="rect">
          <a:avLst/>
        </a:prstGeom>
      </xdr:spPr>
    </xdr:pic>
    <xdr:clientData/>
  </xdr:twoCellAnchor>
  <xdr:twoCellAnchor editAs="oneCell">
    <xdr:from>
      <xdr:col>9</xdr:col>
      <xdr:colOff>324971</xdr:colOff>
      <xdr:row>61</xdr:row>
      <xdr:rowOff>56030</xdr:rowOff>
    </xdr:from>
    <xdr:to>
      <xdr:col>18</xdr:col>
      <xdr:colOff>44075</xdr:colOff>
      <xdr:row>73</xdr:row>
      <xdr:rowOff>18244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448576E-91F5-3F36-3146-F8315083F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94677" y="11620501"/>
          <a:ext cx="6677957" cy="22482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37</xdr:row>
      <xdr:rowOff>0</xdr:rowOff>
    </xdr:from>
    <xdr:to>
      <xdr:col>7</xdr:col>
      <xdr:colOff>11207</xdr:colOff>
      <xdr:row>67</xdr:row>
      <xdr:rowOff>1168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0D73EDD-4CD2-16AA-FD80-62B07493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8" y="6992471"/>
          <a:ext cx="10499912" cy="5716168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1714500</xdr:colOff>
      <xdr:row>109</xdr:row>
      <xdr:rowOff>179294</xdr:rowOff>
    </xdr:from>
    <xdr:to>
      <xdr:col>5</xdr:col>
      <xdr:colOff>1609565</xdr:colOff>
      <xdr:row>149</xdr:row>
      <xdr:rowOff>180358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2ACE6EB-2B92-7ECE-0DA0-D9A81F28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147" y="20887765"/>
          <a:ext cx="6887536" cy="7621064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149</xdr:row>
      <xdr:rowOff>156882</xdr:rowOff>
    </xdr:from>
    <xdr:to>
      <xdr:col>5</xdr:col>
      <xdr:colOff>1186470</xdr:colOff>
      <xdr:row>162</xdr:row>
      <xdr:rowOff>119122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8E98F8C-BD1B-F0BA-99D3-5B08A639E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0" y="28485353"/>
          <a:ext cx="6363588" cy="2438740"/>
        </a:xfrm>
        <a:prstGeom prst="rect">
          <a:avLst/>
        </a:prstGeom>
      </xdr:spPr>
    </xdr:pic>
    <xdr:clientData/>
  </xdr:twoCellAnchor>
  <xdr:twoCellAnchor editAs="oneCell">
    <xdr:from>
      <xdr:col>1</xdr:col>
      <xdr:colOff>1355912</xdr:colOff>
      <xdr:row>163</xdr:row>
      <xdr:rowOff>0</xdr:rowOff>
    </xdr:from>
    <xdr:to>
      <xdr:col>5</xdr:col>
      <xdr:colOff>1565346</xdr:colOff>
      <xdr:row>208</xdr:row>
      <xdr:rowOff>10723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1E2755A-5F57-80F4-DB14-A25D9ECF4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5559" y="30995471"/>
          <a:ext cx="7201905" cy="8583223"/>
        </a:xfrm>
        <a:prstGeom prst="rect">
          <a:avLst/>
        </a:prstGeom>
      </xdr:spPr>
    </xdr:pic>
    <xdr:clientData/>
  </xdr:twoCellAnchor>
  <xdr:twoCellAnchor editAs="oneCell">
    <xdr:from>
      <xdr:col>1</xdr:col>
      <xdr:colOff>1086970</xdr:colOff>
      <xdr:row>208</xdr:row>
      <xdr:rowOff>145676</xdr:rowOff>
    </xdr:from>
    <xdr:to>
      <xdr:col>5</xdr:col>
      <xdr:colOff>1363088</xdr:colOff>
      <xdr:row>232</xdr:row>
      <xdr:rowOff>60577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C8D9364-5D82-42F8-91E2-DABFC53CA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6617" y="39713647"/>
          <a:ext cx="7268589" cy="4486901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112058</xdr:colOff>
      <xdr:row>37</xdr:row>
      <xdr:rowOff>78442</xdr:rowOff>
    </xdr:from>
    <xdr:to>
      <xdr:col>23</xdr:col>
      <xdr:colOff>377397</xdr:colOff>
      <xdr:row>65</xdr:row>
      <xdr:rowOff>107765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8F12022-AEE7-A94B-3918-845A4505B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54970" y="7070913"/>
          <a:ext cx="10317015" cy="5363323"/>
        </a:xfrm>
        <a:prstGeom prst="rect">
          <a:avLst/>
        </a:prstGeom>
      </xdr:spPr>
    </xdr:pic>
    <xdr:clientData/>
  </xdr:twoCellAnchor>
  <xdr:twoCellAnchor editAs="oneCell">
    <xdr:from>
      <xdr:col>9</xdr:col>
      <xdr:colOff>470647</xdr:colOff>
      <xdr:row>118</xdr:row>
      <xdr:rowOff>112059</xdr:rowOff>
    </xdr:from>
    <xdr:to>
      <xdr:col>18</xdr:col>
      <xdr:colOff>392206</xdr:colOff>
      <xdr:row>163</xdr:row>
      <xdr:rowOff>155032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37DF070-C5E8-BA1B-B7F2-A95A73B3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40353" y="22535030"/>
          <a:ext cx="6880412" cy="8615473"/>
        </a:xfrm>
        <a:prstGeom prst="rect">
          <a:avLst/>
        </a:prstGeom>
      </xdr:spPr>
    </xdr:pic>
    <xdr:clientData/>
  </xdr:twoCellAnchor>
  <xdr:twoCellAnchor editAs="oneCell">
    <xdr:from>
      <xdr:col>1</xdr:col>
      <xdr:colOff>35857</xdr:colOff>
      <xdr:row>4</xdr:row>
      <xdr:rowOff>89648</xdr:rowOff>
    </xdr:from>
    <xdr:to>
      <xdr:col>6</xdr:col>
      <xdr:colOff>1323521</xdr:colOff>
      <xdr:row>34</xdr:row>
      <xdr:rowOff>26893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119CA3-DD54-22EA-3529-88AB12F8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504" y="806824"/>
          <a:ext cx="10297193" cy="5298140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26894</xdr:colOff>
      <xdr:row>1</xdr:row>
      <xdr:rowOff>8966</xdr:rowOff>
    </xdr:from>
    <xdr:to>
      <xdr:col>23</xdr:col>
      <xdr:colOff>645460</xdr:colOff>
      <xdr:row>34</xdr:row>
      <xdr:rowOff>99815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2AA33A-4626-BECC-0B62-D9B72BE6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12706" y="188260"/>
          <a:ext cx="10874189" cy="5989626"/>
        </a:xfrm>
        <a:prstGeom prst="rect">
          <a:avLst/>
        </a:prstGeom>
      </xdr:spPr>
    </xdr:pic>
    <xdr:clientData/>
  </xdr:twoCellAnchor>
  <xdr:twoCellAnchor editAs="oneCell">
    <xdr:from>
      <xdr:col>1</xdr:col>
      <xdr:colOff>1513115</xdr:colOff>
      <xdr:row>68</xdr:row>
      <xdr:rowOff>163285</xdr:rowOff>
    </xdr:from>
    <xdr:to>
      <xdr:col>6</xdr:col>
      <xdr:colOff>359228</xdr:colOff>
      <xdr:row>107</xdr:row>
      <xdr:rowOff>106152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05F29B-52C3-883D-8960-D68071B06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00201" y="12714514"/>
          <a:ext cx="7881256" cy="7160095"/>
        </a:xfrm>
        <a:prstGeom prst="rect">
          <a:avLst/>
        </a:prstGeom>
      </xdr:spPr>
    </xdr:pic>
    <xdr:clientData/>
  </xdr:twoCellAnchor>
  <xdr:twoCellAnchor editAs="oneCell">
    <xdr:from>
      <xdr:col>10</xdr:col>
      <xdr:colOff>174170</xdr:colOff>
      <xdr:row>81</xdr:row>
      <xdr:rowOff>10886</xdr:rowOff>
    </xdr:from>
    <xdr:to>
      <xdr:col>17</xdr:col>
      <xdr:colOff>653141</xdr:colOff>
      <xdr:row>117</xdr:row>
      <xdr:rowOff>97705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D1D134-31E0-D716-AAC6-FE8EF29B9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1999" y="14967857"/>
          <a:ext cx="6041571" cy="6748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D1D0-BDA7-47F2-AE37-F40332BF1A55}">
  <sheetPr>
    <tabColor rgb="FF92D050"/>
    <outlinePr summaryBelow="0"/>
  </sheetPr>
  <dimension ref="B1:N42"/>
  <sheetViews>
    <sheetView showGridLines="0" zoomScale="70" zoomScaleNormal="70" zoomScaleSheetLayoutView="85" workbookViewId="0">
      <pane xSplit="7" ySplit="7" topLeftCell="H65" activePane="bottomRight" state="frozen"/>
      <selection pane="bottomRight" activeCell="H36" sqref="H36:J36"/>
      <selection pane="bottomLeft" activeCell="A8" sqref="A8"/>
      <selection pane="topRight" activeCell="H1" sqref="H1"/>
    </sheetView>
  </sheetViews>
  <sheetFormatPr defaultColWidth="11.42578125" defaultRowHeight="17.45" outlineLevelRow="1" outlineLevelCol="1"/>
  <cols>
    <col min="1" max="1" width="1" style="5" customWidth="1"/>
    <col min="2" max="2" width="75.5703125" style="1" customWidth="1"/>
    <col min="3" max="3" width="7.5703125" style="2" bestFit="1" customWidth="1"/>
    <col min="4" max="4" width="15.28515625" style="2" customWidth="1" outlineLevel="1"/>
    <col min="5" max="5" width="18.28515625" style="2" customWidth="1" outlineLevel="1"/>
    <col min="6" max="6" width="27.5703125" style="2" customWidth="1"/>
    <col min="7" max="7" width="2.28515625" style="1" customWidth="1"/>
    <col min="8" max="10" width="25.7109375" style="1" customWidth="1"/>
    <col min="11" max="11" width="11.42578125" style="5"/>
    <col min="12" max="12" width="13.140625" style="5" bestFit="1" customWidth="1"/>
    <col min="13" max="14" width="12.28515625" style="5" bestFit="1" customWidth="1"/>
    <col min="15" max="16384" width="11.42578125" style="5"/>
  </cols>
  <sheetData>
    <row r="1" spans="2:14" ht="4.9000000000000004" customHeight="1"/>
    <row r="2" spans="2:14" ht="30">
      <c r="B2" s="39"/>
      <c r="E2" s="3"/>
      <c r="F2" s="4"/>
    </row>
    <row r="3" spans="2:14" ht="24.6">
      <c r="B3" s="38" t="s">
        <v>0</v>
      </c>
      <c r="C3" s="7"/>
      <c r="D3" s="7"/>
      <c r="E3" s="3"/>
      <c r="F3" s="3"/>
      <c r="G3" s="6"/>
      <c r="H3" s="6"/>
      <c r="I3" s="6"/>
      <c r="J3" s="6"/>
    </row>
    <row r="4" spans="2:14" s="13" customFormat="1">
      <c r="B4" s="9" t="s">
        <v>1</v>
      </c>
      <c r="C4" s="8"/>
      <c r="D4" s="8"/>
      <c r="E4" s="8"/>
      <c r="F4" s="8"/>
      <c r="G4" s="8"/>
      <c r="H4" s="37"/>
      <c r="I4" s="37"/>
      <c r="J4" s="37"/>
    </row>
    <row r="5" spans="2:14" ht="18" thickBot="1">
      <c r="H5" s="5"/>
    </row>
    <row r="6" spans="2:14" ht="41.45" customHeight="1" thickBot="1">
      <c r="B6" s="202" t="s">
        <v>2</v>
      </c>
      <c r="C6" s="203"/>
      <c r="D6" s="203"/>
      <c r="E6" s="203"/>
      <c r="F6" s="204"/>
      <c r="G6" s="10"/>
      <c r="H6" s="205" t="s">
        <v>3</v>
      </c>
      <c r="I6" s="206"/>
      <c r="J6" s="207"/>
    </row>
    <row r="7" spans="2:14" ht="35.450000000000003" thickBot="1">
      <c r="B7" s="79" t="s">
        <v>4</v>
      </c>
      <c r="C7" s="80" t="s">
        <v>5</v>
      </c>
      <c r="D7" s="81" t="s">
        <v>6</v>
      </c>
      <c r="E7" s="81" t="s">
        <v>7</v>
      </c>
      <c r="F7" s="82" t="s">
        <v>8</v>
      </c>
      <c r="G7" s="11"/>
      <c r="H7" s="127" t="s">
        <v>9</v>
      </c>
      <c r="I7" s="128" t="s">
        <v>10</v>
      </c>
      <c r="J7" s="129" t="s">
        <v>11</v>
      </c>
    </row>
    <row r="8" spans="2:14" s="13" customFormat="1">
      <c r="B8" s="42"/>
      <c r="C8" s="46"/>
      <c r="D8" s="43"/>
      <c r="E8" s="44"/>
      <c r="F8" s="45"/>
      <c r="G8" s="12"/>
      <c r="H8" s="14"/>
      <c r="I8" s="15"/>
      <c r="J8" s="16"/>
    </row>
    <row r="9" spans="2:14" s="13" customFormat="1">
      <c r="B9" s="62" t="s">
        <v>12</v>
      </c>
      <c r="C9" s="92"/>
      <c r="D9" s="111"/>
      <c r="E9" s="104"/>
      <c r="F9" s="105">
        <f>+F11+F15+F22</f>
        <v>365816.82669999998</v>
      </c>
      <c r="G9" s="12"/>
      <c r="H9" s="61"/>
      <c r="I9" s="96"/>
      <c r="J9" s="84">
        <f>+J11+J15+J22</f>
        <v>340789.26699999999</v>
      </c>
    </row>
    <row r="10" spans="2:14" s="13" customFormat="1" ht="13.9" customHeight="1">
      <c r="B10" s="40"/>
      <c r="C10" s="93"/>
      <c r="D10" s="112"/>
      <c r="E10" s="106"/>
      <c r="F10" s="107"/>
      <c r="G10" s="12"/>
      <c r="H10" s="56"/>
      <c r="I10" s="97"/>
      <c r="J10" s="85"/>
    </row>
    <row r="11" spans="2:14" s="13" customFormat="1">
      <c r="B11" s="59" t="s">
        <v>13</v>
      </c>
      <c r="C11" s="94"/>
      <c r="D11" s="113"/>
      <c r="E11" s="108"/>
      <c r="F11" s="109">
        <f>SUM(F12:F13)</f>
        <v>9558.8142999999982</v>
      </c>
      <c r="G11" s="12"/>
      <c r="H11" s="60"/>
      <c r="I11" s="98"/>
      <c r="J11" s="86">
        <f>SUM(J12:J13)</f>
        <v>8117.9179000000004</v>
      </c>
    </row>
    <row r="12" spans="2:14" s="13" customFormat="1" ht="18" customHeight="1" outlineLevel="1">
      <c r="B12" s="57" t="s">
        <v>14</v>
      </c>
      <c r="C12" s="95" t="s">
        <v>15</v>
      </c>
      <c r="D12" s="114">
        <v>38.82</v>
      </c>
      <c r="E12" s="106">
        <f>117.38-'APU 5.2 SOLAQUEO'!H4</f>
        <v>106.50999999999999</v>
      </c>
      <c r="F12" s="110">
        <f>PRODUCT(D12:E12)</f>
        <v>4134.7181999999993</v>
      </c>
      <c r="G12" s="12"/>
      <c r="H12" s="115">
        <f>+D12</f>
        <v>38.82</v>
      </c>
      <c r="I12" s="99">
        <v>93.12</v>
      </c>
      <c r="J12" s="83">
        <f>PRODUCT(H12:I12)</f>
        <v>3614.9184</v>
      </c>
      <c r="L12" s="179">
        <f>I12-E12</f>
        <v>-13.389999999999986</v>
      </c>
    </row>
    <row r="13" spans="2:14" s="13" customFormat="1" ht="18" customHeight="1" outlineLevel="1">
      <c r="B13" s="57" t="s">
        <v>16</v>
      </c>
      <c r="C13" s="95" t="s">
        <v>15</v>
      </c>
      <c r="D13" s="114">
        <v>41.83</v>
      </c>
      <c r="E13" s="106">
        <f>140.54-'APU 5.2 SOLAQUEO'!H4</f>
        <v>129.66999999999999</v>
      </c>
      <c r="F13" s="110">
        <f t="shared" ref="F13" si="0">PRODUCT(D13:E13)</f>
        <v>5424.0960999999988</v>
      </c>
      <c r="G13" s="12"/>
      <c r="H13" s="115">
        <f>+D13</f>
        <v>41.83</v>
      </c>
      <c r="I13" s="99">
        <v>107.65</v>
      </c>
      <c r="J13" s="83">
        <f t="shared" ref="J13" si="1">PRODUCT(H13:I13)</f>
        <v>4502.9994999999999</v>
      </c>
      <c r="L13" s="13">
        <f>I13-E13</f>
        <v>-22.019999999999982</v>
      </c>
    </row>
    <row r="14" spans="2:14" s="13" customFormat="1">
      <c r="B14" s="57"/>
      <c r="C14" s="95"/>
      <c r="D14" s="114"/>
      <c r="E14" s="106"/>
      <c r="F14" s="110"/>
      <c r="G14" s="12"/>
      <c r="H14" s="58"/>
      <c r="I14" s="99"/>
      <c r="J14" s="83"/>
      <c r="L14" s="181"/>
      <c r="M14" s="179"/>
    </row>
    <row r="15" spans="2:14" s="13" customFormat="1" ht="34.9">
      <c r="B15" s="59" t="s">
        <v>17</v>
      </c>
      <c r="C15" s="94"/>
      <c r="D15" s="113"/>
      <c r="E15" s="108"/>
      <c r="F15" s="109">
        <f>SUM(F16:F20)</f>
        <v>356258.01240000001</v>
      </c>
      <c r="G15" s="12"/>
      <c r="H15" s="60"/>
      <c r="I15" s="98"/>
      <c r="J15" s="86">
        <f>SUM(J16:J20)</f>
        <v>310856.5491</v>
      </c>
    </row>
    <row r="16" spans="2:14" s="13" customFormat="1" ht="18" customHeight="1" outlineLevel="1">
      <c r="B16" s="57" t="s">
        <v>14</v>
      </c>
      <c r="C16" s="95" t="s">
        <v>15</v>
      </c>
      <c r="D16" s="114">
        <v>2345.71</v>
      </c>
      <c r="E16" s="106">
        <f>117.38-0.82-'APU 5.2 SOLAQUEO'!H4</f>
        <v>105.69</v>
      </c>
      <c r="F16" s="110">
        <f>PRODUCT(D16:E16)</f>
        <v>247918.08989999999</v>
      </c>
      <c r="G16" s="12"/>
      <c r="H16" s="115">
        <f>+D16</f>
        <v>2345.71</v>
      </c>
      <c r="I16" s="99">
        <v>93.12</v>
      </c>
      <c r="J16" s="83">
        <f>PRODUCT(H16:I16)</f>
        <v>218432.51520000002</v>
      </c>
      <c r="K16" s="13">
        <f>J16/J15</f>
        <v>0.70267947010417364</v>
      </c>
      <c r="L16" s="180">
        <f t="shared" ref="L16:L20" si="2">I16-E16</f>
        <v>-12.569999999999993</v>
      </c>
      <c r="M16" s="180"/>
      <c r="N16" s="179"/>
    </row>
    <row r="17" spans="2:14" s="13" customFormat="1" ht="18" customHeight="1" outlineLevel="1">
      <c r="B17" s="57" t="s">
        <v>18</v>
      </c>
      <c r="C17" s="95" t="s">
        <v>15</v>
      </c>
      <c r="D17" s="114">
        <v>343.51</v>
      </c>
      <c r="E17" s="106">
        <f>119.56-0.82-'APU 5.2 SOLAQUEO'!H4</f>
        <v>107.87</v>
      </c>
      <c r="F17" s="110">
        <f>PRODUCT(D17:E17)</f>
        <v>37054.423699999999</v>
      </c>
      <c r="G17" s="12"/>
      <c r="H17" s="115">
        <f t="shared" ref="H17:H20" si="3">+D17</f>
        <v>343.51</v>
      </c>
      <c r="I17" s="99">
        <v>95.28</v>
      </c>
      <c r="J17" s="83">
        <f>PRODUCT(H17:I17)</f>
        <v>32729.632799999999</v>
      </c>
      <c r="L17" s="180">
        <f t="shared" si="2"/>
        <v>-12.590000000000003</v>
      </c>
      <c r="M17" s="180"/>
      <c r="N17" s="179"/>
    </row>
    <row r="18" spans="2:14" s="13" customFormat="1" ht="18" customHeight="1" outlineLevel="1">
      <c r="B18" s="57" t="s">
        <v>19</v>
      </c>
      <c r="C18" s="95" t="s">
        <v>15</v>
      </c>
      <c r="D18" s="114">
        <v>60.71</v>
      </c>
      <c r="E18" s="106">
        <f>138.52-0.82-'APU 5.2 SOLAQUEO'!H4</f>
        <v>126.83000000000001</v>
      </c>
      <c r="F18" s="110">
        <f t="shared" ref="F18:F20" si="4">PRODUCT(D18:E18)</f>
        <v>7699.8493000000008</v>
      </c>
      <c r="G18" s="12"/>
      <c r="H18" s="115">
        <f t="shared" si="3"/>
        <v>60.71</v>
      </c>
      <c r="I18" s="99">
        <v>105</v>
      </c>
      <c r="J18" s="83">
        <f t="shared" ref="J18:J20" si="5">PRODUCT(H18:I18)</f>
        <v>6374.55</v>
      </c>
      <c r="L18" s="180">
        <f t="shared" si="2"/>
        <v>-21.830000000000013</v>
      </c>
      <c r="M18" s="180"/>
      <c r="N18" s="179"/>
    </row>
    <row r="19" spans="2:14" s="13" customFormat="1" ht="18" customHeight="1" outlineLevel="1">
      <c r="B19" s="57" t="s">
        <v>20</v>
      </c>
      <c r="C19" s="95" t="s">
        <v>15</v>
      </c>
      <c r="D19" s="114">
        <v>485.55</v>
      </c>
      <c r="E19" s="106">
        <f>140.54-0.82-'APU 5.2 SOLAQUEO'!H4</f>
        <v>128.85</v>
      </c>
      <c r="F19" s="110">
        <f t="shared" si="4"/>
        <v>62563.1175</v>
      </c>
      <c r="G19" s="12"/>
      <c r="H19" s="115">
        <f t="shared" si="3"/>
        <v>485.55</v>
      </c>
      <c r="I19" s="99">
        <v>107.65</v>
      </c>
      <c r="J19" s="83">
        <f t="shared" si="5"/>
        <v>52269.457500000004</v>
      </c>
      <c r="K19" s="13">
        <f>J19/J15</f>
        <v>0.1681465539372804</v>
      </c>
      <c r="L19" s="180">
        <f t="shared" si="2"/>
        <v>-21.199999999999989</v>
      </c>
      <c r="M19" s="180"/>
      <c r="N19" s="179"/>
    </row>
    <row r="20" spans="2:14" s="13" customFormat="1" ht="18" customHeight="1" outlineLevel="1">
      <c r="B20" s="116" t="s">
        <v>21</v>
      </c>
      <c r="C20" s="117" t="s">
        <v>15</v>
      </c>
      <c r="D20" s="118">
        <v>5.64</v>
      </c>
      <c r="E20" s="119">
        <f>192.99-0.82-'APU 5.2 SOLAQUEO'!H4</f>
        <v>181.3</v>
      </c>
      <c r="F20" s="120">
        <f t="shared" si="4"/>
        <v>1022.532</v>
      </c>
      <c r="G20" s="12"/>
      <c r="H20" s="182">
        <f t="shared" si="3"/>
        <v>5.64</v>
      </c>
      <c r="I20" s="176">
        <v>186.24</v>
      </c>
      <c r="J20" s="177">
        <f t="shared" si="5"/>
        <v>1050.3935999999999</v>
      </c>
      <c r="L20" s="180">
        <f t="shared" si="2"/>
        <v>4.9399999999999977</v>
      </c>
      <c r="M20" s="180"/>
      <c r="N20" s="179"/>
    </row>
    <row r="21" spans="2:14" s="13" customFormat="1">
      <c r="B21" s="57"/>
      <c r="C21" s="95"/>
      <c r="D21" s="114"/>
      <c r="E21" s="106"/>
      <c r="F21" s="110"/>
      <c r="G21" s="12"/>
      <c r="H21" s="58"/>
      <c r="I21" s="99"/>
      <c r="J21" s="83"/>
    </row>
    <row r="22" spans="2:14" s="13" customFormat="1" ht="42.6" customHeight="1">
      <c r="B22" s="59" t="s">
        <v>22</v>
      </c>
      <c r="C22" s="94"/>
      <c r="D22" s="113"/>
      <c r="E22" s="108"/>
      <c r="F22" s="109"/>
      <c r="G22" s="12"/>
      <c r="H22" s="60"/>
      <c r="I22" s="98"/>
      <c r="J22" s="86">
        <f>SUM(J23)</f>
        <v>21814.799999999999</v>
      </c>
      <c r="M22" s="179"/>
      <c r="N22" s="179"/>
    </row>
    <row r="23" spans="2:14" s="13" customFormat="1" ht="18" customHeight="1" outlineLevel="1">
      <c r="B23" s="57" t="s">
        <v>14</v>
      </c>
      <c r="C23" s="95" t="s">
        <v>15</v>
      </c>
      <c r="D23" s="114">
        <v>1558.2</v>
      </c>
      <c r="E23" s="106"/>
      <c r="F23" s="110"/>
      <c r="G23" s="12"/>
      <c r="H23" s="115">
        <f>+D23</f>
        <v>1558.2</v>
      </c>
      <c r="I23" s="99">
        <v>14</v>
      </c>
      <c r="J23" s="83">
        <f>PRODUCT(H23:I23)</f>
        <v>21814.799999999999</v>
      </c>
    </row>
    <row r="24" spans="2:14" s="13" customFormat="1" ht="12" customHeight="1" thickBot="1">
      <c r="B24" s="17"/>
      <c r="C24" s="47"/>
      <c r="D24" s="48"/>
      <c r="E24" s="49"/>
      <c r="F24" s="50"/>
      <c r="G24" s="18"/>
      <c r="H24" s="36"/>
      <c r="I24" s="19"/>
      <c r="J24" s="63"/>
    </row>
    <row r="25" spans="2:14" ht="18" thickBot="1">
      <c r="B25" s="20"/>
      <c r="C25" s="21"/>
      <c r="D25" s="22"/>
      <c r="E25" s="22"/>
      <c r="F25" s="22"/>
      <c r="G25" s="23"/>
      <c r="H25" s="24"/>
      <c r="I25" s="24"/>
      <c r="J25" s="24"/>
    </row>
    <row r="26" spans="2:14">
      <c r="B26" s="64"/>
      <c r="C26" s="65"/>
      <c r="D26" s="66"/>
      <c r="E26" s="76" t="s">
        <v>23</v>
      </c>
      <c r="F26" s="67">
        <f>+F9</f>
        <v>365816.82669999998</v>
      </c>
      <c r="H26" s="25"/>
      <c r="I26" s="26"/>
      <c r="J26" s="51">
        <f>+J9</f>
        <v>340789.26699999999</v>
      </c>
    </row>
    <row r="27" spans="2:14">
      <c r="B27" s="68"/>
      <c r="C27" s="69"/>
      <c r="D27" s="70"/>
      <c r="E27" s="77" t="s">
        <v>24</v>
      </c>
      <c r="F27" s="71">
        <v>0</v>
      </c>
      <c r="H27" s="27"/>
      <c r="I27" s="100">
        <v>0</v>
      </c>
      <c r="J27" s="52">
        <f>I27*J26</f>
        <v>0</v>
      </c>
    </row>
    <row r="28" spans="2:14">
      <c r="B28" s="68"/>
      <c r="C28" s="69"/>
      <c r="D28" s="70"/>
      <c r="E28" s="77" t="s">
        <v>25</v>
      </c>
      <c r="F28" s="71">
        <f>+SUM(F26:F27)</f>
        <v>365816.82669999998</v>
      </c>
      <c r="H28" s="27"/>
      <c r="I28" s="28"/>
      <c r="J28" s="52">
        <f>J27+J26</f>
        <v>340789.26699999999</v>
      </c>
    </row>
    <row r="29" spans="2:14">
      <c r="B29" s="68"/>
      <c r="C29" s="69"/>
      <c r="D29" s="70"/>
      <c r="E29" s="77" t="s">
        <v>26</v>
      </c>
      <c r="F29" s="71">
        <f>+F28*0.18</f>
        <v>65847.028805999988</v>
      </c>
      <c r="H29" s="27"/>
      <c r="I29" s="28"/>
      <c r="J29" s="52">
        <f>J28*0.18</f>
        <v>61342.068059999998</v>
      </c>
    </row>
    <row r="30" spans="2:14" ht="18" thickBot="1">
      <c r="B30" s="72"/>
      <c r="C30" s="73"/>
      <c r="D30" s="74"/>
      <c r="E30" s="78" t="s">
        <v>27</v>
      </c>
      <c r="F30" s="75">
        <f>F29+F28</f>
        <v>431663.85550599999</v>
      </c>
      <c r="H30" s="29"/>
      <c r="I30" s="30"/>
      <c r="J30" s="130">
        <f>+J28+J29</f>
        <v>402131.33506000001</v>
      </c>
      <c r="L30" s="178"/>
    </row>
    <row r="31" spans="2:14" ht="18" thickBot="1"/>
    <row r="32" spans="2:14" ht="18" thickBot="1">
      <c r="B32" s="214" t="s">
        <v>28</v>
      </c>
      <c r="C32" s="215"/>
      <c r="D32" s="215"/>
      <c r="E32" s="215"/>
      <c r="F32" s="216"/>
      <c r="H32" s="220">
        <f>+F30-J30</f>
        <v>29532.52044599998</v>
      </c>
      <c r="I32" s="221"/>
      <c r="J32" s="222"/>
    </row>
    <row r="33" spans="2:10" ht="30" customHeight="1">
      <c r="F33" s="41" t="s">
        <v>29</v>
      </c>
      <c r="H33" s="198" t="s">
        <v>30</v>
      </c>
      <c r="I33" s="199"/>
      <c r="J33" s="200"/>
    </row>
    <row r="34" spans="2:10" ht="30" customHeight="1">
      <c r="F34" s="41" t="s">
        <v>31</v>
      </c>
      <c r="H34" s="198" t="s">
        <v>32</v>
      </c>
      <c r="I34" s="199"/>
      <c r="J34" s="201"/>
    </row>
    <row r="35" spans="2:10">
      <c r="F35" s="41" t="s">
        <v>33</v>
      </c>
      <c r="H35" s="191" t="s">
        <v>34</v>
      </c>
      <c r="I35" s="192"/>
      <c r="J35" s="192"/>
    </row>
    <row r="36" spans="2:10" s="32" customFormat="1" ht="116.25" customHeight="1">
      <c r="B36" s="1"/>
      <c r="C36" s="31"/>
      <c r="D36" s="31"/>
      <c r="E36" s="31"/>
      <c r="F36" s="41" t="s">
        <v>35</v>
      </c>
      <c r="G36" s="1"/>
      <c r="H36" s="193"/>
      <c r="I36" s="194"/>
      <c r="J36" s="195"/>
    </row>
    <row r="38" spans="2:10" ht="409.5" customHeight="1">
      <c r="F38" s="183" t="s">
        <v>36</v>
      </c>
      <c r="H38" s="232" t="s">
        <v>37</v>
      </c>
      <c r="I38" s="196"/>
      <c r="J38" s="233"/>
    </row>
    <row r="39" spans="2:10" s="34" customFormat="1" ht="60" customHeight="1">
      <c r="B39" s="33"/>
      <c r="C39" s="8"/>
      <c r="D39" s="2"/>
      <c r="E39" s="2"/>
      <c r="F39" s="184"/>
      <c r="G39" s="1"/>
      <c r="H39" s="234"/>
      <c r="I39" s="197"/>
      <c r="J39" s="235"/>
    </row>
    <row r="40" spans="2:10" ht="30" hidden="1" customHeight="1">
      <c r="F40" s="41" t="s">
        <v>38</v>
      </c>
      <c r="H40" s="185"/>
      <c r="I40" s="186"/>
      <c r="J40" s="187"/>
    </row>
    <row r="41" spans="2:10">
      <c r="H41"/>
      <c r="I41"/>
      <c r="J41"/>
    </row>
    <row r="42" spans="2:10">
      <c r="H42"/>
      <c r="I42"/>
      <c r="J42"/>
    </row>
  </sheetData>
  <autoFilter ref="B7:B8" xr:uid="{00000000-0009-0000-0000-000000000000}"/>
  <mergeCells count="11">
    <mergeCell ref="H33:J33"/>
    <mergeCell ref="H34:J34"/>
    <mergeCell ref="B6:F6"/>
    <mergeCell ref="H6:J6"/>
    <mergeCell ref="B32:F32"/>
    <mergeCell ref="H32:J32"/>
    <mergeCell ref="F38:F39"/>
    <mergeCell ref="H38:J39"/>
    <mergeCell ref="H40:J40"/>
    <mergeCell ref="H35:J35"/>
    <mergeCell ref="H36:J36"/>
  </mergeCells>
  <pageMargins left="0.7" right="0.7" top="0.75" bottom="0.75" header="0.3" footer="0.3"/>
  <pageSetup paperSize="9" scale="23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D3D9A43-6501-41EC-B7CA-5434B89F8914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/>
  </sheetPr>
  <dimension ref="B1:S39"/>
  <sheetViews>
    <sheetView showGridLines="0" zoomScale="70" zoomScaleNormal="70" zoomScaleSheetLayoutView="85" workbookViewId="0">
      <pane xSplit="7" ySplit="7" topLeftCell="H8" activePane="bottomRight" state="frozen"/>
      <selection pane="bottomRight" activeCell="H33" sqref="H33:J33"/>
      <selection pane="bottomLeft" activeCell="A8" sqref="A8"/>
      <selection pane="topRight" activeCell="H1" sqref="H1"/>
    </sheetView>
  </sheetViews>
  <sheetFormatPr defaultColWidth="11.42578125" defaultRowHeight="17.45" outlineLevelRow="1" outlineLevelCol="1"/>
  <cols>
    <col min="1" max="1" width="1" style="5" customWidth="1"/>
    <col min="2" max="2" width="75.5703125" style="1" customWidth="1"/>
    <col min="3" max="3" width="7.5703125" style="2" bestFit="1" customWidth="1"/>
    <col min="4" max="4" width="15.28515625" style="2" customWidth="1" outlineLevel="1"/>
    <col min="5" max="5" width="18.28515625" style="2" customWidth="1" outlineLevel="1"/>
    <col min="6" max="6" width="27.5703125" style="2" customWidth="1"/>
    <col min="7" max="7" width="2.28515625" style="1" customWidth="1"/>
    <col min="8" max="19" width="25.7109375" style="1" customWidth="1"/>
    <col min="20" max="16384" width="11.42578125" style="5"/>
  </cols>
  <sheetData>
    <row r="1" spans="2:19" ht="4.9000000000000004" customHeight="1"/>
    <row r="2" spans="2:19" ht="30">
      <c r="B2" s="39"/>
      <c r="E2" s="3"/>
      <c r="F2" s="4"/>
    </row>
    <row r="3" spans="2:19" ht="24.6">
      <c r="B3" s="38" t="s">
        <v>39</v>
      </c>
      <c r="C3" s="7"/>
      <c r="D3" s="7"/>
      <c r="E3" s="3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2:19" s="13" customFormat="1">
      <c r="B4" s="9" t="s">
        <v>40</v>
      </c>
      <c r="C4" s="8"/>
      <c r="D4" s="8"/>
      <c r="E4" s="8"/>
      <c r="F4" s="8"/>
      <c r="G4" s="8"/>
      <c r="H4" s="37"/>
      <c r="I4" s="37"/>
      <c r="J4" s="37"/>
      <c r="K4" s="35"/>
      <c r="L4" s="35"/>
      <c r="M4" s="35"/>
      <c r="N4" s="37"/>
      <c r="O4" s="37"/>
      <c r="P4" s="37"/>
      <c r="Q4" s="37"/>
      <c r="R4" s="37"/>
      <c r="S4" s="37"/>
    </row>
    <row r="5" spans="2:19" ht="18" thickBot="1">
      <c r="H5" s="5"/>
      <c r="N5" s="5"/>
      <c r="O5" s="5"/>
      <c r="Q5" s="5"/>
      <c r="R5" s="5"/>
    </row>
    <row r="6" spans="2:19" ht="41.45" customHeight="1" thickBot="1">
      <c r="B6" s="202" t="s">
        <v>2</v>
      </c>
      <c r="C6" s="203"/>
      <c r="D6" s="203"/>
      <c r="E6" s="203"/>
      <c r="F6" s="204"/>
      <c r="G6" s="10"/>
      <c r="H6" s="205" t="s">
        <v>3</v>
      </c>
      <c r="I6" s="206"/>
      <c r="J6" s="207"/>
      <c r="K6" s="208" t="s">
        <v>41</v>
      </c>
      <c r="L6" s="209"/>
      <c r="M6" s="210"/>
      <c r="N6" s="211" t="s">
        <v>42</v>
      </c>
      <c r="O6" s="212"/>
      <c r="P6" s="213"/>
      <c r="Q6" s="226" t="s">
        <v>43</v>
      </c>
      <c r="R6" s="227"/>
      <c r="S6" s="228"/>
    </row>
    <row r="7" spans="2:19" ht="35.450000000000003" thickBot="1">
      <c r="B7" s="79" t="s">
        <v>4</v>
      </c>
      <c r="C7" s="80" t="s">
        <v>5</v>
      </c>
      <c r="D7" s="81" t="s">
        <v>6</v>
      </c>
      <c r="E7" s="81" t="s">
        <v>7</v>
      </c>
      <c r="F7" s="82" t="s">
        <v>8</v>
      </c>
      <c r="G7" s="11"/>
      <c r="H7" s="127" t="s">
        <v>9</v>
      </c>
      <c r="I7" s="128" t="s">
        <v>10</v>
      </c>
      <c r="J7" s="129" t="s">
        <v>11</v>
      </c>
      <c r="K7" s="140" t="s">
        <v>9</v>
      </c>
      <c r="L7" s="141" t="s">
        <v>10</v>
      </c>
      <c r="M7" s="142" t="s">
        <v>11</v>
      </c>
      <c r="N7" s="135" t="s">
        <v>9</v>
      </c>
      <c r="O7" s="136" t="s">
        <v>10</v>
      </c>
      <c r="P7" s="137" t="s">
        <v>11</v>
      </c>
      <c r="Q7" s="131" t="s">
        <v>9</v>
      </c>
      <c r="R7" s="132" t="s">
        <v>10</v>
      </c>
      <c r="S7" s="133" t="s">
        <v>11</v>
      </c>
    </row>
    <row r="8" spans="2:19" s="13" customFormat="1">
      <c r="B8" s="42"/>
      <c r="C8" s="46"/>
      <c r="D8" s="43"/>
      <c r="E8" s="44"/>
      <c r="F8" s="45"/>
      <c r="G8" s="12"/>
      <c r="H8" s="14"/>
      <c r="I8" s="15"/>
      <c r="J8" s="16"/>
      <c r="K8" s="14"/>
      <c r="L8" s="15"/>
      <c r="M8" s="16"/>
      <c r="N8" s="14"/>
      <c r="O8" s="15"/>
      <c r="P8" s="16"/>
      <c r="Q8" s="14"/>
      <c r="R8" s="15"/>
      <c r="S8" s="16"/>
    </row>
    <row r="9" spans="2:19" s="13" customFormat="1">
      <c r="B9" s="62" t="s">
        <v>12</v>
      </c>
      <c r="C9" s="92"/>
      <c r="D9" s="111"/>
      <c r="E9" s="104"/>
      <c r="F9" s="105">
        <f>+F11+F15</f>
        <v>415049.84630000003</v>
      </c>
      <c r="G9" s="12"/>
      <c r="H9" s="61"/>
      <c r="I9" s="96"/>
      <c r="J9" s="84">
        <f>+J11+J15</f>
        <v>357173.83600000001</v>
      </c>
      <c r="K9" s="61"/>
      <c r="L9" s="96"/>
      <c r="M9" s="84">
        <f>+M11+M15</f>
        <v>535802.79</v>
      </c>
      <c r="N9" s="61"/>
      <c r="O9" s="96"/>
      <c r="P9" s="84">
        <f>+P11+P15</f>
        <v>412055.64</v>
      </c>
      <c r="Q9" s="61"/>
      <c r="R9" s="96"/>
      <c r="S9" s="84">
        <f>+S11+S15</f>
        <v>413345.13579999999</v>
      </c>
    </row>
    <row r="10" spans="2:19" s="13" customFormat="1" ht="13.9" customHeight="1">
      <c r="B10" s="40"/>
      <c r="C10" s="93"/>
      <c r="D10" s="112"/>
      <c r="E10" s="106"/>
      <c r="F10" s="107"/>
      <c r="G10" s="12"/>
      <c r="H10" s="56"/>
      <c r="I10" s="97"/>
      <c r="J10" s="85"/>
      <c r="K10" s="56"/>
      <c r="L10" s="97"/>
      <c r="M10" s="85"/>
      <c r="N10" s="56"/>
      <c r="O10" s="97"/>
      <c r="P10" s="85"/>
      <c r="Q10" s="56"/>
      <c r="R10" s="97"/>
      <c r="S10" s="85"/>
    </row>
    <row r="11" spans="2:19" s="13" customFormat="1">
      <c r="B11" s="59" t="s">
        <v>13</v>
      </c>
      <c r="C11" s="94"/>
      <c r="D11" s="113"/>
      <c r="E11" s="108"/>
      <c r="F11" s="109">
        <f>SUM(F12:F13)</f>
        <v>23339.863999999998</v>
      </c>
      <c r="G11" s="12"/>
      <c r="H11" s="60"/>
      <c r="I11" s="98"/>
      <c r="J11" s="86">
        <f>SUM(J12:J13)</f>
        <v>19528.48</v>
      </c>
      <c r="K11" s="60"/>
      <c r="L11" s="98"/>
      <c r="M11" s="86">
        <f>SUM(M12:M13)</f>
        <v>28834</v>
      </c>
      <c r="N11" s="60"/>
      <c r="O11" s="98"/>
      <c r="P11" s="86">
        <f>SUM(P12:P13)</f>
        <v>22181.4</v>
      </c>
      <c r="Q11" s="60"/>
      <c r="R11" s="98"/>
      <c r="S11" s="86">
        <f>SUM(S12:S13)</f>
        <v>23625.593000000001</v>
      </c>
    </row>
    <row r="12" spans="2:19" s="13" customFormat="1" ht="18" customHeight="1" outlineLevel="1">
      <c r="B12" s="57" t="s">
        <v>14</v>
      </c>
      <c r="C12" s="95" t="s">
        <v>15</v>
      </c>
      <c r="D12" s="114">
        <v>83.3</v>
      </c>
      <c r="E12" s="106">
        <v>117.38</v>
      </c>
      <c r="F12" s="110">
        <f>PRODUCT(D12:E12)</f>
        <v>9777.753999999999</v>
      </c>
      <c r="G12" s="12"/>
      <c r="H12" s="115">
        <f>+D12</f>
        <v>83.3</v>
      </c>
      <c r="I12" s="99">
        <v>102</v>
      </c>
      <c r="J12" s="83">
        <f>PRODUCT(H12:I12)</f>
        <v>8496.6</v>
      </c>
      <c r="K12" s="58">
        <f>+D12</f>
        <v>83.3</v>
      </c>
      <c r="L12" s="99">
        <v>155</v>
      </c>
      <c r="M12" s="83">
        <f>PRODUCT(K12:L12)</f>
        <v>12911.5</v>
      </c>
      <c r="N12" s="58">
        <f>+D12</f>
        <v>83.3</v>
      </c>
      <c r="O12" s="99">
        <v>118</v>
      </c>
      <c r="P12" s="83">
        <f>PRODUCT(N12:O12)</f>
        <v>9829.4</v>
      </c>
      <c r="Q12" s="58">
        <f>+D12</f>
        <v>83.3</v>
      </c>
      <c r="R12" s="99">
        <v>113.06</v>
      </c>
      <c r="S12" s="83">
        <f>PRODUCT(Q12:R12)</f>
        <v>9417.8979999999992</v>
      </c>
    </row>
    <row r="13" spans="2:19" s="13" customFormat="1" ht="18" customHeight="1" outlineLevel="1">
      <c r="B13" s="57" t="s">
        <v>16</v>
      </c>
      <c r="C13" s="95" t="s">
        <v>15</v>
      </c>
      <c r="D13" s="114">
        <v>96.5</v>
      </c>
      <c r="E13" s="106">
        <v>140.54</v>
      </c>
      <c r="F13" s="110">
        <f t="shared" ref="F13" si="0">PRODUCT(D13:E13)</f>
        <v>13562.109999999999</v>
      </c>
      <c r="G13" s="12"/>
      <c r="H13" s="115">
        <f>+D13</f>
        <v>96.5</v>
      </c>
      <c r="I13" s="99">
        <v>114.32</v>
      </c>
      <c r="J13" s="83">
        <f t="shared" ref="J13" si="1">PRODUCT(H13:I13)</f>
        <v>11031.88</v>
      </c>
      <c r="K13" s="58">
        <f>+D13</f>
        <v>96.5</v>
      </c>
      <c r="L13" s="99">
        <v>165</v>
      </c>
      <c r="M13" s="83">
        <f t="shared" ref="M13" si="2">PRODUCT(K13:L13)</f>
        <v>15922.5</v>
      </c>
      <c r="N13" s="58">
        <f>+D13</f>
        <v>96.5</v>
      </c>
      <c r="O13" s="99">
        <v>128</v>
      </c>
      <c r="P13" s="83">
        <f t="shared" ref="P13" si="3">PRODUCT(N13:O13)</f>
        <v>12352</v>
      </c>
      <c r="Q13" s="58">
        <f>+D13</f>
        <v>96.5</v>
      </c>
      <c r="R13" s="99">
        <v>147.22999999999999</v>
      </c>
      <c r="S13" s="83">
        <f t="shared" ref="S13" si="4">PRODUCT(Q13:R13)</f>
        <v>14207.695</v>
      </c>
    </row>
    <row r="14" spans="2:19" s="13" customFormat="1">
      <c r="B14" s="57"/>
      <c r="C14" s="95"/>
      <c r="D14" s="114"/>
      <c r="E14" s="106"/>
      <c r="F14" s="110"/>
      <c r="G14" s="12"/>
      <c r="H14" s="58"/>
      <c r="I14" s="99"/>
      <c r="J14" s="83"/>
      <c r="K14" s="58"/>
      <c r="L14" s="99"/>
      <c r="M14" s="83"/>
      <c r="N14" s="58"/>
      <c r="O14" s="99"/>
      <c r="P14" s="83"/>
      <c r="Q14" s="58"/>
      <c r="R14" s="99"/>
      <c r="S14" s="83"/>
    </row>
    <row r="15" spans="2:19" s="13" customFormat="1" ht="34.9">
      <c r="B15" s="59" t="s">
        <v>17</v>
      </c>
      <c r="C15" s="94"/>
      <c r="D15" s="113"/>
      <c r="E15" s="108"/>
      <c r="F15" s="109">
        <f>SUM(F16:F20)</f>
        <v>391709.98230000003</v>
      </c>
      <c r="G15" s="12"/>
      <c r="H15" s="60"/>
      <c r="I15" s="98"/>
      <c r="J15" s="86">
        <f>SUM(J16:J20)</f>
        <v>337645.35600000003</v>
      </c>
      <c r="K15" s="60"/>
      <c r="L15" s="98"/>
      <c r="M15" s="86">
        <f>SUM(M16:M20)</f>
        <v>506968.79</v>
      </c>
      <c r="N15" s="60"/>
      <c r="O15" s="98"/>
      <c r="P15" s="86">
        <f>SUM(P16:P20)</f>
        <v>389874.24</v>
      </c>
      <c r="Q15" s="60"/>
      <c r="R15" s="98"/>
      <c r="S15" s="86">
        <f>SUM(S16:S20)</f>
        <v>389719.5428</v>
      </c>
    </row>
    <row r="16" spans="2:19" s="13" customFormat="1" ht="18" customHeight="1" outlineLevel="1">
      <c r="B16" s="57" t="s">
        <v>14</v>
      </c>
      <c r="C16" s="95" t="s">
        <v>15</v>
      </c>
      <c r="D16" s="114">
        <v>2345.71</v>
      </c>
      <c r="E16" s="106">
        <f>117.38-0.82</f>
        <v>116.56</v>
      </c>
      <c r="F16" s="110">
        <f>PRODUCT(D16:E16)</f>
        <v>273415.95760000002</v>
      </c>
      <c r="G16" s="12"/>
      <c r="H16" s="115">
        <f>+D16</f>
        <v>2345.71</v>
      </c>
      <c r="I16" s="99">
        <v>102</v>
      </c>
      <c r="J16" s="83">
        <f>PRODUCT(H16:I16)</f>
        <v>239262.42</v>
      </c>
      <c r="K16" s="58">
        <f>+D16</f>
        <v>2345.71</v>
      </c>
      <c r="L16" s="99">
        <v>155</v>
      </c>
      <c r="M16" s="83">
        <f>PRODUCT(K16:L16)</f>
        <v>363585.05</v>
      </c>
      <c r="N16" s="58">
        <f>+D16</f>
        <v>2345.71</v>
      </c>
      <c r="O16" s="99">
        <v>118</v>
      </c>
      <c r="P16" s="83">
        <f>PRODUCT(N16:O16)</f>
        <v>276793.78000000003</v>
      </c>
      <c r="Q16" s="58">
        <f>+D16</f>
        <v>2345.71</v>
      </c>
      <c r="R16" s="99">
        <v>113.06</v>
      </c>
      <c r="S16" s="83">
        <f>PRODUCT(Q16:R16)</f>
        <v>265205.97260000004</v>
      </c>
    </row>
    <row r="17" spans="2:19" s="13" customFormat="1" ht="18" customHeight="1" outlineLevel="1">
      <c r="B17" s="57" t="s">
        <v>18</v>
      </c>
      <c r="C17" s="95" t="s">
        <v>15</v>
      </c>
      <c r="D17" s="114">
        <v>343.51</v>
      </c>
      <c r="E17" s="106">
        <f>119.56-0.82</f>
        <v>118.74000000000001</v>
      </c>
      <c r="F17" s="110">
        <f>PRODUCT(D17:E17)</f>
        <v>40788.377400000005</v>
      </c>
      <c r="G17" s="12"/>
      <c r="H17" s="115">
        <f t="shared" ref="H17:H20" si="5">+D17</f>
        <v>343.51</v>
      </c>
      <c r="I17" s="99">
        <v>105</v>
      </c>
      <c r="J17" s="83">
        <f>PRODUCT(H17:I17)</f>
        <v>36068.549999999996</v>
      </c>
      <c r="K17" s="58">
        <f t="shared" ref="K17:K20" si="6">+D17</f>
        <v>343.51</v>
      </c>
      <c r="L17" s="99">
        <v>155</v>
      </c>
      <c r="M17" s="83">
        <f>PRODUCT(K17:L17)</f>
        <v>53244.049999999996</v>
      </c>
      <c r="N17" s="58">
        <f t="shared" ref="N17:N20" si="7">+D17</f>
        <v>343.51</v>
      </c>
      <c r="O17" s="99">
        <v>122</v>
      </c>
      <c r="P17" s="83">
        <f>PRODUCT(N17:O17)</f>
        <v>41908.22</v>
      </c>
      <c r="Q17" s="58">
        <f t="shared" ref="Q17:Q20" si="8">+D17</f>
        <v>343.51</v>
      </c>
      <c r="R17" s="99">
        <v>127.12</v>
      </c>
      <c r="S17" s="83">
        <f>PRODUCT(Q17:R17)</f>
        <v>43666.991200000004</v>
      </c>
    </row>
    <row r="18" spans="2:19" s="13" customFormat="1" ht="18" customHeight="1" outlineLevel="1">
      <c r="B18" s="57" t="s">
        <v>19</v>
      </c>
      <c r="C18" s="95" t="s">
        <v>15</v>
      </c>
      <c r="D18" s="114">
        <v>60.71</v>
      </c>
      <c r="E18" s="106">
        <f>138.52-0.82</f>
        <v>137.70000000000002</v>
      </c>
      <c r="F18" s="110">
        <f t="shared" ref="F18:F19" si="9">PRODUCT(D18:E18)</f>
        <v>8359.7670000000016</v>
      </c>
      <c r="G18" s="12"/>
      <c r="H18" s="115">
        <f t="shared" si="5"/>
        <v>60.71</v>
      </c>
      <c r="I18" s="99">
        <v>112</v>
      </c>
      <c r="J18" s="83">
        <f t="shared" ref="J18:J20" si="10">PRODUCT(H18:I18)</f>
        <v>6799.52</v>
      </c>
      <c r="K18" s="58">
        <f t="shared" si="6"/>
        <v>60.71</v>
      </c>
      <c r="L18" s="99">
        <v>165</v>
      </c>
      <c r="M18" s="83">
        <f t="shared" ref="M18:M20" si="11">PRODUCT(K18:L18)</f>
        <v>10017.15</v>
      </c>
      <c r="N18" s="58">
        <f t="shared" si="7"/>
        <v>60.71</v>
      </c>
      <c r="O18" s="99">
        <v>124</v>
      </c>
      <c r="P18" s="83">
        <f t="shared" ref="P18:P20" si="12">PRODUCT(N18:O18)</f>
        <v>7528.04</v>
      </c>
      <c r="Q18" s="58">
        <f t="shared" si="8"/>
        <v>60.71</v>
      </c>
      <c r="R18" s="99">
        <v>128.87</v>
      </c>
      <c r="S18" s="83">
        <f t="shared" ref="S18:S20" si="13">PRODUCT(Q18:R18)</f>
        <v>7823.6977000000006</v>
      </c>
    </row>
    <row r="19" spans="2:19" s="13" customFormat="1" ht="18" customHeight="1" outlineLevel="1">
      <c r="B19" s="57" t="s">
        <v>20</v>
      </c>
      <c r="C19" s="95" t="s">
        <v>15</v>
      </c>
      <c r="D19" s="114">
        <v>485.55</v>
      </c>
      <c r="E19" s="106">
        <f>140.54-0.82</f>
        <v>139.72</v>
      </c>
      <c r="F19" s="110">
        <f t="shared" si="9"/>
        <v>67841.046000000002</v>
      </c>
      <c r="G19" s="12"/>
      <c r="H19" s="115">
        <f t="shared" si="5"/>
        <v>485.55</v>
      </c>
      <c r="I19" s="99">
        <v>114.32</v>
      </c>
      <c r="J19" s="83">
        <f t="shared" si="10"/>
        <v>55508.076000000001</v>
      </c>
      <c r="K19" s="58">
        <f t="shared" si="6"/>
        <v>485.55</v>
      </c>
      <c r="L19" s="99">
        <v>165</v>
      </c>
      <c r="M19" s="83">
        <f t="shared" si="11"/>
        <v>80115.75</v>
      </c>
      <c r="N19" s="58">
        <f t="shared" si="7"/>
        <v>485.55</v>
      </c>
      <c r="O19" s="99">
        <v>128</v>
      </c>
      <c r="P19" s="83">
        <f t="shared" si="12"/>
        <v>62150.400000000001</v>
      </c>
      <c r="Q19" s="58">
        <f t="shared" si="8"/>
        <v>485.55</v>
      </c>
      <c r="R19" s="99">
        <v>147.22999999999999</v>
      </c>
      <c r="S19" s="83">
        <f t="shared" si="13"/>
        <v>71487.526499999993</v>
      </c>
    </row>
    <row r="20" spans="2:19" s="13" customFormat="1" ht="18" customHeight="1" outlineLevel="1">
      <c r="B20" s="116" t="s">
        <v>21</v>
      </c>
      <c r="C20" s="117" t="s">
        <v>15</v>
      </c>
      <c r="D20" s="118">
        <v>6.79</v>
      </c>
      <c r="E20" s="119">
        <f>192.99-0.82</f>
        <v>192.17000000000002</v>
      </c>
      <c r="F20" s="120">
        <f t="shared" ref="F20" si="14">PRODUCT(D20:E20)</f>
        <v>1304.8343000000002</v>
      </c>
      <c r="G20" s="12"/>
      <c r="H20" s="123">
        <f t="shared" si="5"/>
        <v>6.79</v>
      </c>
      <c r="I20" s="124"/>
      <c r="J20" s="125">
        <f t="shared" si="10"/>
        <v>6.79</v>
      </c>
      <c r="K20" s="126">
        <f t="shared" si="6"/>
        <v>6.79</v>
      </c>
      <c r="L20" s="124"/>
      <c r="M20" s="125">
        <f t="shared" si="11"/>
        <v>6.79</v>
      </c>
      <c r="N20" s="58">
        <f t="shared" si="7"/>
        <v>6.79</v>
      </c>
      <c r="O20" s="99">
        <v>220</v>
      </c>
      <c r="P20" s="83">
        <f t="shared" si="12"/>
        <v>1493.8</v>
      </c>
      <c r="Q20" s="58">
        <f t="shared" si="8"/>
        <v>6.79</v>
      </c>
      <c r="R20" s="99">
        <v>226.12</v>
      </c>
      <c r="S20" s="83">
        <f t="shared" si="13"/>
        <v>1535.3548000000001</v>
      </c>
    </row>
    <row r="21" spans="2:19" s="13" customFormat="1" ht="12" customHeight="1" thickBot="1">
      <c r="B21" s="17"/>
      <c r="C21" s="47"/>
      <c r="D21" s="48"/>
      <c r="E21" s="49"/>
      <c r="F21" s="50"/>
      <c r="G21" s="18"/>
      <c r="H21" s="36"/>
      <c r="I21" s="19"/>
      <c r="J21" s="63"/>
      <c r="K21" s="36"/>
      <c r="L21" s="19"/>
      <c r="M21" s="63"/>
      <c r="N21" s="36"/>
      <c r="O21" s="19"/>
      <c r="P21" s="63"/>
      <c r="Q21" s="36"/>
      <c r="R21" s="19"/>
      <c r="S21" s="63"/>
    </row>
    <row r="22" spans="2:19" ht="18" thickBot="1">
      <c r="B22" s="20"/>
      <c r="C22" s="21"/>
      <c r="D22" s="22"/>
      <c r="E22" s="22"/>
      <c r="F22" s="22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spans="2:19">
      <c r="B23" s="64"/>
      <c r="C23" s="65"/>
      <c r="D23" s="66"/>
      <c r="E23" s="76" t="s">
        <v>23</v>
      </c>
      <c r="F23" s="67">
        <f>+F9</f>
        <v>415049.84630000003</v>
      </c>
      <c r="H23" s="25"/>
      <c r="I23" s="26"/>
      <c r="J23" s="51">
        <f>+J9</f>
        <v>357173.83600000001</v>
      </c>
      <c r="K23" s="25"/>
      <c r="L23" s="26"/>
      <c r="M23" s="51">
        <f>+M9</f>
        <v>535802.79</v>
      </c>
      <c r="N23" s="25"/>
      <c r="O23" s="53"/>
      <c r="P23" s="51">
        <f>+P9</f>
        <v>412055.64</v>
      </c>
      <c r="Q23" s="25"/>
      <c r="R23" s="53"/>
      <c r="S23" s="51">
        <f>+S9</f>
        <v>413345.13579999999</v>
      </c>
    </row>
    <row r="24" spans="2:19">
      <c r="B24" s="68"/>
      <c r="C24" s="69"/>
      <c r="D24" s="70"/>
      <c r="E24" s="77" t="s">
        <v>24</v>
      </c>
      <c r="F24" s="71">
        <v>0</v>
      </c>
      <c r="H24" s="27"/>
      <c r="I24" s="100">
        <v>0</v>
      </c>
      <c r="J24" s="52">
        <f>I24*J23</f>
        <v>0</v>
      </c>
      <c r="K24" s="27"/>
      <c r="L24" s="100">
        <v>0</v>
      </c>
      <c r="M24" s="52">
        <f>L24*M23</f>
        <v>0</v>
      </c>
      <c r="N24" s="27"/>
      <c r="O24" s="121">
        <f>+P24/P23</f>
        <v>0.13857351885779309</v>
      </c>
      <c r="P24" s="52">
        <v>57100</v>
      </c>
      <c r="Q24" s="27"/>
      <c r="R24" s="121">
        <f>+S24/S23</f>
        <v>5.4433929545228243E-2</v>
      </c>
      <c r="S24" s="52">
        <v>22500</v>
      </c>
    </row>
    <row r="25" spans="2:19">
      <c r="B25" s="68"/>
      <c r="C25" s="69"/>
      <c r="D25" s="70"/>
      <c r="E25" s="77" t="s">
        <v>25</v>
      </c>
      <c r="F25" s="71">
        <f>+SUM(F23:F24)</f>
        <v>415049.84630000003</v>
      </c>
      <c r="H25" s="27"/>
      <c r="I25" s="28"/>
      <c r="J25" s="52">
        <f>J24+J23</f>
        <v>357173.83600000001</v>
      </c>
      <c r="K25" s="27"/>
      <c r="L25" s="28"/>
      <c r="M25" s="52">
        <f>M24+M23</f>
        <v>535802.79</v>
      </c>
      <c r="N25" s="27"/>
      <c r="O25" s="54"/>
      <c r="P25" s="52">
        <f>P24+P23</f>
        <v>469155.64</v>
      </c>
      <c r="Q25" s="27"/>
      <c r="R25" s="54"/>
      <c r="S25" s="52">
        <f>S24+S23</f>
        <v>435845.13579999999</v>
      </c>
    </row>
    <row r="26" spans="2:19">
      <c r="B26" s="68"/>
      <c r="C26" s="69"/>
      <c r="D26" s="70"/>
      <c r="E26" s="77" t="s">
        <v>26</v>
      </c>
      <c r="F26" s="71">
        <f>+F25*0.18</f>
        <v>74708.972334000006</v>
      </c>
      <c r="H26" s="27"/>
      <c r="I26" s="28"/>
      <c r="J26" s="52">
        <f>J25*0.18</f>
        <v>64291.290479999996</v>
      </c>
      <c r="K26" s="27"/>
      <c r="L26" s="28"/>
      <c r="M26" s="52">
        <f>M25*0.18</f>
        <v>96444.502200000003</v>
      </c>
      <c r="N26" s="27"/>
      <c r="O26" s="54"/>
      <c r="P26" s="52">
        <f>P25*0.18</f>
        <v>84448.015199999994</v>
      </c>
      <c r="Q26" s="27"/>
      <c r="R26" s="54"/>
      <c r="S26" s="52">
        <f>S25*0.18</f>
        <v>78452.124444000001</v>
      </c>
    </row>
    <row r="27" spans="2:19" ht="18" thickBot="1">
      <c r="B27" s="72"/>
      <c r="C27" s="73"/>
      <c r="D27" s="74"/>
      <c r="E27" s="78" t="s">
        <v>27</v>
      </c>
      <c r="F27" s="75">
        <f>F26+F25</f>
        <v>489758.81863400002</v>
      </c>
      <c r="H27" s="29"/>
      <c r="I27" s="30"/>
      <c r="J27" s="130">
        <f>+J25+J26</f>
        <v>421465.12647999998</v>
      </c>
      <c r="K27" s="29"/>
      <c r="L27" s="30"/>
      <c r="M27" s="139">
        <f>+M25+M26</f>
        <v>632247.29220000003</v>
      </c>
      <c r="N27" s="29"/>
      <c r="O27" s="55"/>
      <c r="P27" s="138">
        <f>+P25+P26</f>
        <v>553603.65520000004</v>
      </c>
      <c r="Q27" s="29"/>
      <c r="R27" s="55"/>
      <c r="S27" s="134">
        <f>+S25+S26</f>
        <v>514297.260244</v>
      </c>
    </row>
    <row r="28" spans="2:19" ht="18" thickBot="1"/>
    <row r="29" spans="2:19" ht="18" thickBot="1">
      <c r="B29" s="214" t="s">
        <v>28</v>
      </c>
      <c r="C29" s="215"/>
      <c r="D29" s="215"/>
      <c r="E29" s="215"/>
      <c r="F29" s="216"/>
      <c r="H29" s="220">
        <f>+F27-J27</f>
        <v>68293.692154000048</v>
      </c>
      <c r="I29" s="221"/>
      <c r="J29" s="222"/>
      <c r="K29" s="217">
        <f>+F27-M27</f>
        <v>-142488.473566</v>
      </c>
      <c r="L29" s="218"/>
      <c r="M29" s="219"/>
      <c r="N29" s="223">
        <f>+F27-P27</f>
        <v>-63844.836566000013</v>
      </c>
      <c r="O29" s="224"/>
      <c r="P29" s="225"/>
      <c r="Q29" s="229">
        <f>+F27-S27</f>
        <v>-24538.44160999998</v>
      </c>
      <c r="R29" s="230"/>
      <c r="S29" s="231"/>
    </row>
    <row r="30" spans="2:19" ht="30" customHeight="1">
      <c r="F30" s="41" t="s">
        <v>29</v>
      </c>
      <c r="H30" s="198" t="s">
        <v>44</v>
      </c>
      <c r="I30" s="199"/>
      <c r="J30" s="200"/>
      <c r="K30" s="198" t="s">
        <v>45</v>
      </c>
      <c r="L30" s="199"/>
      <c r="M30" s="200"/>
      <c r="N30" s="198" t="s">
        <v>46</v>
      </c>
      <c r="O30" s="199"/>
      <c r="P30" s="201"/>
      <c r="Q30" s="198" t="s">
        <v>47</v>
      </c>
      <c r="R30" s="199"/>
      <c r="S30" s="201"/>
    </row>
    <row r="31" spans="2:19" ht="30" customHeight="1">
      <c r="F31" s="41" t="s">
        <v>31</v>
      </c>
      <c r="H31" s="198" t="s">
        <v>32</v>
      </c>
      <c r="I31" s="199"/>
      <c r="J31" s="201"/>
      <c r="K31" s="198" t="s">
        <v>32</v>
      </c>
      <c r="L31" s="199"/>
      <c r="M31" s="201"/>
      <c r="N31" s="198" t="s">
        <v>32</v>
      </c>
      <c r="O31" s="199"/>
      <c r="P31" s="201"/>
      <c r="Q31" s="198" t="s">
        <v>32</v>
      </c>
      <c r="R31" s="199"/>
      <c r="S31" s="201"/>
    </row>
    <row r="32" spans="2:19">
      <c r="F32" s="41" t="s">
        <v>33</v>
      </c>
      <c r="H32" s="191" t="s">
        <v>34</v>
      </c>
      <c r="I32" s="192"/>
      <c r="J32" s="192"/>
      <c r="K32" s="191" t="s">
        <v>34</v>
      </c>
      <c r="L32" s="192"/>
      <c r="M32" s="192"/>
      <c r="N32" s="191" t="s">
        <v>34</v>
      </c>
      <c r="O32" s="192"/>
      <c r="P32" s="192"/>
      <c r="Q32" s="191" t="s">
        <v>34</v>
      </c>
      <c r="R32" s="192"/>
      <c r="S32" s="192"/>
    </row>
    <row r="33" spans="2:19" s="32" customFormat="1" ht="116.25" customHeight="1">
      <c r="B33" s="1"/>
      <c r="C33" s="31"/>
      <c r="D33" s="31"/>
      <c r="E33" s="31"/>
      <c r="F33" s="41" t="s">
        <v>35</v>
      </c>
      <c r="G33" s="1"/>
      <c r="H33" s="193"/>
      <c r="I33" s="194"/>
      <c r="J33" s="195"/>
      <c r="K33" s="193"/>
      <c r="L33" s="194"/>
      <c r="M33" s="195"/>
      <c r="N33" s="193"/>
      <c r="O33" s="194"/>
      <c r="P33" s="195"/>
      <c r="Q33" s="193"/>
      <c r="R33" s="194"/>
      <c r="S33" s="195"/>
    </row>
    <row r="35" spans="2:19" ht="409.5" customHeight="1">
      <c r="F35" s="183" t="s">
        <v>36</v>
      </c>
      <c r="H35" s="196" t="s">
        <v>37</v>
      </c>
      <c r="I35" s="196"/>
      <c r="J35" s="196"/>
      <c r="K35" s="232" t="s">
        <v>48</v>
      </c>
      <c r="L35" s="196"/>
      <c r="M35" s="233"/>
      <c r="N35" s="232" t="s">
        <v>49</v>
      </c>
      <c r="O35" s="196"/>
      <c r="P35" s="233"/>
      <c r="Q35" s="232" t="s">
        <v>50</v>
      </c>
      <c r="R35" s="196"/>
      <c r="S35" s="233"/>
    </row>
    <row r="36" spans="2:19" s="34" customFormat="1" ht="60" customHeight="1">
      <c r="B36" s="33"/>
      <c r="C36" s="8"/>
      <c r="D36" s="2"/>
      <c r="E36" s="2"/>
      <c r="F36" s="184"/>
      <c r="G36" s="1"/>
      <c r="H36" s="197"/>
      <c r="I36" s="197"/>
      <c r="J36" s="197"/>
      <c r="K36" s="234"/>
      <c r="L36" s="197"/>
      <c r="M36" s="235"/>
      <c r="N36" s="234"/>
      <c r="O36" s="197"/>
      <c r="P36" s="235"/>
      <c r="Q36" s="234"/>
      <c r="R36" s="197"/>
      <c r="S36" s="235"/>
    </row>
    <row r="37" spans="2:19" ht="30" hidden="1" customHeight="1">
      <c r="F37" s="41" t="s">
        <v>38</v>
      </c>
      <c r="H37" s="185"/>
      <c r="I37" s="186"/>
      <c r="J37" s="187"/>
      <c r="K37" s="188"/>
      <c r="L37" s="189"/>
      <c r="M37" s="190"/>
      <c r="N37" s="185"/>
      <c r="O37" s="186"/>
      <c r="P37" s="187"/>
      <c r="Q37" s="185"/>
      <c r="R37" s="186"/>
      <c r="S37" s="187"/>
    </row>
    <row r="38" spans="2:19">
      <c r="H38"/>
      <c r="I38"/>
      <c r="J38"/>
      <c r="K38"/>
      <c r="L38"/>
      <c r="M38"/>
      <c r="N38"/>
      <c r="O38"/>
      <c r="P38"/>
      <c r="Q38"/>
      <c r="R38"/>
      <c r="S38"/>
    </row>
    <row r="39" spans="2:19">
      <c r="H39"/>
      <c r="I39"/>
      <c r="J39"/>
      <c r="K39"/>
      <c r="L39"/>
      <c r="M39"/>
      <c r="N39"/>
      <c r="O39"/>
      <c r="P39"/>
      <c r="Q39"/>
      <c r="R39"/>
      <c r="S39"/>
    </row>
  </sheetData>
  <autoFilter ref="B7:B8" xr:uid="{00000000-0009-0000-0000-000000000000}"/>
  <mergeCells count="35">
    <mergeCell ref="Q33:S33"/>
    <mergeCell ref="Q37:S37"/>
    <mergeCell ref="K35:M36"/>
    <mergeCell ref="N35:P36"/>
    <mergeCell ref="Q35:S36"/>
    <mergeCell ref="Q6:S6"/>
    <mergeCell ref="Q29:S29"/>
    <mergeCell ref="Q30:S30"/>
    <mergeCell ref="Q31:S31"/>
    <mergeCell ref="Q32:S32"/>
    <mergeCell ref="B6:F6"/>
    <mergeCell ref="H6:J6"/>
    <mergeCell ref="K6:M6"/>
    <mergeCell ref="N6:P6"/>
    <mergeCell ref="B29:F29"/>
    <mergeCell ref="K29:M29"/>
    <mergeCell ref="H29:J29"/>
    <mergeCell ref="N29:P29"/>
    <mergeCell ref="H30:J30"/>
    <mergeCell ref="K30:M30"/>
    <mergeCell ref="N30:P30"/>
    <mergeCell ref="H31:J31"/>
    <mergeCell ref="K31:M31"/>
    <mergeCell ref="N31:P31"/>
    <mergeCell ref="F35:F36"/>
    <mergeCell ref="H37:J37"/>
    <mergeCell ref="K37:M37"/>
    <mergeCell ref="N37:P37"/>
    <mergeCell ref="H32:J32"/>
    <mergeCell ref="K32:M32"/>
    <mergeCell ref="N32:P32"/>
    <mergeCell ref="H33:J33"/>
    <mergeCell ref="K33:M33"/>
    <mergeCell ref="N33:P33"/>
    <mergeCell ref="H35:J36"/>
  </mergeCells>
  <pageMargins left="0.7" right="0.7" top="0.75" bottom="0.75" header="0.3" footer="0.3"/>
  <pageSetup paperSize="9" scale="23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2" id="{A6DAB2EF-B01F-4EAF-9147-03963CC80C0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H29</xm:sqref>
        </x14:conditionalFormatting>
        <x14:conditionalFormatting xmlns:xm="http://schemas.microsoft.com/office/excel/2006/main">
          <x14:cfRule type="iconSet" priority="4" id="{8921F1B4-95AE-48EC-9FDC-98124F3616C2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K29</xm:sqref>
        </x14:conditionalFormatting>
        <x14:conditionalFormatting xmlns:xm="http://schemas.microsoft.com/office/excel/2006/main">
          <x14:cfRule type="iconSet" priority="3" id="{D314FEE4-E320-4312-B783-FD1703BBEB3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N29</xm:sqref>
        </x14:conditionalFormatting>
        <x14:conditionalFormatting xmlns:xm="http://schemas.microsoft.com/office/excel/2006/main">
          <x14:cfRule type="iconSet" priority="1" id="{A19265C0-9D95-4C11-911D-7E6BA93A47E0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Q29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2779-C858-4313-9DE0-70817129C3D2}">
  <sheetPr>
    <tabColor rgb="FFFFFF00"/>
  </sheetPr>
  <dimension ref="B2:J19"/>
  <sheetViews>
    <sheetView workbookViewId="0">
      <selection activeCell="Q17" sqref="Q17"/>
    </sheetView>
  </sheetViews>
  <sheetFormatPr defaultColWidth="11.5703125" defaultRowHeight="14.45"/>
  <cols>
    <col min="1" max="1" width="11.5703125" style="90"/>
    <col min="2" max="2" width="2.42578125" style="90" customWidth="1"/>
    <col min="3" max="3" width="13" style="90" bestFit="1" customWidth="1"/>
    <col min="4" max="4" width="30.28515625" style="90" bestFit="1" customWidth="1"/>
    <col min="5" max="5" width="4.28515625" style="90" bestFit="1" customWidth="1"/>
    <col min="6" max="6" width="8" style="90" bestFit="1" customWidth="1"/>
    <col min="7" max="7" width="6.5703125" style="90" bestFit="1" customWidth="1"/>
    <col min="8" max="8" width="9" style="90" bestFit="1" customWidth="1"/>
    <col min="9" max="9" width="4.28515625" style="90" bestFit="1" customWidth="1"/>
    <col min="10" max="10" width="3.5703125" style="90" customWidth="1"/>
    <col min="11" max="16384" width="11.5703125" style="90"/>
  </cols>
  <sheetData>
    <row r="2" spans="2:10" ht="24" thickBot="1">
      <c r="B2" s="236" t="s">
        <v>51</v>
      </c>
      <c r="C2" s="236"/>
      <c r="D2" s="236"/>
      <c r="E2" s="236"/>
      <c r="F2" s="236"/>
      <c r="G2" s="236"/>
      <c r="H2" s="236"/>
      <c r="I2" s="236"/>
      <c r="J2" s="236"/>
    </row>
    <row r="3" spans="2:10" ht="15" thickBot="1">
      <c r="B3" s="160"/>
      <c r="C3" s="161"/>
      <c r="D3" s="161"/>
      <c r="E3" s="161"/>
      <c r="F3" s="161"/>
      <c r="G3" s="161"/>
      <c r="H3" s="161"/>
      <c r="I3" s="161"/>
      <c r="J3" s="162"/>
    </row>
    <row r="4" spans="2:10" s="158" customFormat="1" ht="15" thickBot="1">
      <c r="B4" s="163"/>
      <c r="C4" s="170" t="s">
        <v>52</v>
      </c>
      <c r="D4" s="171" t="s">
        <v>53</v>
      </c>
      <c r="E4" s="171" t="s">
        <v>54</v>
      </c>
      <c r="F4" s="172"/>
      <c r="G4" s="173"/>
      <c r="H4" s="174">
        <f>SUM(H8:H10,H14:H18)</f>
        <v>10.87</v>
      </c>
      <c r="I4" s="175"/>
      <c r="J4" s="164"/>
    </row>
    <row r="5" spans="2:10" ht="7.9" customHeight="1">
      <c r="B5" s="165"/>
      <c r="C5" s="152"/>
      <c r="D5" s="152"/>
      <c r="E5" s="152"/>
      <c r="F5" s="153"/>
      <c r="G5" s="153"/>
      <c r="H5" s="153"/>
      <c r="I5" s="152"/>
      <c r="J5" s="166"/>
    </row>
    <row r="6" spans="2:10">
      <c r="B6" s="165"/>
      <c r="C6" s="154" t="s">
        <v>55</v>
      </c>
      <c r="D6" s="152"/>
      <c r="E6" s="152"/>
      <c r="F6" s="153"/>
      <c r="G6" s="153"/>
      <c r="H6" s="153"/>
      <c r="I6" s="152"/>
      <c r="J6" s="166"/>
    </row>
    <row r="7" spans="2:10" ht="4.1500000000000004" customHeight="1">
      <c r="B7" s="165"/>
      <c r="C7" s="152"/>
      <c r="D7" s="152"/>
      <c r="E7" s="152"/>
      <c r="F7" s="153"/>
      <c r="G7" s="153"/>
      <c r="H7" s="153"/>
      <c r="I7" s="152"/>
      <c r="J7" s="166"/>
    </row>
    <row r="8" spans="2:10">
      <c r="B8" s="165"/>
      <c r="C8" s="155" t="s">
        <v>56</v>
      </c>
      <c r="D8" s="155" t="s">
        <v>57</v>
      </c>
      <c r="E8" s="155" t="s">
        <v>58</v>
      </c>
      <c r="F8" s="156">
        <v>0.1</v>
      </c>
      <c r="G8" s="157">
        <v>34.770000000000003</v>
      </c>
      <c r="H8" s="159">
        <v>0.7</v>
      </c>
      <c r="I8" s="155" t="s">
        <v>59</v>
      </c>
      <c r="J8" s="166"/>
    </row>
    <row r="9" spans="2:10">
      <c r="B9" s="165"/>
      <c r="C9" s="155" t="s">
        <v>60</v>
      </c>
      <c r="D9" s="155" t="s">
        <v>61</v>
      </c>
      <c r="E9" s="155" t="s">
        <v>58</v>
      </c>
      <c r="F9" s="156">
        <v>1</v>
      </c>
      <c r="G9" s="157">
        <v>28.73</v>
      </c>
      <c r="H9" s="159">
        <v>5.81</v>
      </c>
      <c r="I9" s="155" t="s">
        <v>59</v>
      </c>
      <c r="J9" s="166"/>
    </row>
    <row r="10" spans="2:10">
      <c r="B10" s="165"/>
      <c r="C10" s="155" t="s">
        <v>62</v>
      </c>
      <c r="D10" s="155" t="s">
        <v>63</v>
      </c>
      <c r="E10" s="155" t="s">
        <v>58</v>
      </c>
      <c r="F10" s="156">
        <v>0.33300000000000002</v>
      </c>
      <c r="G10" s="157">
        <v>20.48</v>
      </c>
      <c r="H10" s="159">
        <v>1.38</v>
      </c>
      <c r="I10" s="155" t="s">
        <v>59</v>
      </c>
      <c r="J10" s="166"/>
    </row>
    <row r="11" spans="2:10" ht="5.45" customHeight="1">
      <c r="B11" s="165"/>
      <c r="C11" s="152"/>
      <c r="D11" s="152"/>
      <c r="E11" s="152"/>
      <c r="F11" s="153"/>
      <c r="G11" s="153"/>
      <c r="H11" s="153"/>
      <c r="I11" s="152"/>
      <c r="J11" s="166"/>
    </row>
    <row r="12" spans="2:10">
      <c r="B12" s="165"/>
      <c r="C12" s="154" t="s">
        <v>64</v>
      </c>
      <c r="D12" s="152"/>
      <c r="E12" s="152"/>
      <c r="F12" s="153"/>
      <c r="G12" s="153"/>
      <c r="H12" s="153"/>
      <c r="I12" s="152"/>
      <c r="J12" s="166"/>
    </row>
    <row r="13" spans="2:10" ht="3.6" customHeight="1">
      <c r="B13" s="165"/>
      <c r="C13" s="152"/>
      <c r="D13" s="152"/>
      <c r="E13" s="152"/>
      <c r="F13" s="153"/>
      <c r="G13" s="153"/>
      <c r="H13" s="153"/>
      <c r="I13" s="152"/>
      <c r="J13" s="166"/>
    </row>
    <row r="14" spans="2:10">
      <c r="B14" s="165"/>
      <c r="C14" s="155" t="s">
        <v>65</v>
      </c>
      <c r="D14" s="155" t="s">
        <v>66</v>
      </c>
      <c r="E14" s="155" t="s">
        <v>67</v>
      </c>
      <c r="F14" s="156">
        <v>7.8899999999999998E-2</v>
      </c>
      <c r="G14" s="157">
        <v>3</v>
      </c>
      <c r="H14" s="159">
        <v>0.24</v>
      </c>
      <c r="I14" s="155" t="s">
        <v>59</v>
      </c>
      <c r="J14" s="166"/>
    </row>
    <row r="15" spans="2:10">
      <c r="B15" s="165"/>
      <c r="C15" s="155" t="s">
        <v>68</v>
      </c>
      <c r="D15" s="155" t="s">
        <v>69</v>
      </c>
      <c r="E15" s="155" t="s">
        <v>70</v>
      </c>
      <c r="F15" s="156">
        <v>4.0000000000000001E-3</v>
      </c>
      <c r="G15" s="157">
        <v>42.5</v>
      </c>
      <c r="H15" s="159">
        <v>0.17</v>
      </c>
      <c r="I15" s="155" t="s">
        <v>59</v>
      </c>
      <c r="J15" s="166"/>
    </row>
    <row r="16" spans="2:10">
      <c r="B16" s="165"/>
      <c r="C16" s="155" t="s">
        <v>71</v>
      </c>
      <c r="D16" s="155" t="s">
        <v>72</v>
      </c>
      <c r="E16" s="155" t="s">
        <v>73</v>
      </c>
      <c r="F16" s="156">
        <v>6.5000000000000002E-2</v>
      </c>
      <c r="G16" s="157">
        <v>21</v>
      </c>
      <c r="H16" s="159">
        <v>1.37</v>
      </c>
      <c r="I16" s="155" t="s">
        <v>59</v>
      </c>
      <c r="J16" s="166"/>
    </row>
    <row r="17" spans="2:10">
      <c r="B17" s="165"/>
      <c r="C17" s="155" t="s">
        <v>74</v>
      </c>
      <c r="D17" s="155" t="s">
        <v>75</v>
      </c>
      <c r="E17" s="155" t="s">
        <v>76</v>
      </c>
      <c r="F17" s="156">
        <v>2.2200000000000001E-2</v>
      </c>
      <c r="G17" s="157">
        <v>200</v>
      </c>
      <c r="H17" s="159">
        <v>0.9</v>
      </c>
      <c r="I17" s="155" t="s">
        <v>59</v>
      </c>
      <c r="J17" s="166"/>
    </row>
    <row r="18" spans="2:10">
      <c r="B18" s="165"/>
      <c r="C18" s="155" t="s">
        <v>77</v>
      </c>
      <c r="D18" s="155" t="s">
        <v>78</v>
      </c>
      <c r="E18" s="155" t="s">
        <v>79</v>
      </c>
      <c r="F18" s="156">
        <v>0.1236</v>
      </c>
      <c r="G18" s="157">
        <v>12</v>
      </c>
      <c r="H18" s="159">
        <v>0.3</v>
      </c>
      <c r="I18" s="155" t="s">
        <v>59</v>
      </c>
      <c r="J18" s="166"/>
    </row>
    <row r="19" spans="2:10" ht="15" thickBot="1">
      <c r="B19" s="167"/>
      <c r="C19" s="168"/>
      <c r="D19" s="168"/>
      <c r="E19" s="168"/>
      <c r="F19" s="168"/>
      <c r="G19" s="168"/>
      <c r="H19" s="168"/>
      <c r="I19" s="168"/>
      <c r="J19" s="169"/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45C9-C21B-4833-A8B4-2E901087F484}">
  <sheetPr>
    <tabColor rgb="FF92D050"/>
    <outlinePr summaryBelow="0"/>
  </sheetPr>
  <dimension ref="B1:P46"/>
  <sheetViews>
    <sheetView showGridLines="0" tabSelected="1" zoomScale="55" zoomScaleNormal="55" zoomScaleSheetLayoutView="85" workbookViewId="0">
      <pane xSplit="7" ySplit="7" topLeftCell="H22" activePane="bottomRight" state="frozen"/>
      <selection pane="bottomRight" activeCell="H23" sqref="H23"/>
      <selection pane="bottomLeft" activeCell="A8" sqref="A8"/>
      <selection pane="topRight" activeCell="H1" sqref="H1"/>
    </sheetView>
  </sheetViews>
  <sheetFormatPr defaultColWidth="11.42578125" defaultRowHeight="17.45" outlineLevelRow="1" outlineLevelCol="1"/>
  <cols>
    <col min="1" max="1" width="1" style="5" customWidth="1"/>
    <col min="2" max="2" width="75.5703125" style="1" customWidth="1"/>
    <col min="3" max="3" width="7.5703125" style="2" bestFit="1" customWidth="1"/>
    <col min="4" max="4" width="15.28515625" style="2" customWidth="1" outlineLevel="1"/>
    <col min="5" max="5" width="18.28515625" style="2" customWidth="1" outlineLevel="1"/>
    <col min="6" max="6" width="29.85546875" style="2" customWidth="1"/>
    <col min="7" max="7" width="2.28515625" style="1" customWidth="1"/>
    <col min="8" max="16" width="25.7109375" style="1" customWidth="1"/>
    <col min="17" max="16384" width="11.42578125" style="5"/>
  </cols>
  <sheetData>
    <row r="1" spans="2:16" ht="4.9000000000000004" customHeight="1"/>
    <row r="2" spans="2:16" ht="30">
      <c r="B2" s="39"/>
      <c r="E2" s="3"/>
      <c r="F2" s="4"/>
    </row>
    <row r="3" spans="2:16" ht="24.6">
      <c r="B3" s="38" t="s">
        <v>80</v>
      </c>
      <c r="C3" s="7"/>
      <c r="D3" s="7"/>
      <c r="E3" s="3"/>
      <c r="F3" s="3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s="13" customFormat="1">
      <c r="B4" s="9" t="s">
        <v>40</v>
      </c>
      <c r="C4" s="8"/>
      <c r="D4" s="8"/>
      <c r="E4" s="8"/>
      <c r="F4" s="8"/>
      <c r="G4" s="8"/>
      <c r="H4" s="37"/>
      <c r="I4" s="37"/>
      <c r="J4" s="37"/>
      <c r="K4" s="35"/>
      <c r="L4" s="35"/>
      <c r="M4" s="35"/>
      <c r="N4" s="37"/>
      <c r="O4" s="37"/>
      <c r="P4" s="37"/>
    </row>
    <row r="5" spans="2:16" ht="18" thickBot="1">
      <c r="H5" s="5"/>
      <c r="N5" s="5"/>
      <c r="O5" s="5"/>
    </row>
    <row r="6" spans="2:16" ht="41.45" customHeight="1" thickBot="1">
      <c r="B6" s="202" t="s">
        <v>2</v>
      </c>
      <c r="C6" s="203"/>
      <c r="D6" s="203"/>
      <c r="E6" s="203"/>
      <c r="F6" s="204"/>
      <c r="G6" s="10"/>
      <c r="H6" s="237" t="s">
        <v>3</v>
      </c>
      <c r="I6" s="238"/>
      <c r="J6" s="239"/>
      <c r="K6" s="240" t="s">
        <v>41</v>
      </c>
      <c r="L6" s="241"/>
      <c r="M6" s="242"/>
      <c r="N6" s="251" t="s">
        <v>43</v>
      </c>
      <c r="O6" s="252"/>
      <c r="P6" s="253"/>
    </row>
    <row r="7" spans="2:16" ht="35.450000000000003" thickBot="1">
      <c r="B7" s="79" t="s">
        <v>4</v>
      </c>
      <c r="C7" s="80" t="s">
        <v>5</v>
      </c>
      <c r="D7" s="81" t="s">
        <v>6</v>
      </c>
      <c r="E7" s="81" t="s">
        <v>7</v>
      </c>
      <c r="F7" s="82" t="s">
        <v>8</v>
      </c>
      <c r="G7" s="11"/>
      <c r="H7" s="87" t="s">
        <v>9</v>
      </c>
      <c r="I7" s="88" t="s">
        <v>10</v>
      </c>
      <c r="J7" s="89" t="s">
        <v>11</v>
      </c>
      <c r="K7" s="143" t="s">
        <v>9</v>
      </c>
      <c r="L7" s="144" t="s">
        <v>10</v>
      </c>
      <c r="M7" s="145" t="s">
        <v>11</v>
      </c>
      <c r="N7" s="148" t="s">
        <v>9</v>
      </c>
      <c r="O7" s="149" t="s">
        <v>10</v>
      </c>
      <c r="P7" s="150" t="s">
        <v>11</v>
      </c>
    </row>
    <row r="8" spans="2:16" s="13" customFormat="1">
      <c r="B8" s="42"/>
      <c r="C8" s="46"/>
      <c r="D8" s="43"/>
      <c r="E8" s="44"/>
      <c r="F8" s="45"/>
      <c r="G8" s="12"/>
      <c r="H8" s="14"/>
      <c r="I8" s="15"/>
      <c r="J8" s="16"/>
      <c r="K8" s="14"/>
      <c r="L8" s="15"/>
      <c r="M8" s="16"/>
      <c r="N8" s="14"/>
      <c r="O8" s="15"/>
      <c r="P8" s="16"/>
    </row>
    <row r="9" spans="2:16" s="13" customFormat="1">
      <c r="B9" s="62" t="s">
        <v>12</v>
      </c>
      <c r="C9" s="92"/>
      <c r="D9" s="111"/>
      <c r="E9" s="104"/>
      <c r="F9" s="105">
        <f>+F11+F15</f>
        <v>415049.84630000003</v>
      </c>
      <c r="G9" s="12"/>
      <c r="H9" s="61"/>
      <c r="I9" s="96"/>
      <c r="J9" s="84" t="e">
        <f>+J11+J15+J21</f>
        <v>#REF!</v>
      </c>
      <c r="K9" s="61"/>
      <c r="L9" s="96"/>
      <c r="M9" s="84" t="e">
        <f>+M11+M15+M21</f>
        <v>#REF!</v>
      </c>
      <c r="N9" s="61"/>
      <c r="O9" s="96"/>
      <c r="P9" s="84" t="e">
        <f>+P11+P15+P21</f>
        <v>#REF!</v>
      </c>
    </row>
    <row r="10" spans="2:16" s="13" customFormat="1" ht="13.9" customHeight="1">
      <c r="B10" s="40"/>
      <c r="C10" s="93"/>
      <c r="D10" s="112"/>
      <c r="E10" s="106"/>
      <c r="F10" s="107"/>
      <c r="G10" s="12"/>
      <c r="H10" s="56"/>
      <c r="I10" s="97"/>
      <c r="J10" s="85"/>
      <c r="K10" s="56"/>
      <c r="L10" s="97"/>
      <c r="M10" s="85"/>
      <c r="N10" s="56"/>
      <c r="O10" s="97"/>
      <c r="P10" s="85"/>
    </row>
    <row r="11" spans="2:16" s="13" customFormat="1">
      <c r="B11" s="59" t="s">
        <v>13</v>
      </c>
      <c r="C11" s="94"/>
      <c r="D11" s="113"/>
      <c r="E11" s="108"/>
      <c r="F11" s="109">
        <f>SUM(F12:F13)</f>
        <v>23339.863999999998</v>
      </c>
      <c r="G11" s="12"/>
      <c r="H11" s="60"/>
      <c r="I11" s="98"/>
      <c r="J11" s="86">
        <f>SUM(J12:J13)</f>
        <v>11909.95</v>
      </c>
      <c r="K11" s="60"/>
      <c r="L11" s="98"/>
      <c r="M11" s="86">
        <f>SUM(M12:M13)</f>
        <v>10788</v>
      </c>
      <c r="N11" s="60"/>
      <c r="O11" s="98"/>
      <c r="P11" s="86">
        <f>SUM(P12:P13)</f>
        <v>11809.9</v>
      </c>
    </row>
    <row r="12" spans="2:16" s="13" customFormat="1" ht="18" customHeight="1" outlineLevel="1">
      <c r="B12" s="57" t="s">
        <v>14</v>
      </c>
      <c r="C12" s="95" t="s">
        <v>15</v>
      </c>
      <c r="D12" s="114">
        <v>83.3</v>
      </c>
      <c r="E12" s="106">
        <v>117.38</v>
      </c>
      <c r="F12" s="110">
        <f>PRODUCT(D12:E12)</f>
        <v>9777.753999999999</v>
      </c>
      <c r="G12" s="12"/>
      <c r="H12" s="115">
        <f>+D12</f>
        <v>83.3</v>
      </c>
      <c r="I12" s="99">
        <v>62</v>
      </c>
      <c r="J12" s="83">
        <f>PRODUCT(H12:I12)</f>
        <v>5164.5999999999995</v>
      </c>
      <c r="K12" s="58">
        <f>+D12</f>
        <v>83.3</v>
      </c>
      <c r="L12" s="99">
        <v>60</v>
      </c>
      <c r="M12" s="83">
        <f>PRODUCT(K12:L12)</f>
        <v>4998</v>
      </c>
      <c r="N12" s="58">
        <f>+D12</f>
        <v>83.3</v>
      </c>
      <c r="O12" s="99">
        <v>63</v>
      </c>
      <c r="P12" s="83">
        <f>PRODUCT(N12:O12)</f>
        <v>5247.9</v>
      </c>
    </row>
    <row r="13" spans="2:16" s="13" customFormat="1" ht="18" customHeight="1" outlineLevel="1">
      <c r="B13" s="57" t="s">
        <v>16</v>
      </c>
      <c r="C13" s="95" t="s">
        <v>15</v>
      </c>
      <c r="D13" s="114">
        <v>96.5</v>
      </c>
      <c r="E13" s="106">
        <v>140.54</v>
      </c>
      <c r="F13" s="110">
        <f t="shared" ref="F13" si="0">PRODUCT(D13:E13)</f>
        <v>13562.109999999999</v>
      </c>
      <c r="G13" s="12"/>
      <c r="H13" s="115">
        <f>+D13</f>
        <v>96.5</v>
      </c>
      <c r="I13" s="99">
        <v>69.900000000000006</v>
      </c>
      <c r="J13" s="83">
        <f t="shared" ref="J13" si="1">PRODUCT(H13:I13)</f>
        <v>6745.35</v>
      </c>
      <c r="K13" s="58">
        <f>+D13</f>
        <v>96.5</v>
      </c>
      <c r="L13" s="99">
        <v>60</v>
      </c>
      <c r="M13" s="83">
        <f t="shared" ref="M13" si="2">PRODUCT(K13:L13)</f>
        <v>5790</v>
      </c>
      <c r="N13" s="58">
        <f>+D13</f>
        <v>96.5</v>
      </c>
      <c r="O13" s="99">
        <v>68</v>
      </c>
      <c r="P13" s="83">
        <f t="shared" ref="P13" si="3">PRODUCT(N13:O13)</f>
        <v>6562</v>
      </c>
    </row>
    <row r="14" spans="2:16" s="13" customFormat="1">
      <c r="B14" s="57"/>
      <c r="C14" s="95"/>
      <c r="D14" s="114"/>
      <c r="E14" s="106"/>
      <c r="F14" s="110"/>
      <c r="G14" s="12"/>
      <c r="H14" s="58"/>
      <c r="I14" s="99"/>
      <c r="J14" s="83"/>
      <c r="K14" s="58"/>
      <c r="L14" s="99"/>
      <c r="M14" s="83"/>
      <c r="N14" s="58"/>
      <c r="O14" s="99"/>
      <c r="P14" s="83"/>
    </row>
    <row r="15" spans="2:16" s="13" customFormat="1" ht="34.9">
      <c r="B15" s="59" t="s">
        <v>17</v>
      </c>
      <c r="C15" s="94"/>
      <c r="D15" s="113"/>
      <c r="E15" s="108"/>
      <c r="F15" s="109">
        <f>SUM(F16:F20)</f>
        <v>391709.98230000003</v>
      </c>
      <c r="G15" s="12"/>
      <c r="H15" s="60"/>
      <c r="I15" s="98"/>
      <c r="J15" s="86">
        <f>SUM(J16:J20)</f>
        <v>204806.655</v>
      </c>
      <c r="K15" s="60"/>
      <c r="L15" s="98"/>
      <c r="M15" s="86">
        <f>SUM(M16:M20)</f>
        <v>194536.2</v>
      </c>
      <c r="N15" s="60"/>
      <c r="O15" s="98"/>
      <c r="P15" s="86">
        <f>SUM(P16:P20)</f>
        <v>208391.90000000002</v>
      </c>
    </row>
    <row r="16" spans="2:16" s="13" customFormat="1" ht="18" customHeight="1" outlineLevel="1">
      <c r="B16" s="57" t="s">
        <v>14</v>
      </c>
      <c r="C16" s="95" t="s">
        <v>15</v>
      </c>
      <c r="D16" s="114">
        <v>2345.71</v>
      </c>
      <c r="E16" s="106">
        <f>117.38-0.82</f>
        <v>116.56</v>
      </c>
      <c r="F16" s="110">
        <f>PRODUCT(D16:E16)</f>
        <v>273415.95760000002</v>
      </c>
      <c r="G16" s="12"/>
      <c r="H16" s="115">
        <f>+D16</f>
        <v>2345.71</v>
      </c>
      <c r="I16" s="99">
        <v>62</v>
      </c>
      <c r="J16" s="83">
        <f>PRODUCT(H16:I16)</f>
        <v>145434.01999999999</v>
      </c>
      <c r="K16" s="58">
        <f>+D16</f>
        <v>2345.71</v>
      </c>
      <c r="L16" s="99">
        <v>60</v>
      </c>
      <c r="M16" s="83">
        <f>PRODUCT(K16:L16)</f>
        <v>140742.6</v>
      </c>
      <c r="N16" s="58">
        <f>+D16</f>
        <v>2345.71</v>
      </c>
      <c r="O16" s="99">
        <v>63</v>
      </c>
      <c r="P16" s="83">
        <f>PRODUCT(N16:O16)</f>
        <v>147779.73000000001</v>
      </c>
    </row>
    <row r="17" spans="2:16" s="13" customFormat="1" ht="18" customHeight="1" outlineLevel="1">
      <c r="B17" s="57" t="s">
        <v>18</v>
      </c>
      <c r="C17" s="95" t="s">
        <v>15</v>
      </c>
      <c r="D17" s="114">
        <v>343.51</v>
      </c>
      <c r="E17" s="106">
        <f>119.56-0.82</f>
        <v>118.74000000000001</v>
      </c>
      <c r="F17" s="110">
        <f>PRODUCT(D17:E17)</f>
        <v>40788.377400000005</v>
      </c>
      <c r="G17" s="12"/>
      <c r="H17" s="115">
        <f t="shared" ref="H17:H20" si="4">+D17</f>
        <v>343.51</v>
      </c>
      <c r="I17" s="99">
        <v>62</v>
      </c>
      <c r="J17" s="83">
        <f>PRODUCT(H17:I17)</f>
        <v>21297.62</v>
      </c>
      <c r="K17" s="58">
        <f t="shared" ref="K17:K20" si="5">+D17</f>
        <v>343.51</v>
      </c>
      <c r="L17" s="99">
        <v>60</v>
      </c>
      <c r="M17" s="83">
        <f>PRODUCT(K17:L17)</f>
        <v>20610.599999999999</v>
      </c>
      <c r="N17" s="58">
        <f>+D17</f>
        <v>343.51</v>
      </c>
      <c r="O17" s="99">
        <v>66</v>
      </c>
      <c r="P17" s="83">
        <f>PRODUCT(N17:O17)</f>
        <v>22671.66</v>
      </c>
    </row>
    <row r="18" spans="2:16" s="13" customFormat="1" ht="18" customHeight="1" outlineLevel="1">
      <c r="B18" s="57" t="s">
        <v>19</v>
      </c>
      <c r="C18" s="95" t="s">
        <v>15</v>
      </c>
      <c r="D18" s="114">
        <v>60.71</v>
      </c>
      <c r="E18" s="106">
        <f>138.52-0.82</f>
        <v>137.70000000000002</v>
      </c>
      <c r="F18" s="110">
        <f t="shared" ref="F18:F20" si="6">PRODUCT(D18:E18)</f>
        <v>8359.7670000000016</v>
      </c>
      <c r="G18" s="12"/>
      <c r="H18" s="115">
        <f t="shared" si="4"/>
        <v>60.71</v>
      </c>
      <c r="I18" s="99">
        <v>68</v>
      </c>
      <c r="J18" s="83">
        <f t="shared" ref="J18:J20" si="7">PRODUCT(H18:I18)</f>
        <v>4128.28</v>
      </c>
      <c r="K18" s="58">
        <f t="shared" si="5"/>
        <v>60.71</v>
      </c>
      <c r="L18" s="99">
        <v>60</v>
      </c>
      <c r="M18" s="83">
        <f t="shared" ref="M18:M20" si="8">PRODUCT(K18:L18)</f>
        <v>3642.6</v>
      </c>
      <c r="N18" s="58">
        <f>+D18</f>
        <v>60.71</v>
      </c>
      <c r="O18" s="99">
        <v>67</v>
      </c>
      <c r="P18" s="83">
        <f t="shared" ref="P18:P20" si="9">PRODUCT(N18:O18)</f>
        <v>4067.57</v>
      </c>
    </row>
    <row r="19" spans="2:16" s="13" customFormat="1" ht="18" customHeight="1" outlineLevel="1">
      <c r="B19" s="57" t="s">
        <v>20</v>
      </c>
      <c r="C19" s="95" t="s">
        <v>15</v>
      </c>
      <c r="D19" s="114">
        <v>485.55</v>
      </c>
      <c r="E19" s="106">
        <f>140.54-0.82</f>
        <v>139.72</v>
      </c>
      <c r="F19" s="110">
        <f t="shared" si="6"/>
        <v>67841.046000000002</v>
      </c>
      <c r="G19" s="12"/>
      <c r="H19" s="115">
        <f t="shared" si="4"/>
        <v>485.55</v>
      </c>
      <c r="I19" s="99">
        <v>69.900000000000006</v>
      </c>
      <c r="J19" s="83">
        <f t="shared" si="7"/>
        <v>33939.945000000007</v>
      </c>
      <c r="K19" s="58">
        <f t="shared" si="5"/>
        <v>485.55</v>
      </c>
      <c r="L19" s="99">
        <v>60</v>
      </c>
      <c r="M19" s="83">
        <f t="shared" si="8"/>
        <v>29133</v>
      </c>
      <c r="N19" s="58">
        <f>+D19</f>
        <v>485.55</v>
      </c>
      <c r="O19" s="99">
        <v>68</v>
      </c>
      <c r="P19" s="83">
        <f t="shared" si="9"/>
        <v>33017.4</v>
      </c>
    </row>
    <row r="20" spans="2:16" s="13" customFormat="1" ht="18" customHeight="1" outlineLevel="1">
      <c r="B20" s="116" t="s">
        <v>21</v>
      </c>
      <c r="C20" s="117" t="s">
        <v>15</v>
      </c>
      <c r="D20" s="118">
        <v>6.79</v>
      </c>
      <c r="E20" s="119">
        <f>192.99-0.82</f>
        <v>192.17000000000002</v>
      </c>
      <c r="F20" s="120">
        <f t="shared" si="6"/>
        <v>1304.8343000000002</v>
      </c>
      <c r="G20" s="12"/>
      <c r="H20" s="115">
        <f t="shared" si="4"/>
        <v>6.79</v>
      </c>
      <c r="I20" s="99"/>
      <c r="J20" s="83">
        <f t="shared" si="7"/>
        <v>6.79</v>
      </c>
      <c r="K20" s="58">
        <f t="shared" si="5"/>
        <v>6.79</v>
      </c>
      <c r="L20" s="99">
        <v>60</v>
      </c>
      <c r="M20" s="83">
        <f t="shared" si="8"/>
        <v>407.4</v>
      </c>
      <c r="N20" s="58">
        <f>+D20</f>
        <v>6.79</v>
      </c>
      <c r="O20" s="99">
        <v>126</v>
      </c>
      <c r="P20" s="83">
        <f t="shared" si="9"/>
        <v>855.54</v>
      </c>
    </row>
    <row r="21" spans="2:16" s="13" customFormat="1">
      <c r="B21" s="59" t="s">
        <v>81</v>
      </c>
      <c r="C21" s="94"/>
      <c r="D21" s="113"/>
      <c r="E21" s="108"/>
      <c r="F21" s="109"/>
      <c r="G21" s="12"/>
      <c r="H21" s="60"/>
      <c r="I21" s="98"/>
      <c r="J21" s="86" t="e">
        <f>SUM(J22:J28)</f>
        <v>#REF!</v>
      </c>
      <c r="K21" s="60"/>
      <c r="L21" s="98"/>
      <c r="M21" s="86" t="e">
        <f>SUM(M22:M28)</f>
        <v>#REF!</v>
      </c>
      <c r="N21" s="60"/>
      <c r="O21" s="98"/>
      <c r="P21" s="86" t="e">
        <f>SUM(P22:P28)</f>
        <v>#REF!</v>
      </c>
    </row>
    <row r="22" spans="2:16" s="13" customFormat="1" ht="18" customHeight="1" outlineLevel="1">
      <c r="B22" s="57" t="s">
        <v>82</v>
      </c>
      <c r="C22" s="95" t="s">
        <v>83</v>
      </c>
      <c r="D22" s="114"/>
      <c r="E22" s="106"/>
      <c r="F22" s="110"/>
      <c r="G22" s="12"/>
      <c r="H22" s="115" t="e">
        <f>+#REF!</f>
        <v>#REF!</v>
      </c>
      <c r="I22" s="147">
        <f>25816/5.6</f>
        <v>4610</v>
      </c>
      <c r="J22" s="83" t="e">
        <f t="shared" ref="J22:J27" si="10">PRODUCT(H22:I22)</f>
        <v>#REF!</v>
      </c>
      <c r="K22" s="58" t="e">
        <f>+#REF!</f>
        <v>#REF!</v>
      </c>
      <c r="L22" s="147">
        <f>25816/5.6</f>
        <v>4610</v>
      </c>
      <c r="M22" s="83" t="e">
        <f t="shared" ref="M22:M27" si="11">PRODUCT(K22:L22)</f>
        <v>#REF!</v>
      </c>
      <c r="N22" s="58" t="e">
        <f>+#REF!</f>
        <v>#REF!</v>
      </c>
      <c r="O22" s="147">
        <f>25816/5.6</f>
        <v>4610</v>
      </c>
      <c r="P22" s="83" t="e">
        <f t="shared" ref="P22:P27" si="12">PRODUCT(N22:O22)</f>
        <v>#REF!</v>
      </c>
    </row>
    <row r="23" spans="2:16" s="13" customFormat="1" ht="18" customHeight="1" outlineLevel="1">
      <c r="B23" s="57" t="s">
        <v>84</v>
      </c>
      <c r="C23" s="95" t="s">
        <v>83</v>
      </c>
      <c r="D23" s="114"/>
      <c r="E23" s="106"/>
      <c r="F23" s="110"/>
      <c r="G23" s="12"/>
      <c r="H23" s="115" t="e">
        <f>+#REF!</f>
        <v>#REF!</v>
      </c>
      <c r="I23" s="99">
        <f>5750.64/1.008</f>
        <v>5705</v>
      </c>
      <c r="J23" s="83" t="e">
        <f>PRODUCT(H23:I23)</f>
        <v>#REF!</v>
      </c>
      <c r="K23" s="58" t="e">
        <f>+#REF!</f>
        <v>#REF!</v>
      </c>
      <c r="L23" s="99">
        <f>5750.64/1.008</f>
        <v>5705</v>
      </c>
      <c r="M23" s="83" t="e">
        <f t="shared" si="11"/>
        <v>#REF!</v>
      </c>
      <c r="N23" s="58" t="e">
        <f>+#REF!</f>
        <v>#REF!</v>
      </c>
      <c r="O23" s="99">
        <f>5750.64/1.008</f>
        <v>5705</v>
      </c>
      <c r="P23" s="83" t="e">
        <f t="shared" si="12"/>
        <v>#REF!</v>
      </c>
    </row>
    <row r="24" spans="2:16" s="13" customFormat="1" ht="18" customHeight="1" outlineLevel="1">
      <c r="B24" s="57" t="s">
        <v>85</v>
      </c>
      <c r="C24" s="95" t="s">
        <v>73</v>
      </c>
      <c r="D24" s="114"/>
      <c r="E24" s="106"/>
      <c r="F24" s="110"/>
      <c r="G24" s="12"/>
      <c r="H24" s="115" t="e">
        <f>+#REF!</f>
        <v>#REF!</v>
      </c>
      <c r="I24" s="99">
        <v>8.6</v>
      </c>
      <c r="J24" s="83" t="e">
        <f t="shared" si="10"/>
        <v>#REF!</v>
      </c>
      <c r="K24" s="58" t="e">
        <f>+#REF!</f>
        <v>#REF!</v>
      </c>
      <c r="L24" s="99">
        <v>8.6</v>
      </c>
      <c r="M24" s="83" t="e">
        <f t="shared" si="11"/>
        <v>#REF!</v>
      </c>
      <c r="N24" s="58" t="e">
        <f>+#REF!</f>
        <v>#REF!</v>
      </c>
      <c r="O24" s="99">
        <v>8.6</v>
      </c>
      <c r="P24" s="83" t="e">
        <f t="shared" si="12"/>
        <v>#REF!</v>
      </c>
    </row>
    <row r="25" spans="2:16" s="13" customFormat="1" ht="18" customHeight="1" outlineLevel="1">
      <c r="B25" s="57" t="s">
        <v>86</v>
      </c>
      <c r="C25" s="95" t="s">
        <v>73</v>
      </c>
      <c r="D25" s="114"/>
      <c r="E25" s="106"/>
      <c r="F25" s="110"/>
      <c r="G25" s="12"/>
      <c r="H25" s="115" t="e">
        <f>+#REF!</f>
        <v>#REF!</v>
      </c>
      <c r="I25" s="99">
        <v>9.4</v>
      </c>
      <c r="J25" s="83" t="e">
        <f t="shared" si="10"/>
        <v>#REF!</v>
      </c>
      <c r="K25" s="58" t="e">
        <f>+#REF!</f>
        <v>#REF!</v>
      </c>
      <c r="L25" s="99">
        <v>9.4</v>
      </c>
      <c r="M25" s="83" t="e">
        <f t="shared" si="11"/>
        <v>#REF!</v>
      </c>
      <c r="N25" s="58" t="e">
        <f>+#REF!</f>
        <v>#REF!</v>
      </c>
      <c r="O25" s="99">
        <v>9.4</v>
      </c>
      <c r="P25" s="83" t="e">
        <f t="shared" si="12"/>
        <v>#REF!</v>
      </c>
    </row>
    <row r="26" spans="2:16" s="13" customFormat="1" ht="18" customHeight="1" outlineLevel="1">
      <c r="B26" s="57" t="s">
        <v>87</v>
      </c>
      <c r="C26" s="95" t="s">
        <v>73</v>
      </c>
      <c r="D26" s="114"/>
      <c r="E26" s="106"/>
      <c r="F26" s="110"/>
      <c r="G26" s="12"/>
      <c r="H26" s="115" t="e">
        <f>+#REF!</f>
        <v>#REF!</v>
      </c>
      <c r="I26" s="99">
        <v>8.6</v>
      </c>
      <c r="J26" s="83" t="e">
        <f t="shared" si="10"/>
        <v>#REF!</v>
      </c>
      <c r="K26" s="58" t="e">
        <f>+#REF!</f>
        <v>#REF!</v>
      </c>
      <c r="L26" s="99">
        <v>8.6</v>
      </c>
      <c r="M26" s="83" t="e">
        <f t="shared" si="11"/>
        <v>#REF!</v>
      </c>
      <c r="N26" s="58" t="e">
        <f>+#REF!</f>
        <v>#REF!</v>
      </c>
      <c r="O26" s="99">
        <v>8.6</v>
      </c>
      <c r="P26" s="83" t="e">
        <f t="shared" si="12"/>
        <v>#REF!</v>
      </c>
    </row>
    <row r="27" spans="2:16" s="13" customFormat="1" ht="18" customHeight="1" outlineLevel="1">
      <c r="B27" s="57" t="s">
        <v>88</v>
      </c>
      <c r="C27" s="95" t="s">
        <v>89</v>
      </c>
      <c r="D27" s="114"/>
      <c r="E27" s="106"/>
      <c r="F27" s="110"/>
      <c r="G27" s="12"/>
      <c r="H27" s="115">
        <v>1600</v>
      </c>
      <c r="I27" s="99">
        <v>1.1000000000000001</v>
      </c>
      <c r="J27" s="83">
        <f t="shared" si="10"/>
        <v>1760.0000000000002</v>
      </c>
      <c r="K27" s="115">
        <v>1600</v>
      </c>
      <c r="L27" s="99">
        <v>1.1000000000000001</v>
      </c>
      <c r="M27" s="83">
        <f t="shared" si="11"/>
        <v>1760.0000000000002</v>
      </c>
      <c r="N27" s="115">
        <v>1600</v>
      </c>
      <c r="O27" s="99">
        <v>1.1000000000000001</v>
      </c>
      <c r="P27" s="83">
        <f t="shared" si="12"/>
        <v>1760.0000000000002</v>
      </c>
    </row>
    <row r="28" spans="2:16" s="13" customFormat="1" ht="12" customHeight="1" thickBot="1">
      <c r="B28" s="17"/>
      <c r="C28" s="47"/>
      <c r="D28" s="48"/>
      <c r="E28" s="49"/>
      <c r="F28" s="50"/>
      <c r="G28" s="18"/>
      <c r="H28" s="36"/>
      <c r="I28" s="19"/>
      <c r="J28" s="63"/>
      <c r="K28" s="36"/>
      <c r="L28" s="19"/>
      <c r="M28" s="63"/>
      <c r="N28" s="36"/>
      <c r="O28" s="19"/>
      <c r="P28" s="63"/>
    </row>
    <row r="29" spans="2:16" ht="18" thickBot="1">
      <c r="B29" s="20"/>
      <c r="C29" s="21"/>
      <c r="D29" s="22"/>
      <c r="E29" s="22"/>
      <c r="F29" s="22"/>
      <c r="G29" s="23"/>
      <c r="H29" s="24"/>
      <c r="I29" s="24"/>
      <c r="J29" s="24"/>
      <c r="K29" s="24"/>
      <c r="L29" s="24"/>
      <c r="M29" s="24"/>
      <c r="N29" s="24"/>
      <c r="O29" s="24"/>
      <c r="P29" s="24"/>
    </row>
    <row r="30" spans="2:16">
      <c r="B30" s="64"/>
      <c r="C30" s="65"/>
      <c r="D30" s="66"/>
      <c r="E30" s="76" t="s">
        <v>23</v>
      </c>
      <c r="F30" s="67">
        <f>+F9</f>
        <v>415049.84630000003</v>
      </c>
      <c r="H30" s="25"/>
      <c r="I30" s="26"/>
      <c r="J30" s="51" t="e">
        <f>+J9</f>
        <v>#REF!</v>
      </c>
      <c r="K30" s="25"/>
      <c r="L30" s="26"/>
      <c r="M30" s="51" t="e">
        <f>+M9</f>
        <v>#REF!</v>
      </c>
      <c r="N30" s="25"/>
      <c r="O30" s="53"/>
      <c r="P30" s="51" t="e">
        <f>+P9</f>
        <v>#REF!</v>
      </c>
    </row>
    <row r="31" spans="2:16">
      <c r="B31" s="68"/>
      <c r="C31" s="69"/>
      <c r="D31" s="70"/>
      <c r="E31" s="77" t="s">
        <v>24</v>
      </c>
      <c r="F31" s="71">
        <v>0</v>
      </c>
      <c r="H31" s="27"/>
      <c r="I31" s="100">
        <v>0</v>
      </c>
      <c r="J31" s="52" t="e">
        <f>I31*J30</f>
        <v>#REF!</v>
      </c>
      <c r="K31" s="27"/>
      <c r="L31" s="100">
        <v>0</v>
      </c>
      <c r="M31" s="52" t="e">
        <f>L31*M30</f>
        <v>#REF!</v>
      </c>
      <c r="N31" s="27"/>
      <c r="O31" s="121"/>
      <c r="P31" s="52">
        <v>22500</v>
      </c>
    </row>
    <row r="32" spans="2:16">
      <c r="B32" s="68"/>
      <c r="C32" s="69"/>
      <c r="D32" s="70"/>
      <c r="E32" s="77" t="s">
        <v>25</v>
      </c>
      <c r="F32" s="71">
        <f>+SUM(F30:F31)</f>
        <v>415049.84630000003</v>
      </c>
      <c r="H32" s="27"/>
      <c r="I32" s="28"/>
      <c r="J32" s="52" t="e">
        <f>J31+J30</f>
        <v>#REF!</v>
      </c>
      <c r="K32" s="27"/>
      <c r="L32" s="28"/>
      <c r="M32" s="52" t="e">
        <f>M31+M30</f>
        <v>#REF!</v>
      </c>
      <c r="N32" s="27"/>
      <c r="O32" s="54"/>
      <c r="P32" s="52" t="e">
        <f>P31+P30</f>
        <v>#REF!</v>
      </c>
    </row>
    <row r="33" spans="2:16">
      <c r="B33" s="68"/>
      <c r="C33" s="69"/>
      <c r="D33" s="70"/>
      <c r="E33" s="77" t="s">
        <v>26</v>
      </c>
      <c r="F33" s="71">
        <f>+F32*0.18</f>
        <v>74708.972334000006</v>
      </c>
      <c r="H33" s="27"/>
      <c r="I33" s="28"/>
      <c r="J33" s="52" t="e">
        <f>J32*0.18</f>
        <v>#REF!</v>
      </c>
      <c r="K33" s="27"/>
      <c r="L33" s="28"/>
      <c r="M33" s="52" t="e">
        <f>M32*0.18</f>
        <v>#REF!</v>
      </c>
      <c r="N33" s="27"/>
      <c r="O33" s="54"/>
      <c r="P33" s="52" t="e">
        <f>P32*0.18</f>
        <v>#REF!</v>
      </c>
    </row>
    <row r="34" spans="2:16" ht="18" thickBot="1">
      <c r="B34" s="72"/>
      <c r="C34" s="73"/>
      <c r="D34" s="74"/>
      <c r="E34" s="78" t="s">
        <v>27</v>
      </c>
      <c r="F34" s="75">
        <f>F33+F32</f>
        <v>489758.81863400002</v>
      </c>
      <c r="H34" s="29"/>
      <c r="I34" s="30"/>
      <c r="J34" s="91" t="e">
        <f>+J32+J33</f>
        <v>#REF!</v>
      </c>
      <c r="K34" s="29"/>
      <c r="L34" s="30"/>
      <c r="M34" s="146" t="e">
        <f>+M32+M33</f>
        <v>#REF!</v>
      </c>
      <c r="N34" s="29"/>
      <c r="O34" s="55"/>
      <c r="P34" s="151" t="e">
        <f>+P32+P33</f>
        <v>#REF!</v>
      </c>
    </row>
    <row r="35" spans="2:16" ht="18" thickBot="1"/>
    <row r="36" spans="2:16" ht="18" thickBot="1">
      <c r="B36" s="214" t="s">
        <v>28</v>
      </c>
      <c r="C36" s="215"/>
      <c r="D36" s="215"/>
      <c r="E36" s="215"/>
      <c r="F36" s="216"/>
      <c r="H36" s="243" t="e">
        <f>+F34-J34</f>
        <v>#REF!</v>
      </c>
      <c r="I36" s="244"/>
      <c r="J36" s="245"/>
      <c r="K36" s="246" t="e">
        <f>+F34-M34</f>
        <v>#REF!</v>
      </c>
      <c r="L36" s="247"/>
      <c r="M36" s="248"/>
      <c r="N36" s="254" t="e">
        <f>+F34-P34</f>
        <v>#REF!</v>
      </c>
      <c r="O36" s="255"/>
      <c r="P36" s="256"/>
    </row>
    <row r="37" spans="2:16" ht="30" customHeight="1">
      <c r="F37" s="41" t="s">
        <v>29</v>
      </c>
      <c r="H37" s="198" t="s">
        <v>90</v>
      </c>
      <c r="I37" s="199"/>
      <c r="J37" s="200"/>
      <c r="K37" s="198" t="s">
        <v>90</v>
      </c>
      <c r="L37" s="199"/>
      <c r="M37" s="200"/>
      <c r="N37" s="198" t="s">
        <v>90</v>
      </c>
      <c r="O37" s="199"/>
      <c r="P37" s="201"/>
    </row>
    <row r="38" spans="2:16" ht="30" customHeight="1">
      <c r="F38" s="41" t="s">
        <v>31</v>
      </c>
      <c r="H38" s="198" t="s">
        <v>32</v>
      </c>
      <c r="I38" s="199"/>
      <c r="J38" s="201"/>
      <c r="K38" s="198" t="s">
        <v>32</v>
      </c>
      <c r="L38" s="199"/>
      <c r="M38" s="201"/>
      <c r="N38" s="198" t="s">
        <v>32</v>
      </c>
      <c r="O38" s="199"/>
      <c r="P38" s="201"/>
    </row>
    <row r="39" spans="2:16">
      <c r="F39" s="41" t="s">
        <v>33</v>
      </c>
      <c r="H39" s="191" t="s">
        <v>34</v>
      </c>
      <c r="I39" s="192"/>
      <c r="J39" s="192"/>
      <c r="K39" s="191" t="s">
        <v>34</v>
      </c>
      <c r="L39" s="192"/>
      <c r="M39" s="192"/>
      <c r="N39" s="191" t="s">
        <v>34</v>
      </c>
      <c r="O39" s="192"/>
      <c r="P39" s="192"/>
    </row>
    <row r="40" spans="2:16" s="32" customFormat="1" ht="116.25" customHeight="1">
      <c r="B40" s="1"/>
      <c r="C40" s="31"/>
      <c r="D40" s="31"/>
      <c r="E40" s="31"/>
      <c r="F40" s="41" t="s">
        <v>35</v>
      </c>
      <c r="G40" s="1"/>
      <c r="H40" s="193"/>
      <c r="I40" s="194"/>
      <c r="J40" s="195"/>
      <c r="K40" s="193"/>
      <c r="L40" s="194"/>
      <c r="M40" s="195"/>
      <c r="N40" s="193"/>
      <c r="O40" s="194"/>
      <c r="P40" s="195"/>
    </row>
    <row r="42" spans="2:16" ht="408.75" customHeight="1">
      <c r="F42" s="122" t="s">
        <v>36</v>
      </c>
      <c r="H42" s="249" t="s">
        <v>37</v>
      </c>
      <c r="I42" s="250"/>
      <c r="J42" s="250"/>
      <c r="K42" s="249" t="s">
        <v>91</v>
      </c>
      <c r="L42" s="250"/>
      <c r="M42" s="250"/>
      <c r="N42" s="249" t="s">
        <v>92</v>
      </c>
      <c r="O42" s="250"/>
      <c r="P42" s="250"/>
    </row>
    <row r="43" spans="2:16" s="34" customFormat="1">
      <c r="B43" s="33"/>
      <c r="C43" s="8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30" hidden="1" customHeight="1">
      <c r="F44" s="41" t="s">
        <v>38</v>
      </c>
      <c r="H44" s="185"/>
      <c r="I44" s="186"/>
      <c r="J44" s="187"/>
      <c r="K44" s="188"/>
      <c r="L44" s="189"/>
      <c r="M44" s="190"/>
      <c r="N44" s="185"/>
      <c r="O44" s="186"/>
      <c r="P44" s="187"/>
    </row>
    <row r="45" spans="2:16">
      <c r="H45"/>
      <c r="I45"/>
      <c r="J45"/>
      <c r="K45"/>
      <c r="L45"/>
      <c r="M45"/>
      <c r="N45"/>
      <c r="O45"/>
      <c r="P45"/>
    </row>
    <row r="46" spans="2:16">
      <c r="H46"/>
      <c r="I46"/>
      <c r="J46"/>
      <c r="K46"/>
      <c r="L46"/>
      <c r="M46"/>
      <c r="N46"/>
      <c r="O46"/>
      <c r="P46"/>
    </row>
  </sheetData>
  <autoFilter ref="B7:B8" xr:uid="{00000000-0009-0000-0000-000000000000}"/>
  <mergeCells count="26">
    <mergeCell ref="N40:P40"/>
    <mergeCell ref="N42:P42"/>
    <mergeCell ref="N44:P44"/>
    <mergeCell ref="N6:P6"/>
    <mergeCell ref="N36:P36"/>
    <mergeCell ref="N37:P37"/>
    <mergeCell ref="N38:P38"/>
    <mergeCell ref="N39:P39"/>
    <mergeCell ref="H42:J42"/>
    <mergeCell ref="K42:M42"/>
    <mergeCell ref="H44:J44"/>
    <mergeCell ref="K44:M44"/>
    <mergeCell ref="H39:J39"/>
    <mergeCell ref="K39:M39"/>
    <mergeCell ref="H40:J40"/>
    <mergeCell ref="K40:M40"/>
    <mergeCell ref="H38:J38"/>
    <mergeCell ref="K38:M38"/>
    <mergeCell ref="B36:F36"/>
    <mergeCell ref="H36:J36"/>
    <mergeCell ref="K36:M36"/>
    <mergeCell ref="B6:F6"/>
    <mergeCell ref="H6:J6"/>
    <mergeCell ref="K6:M6"/>
    <mergeCell ref="H37:J37"/>
    <mergeCell ref="K37:M37"/>
  </mergeCells>
  <pageMargins left="0.7" right="0.7" top="0.75" bottom="0.75" header="0.3" footer="0.3"/>
  <pageSetup paperSize="9" scale="23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F3A1997D-057D-4172-B9F4-625551E2DA5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4" id="{5424D7EE-E4EB-4C1F-A71E-220DEDBA081F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1" id="{A1D4FDBF-2404-4318-877A-1D4C54CBACB2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C81:R81"/>
  <sheetViews>
    <sheetView topLeftCell="A20" zoomScale="85" zoomScaleNormal="85" workbookViewId="0">
      <selection activeCell="E33" sqref="E33"/>
    </sheetView>
  </sheetViews>
  <sheetFormatPr defaultColWidth="11.5703125" defaultRowHeight="14.45"/>
  <cols>
    <col min="1" max="1" width="2.42578125" style="90" customWidth="1"/>
    <col min="2" max="16" width="11.5703125" style="90"/>
    <col min="17" max="17" width="11.5703125" style="90" customWidth="1"/>
    <col min="18" max="18" width="1" style="101" customWidth="1"/>
    <col min="19" max="16384" width="11.5703125" style="90"/>
  </cols>
  <sheetData>
    <row r="81" spans="3:3">
      <c r="C81" s="158" t="s">
        <v>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3:P3"/>
  <sheetViews>
    <sheetView zoomScale="70" zoomScaleNormal="70" workbookViewId="0">
      <selection activeCell="L28" sqref="L28"/>
    </sheetView>
  </sheetViews>
  <sheetFormatPr defaultColWidth="11.5703125" defaultRowHeight="14.45"/>
  <cols>
    <col min="1" max="1" width="3.28515625" style="90" customWidth="1"/>
    <col min="2" max="15" width="11.5703125" style="90"/>
    <col min="16" max="16" width="0.85546875" style="101" customWidth="1"/>
    <col min="17" max="17" width="4.28515625" style="90" customWidth="1"/>
    <col min="18" max="16384" width="11.5703125" style="90"/>
  </cols>
  <sheetData>
    <row r="3" spans="2:2">
      <c r="B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8BFD-C72A-46EB-9822-527593900F34}">
  <sheetPr>
    <tabColor rgb="FFFFFF00"/>
  </sheetPr>
  <dimension ref="H9:I15"/>
  <sheetViews>
    <sheetView topLeftCell="E30" zoomScale="85" zoomScaleNormal="85" workbookViewId="0">
      <selection activeCell="O75" sqref="O75"/>
    </sheetView>
  </sheetViews>
  <sheetFormatPr defaultColWidth="11.5703125" defaultRowHeight="14.45"/>
  <cols>
    <col min="1" max="1" width="1.28515625" style="90" customWidth="1"/>
    <col min="2" max="7" width="26.28515625" style="90" customWidth="1"/>
    <col min="8" max="8" width="3.7109375" style="90" customWidth="1"/>
    <col min="9" max="9" width="0.7109375" style="101" customWidth="1"/>
    <col min="10" max="16384" width="11.5703125" style="90"/>
  </cols>
  <sheetData>
    <row r="9" spans="8:9" ht="33" customHeight="1"/>
    <row r="10" spans="8:9" ht="4.5" customHeight="1"/>
    <row r="14" spans="8:9">
      <c r="H14" s="102"/>
      <c r="I14" s="103"/>
    </row>
    <row r="15" spans="8:9" ht="3.75" customHeight="1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FD6D-4B53-45D1-B011-27BD5420130E}">
  <sheetPr>
    <tabColor rgb="FFFFFF00"/>
  </sheetPr>
  <dimension ref="H9:I15"/>
  <sheetViews>
    <sheetView topLeftCell="C100" zoomScale="70" zoomScaleNormal="70" workbookViewId="0">
      <selection activeCell="V104" sqref="V104"/>
    </sheetView>
  </sheetViews>
  <sheetFormatPr defaultColWidth="11.5703125" defaultRowHeight="14.45"/>
  <cols>
    <col min="1" max="1" width="1.28515625" style="90" customWidth="1"/>
    <col min="2" max="7" width="26.28515625" style="90" customWidth="1"/>
    <col min="8" max="8" width="3.7109375" style="90" customWidth="1"/>
    <col min="9" max="9" width="0.7109375" style="101" customWidth="1"/>
    <col min="10" max="16384" width="11.5703125" style="90"/>
  </cols>
  <sheetData>
    <row r="9" spans="8:9" ht="33" customHeight="1"/>
    <row r="10" spans="8:9" ht="4.5" customHeight="1"/>
    <row r="14" spans="8:9">
      <c r="H14" s="102"/>
      <c r="I14" s="103"/>
    </row>
    <row r="15" spans="8:9" ht="3.75" customHeight="1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GENESIS BRITO</dc:creator>
  <cp:keywords/>
  <dc:description/>
  <cp:lastModifiedBy>Usuario invitado</cp:lastModifiedBy>
  <cp:revision/>
  <dcterms:created xsi:type="dcterms:W3CDTF">2021-07-27T14:03:38Z</dcterms:created>
  <dcterms:modified xsi:type="dcterms:W3CDTF">2026-10-23T04:55:35Z</dcterms:modified>
  <cp:category/>
  <cp:contentStatus/>
</cp:coreProperties>
</file>